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'Jerry'!$A$1:$H$388</definedName>
  </definedNames>
  <calcPr fullCalcOnLoad="1"/>
</workbook>
</file>

<file path=xl/sharedStrings.xml><?xml version="1.0" encoding="utf-8"?>
<sst xmlns="http://schemas.openxmlformats.org/spreadsheetml/2006/main" count="83" uniqueCount="83">
  <si>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</si>
  <si>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</si>
  <si>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</si>
  <si>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</si>
  <si>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</si>
  <si>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</si>
  <si>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</si>
  <si>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</si>
  <si>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</si>
  <si>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</si>
  <si>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</si>
  <si>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</si>
  <si>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</si>
  <si>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</si>
  <si>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</si>
  <si>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</si>
  <si>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</si>
  <si>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</si>
  <si>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 (R186)</t>
  </si>
  <si>
    <t>R197 SPOT  (R197)</t>
  </si>
  <si>
    <t>R202 SPOT  (R202)</t>
  </si>
  <si>
    <t>R203 SPOT  (R203)</t>
  </si>
  <si>
    <t>R204 SPOT  (R204)</t>
  </si>
  <si>
    <t>R207 SPOT  (R207)</t>
  </si>
  <si>
    <t>R208 SPOT  (R208)</t>
  </si>
  <si>
    <t>R209 SPOT  (R209)</t>
  </si>
  <si>
    <t>R210 SPOT  (R210)</t>
  </si>
  <si>
    <t>R212 SPOT  (R212)</t>
  </si>
  <si>
    <t>R213 SPOT  (R213)</t>
  </si>
  <si>
    <t>2025 FUTURE  (2025)</t>
  </si>
  <si>
    <t>2029 FUTURE  (2029)</t>
  </si>
  <si>
    <t>R2030 FUTURE  (2030)</t>
  </si>
  <si>
    <t>R2032 FUTURE  (2032)</t>
  </si>
  <si>
    <t>2033 FUTURE  (2033)</t>
  </si>
  <si>
    <t>R2037 FUTURE  (2037)</t>
  </si>
  <si>
    <t>2038 FUTURE  (2038)</t>
  </si>
  <si>
    <t>R2040 FUTURE  (2040)</t>
  </si>
  <si>
    <t>R2044 FUTURE  (2044)</t>
  </si>
  <si>
    <t>2046 FUTURE  (2046)</t>
  </si>
  <si>
    <t>2050 FUTURE  (2050)</t>
  </si>
  <si>
    <t>EL28 FUTURE  (EL28)</t>
  </si>
  <si>
    <t>ES33 FUTURE  (ES33)</t>
  </si>
  <si>
    <t>ES42 FUTURE  (ES42)</t>
  </si>
  <si>
    <t>R023 FUTURE  (R023)</t>
  </si>
  <si>
    <t>R035 FUTURE  (R035)</t>
  </si>
  <si>
    <t>R186 FUTURE  (R186)</t>
  </si>
  <si>
    <t>R197 FUTURE  (R197)</t>
  </si>
  <si>
    <t>R202 FUTURE  (R202)</t>
  </si>
  <si>
    <t>R203 FUTURE  (R203)</t>
  </si>
  <si>
    <t>R204 FUTURE  (R204)</t>
  </si>
  <si>
    <t>R207 FUTURE  (R207)</t>
  </si>
  <si>
    <t>R208 FUTURE  (R208)</t>
  </si>
  <si>
    <t>R209 FUTURE  (R209)</t>
  </si>
  <si>
    <t>R210 FUTURE  (R210)</t>
  </si>
  <si>
    <t>R212 FUTURE  (R212)</t>
  </si>
  <si>
    <t>R213 FUTURE  (R213)</t>
  </si>
  <si>
    <t>R214 FUTURE  (R214)</t>
  </si>
  <si>
    <t>R248 FUTURE  (R248)</t>
  </si>
  <si>
    <t>Any Day DAEU  (DAEU)</t>
  </si>
  <si>
    <t>Any Day DAGB (DAGB)</t>
  </si>
  <si>
    <t>Any Day DAUS  (DAUS)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</si>
  <si>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</si>
  <si>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</si>
  <si>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</si>
  <si>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</si>
  <si>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</si>
  <si>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</si>
  <si>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</si>
  <si>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</si>
  <si>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</si>
  <si>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</si>
  <si>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Kenian Shilling (ZAKS)</t>
  </si>
  <si>
    <t>Turkish Lira / Rand (ZATR)</t>
  </si>
  <si>
    <t>Rand / Dollar Maxi  (ZAUM)</t>
  </si>
  <si>
    <t>US Dollar Rand (ZAUS)</t>
  </si>
  <si>
    <t>Rand / Zambian Kwacha (ZAZW)</t>
  </si>
  <si>
    <t>AL12  (AL12)</t>
  </si>
  <si>
    <t>AL37  (AL37)</t>
  </si>
  <si>
    <t>AL7T  (AL7T)</t>
  </si>
  <si>
    <t>ALBI  (ALBI)</t>
  </si>
  <si>
    <t>IGOV  (IGOV)</t>
  </si>
  <si>
    <t>ILBI  (ILBI)</t>
  </si>
  <si>
    <t>GOVI 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</si>
</sst>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3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tabSelected="1" zoomScaleSheetLayoutView="75" zoomScalePageLayoutView="0" workbookViewId="0" topLeftCell="A1">
      <selection activeCell="L16" sqref="L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42795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ROUND(2.11,3)</f>
        <v>2.11</v>
      </c>
      <c r="D6" s="24">
        <f>F6</f>
        <v>2.11</v>
      </c>
      <c r="E6" s="24">
        <f>F6</f>
        <v>2.11</v>
      </c>
      <c r="F6" s="24">
        <f>ROUND(2.11,3)</f>
        <v>2.11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ROUND(2.09,3)</f>
        <v>2.09</v>
      </c>
      <c r="D8" s="24">
        <f>F8</f>
        <v>2.09</v>
      </c>
      <c r="E8" s="24">
        <f>F8</f>
        <v>2.09</v>
      </c>
      <c r="F8" s="24">
        <f>ROUND(2.09,3)</f>
        <v>2.09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ROUND(2.08,3)</f>
        <v>2.08</v>
      </c>
      <c r="D10" s="24">
        <f>F10</f>
        <v>2.08</v>
      </c>
      <c r="E10" s="24">
        <f>F10</f>
        <v>2.08</v>
      </c>
      <c r="F10" s="24">
        <f>ROUND(2.08,3)</f>
        <v>2.08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ROUND(2.7,3)</f>
        <v>2.7</v>
      </c>
      <c r="D12" s="24">
        <f>F12</f>
        <v>2.7</v>
      </c>
      <c r="E12" s="24">
        <f>F12</f>
        <v>2.7</v>
      </c>
      <c r="F12" s="24">
        <f>ROUND(2.7,3)</f>
        <v>2.7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ROUND(10.47,3)</f>
        <v>10.47</v>
      </c>
      <c r="D14" s="24">
        <f>F14</f>
        <v>10.47</v>
      </c>
      <c r="E14" s="24">
        <f>F14</f>
        <v>10.47</v>
      </c>
      <c r="F14" s="24">
        <f>ROUND(10.47,3)</f>
        <v>10.47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ROUND(8.305,3)</f>
        <v>8.305</v>
      </c>
      <c r="D16" s="24">
        <f>F16</f>
        <v>8.305</v>
      </c>
      <c r="E16" s="24">
        <f>F16</f>
        <v>8.305</v>
      </c>
      <c r="F16" s="24">
        <f>ROUND(8.305,3)</f>
        <v>8.305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4">
        <f>ROUND(8.775,3)</f>
        <v>8.775</v>
      </c>
      <c r="D18" s="24">
        <f>F18</f>
        <v>8.775</v>
      </c>
      <c r="E18" s="24">
        <f>F18</f>
        <v>8.775</v>
      </c>
      <c r="F18" s="24">
        <f>ROUND(8.775,3)</f>
        <v>8.775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4">
        <f>ROUND(2.06,3)</f>
        <v>2.06</v>
      </c>
      <c r="D20" s="24">
        <f>F20</f>
        <v>2.06</v>
      </c>
      <c r="E20" s="24">
        <f>F20</f>
        <v>2.06</v>
      </c>
      <c r="F20" s="24">
        <f>ROUND(2.06,3)</f>
        <v>2.06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4">
        <f>ROUND(2.12,3)</f>
        <v>2.12</v>
      </c>
      <c r="D22" s="24">
        <f>F22</f>
        <v>2.12</v>
      </c>
      <c r="E22" s="24">
        <f>F22</f>
        <v>2.12</v>
      </c>
      <c r="F22" s="24">
        <f>ROUND(2.12,3)</f>
        <v>2.12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4">
        <f>ROUND(7.4,3)</f>
        <v>7.4</v>
      </c>
      <c r="D24" s="24">
        <f>F24</f>
        <v>7.4</v>
      </c>
      <c r="E24" s="24">
        <f>F24</f>
        <v>7.4</v>
      </c>
      <c r="F24" s="24">
        <f>ROUND(7.4,3)</f>
        <v>7.4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4">
        <f>ROUND(7.53,3)</f>
        <v>7.53</v>
      </c>
      <c r="D26" s="24">
        <f>F26</f>
        <v>7.53</v>
      </c>
      <c r="E26" s="24">
        <f>F26</f>
        <v>7.53</v>
      </c>
      <c r="F26" s="24">
        <f>ROUND(7.53,3)</f>
        <v>7.53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4">
        <f>ROUND(7.795,3)</f>
        <v>7.795</v>
      </c>
      <c r="D28" s="24">
        <f>F28</f>
        <v>7.795</v>
      </c>
      <c r="E28" s="24">
        <f>F28</f>
        <v>7.795</v>
      </c>
      <c r="F28" s="24">
        <f>ROUND(7.795,3)</f>
        <v>7.795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4">
        <f>ROUND(7.95,3)</f>
        <v>7.95</v>
      </c>
      <c r="D30" s="24">
        <f>F30</f>
        <v>7.95</v>
      </c>
      <c r="E30" s="24">
        <f>F30</f>
        <v>7.95</v>
      </c>
      <c r="F30" s="24">
        <f>ROUND(7.95,3)</f>
        <v>7.95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4">
        <f>ROUND(9.45,3)</f>
        <v>9.45</v>
      </c>
      <c r="D32" s="24">
        <f>F32</f>
        <v>9.45</v>
      </c>
      <c r="E32" s="24">
        <f>F32</f>
        <v>9.45</v>
      </c>
      <c r="F32" s="24">
        <f>ROUND(9.45,3)</f>
        <v>9.45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4">
        <f>ROUND(2.04,3)</f>
        <v>2.04</v>
      </c>
      <c r="D34" s="24">
        <f>F34</f>
        <v>2.04</v>
      </c>
      <c r="E34" s="24">
        <f>F34</f>
        <v>2.04</v>
      </c>
      <c r="F34" s="24">
        <f>ROUND(2.04,3)</f>
        <v>2.04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4">
        <f>ROUND(2.025,3)</f>
        <v>2.025</v>
      </c>
      <c r="D36" s="24">
        <f>F36</f>
        <v>2.025</v>
      </c>
      <c r="E36" s="24">
        <f>F36</f>
        <v>2.025</v>
      </c>
      <c r="F36" s="24">
        <f>ROUND(2.025,3)</f>
        <v>2.025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4">
        <f>ROUND(9.23,3)</f>
        <v>9.23</v>
      </c>
      <c r="D38" s="24">
        <f>F38</f>
        <v>9.23</v>
      </c>
      <c r="E38" s="24">
        <f>F38</f>
        <v>9.23</v>
      </c>
      <c r="F38" s="24">
        <f>ROUND(9.23,3)</f>
        <v>9.23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9">
        <f>ROUND(2.11,5)</f>
        <v>2.11</v>
      </c>
      <c r="D40" s="29">
        <f>F40</f>
        <v>129.30873</v>
      </c>
      <c r="E40" s="29">
        <f>F40</f>
        <v>129.30873</v>
      </c>
      <c r="F40" s="29">
        <f>ROUND(129.30873,5)</f>
        <v>129.30873</v>
      </c>
      <c r="G40" s="25"/>
      <c r="H40" s="26"/>
    </row>
    <row r="41" spans="1:8" ht="12.75" customHeight="1">
      <c r="A41" s="23">
        <v>42950</v>
      </c>
      <c r="B41" s="23"/>
      <c r="C41" s="29">
        <f>ROUND(2.11,5)</f>
        <v>2.11</v>
      </c>
      <c r="D41" s="29">
        <f>F41</f>
        <v>130.46335</v>
      </c>
      <c r="E41" s="29">
        <f>F41</f>
        <v>130.46335</v>
      </c>
      <c r="F41" s="29">
        <f>ROUND(130.46335,5)</f>
        <v>130.46335</v>
      </c>
      <c r="G41" s="25"/>
      <c r="H41" s="26"/>
    </row>
    <row r="42" spans="1:8" ht="12.75" customHeight="1">
      <c r="A42" s="23">
        <v>43041</v>
      </c>
      <c r="B42" s="23"/>
      <c r="C42" s="29">
        <f>ROUND(2.11,5)</f>
        <v>2.11</v>
      </c>
      <c r="D42" s="29">
        <f>F42</f>
        <v>133.07143</v>
      </c>
      <c r="E42" s="29">
        <f>F42</f>
        <v>133.07143</v>
      </c>
      <c r="F42" s="29">
        <f>ROUND(133.07143,5)</f>
        <v>133.07143</v>
      </c>
      <c r="G42" s="25"/>
      <c r="H42" s="26"/>
    </row>
    <row r="43" spans="1:8" ht="12.75" customHeight="1">
      <c r="A43" s="23">
        <v>43132</v>
      </c>
      <c r="B43" s="23"/>
      <c r="C43" s="29">
        <f>ROUND(2.11,5)</f>
        <v>2.11</v>
      </c>
      <c r="D43" s="29">
        <f>F43</f>
        <v>135.72735</v>
      </c>
      <c r="E43" s="29">
        <f>F43</f>
        <v>135.72735</v>
      </c>
      <c r="F43" s="29">
        <f>ROUND(135.72735,5)</f>
        <v>135.72735</v>
      </c>
      <c r="G43" s="25"/>
      <c r="H43" s="26"/>
    </row>
    <row r="44" spans="1:8" ht="12.75" customHeight="1">
      <c r="A44" s="23">
        <v>43223</v>
      </c>
      <c r="B44" s="23"/>
      <c r="C44" s="29">
        <f>ROUND(2.11,5)</f>
        <v>2.11</v>
      </c>
      <c r="D44" s="29">
        <f>F44</f>
        <v>138.32534</v>
      </c>
      <c r="E44" s="29">
        <f>F44</f>
        <v>138.32534</v>
      </c>
      <c r="F44" s="29">
        <f>ROUND(138.32534,5)</f>
        <v>138.32534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5">
        <f>ROUND(100.94916,2)</f>
        <v>100.95</v>
      </c>
      <c r="D46" s="25">
        <f>F46</f>
        <v>101.33</v>
      </c>
      <c r="E46" s="25">
        <f>F46</f>
        <v>101.33</v>
      </c>
      <c r="F46" s="25">
        <f>ROUND(101.32509,2)</f>
        <v>101.33</v>
      </c>
      <c r="G46" s="25"/>
      <c r="H46" s="26"/>
    </row>
    <row r="47" spans="1:8" ht="12.75" customHeight="1">
      <c r="A47" s="23">
        <v>42950</v>
      </c>
      <c r="B47" s="23"/>
      <c r="C47" s="25">
        <f>ROUND(100.94916,2)</f>
        <v>100.95</v>
      </c>
      <c r="D47" s="25">
        <f>F47</f>
        <v>103.28</v>
      </c>
      <c r="E47" s="25">
        <f>F47</f>
        <v>103.28</v>
      </c>
      <c r="F47" s="25">
        <f>ROUND(103.28397,2)</f>
        <v>103.28</v>
      </c>
      <c r="G47" s="25"/>
      <c r="H47" s="26"/>
    </row>
    <row r="48" spans="1:8" ht="12.75" customHeight="1">
      <c r="A48" s="23">
        <v>43041</v>
      </c>
      <c r="B48" s="23"/>
      <c r="C48" s="25">
        <f>ROUND(100.94916,2)</f>
        <v>100.95</v>
      </c>
      <c r="D48" s="25">
        <f>F48</f>
        <v>104.33</v>
      </c>
      <c r="E48" s="25">
        <f>F48</f>
        <v>104.33</v>
      </c>
      <c r="F48" s="25">
        <f>ROUND(104.32772,2)</f>
        <v>104.33</v>
      </c>
      <c r="G48" s="25"/>
      <c r="H48" s="26"/>
    </row>
    <row r="49" spans="1:8" ht="12.75" customHeight="1">
      <c r="A49" s="23">
        <v>43132</v>
      </c>
      <c r="B49" s="23"/>
      <c r="C49" s="25">
        <f>ROUND(100.94916,2)</f>
        <v>100.95</v>
      </c>
      <c r="D49" s="25">
        <f>F49</f>
        <v>106.44</v>
      </c>
      <c r="E49" s="25">
        <f>F49</f>
        <v>106.44</v>
      </c>
      <c r="F49" s="25">
        <f>ROUND(106.44446,2)</f>
        <v>106.44</v>
      </c>
      <c r="G49" s="25"/>
      <c r="H49" s="26"/>
    </row>
    <row r="50" spans="1:8" ht="12.75" customHeight="1">
      <c r="A50" s="23">
        <v>43223</v>
      </c>
      <c r="B50" s="23"/>
      <c r="C50" s="25">
        <f>ROUND(100.94916,2)</f>
        <v>100.95</v>
      </c>
      <c r="D50" s="25">
        <f>F50</f>
        <v>108.48</v>
      </c>
      <c r="E50" s="25">
        <f>F50</f>
        <v>108.48</v>
      </c>
      <c r="F50" s="25">
        <f>ROUND(108.48169,2)</f>
        <v>108.48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9">
        <f>ROUND(9.195,5)</f>
        <v>9.195</v>
      </c>
      <c r="D52" s="29">
        <f>F52</f>
        <v>9.23206</v>
      </c>
      <c r="E52" s="29">
        <f>F52</f>
        <v>9.23206</v>
      </c>
      <c r="F52" s="29">
        <f>ROUND(9.23206,5)</f>
        <v>9.23206</v>
      </c>
      <c r="G52" s="25"/>
      <c r="H52" s="26"/>
    </row>
    <row r="53" spans="1:8" ht="12.75" customHeight="1">
      <c r="A53" s="23">
        <v>42950</v>
      </c>
      <c r="B53" s="23"/>
      <c r="C53" s="29">
        <f>ROUND(9.195,5)</f>
        <v>9.195</v>
      </c>
      <c r="D53" s="29">
        <f>F53</f>
        <v>9.28339</v>
      </c>
      <c r="E53" s="29">
        <f>F53</f>
        <v>9.28339</v>
      </c>
      <c r="F53" s="29">
        <f>ROUND(9.28339,5)</f>
        <v>9.28339</v>
      </c>
      <c r="G53" s="25"/>
      <c r="H53" s="26"/>
    </row>
    <row r="54" spans="1:8" ht="12.75" customHeight="1">
      <c r="A54" s="23">
        <v>43041</v>
      </c>
      <c r="B54" s="23"/>
      <c r="C54" s="29">
        <f>ROUND(9.195,5)</f>
        <v>9.195</v>
      </c>
      <c r="D54" s="29">
        <f>F54</f>
        <v>9.32259</v>
      </c>
      <c r="E54" s="29">
        <f>F54</f>
        <v>9.32259</v>
      </c>
      <c r="F54" s="29">
        <f>ROUND(9.32259,5)</f>
        <v>9.32259</v>
      </c>
      <c r="G54" s="25"/>
      <c r="H54" s="26"/>
    </row>
    <row r="55" spans="1:8" ht="12.75" customHeight="1">
      <c r="A55" s="23">
        <v>43132</v>
      </c>
      <c r="B55" s="23"/>
      <c r="C55" s="29">
        <f>ROUND(9.195,5)</f>
        <v>9.195</v>
      </c>
      <c r="D55" s="29">
        <f>F55</f>
        <v>9.36269</v>
      </c>
      <c r="E55" s="29">
        <f>F55</f>
        <v>9.36269</v>
      </c>
      <c r="F55" s="29">
        <f>ROUND(9.36269,5)</f>
        <v>9.36269</v>
      </c>
      <c r="G55" s="25"/>
      <c r="H55" s="26"/>
    </row>
    <row r="56" spans="1:8" ht="12.75" customHeight="1">
      <c r="A56" s="23">
        <v>43223</v>
      </c>
      <c r="B56" s="23"/>
      <c r="C56" s="29">
        <f>ROUND(9.195,5)</f>
        <v>9.195</v>
      </c>
      <c r="D56" s="29">
        <f>F56</f>
        <v>9.41879</v>
      </c>
      <c r="E56" s="29">
        <f>F56</f>
        <v>9.41879</v>
      </c>
      <c r="F56" s="29">
        <f>ROUND(9.41879,5)</f>
        <v>9.41879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9">
        <f>ROUND(9.33,5)</f>
        <v>9.33</v>
      </c>
      <c r="D58" s="29">
        <f>F58</f>
        <v>9.36586</v>
      </c>
      <c r="E58" s="29">
        <f>F58</f>
        <v>9.36586</v>
      </c>
      <c r="F58" s="29">
        <f>ROUND(9.36586,5)</f>
        <v>9.36586</v>
      </c>
      <c r="G58" s="25"/>
      <c r="H58" s="26"/>
    </row>
    <row r="59" spans="1:8" ht="12.75" customHeight="1">
      <c r="A59" s="23">
        <v>42950</v>
      </c>
      <c r="B59" s="23"/>
      <c r="C59" s="29">
        <f>ROUND(9.33,5)</f>
        <v>9.33</v>
      </c>
      <c r="D59" s="29">
        <f>F59</f>
        <v>9.4145</v>
      </c>
      <c r="E59" s="29">
        <f>F59</f>
        <v>9.4145</v>
      </c>
      <c r="F59" s="29">
        <f>ROUND(9.4145,5)</f>
        <v>9.4145</v>
      </c>
      <c r="G59" s="25"/>
      <c r="H59" s="26"/>
    </row>
    <row r="60" spans="1:8" ht="12.75" customHeight="1">
      <c r="A60" s="23">
        <v>43041</v>
      </c>
      <c r="B60" s="23"/>
      <c r="C60" s="29">
        <f>ROUND(9.33,5)</f>
        <v>9.33</v>
      </c>
      <c r="D60" s="29">
        <f>F60</f>
        <v>9.45772</v>
      </c>
      <c r="E60" s="29">
        <f>F60</f>
        <v>9.45772</v>
      </c>
      <c r="F60" s="29">
        <f>ROUND(9.45772,5)</f>
        <v>9.45772</v>
      </c>
      <c r="G60" s="25"/>
      <c r="H60" s="26"/>
    </row>
    <row r="61" spans="1:8" ht="12.75" customHeight="1">
      <c r="A61" s="23">
        <v>43132</v>
      </c>
      <c r="B61" s="23"/>
      <c r="C61" s="29">
        <f>ROUND(9.33,5)</f>
        <v>9.33</v>
      </c>
      <c r="D61" s="29">
        <f>F61</f>
        <v>9.50163</v>
      </c>
      <c r="E61" s="29">
        <f>F61</f>
        <v>9.50163</v>
      </c>
      <c r="F61" s="29">
        <f>ROUND(9.50163,5)</f>
        <v>9.50163</v>
      </c>
      <c r="G61" s="25"/>
      <c r="H61" s="26"/>
    </row>
    <row r="62" spans="1:8" ht="12.75" customHeight="1">
      <c r="A62" s="23">
        <v>43223</v>
      </c>
      <c r="B62" s="23"/>
      <c r="C62" s="29">
        <f>ROUND(9.33,5)</f>
        <v>9.33</v>
      </c>
      <c r="D62" s="29">
        <f>F62</f>
        <v>9.55606</v>
      </c>
      <c r="E62" s="29">
        <f>F62</f>
        <v>9.55606</v>
      </c>
      <c r="F62" s="29">
        <f>ROUND(9.55606,5)</f>
        <v>9.55606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9">
        <f>ROUND(106.00765,5)</f>
        <v>106.00765</v>
      </c>
      <c r="D64" s="29">
        <f>F64</f>
        <v>107.42483</v>
      </c>
      <c r="E64" s="29">
        <f>F64</f>
        <v>107.42483</v>
      </c>
      <c r="F64" s="29">
        <f>ROUND(107.42483,5)</f>
        <v>107.42483</v>
      </c>
      <c r="G64" s="25"/>
      <c r="H64" s="26"/>
    </row>
    <row r="65" spans="1:8" ht="12.75" customHeight="1">
      <c r="A65" s="23">
        <v>42950</v>
      </c>
      <c r="B65" s="23"/>
      <c r="C65" s="29">
        <f>ROUND(106.00765,5)</f>
        <v>106.00765</v>
      </c>
      <c r="D65" s="29">
        <f>F65</f>
        <v>109.50159</v>
      </c>
      <c r="E65" s="29">
        <f>F65</f>
        <v>109.50159</v>
      </c>
      <c r="F65" s="29">
        <f>ROUND(109.50159,5)</f>
        <v>109.50159</v>
      </c>
      <c r="G65" s="25"/>
      <c r="H65" s="26"/>
    </row>
    <row r="66" spans="1:8" ht="12.75" customHeight="1">
      <c r="A66" s="23">
        <v>43041</v>
      </c>
      <c r="B66" s="23"/>
      <c r="C66" s="29">
        <f>ROUND(106.00765,5)</f>
        <v>106.00765</v>
      </c>
      <c r="D66" s="29">
        <f>F66</f>
        <v>110.60021</v>
      </c>
      <c r="E66" s="29">
        <f>F66</f>
        <v>110.60021</v>
      </c>
      <c r="F66" s="29">
        <f>ROUND(110.60021,5)</f>
        <v>110.60021</v>
      </c>
      <c r="G66" s="25"/>
      <c r="H66" s="26"/>
    </row>
    <row r="67" spans="1:8" ht="12.75" customHeight="1">
      <c r="A67" s="23">
        <v>43132</v>
      </c>
      <c r="B67" s="23"/>
      <c r="C67" s="29">
        <f>ROUND(106.00765,5)</f>
        <v>106.00765</v>
      </c>
      <c r="D67" s="29">
        <f>F67</f>
        <v>112.8443</v>
      </c>
      <c r="E67" s="29">
        <f>F67</f>
        <v>112.8443</v>
      </c>
      <c r="F67" s="29">
        <f>ROUND(112.8443,5)</f>
        <v>112.8443</v>
      </c>
      <c r="G67" s="25"/>
      <c r="H67" s="26"/>
    </row>
    <row r="68" spans="1:8" ht="12.75" customHeight="1">
      <c r="A68" s="23">
        <v>43223</v>
      </c>
      <c r="B68" s="23"/>
      <c r="C68" s="29">
        <f>ROUND(106.00765,5)</f>
        <v>106.00765</v>
      </c>
      <c r="D68" s="29">
        <f>F68</f>
        <v>115.00422</v>
      </c>
      <c r="E68" s="29">
        <f>F68</f>
        <v>115.00422</v>
      </c>
      <c r="F68" s="29">
        <f>ROUND(115.00422,5)</f>
        <v>115.00422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9">
        <f>ROUND(9.565,5)</f>
        <v>9.565</v>
      </c>
      <c r="D70" s="29">
        <f>F70</f>
        <v>9.60362</v>
      </c>
      <c r="E70" s="29">
        <f>F70</f>
        <v>9.60362</v>
      </c>
      <c r="F70" s="29">
        <f>ROUND(9.60362,5)</f>
        <v>9.60362</v>
      </c>
      <c r="G70" s="25"/>
      <c r="H70" s="26"/>
    </row>
    <row r="71" spans="1:8" ht="12.75" customHeight="1">
      <c r="A71" s="23">
        <v>42950</v>
      </c>
      <c r="B71" s="23"/>
      <c r="C71" s="29">
        <f>ROUND(9.565,5)</f>
        <v>9.565</v>
      </c>
      <c r="D71" s="29">
        <f>F71</f>
        <v>9.65749</v>
      </c>
      <c r="E71" s="29">
        <f>F71</f>
        <v>9.65749</v>
      </c>
      <c r="F71" s="29">
        <f>ROUND(9.65749,5)</f>
        <v>9.65749</v>
      </c>
      <c r="G71" s="25"/>
      <c r="H71" s="26"/>
    </row>
    <row r="72" spans="1:8" ht="12.75" customHeight="1">
      <c r="A72" s="23">
        <v>43041</v>
      </c>
      <c r="B72" s="23"/>
      <c r="C72" s="29">
        <f>ROUND(9.565,5)</f>
        <v>9.565</v>
      </c>
      <c r="D72" s="29">
        <f>F72</f>
        <v>9.70065</v>
      </c>
      <c r="E72" s="29">
        <f>F72</f>
        <v>9.70065</v>
      </c>
      <c r="F72" s="29">
        <f>ROUND(9.70065,5)</f>
        <v>9.70065</v>
      </c>
      <c r="G72" s="25"/>
      <c r="H72" s="26"/>
    </row>
    <row r="73" spans="1:8" ht="12.75" customHeight="1">
      <c r="A73" s="23">
        <v>43132</v>
      </c>
      <c r="B73" s="23"/>
      <c r="C73" s="29">
        <f>ROUND(9.565,5)</f>
        <v>9.565</v>
      </c>
      <c r="D73" s="29">
        <f>F73</f>
        <v>9.74481</v>
      </c>
      <c r="E73" s="29">
        <f>F73</f>
        <v>9.74481</v>
      </c>
      <c r="F73" s="29">
        <f>ROUND(9.74481,5)</f>
        <v>9.74481</v>
      </c>
      <c r="G73" s="25"/>
      <c r="H73" s="26"/>
    </row>
    <row r="74" spans="1:8" ht="12.75" customHeight="1">
      <c r="A74" s="23">
        <v>43223</v>
      </c>
      <c r="B74" s="23"/>
      <c r="C74" s="29">
        <f>ROUND(9.565,5)</f>
        <v>9.565</v>
      </c>
      <c r="D74" s="29">
        <f>F74</f>
        <v>9.80221</v>
      </c>
      <c r="E74" s="29">
        <f>F74</f>
        <v>9.80221</v>
      </c>
      <c r="F74" s="29">
        <f>ROUND(9.80221,5)</f>
        <v>9.80221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9">
        <f>ROUND(2.09,5)</f>
        <v>2.09</v>
      </c>
      <c r="D76" s="29">
        <f>F76</f>
        <v>133.88731</v>
      </c>
      <c r="E76" s="29">
        <f>F76</f>
        <v>133.88731</v>
      </c>
      <c r="F76" s="29">
        <f>ROUND(133.88731,5)</f>
        <v>133.88731</v>
      </c>
      <c r="G76" s="25"/>
      <c r="H76" s="26"/>
    </row>
    <row r="77" spans="1:8" ht="12.75" customHeight="1">
      <c r="A77" s="23">
        <v>42950</v>
      </c>
      <c r="B77" s="23"/>
      <c r="C77" s="29">
        <f>ROUND(2.09,5)</f>
        <v>2.09</v>
      </c>
      <c r="D77" s="29">
        <f>F77</f>
        <v>134.9624</v>
      </c>
      <c r="E77" s="29">
        <f>F77</f>
        <v>134.9624</v>
      </c>
      <c r="F77" s="29">
        <f>ROUND(134.9624,5)</f>
        <v>134.9624</v>
      </c>
      <c r="G77" s="25"/>
      <c r="H77" s="26"/>
    </row>
    <row r="78" spans="1:8" ht="12.75" customHeight="1">
      <c r="A78" s="23">
        <v>43041</v>
      </c>
      <c r="B78" s="23"/>
      <c r="C78" s="29">
        <f>ROUND(2.09,5)</f>
        <v>2.09</v>
      </c>
      <c r="D78" s="29">
        <f>F78</f>
        <v>137.66035</v>
      </c>
      <c r="E78" s="29">
        <f>F78</f>
        <v>137.66035</v>
      </c>
      <c r="F78" s="29">
        <f>ROUND(137.66035,5)</f>
        <v>137.66035</v>
      </c>
      <c r="G78" s="25"/>
      <c r="H78" s="26"/>
    </row>
    <row r="79" spans="1:8" ht="12.75" customHeight="1">
      <c r="A79" s="23">
        <v>43132</v>
      </c>
      <c r="B79" s="23"/>
      <c r="C79" s="29">
        <f>ROUND(2.09,5)</f>
        <v>2.09</v>
      </c>
      <c r="D79" s="29">
        <f>F79</f>
        <v>140.40392</v>
      </c>
      <c r="E79" s="29">
        <f>F79</f>
        <v>140.40392</v>
      </c>
      <c r="F79" s="29">
        <f>ROUND(140.40392,5)</f>
        <v>140.40392</v>
      </c>
      <c r="G79" s="25"/>
      <c r="H79" s="26"/>
    </row>
    <row r="80" spans="1:8" ht="12.75" customHeight="1">
      <c r="A80" s="23">
        <v>43223</v>
      </c>
      <c r="B80" s="23"/>
      <c r="C80" s="29">
        <f>ROUND(2.09,5)</f>
        <v>2.09</v>
      </c>
      <c r="D80" s="29">
        <f>F80</f>
        <v>143.09134</v>
      </c>
      <c r="E80" s="29">
        <f>F80</f>
        <v>143.09134</v>
      </c>
      <c r="F80" s="29">
        <f>ROUND(143.09134,5)</f>
        <v>143.09134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9">
        <f>ROUND(9.57,5)</f>
        <v>9.57</v>
      </c>
      <c r="D82" s="29">
        <f>F82</f>
        <v>9.60748</v>
      </c>
      <c r="E82" s="29">
        <f>F82</f>
        <v>9.60748</v>
      </c>
      <c r="F82" s="29">
        <f>ROUND(9.60748,5)</f>
        <v>9.60748</v>
      </c>
      <c r="G82" s="25"/>
      <c r="H82" s="26"/>
    </row>
    <row r="83" spans="1:8" ht="12.75" customHeight="1">
      <c r="A83" s="23">
        <v>42950</v>
      </c>
      <c r="B83" s="23"/>
      <c r="C83" s="29">
        <f>ROUND(9.57,5)</f>
        <v>9.57</v>
      </c>
      <c r="D83" s="29">
        <f>F83</f>
        <v>9.65971</v>
      </c>
      <c r="E83" s="29">
        <f>F83</f>
        <v>9.65971</v>
      </c>
      <c r="F83" s="29">
        <f>ROUND(9.65971,5)</f>
        <v>9.65971</v>
      </c>
      <c r="G83" s="25"/>
      <c r="H83" s="26"/>
    </row>
    <row r="84" spans="1:8" ht="12.75" customHeight="1">
      <c r="A84" s="23">
        <v>43041</v>
      </c>
      <c r="B84" s="23"/>
      <c r="C84" s="29">
        <f>ROUND(9.57,5)</f>
        <v>9.57</v>
      </c>
      <c r="D84" s="29">
        <f>F84</f>
        <v>9.70147</v>
      </c>
      <c r="E84" s="29">
        <f>F84</f>
        <v>9.70147</v>
      </c>
      <c r="F84" s="29">
        <f>ROUND(9.70147,5)</f>
        <v>9.70147</v>
      </c>
      <c r="G84" s="25"/>
      <c r="H84" s="26"/>
    </row>
    <row r="85" spans="1:8" ht="12.75" customHeight="1">
      <c r="A85" s="23">
        <v>43132</v>
      </c>
      <c r="B85" s="23"/>
      <c r="C85" s="29">
        <f>ROUND(9.57,5)</f>
        <v>9.57</v>
      </c>
      <c r="D85" s="29">
        <f>F85</f>
        <v>9.74415</v>
      </c>
      <c r="E85" s="29">
        <f>F85</f>
        <v>9.74415</v>
      </c>
      <c r="F85" s="29">
        <f>ROUND(9.74415,5)</f>
        <v>9.74415</v>
      </c>
      <c r="G85" s="25"/>
      <c r="H85" s="26"/>
    </row>
    <row r="86" spans="1:8" ht="12.75" customHeight="1">
      <c r="A86" s="23">
        <v>43223</v>
      </c>
      <c r="B86" s="23"/>
      <c r="C86" s="29">
        <f>ROUND(9.57,5)</f>
        <v>9.57</v>
      </c>
      <c r="D86" s="29">
        <f>F86</f>
        <v>9.7995</v>
      </c>
      <c r="E86" s="29">
        <f>F86</f>
        <v>9.7995</v>
      </c>
      <c r="F86" s="29">
        <f>ROUND(9.7995,5)</f>
        <v>9.7995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9">
        <f>ROUND(9.62,5)</f>
        <v>9.62</v>
      </c>
      <c r="D88" s="29">
        <f>F88</f>
        <v>9.6569</v>
      </c>
      <c r="E88" s="29">
        <f>F88</f>
        <v>9.6569</v>
      </c>
      <c r="F88" s="29">
        <f>ROUND(9.6569,5)</f>
        <v>9.6569</v>
      </c>
      <c r="G88" s="25"/>
      <c r="H88" s="26"/>
    </row>
    <row r="89" spans="1:8" ht="12.75" customHeight="1">
      <c r="A89" s="23">
        <v>42950</v>
      </c>
      <c r="B89" s="23"/>
      <c r="C89" s="29">
        <f>ROUND(9.62,5)</f>
        <v>9.62</v>
      </c>
      <c r="D89" s="29">
        <f>F89</f>
        <v>9.70832</v>
      </c>
      <c r="E89" s="29">
        <f>F89</f>
        <v>9.70832</v>
      </c>
      <c r="F89" s="29">
        <f>ROUND(9.70832,5)</f>
        <v>9.70832</v>
      </c>
      <c r="G89" s="25"/>
      <c r="H89" s="26"/>
    </row>
    <row r="90" spans="1:8" ht="12.75" customHeight="1">
      <c r="A90" s="23">
        <v>43041</v>
      </c>
      <c r="B90" s="23"/>
      <c r="C90" s="29">
        <f>ROUND(9.62,5)</f>
        <v>9.62</v>
      </c>
      <c r="D90" s="29">
        <f>F90</f>
        <v>9.7496</v>
      </c>
      <c r="E90" s="29">
        <f>F90</f>
        <v>9.7496</v>
      </c>
      <c r="F90" s="29">
        <f>ROUND(9.7496,5)</f>
        <v>9.7496</v>
      </c>
      <c r="G90" s="25"/>
      <c r="H90" s="26"/>
    </row>
    <row r="91" spans="1:8" ht="12.75" customHeight="1">
      <c r="A91" s="23">
        <v>43132</v>
      </c>
      <c r="B91" s="23"/>
      <c r="C91" s="29">
        <f>ROUND(9.62,5)</f>
        <v>9.62</v>
      </c>
      <c r="D91" s="29">
        <f>F91</f>
        <v>9.79175</v>
      </c>
      <c r="E91" s="29">
        <f>F91</f>
        <v>9.79175</v>
      </c>
      <c r="F91" s="29">
        <f>ROUND(9.79175,5)</f>
        <v>9.79175</v>
      </c>
      <c r="G91" s="25"/>
      <c r="H91" s="26"/>
    </row>
    <row r="92" spans="1:8" ht="12.75" customHeight="1">
      <c r="A92" s="23">
        <v>43223</v>
      </c>
      <c r="B92" s="23"/>
      <c r="C92" s="29">
        <f>ROUND(9.62,5)</f>
        <v>9.62</v>
      </c>
      <c r="D92" s="29">
        <f>F92</f>
        <v>9.84599</v>
      </c>
      <c r="E92" s="29">
        <f>F92</f>
        <v>9.84599</v>
      </c>
      <c r="F92" s="29">
        <f>ROUND(9.84599,5)</f>
        <v>9.84599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9">
        <f>ROUND(131.70165,5)</f>
        <v>131.70165</v>
      </c>
      <c r="D94" s="29">
        <f>F94</f>
        <v>131.93247</v>
      </c>
      <c r="E94" s="29">
        <f>F94</f>
        <v>131.93247</v>
      </c>
      <c r="F94" s="29">
        <f>ROUND(131.93247,5)</f>
        <v>131.93247</v>
      </c>
      <c r="G94" s="25"/>
      <c r="H94" s="26"/>
    </row>
    <row r="95" spans="1:8" ht="12.75" customHeight="1">
      <c r="A95" s="23">
        <v>42950</v>
      </c>
      <c r="B95" s="23"/>
      <c r="C95" s="29">
        <f>ROUND(131.70165,5)</f>
        <v>131.70165</v>
      </c>
      <c r="D95" s="29">
        <f>F95</f>
        <v>134.4832</v>
      </c>
      <c r="E95" s="29">
        <f>F95</f>
        <v>134.4832</v>
      </c>
      <c r="F95" s="29">
        <f>ROUND(134.4832,5)</f>
        <v>134.4832</v>
      </c>
      <c r="G95" s="25"/>
      <c r="H95" s="26"/>
    </row>
    <row r="96" spans="1:8" ht="12.75" customHeight="1">
      <c r="A96" s="23">
        <v>43041</v>
      </c>
      <c r="B96" s="23"/>
      <c r="C96" s="29">
        <f>ROUND(131.70165,5)</f>
        <v>131.70165</v>
      </c>
      <c r="D96" s="29">
        <f>F96</f>
        <v>135.56704</v>
      </c>
      <c r="E96" s="29">
        <f>F96</f>
        <v>135.56704</v>
      </c>
      <c r="F96" s="29">
        <f>ROUND(135.56704,5)</f>
        <v>135.56704</v>
      </c>
      <c r="G96" s="25"/>
      <c r="H96" s="26"/>
    </row>
    <row r="97" spans="1:8" ht="12.75" customHeight="1">
      <c r="A97" s="23">
        <v>43132</v>
      </c>
      <c r="B97" s="23"/>
      <c r="C97" s="29">
        <f>ROUND(131.70165,5)</f>
        <v>131.70165</v>
      </c>
      <c r="D97" s="29">
        <f>F97</f>
        <v>138.31779</v>
      </c>
      <c r="E97" s="29">
        <f>F97</f>
        <v>138.31779</v>
      </c>
      <c r="F97" s="29">
        <f>ROUND(138.31779,5)</f>
        <v>138.31779</v>
      </c>
      <c r="G97" s="25"/>
      <c r="H97" s="26"/>
    </row>
    <row r="98" spans="1:8" ht="12.75" customHeight="1">
      <c r="A98" s="23">
        <v>43223</v>
      </c>
      <c r="B98" s="23"/>
      <c r="C98" s="29">
        <f>ROUND(131.70165,5)</f>
        <v>131.70165</v>
      </c>
      <c r="D98" s="29">
        <f>F98</f>
        <v>140.96482</v>
      </c>
      <c r="E98" s="29">
        <f>F98</f>
        <v>140.96482</v>
      </c>
      <c r="F98" s="29">
        <f>ROUND(140.96482,5)</f>
        <v>140.96482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9">
        <f>ROUND(2.08,5)</f>
        <v>2.08</v>
      </c>
      <c r="D100" s="29">
        <f>F100</f>
        <v>143.77516</v>
      </c>
      <c r="E100" s="29">
        <f>F100</f>
        <v>143.77516</v>
      </c>
      <c r="F100" s="29">
        <f>ROUND(143.77516,5)</f>
        <v>143.77516</v>
      </c>
      <c r="G100" s="25"/>
      <c r="H100" s="26"/>
    </row>
    <row r="101" spans="1:8" ht="12.75" customHeight="1">
      <c r="A101" s="23">
        <v>42950</v>
      </c>
      <c r="B101" s="23"/>
      <c r="C101" s="29">
        <f>ROUND(2.08,5)</f>
        <v>2.08</v>
      </c>
      <c r="D101" s="29">
        <f>F101</f>
        <v>144.87599</v>
      </c>
      <c r="E101" s="29">
        <f>F101</f>
        <v>144.87599</v>
      </c>
      <c r="F101" s="29">
        <f>ROUND(144.87599,5)</f>
        <v>144.87599</v>
      </c>
      <c r="G101" s="25"/>
      <c r="H101" s="26"/>
    </row>
    <row r="102" spans="1:8" ht="12.75" customHeight="1">
      <c r="A102" s="23">
        <v>43041</v>
      </c>
      <c r="B102" s="23"/>
      <c r="C102" s="29">
        <f>ROUND(2.08,5)</f>
        <v>2.08</v>
      </c>
      <c r="D102" s="29">
        <f>F102</f>
        <v>147.77215</v>
      </c>
      <c r="E102" s="29">
        <f>F102</f>
        <v>147.77215</v>
      </c>
      <c r="F102" s="29">
        <f>ROUND(147.77215,5)</f>
        <v>147.77215</v>
      </c>
      <c r="G102" s="25"/>
      <c r="H102" s="26"/>
    </row>
    <row r="103" spans="1:8" ht="12.75" customHeight="1">
      <c r="A103" s="23">
        <v>43132</v>
      </c>
      <c r="B103" s="23"/>
      <c r="C103" s="29">
        <f>ROUND(2.08,5)</f>
        <v>2.08</v>
      </c>
      <c r="D103" s="29">
        <f>F103</f>
        <v>149.05495</v>
      </c>
      <c r="E103" s="29">
        <f>F103</f>
        <v>149.05495</v>
      </c>
      <c r="F103" s="29">
        <f>ROUND(149.05495,5)</f>
        <v>149.05495</v>
      </c>
      <c r="G103" s="25"/>
      <c r="H103" s="26"/>
    </row>
    <row r="104" spans="1:8" ht="12.75" customHeight="1">
      <c r="A104" s="23">
        <v>43223</v>
      </c>
      <c r="B104" s="23"/>
      <c r="C104" s="29">
        <f>ROUND(2.08,5)</f>
        <v>2.08</v>
      </c>
      <c r="D104" s="29">
        <f>F104</f>
        <v>151.9064</v>
      </c>
      <c r="E104" s="29">
        <f>F104</f>
        <v>151.9064</v>
      </c>
      <c r="F104" s="29">
        <f>ROUND(151.9064,5)</f>
        <v>151.9064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9">
        <f>ROUND(2.7,5)</f>
        <v>2.7</v>
      </c>
      <c r="D106" s="29">
        <f>F106</f>
        <v>129.85029</v>
      </c>
      <c r="E106" s="29">
        <f>F106</f>
        <v>129.85029</v>
      </c>
      <c r="F106" s="29">
        <f>ROUND(129.85029,5)</f>
        <v>129.85029</v>
      </c>
      <c r="G106" s="25"/>
      <c r="H106" s="26"/>
    </row>
    <row r="107" spans="1:8" ht="12.75" customHeight="1">
      <c r="A107" s="23">
        <v>42859</v>
      </c>
      <c r="B107" s="23"/>
      <c r="C107" s="29">
        <f>ROUND(2.7,5)</f>
        <v>2.7</v>
      </c>
      <c r="D107" s="29">
        <f>F107</f>
        <v>129.85029</v>
      </c>
      <c r="E107" s="29">
        <f>F107</f>
        <v>129.85029</v>
      </c>
      <c r="F107" s="29">
        <f>ROUND(129.85029,5)</f>
        <v>129.85029</v>
      </c>
      <c r="G107" s="25"/>
      <c r="H107" s="26"/>
    </row>
    <row r="108" spans="1:8" ht="12.75" customHeight="1">
      <c r="A108" s="23">
        <v>42950</v>
      </c>
      <c r="B108" s="23"/>
      <c r="C108" s="29">
        <f>ROUND(2.7,5)</f>
        <v>2.7</v>
      </c>
      <c r="D108" s="29">
        <f>F108</f>
        <v>132.36072</v>
      </c>
      <c r="E108" s="29">
        <f>F108</f>
        <v>132.36072</v>
      </c>
      <c r="F108" s="29">
        <f>ROUND(132.36072,5)</f>
        <v>132.36072</v>
      </c>
      <c r="G108" s="25"/>
      <c r="H108" s="26"/>
    </row>
    <row r="109" spans="1:8" ht="12.75" customHeight="1">
      <c r="A109" s="23">
        <v>42950</v>
      </c>
      <c r="B109" s="23"/>
      <c r="C109" s="29">
        <f>ROUND(2.7,5)</f>
        <v>2.7</v>
      </c>
      <c r="D109" s="29">
        <f>F109</f>
        <v>132.36072</v>
      </c>
      <c r="E109" s="29">
        <f>F109</f>
        <v>132.36072</v>
      </c>
      <c r="F109" s="29">
        <f>ROUND(132.36072,5)</f>
        <v>132.36072</v>
      </c>
      <c r="G109" s="25"/>
      <c r="H109" s="26"/>
    </row>
    <row r="110" spans="1:8" ht="12.75" customHeight="1">
      <c r="A110" s="23">
        <v>43041</v>
      </c>
      <c r="B110" s="23"/>
      <c r="C110" s="29">
        <f>ROUND(2.7,5)</f>
        <v>2.7</v>
      </c>
      <c r="D110" s="29">
        <f>F110</f>
        <v>133.23952</v>
      </c>
      <c r="E110" s="29">
        <f>F110</f>
        <v>133.23952</v>
      </c>
      <c r="F110" s="29">
        <f>ROUND(133.23952,5)</f>
        <v>133.23952</v>
      </c>
      <c r="G110" s="25"/>
      <c r="H110" s="26"/>
    </row>
    <row r="111" spans="1:8" ht="12.75" customHeight="1">
      <c r="A111" s="23">
        <v>43041</v>
      </c>
      <c r="B111" s="23"/>
      <c r="C111" s="29">
        <f>ROUND(2.7,5)</f>
        <v>2.7</v>
      </c>
      <c r="D111" s="29">
        <f>F111</f>
        <v>133.23952</v>
      </c>
      <c r="E111" s="29">
        <f>F111</f>
        <v>133.23952</v>
      </c>
      <c r="F111" s="29">
        <f>ROUND(133.23952,5)</f>
        <v>133.23952</v>
      </c>
      <c r="G111" s="25"/>
      <c r="H111" s="26"/>
    </row>
    <row r="112" spans="1:8" ht="12.75" customHeight="1">
      <c r="A112" s="23">
        <v>43132</v>
      </c>
      <c r="B112" s="23"/>
      <c r="C112" s="29">
        <f>ROUND(2.7,5)</f>
        <v>2.7</v>
      </c>
      <c r="D112" s="29">
        <f>F112</f>
        <v>135.94302</v>
      </c>
      <c r="E112" s="29">
        <f>F112</f>
        <v>135.94302</v>
      </c>
      <c r="F112" s="29">
        <f>ROUND(135.94302,5)</f>
        <v>135.94302</v>
      </c>
      <c r="G112" s="25"/>
      <c r="H112" s="26"/>
    </row>
    <row r="113" spans="1:8" ht="12.75" customHeight="1">
      <c r="A113" s="23">
        <v>43132</v>
      </c>
      <c r="B113" s="23"/>
      <c r="C113" s="29">
        <f>ROUND(2.7,5)</f>
        <v>2.7</v>
      </c>
      <c r="D113" s="29">
        <f>F113</f>
        <v>135.94302</v>
      </c>
      <c r="E113" s="29">
        <f>F113</f>
        <v>135.94302</v>
      </c>
      <c r="F113" s="29">
        <f>ROUND(135.94302,5)</f>
        <v>135.94302</v>
      </c>
      <c r="G113" s="25"/>
      <c r="H113" s="26"/>
    </row>
    <row r="114" spans="1:8" ht="12.75" customHeight="1">
      <c r="A114" s="23">
        <v>43223</v>
      </c>
      <c r="B114" s="23"/>
      <c r="C114" s="29">
        <f>ROUND(2.7,5)</f>
        <v>2.7</v>
      </c>
      <c r="D114" s="29">
        <f>F114</f>
        <v>138.54405</v>
      </c>
      <c r="E114" s="29">
        <f>F114</f>
        <v>138.54405</v>
      </c>
      <c r="F114" s="29">
        <f>ROUND(138.54405,5)</f>
        <v>138.54405</v>
      </c>
      <c r="G114" s="25"/>
      <c r="H114" s="26"/>
    </row>
    <row r="115" spans="1:8" ht="12.75" customHeight="1">
      <c r="A115" s="23">
        <v>43223</v>
      </c>
      <c r="B115" s="23"/>
      <c r="C115" s="29">
        <f>ROUND(2.7,5)</f>
        <v>2.7</v>
      </c>
      <c r="D115" s="29">
        <f>F115</f>
        <v>138.54405</v>
      </c>
      <c r="E115" s="29">
        <f>F115</f>
        <v>138.54405</v>
      </c>
      <c r="F115" s="29">
        <f>ROUND(138.54405,5)</f>
        <v>138.54405</v>
      </c>
      <c r="G115" s="25"/>
      <c r="H115" s="26"/>
    </row>
    <row r="116" spans="1:8" ht="12.75" customHeight="1">
      <c r="A116" s="23" t="s">
        <v>41</v>
      </c>
      <c r="B116" s="23"/>
      <c r="C116" s="28"/>
      <c r="D116" s="28"/>
      <c r="E116" s="28"/>
      <c r="F116" s="28"/>
      <c r="G116" s="25"/>
      <c r="H116" s="26"/>
    </row>
    <row r="117" spans="1:8" ht="12.75" customHeight="1">
      <c r="A117" s="23">
        <v>42859</v>
      </c>
      <c r="B117" s="23"/>
      <c r="C117" s="29">
        <f>ROUND(10.47,5)</f>
        <v>10.47</v>
      </c>
      <c r="D117" s="29">
        <f>F117</f>
        <v>10.52702</v>
      </c>
      <c r="E117" s="29">
        <f>F117</f>
        <v>10.52702</v>
      </c>
      <c r="F117" s="29">
        <f>ROUND(10.52702,5)</f>
        <v>10.52702</v>
      </c>
      <c r="G117" s="25"/>
      <c r="H117" s="26"/>
    </row>
    <row r="118" spans="1:8" ht="12.75" customHeight="1">
      <c r="A118" s="23">
        <v>42950</v>
      </c>
      <c r="B118" s="23"/>
      <c r="C118" s="29">
        <f>ROUND(10.47,5)</f>
        <v>10.47</v>
      </c>
      <c r="D118" s="29">
        <f>F118</f>
        <v>10.60824</v>
      </c>
      <c r="E118" s="29">
        <f>F118</f>
        <v>10.60824</v>
      </c>
      <c r="F118" s="29">
        <f>ROUND(10.60824,5)</f>
        <v>10.60824</v>
      </c>
      <c r="G118" s="25"/>
      <c r="H118" s="26"/>
    </row>
    <row r="119" spans="1:8" ht="12.75" customHeight="1">
      <c r="A119" s="23">
        <v>43041</v>
      </c>
      <c r="B119" s="23"/>
      <c r="C119" s="29">
        <f>ROUND(10.47,5)</f>
        <v>10.47</v>
      </c>
      <c r="D119" s="29">
        <f>F119</f>
        <v>10.6873</v>
      </c>
      <c r="E119" s="29">
        <f>F119</f>
        <v>10.6873</v>
      </c>
      <c r="F119" s="29">
        <f>ROUND(10.6873,5)</f>
        <v>10.6873</v>
      </c>
      <c r="G119" s="25"/>
      <c r="H119" s="26"/>
    </row>
    <row r="120" spans="1:8" ht="12.75" customHeight="1">
      <c r="A120" s="23">
        <v>43132</v>
      </c>
      <c r="B120" s="23"/>
      <c r="C120" s="29">
        <f>ROUND(10.47,5)</f>
        <v>10.47</v>
      </c>
      <c r="D120" s="29">
        <f>F120</f>
        <v>10.77031</v>
      </c>
      <c r="E120" s="29">
        <f>F120</f>
        <v>10.77031</v>
      </c>
      <c r="F120" s="29">
        <f>ROUND(10.77031,5)</f>
        <v>10.77031</v>
      </c>
      <c r="G120" s="25"/>
      <c r="H120" s="26"/>
    </row>
    <row r="121" spans="1:8" ht="12.75" customHeight="1">
      <c r="A121" s="23">
        <v>43223</v>
      </c>
      <c r="B121" s="23"/>
      <c r="C121" s="29">
        <f>ROUND(10.47,5)</f>
        <v>10.47</v>
      </c>
      <c r="D121" s="29">
        <f>F121</f>
        <v>10.86219</v>
      </c>
      <c r="E121" s="29">
        <f>F121</f>
        <v>10.86219</v>
      </c>
      <c r="F121" s="29">
        <f>ROUND(10.86219,5)</f>
        <v>10.86219</v>
      </c>
      <c r="G121" s="25"/>
      <c r="H121" s="26"/>
    </row>
    <row r="122" spans="1:8" ht="12.75" customHeight="1">
      <c r="A122" s="23" t="s">
        <v>42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42859</v>
      </c>
      <c r="B123" s="23"/>
      <c r="C123" s="29">
        <f>ROUND(10.615,5)</f>
        <v>10.615</v>
      </c>
      <c r="D123" s="29">
        <f>F123</f>
        <v>10.67363</v>
      </c>
      <c r="E123" s="29">
        <f>F123</f>
        <v>10.67363</v>
      </c>
      <c r="F123" s="29">
        <f>ROUND(10.67363,5)</f>
        <v>10.67363</v>
      </c>
      <c r="G123" s="25"/>
      <c r="H123" s="26"/>
    </row>
    <row r="124" spans="1:8" ht="12.75" customHeight="1">
      <c r="A124" s="23">
        <v>42950</v>
      </c>
      <c r="B124" s="23"/>
      <c r="C124" s="29">
        <f>ROUND(10.615,5)</f>
        <v>10.615</v>
      </c>
      <c r="D124" s="29">
        <f>F124</f>
        <v>10.75342</v>
      </c>
      <c r="E124" s="29">
        <f>F124</f>
        <v>10.75342</v>
      </c>
      <c r="F124" s="29">
        <f>ROUND(10.75342,5)</f>
        <v>10.75342</v>
      </c>
      <c r="G124" s="25"/>
      <c r="H124" s="26"/>
    </row>
    <row r="125" spans="1:8" ht="12.75" customHeight="1">
      <c r="A125" s="23">
        <v>43041</v>
      </c>
      <c r="B125" s="23"/>
      <c r="C125" s="29">
        <f>ROUND(10.615,5)</f>
        <v>10.615</v>
      </c>
      <c r="D125" s="29">
        <f>F125</f>
        <v>10.83017</v>
      </c>
      <c r="E125" s="29">
        <f>F125</f>
        <v>10.83017</v>
      </c>
      <c r="F125" s="29">
        <f>ROUND(10.83017,5)</f>
        <v>10.83017</v>
      </c>
      <c r="G125" s="25"/>
      <c r="H125" s="26"/>
    </row>
    <row r="126" spans="1:8" ht="12.75" customHeight="1">
      <c r="A126" s="23">
        <v>43132</v>
      </c>
      <c r="B126" s="23"/>
      <c r="C126" s="29">
        <f>ROUND(10.615,5)</f>
        <v>10.615</v>
      </c>
      <c r="D126" s="29">
        <f>F126</f>
        <v>10.90791</v>
      </c>
      <c r="E126" s="29">
        <f>F126</f>
        <v>10.90791</v>
      </c>
      <c r="F126" s="29">
        <f>ROUND(10.90791,5)</f>
        <v>10.90791</v>
      </c>
      <c r="G126" s="25"/>
      <c r="H126" s="26"/>
    </row>
    <row r="127" spans="1:8" ht="12.75" customHeight="1">
      <c r="A127" s="23">
        <v>43223</v>
      </c>
      <c r="B127" s="23"/>
      <c r="C127" s="29">
        <f>ROUND(10.615,5)</f>
        <v>10.615</v>
      </c>
      <c r="D127" s="29">
        <f>F127</f>
        <v>10.99803</v>
      </c>
      <c r="E127" s="29">
        <f>F127</f>
        <v>10.99803</v>
      </c>
      <c r="F127" s="29">
        <f>ROUND(10.99803,5)</f>
        <v>10.99803</v>
      </c>
      <c r="G127" s="25"/>
      <c r="H127" s="26"/>
    </row>
    <row r="128" spans="1:8" ht="12.75" customHeight="1">
      <c r="A128" s="23" t="s">
        <v>43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42859</v>
      </c>
      <c r="B129" s="23"/>
      <c r="C129" s="29">
        <f>ROUND(8.305,5)</f>
        <v>8.305</v>
      </c>
      <c r="D129" s="29">
        <f>F129</f>
        <v>8.32757</v>
      </c>
      <c r="E129" s="29">
        <f>F129</f>
        <v>8.32757</v>
      </c>
      <c r="F129" s="29">
        <f>ROUND(8.32757,5)</f>
        <v>8.32757</v>
      </c>
      <c r="G129" s="25"/>
      <c r="H129" s="26"/>
    </row>
    <row r="130" spans="1:8" ht="12.75" customHeight="1">
      <c r="A130" s="23">
        <v>42950</v>
      </c>
      <c r="B130" s="23"/>
      <c r="C130" s="29">
        <f>ROUND(8.305,5)</f>
        <v>8.305</v>
      </c>
      <c r="D130" s="29">
        <f>F130</f>
        <v>8.35632</v>
      </c>
      <c r="E130" s="29">
        <f>F130</f>
        <v>8.35632</v>
      </c>
      <c r="F130" s="29">
        <f>ROUND(8.35632,5)</f>
        <v>8.35632</v>
      </c>
      <c r="G130" s="25"/>
      <c r="H130" s="26"/>
    </row>
    <row r="131" spans="1:8" ht="12.75" customHeight="1">
      <c r="A131" s="23">
        <v>43041</v>
      </c>
      <c r="B131" s="23"/>
      <c r="C131" s="29">
        <f>ROUND(8.305,5)</f>
        <v>8.305</v>
      </c>
      <c r="D131" s="29">
        <f>F131</f>
        <v>8.37812</v>
      </c>
      <c r="E131" s="29">
        <f>F131</f>
        <v>8.37812</v>
      </c>
      <c r="F131" s="29">
        <f>ROUND(8.37812,5)</f>
        <v>8.37812</v>
      </c>
      <c r="G131" s="25"/>
      <c r="H131" s="26"/>
    </row>
    <row r="132" spans="1:8" ht="12.75" customHeight="1">
      <c r="A132" s="23">
        <v>43132</v>
      </c>
      <c r="B132" s="23"/>
      <c r="C132" s="29">
        <f>ROUND(8.305,5)</f>
        <v>8.305</v>
      </c>
      <c r="D132" s="29">
        <f>F132</f>
        <v>8.4009</v>
      </c>
      <c r="E132" s="29">
        <f>F132</f>
        <v>8.4009</v>
      </c>
      <c r="F132" s="29">
        <f>ROUND(8.4009,5)</f>
        <v>8.4009</v>
      </c>
      <c r="G132" s="25"/>
      <c r="H132" s="26"/>
    </row>
    <row r="133" spans="1:8" ht="12.75" customHeight="1">
      <c r="A133" s="23">
        <v>43223</v>
      </c>
      <c r="B133" s="23"/>
      <c r="C133" s="29">
        <f>ROUND(8.305,5)</f>
        <v>8.305</v>
      </c>
      <c r="D133" s="29">
        <f>F133</f>
        <v>8.43739</v>
      </c>
      <c r="E133" s="29">
        <f>F133</f>
        <v>8.43739</v>
      </c>
      <c r="F133" s="29">
        <f>ROUND(8.43739,5)</f>
        <v>8.43739</v>
      </c>
      <c r="G133" s="25"/>
      <c r="H133" s="26"/>
    </row>
    <row r="134" spans="1:8" ht="12.75" customHeight="1">
      <c r="A134" s="23" t="s">
        <v>44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42859</v>
      </c>
      <c r="B135" s="23"/>
      <c r="C135" s="29">
        <f>ROUND(9.465,5)</f>
        <v>9.465</v>
      </c>
      <c r="D135" s="29">
        <f>F135</f>
        <v>9.49978</v>
      </c>
      <c r="E135" s="29">
        <f>F135</f>
        <v>9.49978</v>
      </c>
      <c r="F135" s="29">
        <f>ROUND(9.49978,5)</f>
        <v>9.49978</v>
      </c>
      <c r="G135" s="25"/>
      <c r="H135" s="26"/>
    </row>
    <row r="136" spans="1:8" ht="12.75" customHeight="1">
      <c r="A136" s="23">
        <v>42950</v>
      </c>
      <c r="B136" s="23"/>
      <c r="C136" s="29">
        <f>ROUND(9.465,5)</f>
        <v>9.465</v>
      </c>
      <c r="D136" s="29">
        <f>F136</f>
        <v>9.54842</v>
      </c>
      <c r="E136" s="29">
        <f>F136</f>
        <v>9.54842</v>
      </c>
      <c r="F136" s="29">
        <f>ROUND(9.54842,5)</f>
        <v>9.54842</v>
      </c>
      <c r="G136" s="25"/>
      <c r="H136" s="26"/>
    </row>
    <row r="137" spans="1:8" ht="12.75" customHeight="1">
      <c r="A137" s="23">
        <v>43041</v>
      </c>
      <c r="B137" s="23"/>
      <c r="C137" s="29">
        <f>ROUND(9.465,5)</f>
        <v>9.465</v>
      </c>
      <c r="D137" s="29">
        <f>F137</f>
        <v>9.59397</v>
      </c>
      <c r="E137" s="29">
        <f>F137</f>
        <v>9.59397</v>
      </c>
      <c r="F137" s="29">
        <f>ROUND(9.59397,5)</f>
        <v>9.59397</v>
      </c>
      <c r="G137" s="25"/>
      <c r="H137" s="26"/>
    </row>
    <row r="138" spans="1:8" ht="12.75" customHeight="1">
      <c r="A138" s="23">
        <v>43132</v>
      </c>
      <c r="B138" s="23"/>
      <c r="C138" s="29">
        <f>ROUND(9.465,5)</f>
        <v>9.465</v>
      </c>
      <c r="D138" s="29">
        <f>F138</f>
        <v>9.64121</v>
      </c>
      <c r="E138" s="29">
        <f>F138</f>
        <v>9.64121</v>
      </c>
      <c r="F138" s="29">
        <f>ROUND(9.64121,5)</f>
        <v>9.64121</v>
      </c>
      <c r="G138" s="25"/>
      <c r="H138" s="26"/>
    </row>
    <row r="139" spans="1:8" ht="12.75" customHeight="1">
      <c r="A139" s="23">
        <v>43223</v>
      </c>
      <c r="B139" s="23"/>
      <c r="C139" s="29">
        <f>ROUND(9.465,5)</f>
        <v>9.465</v>
      </c>
      <c r="D139" s="29">
        <f>F139</f>
        <v>9.69477</v>
      </c>
      <c r="E139" s="29">
        <f>F139</f>
        <v>9.69477</v>
      </c>
      <c r="F139" s="29">
        <f>ROUND(9.69477,5)</f>
        <v>9.69477</v>
      </c>
      <c r="G139" s="25"/>
      <c r="H139" s="26"/>
    </row>
    <row r="140" spans="1:8" ht="12.75" customHeight="1">
      <c r="A140" s="23" t="s">
        <v>45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42859</v>
      </c>
      <c r="B141" s="23"/>
      <c r="C141" s="29">
        <f>ROUND(8.775,5)</f>
        <v>8.775</v>
      </c>
      <c r="D141" s="29">
        <f>F141</f>
        <v>8.80793</v>
      </c>
      <c r="E141" s="29">
        <f>F141</f>
        <v>8.80793</v>
      </c>
      <c r="F141" s="29">
        <f>ROUND(8.80793,5)</f>
        <v>8.80793</v>
      </c>
      <c r="G141" s="25"/>
      <c r="H141" s="26"/>
    </row>
    <row r="142" spans="1:8" ht="12.75" customHeight="1">
      <c r="A142" s="23">
        <v>42950</v>
      </c>
      <c r="B142" s="23"/>
      <c r="C142" s="29">
        <f>ROUND(8.775,5)</f>
        <v>8.775</v>
      </c>
      <c r="D142" s="29">
        <f>F142</f>
        <v>8.85122</v>
      </c>
      <c r="E142" s="29">
        <f>F142</f>
        <v>8.85122</v>
      </c>
      <c r="F142" s="29">
        <f>ROUND(8.85122,5)</f>
        <v>8.85122</v>
      </c>
      <c r="G142" s="25"/>
      <c r="H142" s="26"/>
    </row>
    <row r="143" spans="1:8" ht="12.75" customHeight="1">
      <c r="A143" s="23">
        <v>43041</v>
      </c>
      <c r="B143" s="23"/>
      <c r="C143" s="29">
        <f>ROUND(8.775,5)</f>
        <v>8.775</v>
      </c>
      <c r="D143" s="29">
        <f>F143</f>
        <v>8.88499</v>
      </c>
      <c r="E143" s="29">
        <f>F143</f>
        <v>8.88499</v>
      </c>
      <c r="F143" s="29">
        <f>ROUND(8.88499,5)</f>
        <v>8.88499</v>
      </c>
      <c r="G143" s="25"/>
      <c r="H143" s="26"/>
    </row>
    <row r="144" spans="1:8" ht="12.75" customHeight="1">
      <c r="A144" s="23">
        <v>43132</v>
      </c>
      <c r="B144" s="23"/>
      <c r="C144" s="29">
        <f>ROUND(8.775,5)</f>
        <v>8.775</v>
      </c>
      <c r="D144" s="29">
        <f>F144</f>
        <v>8.9194</v>
      </c>
      <c r="E144" s="29">
        <f>F144</f>
        <v>8.9194</v>
      </c>
      <c r="F144" s="29">
        <f>ROUND(8.9194,5)</f>
        <v>8.9194</v>
      </c>
      <c r="G144" s="25"/>
      <c r="H144" s="26"/>
    </row>
    <row r="145" spans="1:8" ht="12.75" customHeight="1">
      <c r="A145" s="23">
        <v>43223</v>
      </c>
      <c r="B145" s="23"/>
      <c r="C145" s="29">
        <f>ROUND(8.775,5)</f>
        <v>8.775</v>
      </c>
      <c r="D145" s="29">
        <f>F145</f>
        <v>8.96961</v>
      </c>
      <c r="E145" s="29">
        <f>F145</f>
        <v>8.96961</v>
      </c>
      <c r="F145" s="29">
        <f>ROUND(8.96961,5)</f>
        <v>8.96961</v>
      </c>
      <c r="G145" s="25"/>
      <c r="H145" s="26"/>
    </row>
    <row r="146" spans="1:8" ht="12.75" customHeight="1">
      <c r="A146" s="23" t="s">
        <v>46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42859</v>
      </c>
      <c r="B147" s="23"/>
      <c r="C147" s="29">
        <f>ROUND(2.06,5)</f>
        <v>2.06</v>
      </c>
      <c r="D147" s="29">
        <f>F147</f>
        <v>301.55246</v>
      </c>
      <c r="E147" s="29">
        <f>F147</f>
        <v>301.55246</v>
      </c>
      <c r="F147" s="29">
        <f>ROUND(301.55246,5)</f>
        <v>301.55246</v>
      </c>
      <c r="G147" s="25"/>
      <c r="H147" s="26"/>
    </row>
    <row r="148" spans="1:8" ht="12.75" customHeight="1">
      <c r="A148" s="23">
        <v>42950</v>
      </c>
      <c r="B148" s="23"/>
      <c r="C148" s="29">
        <f>ROUND(2.06,5)</f>
        <v>2.06</v>
      </c>
      <c r="D148" s="29">
        <f>F148</f>
        <v>300.42959</v>
      </c>
      <c r="E148" s="29">
        <f>F148</f>
        <v>300.42959</v>
      </c>
      <c r="F148" s="29">
        <f>ROUND(300.42959,5)</f>
        <v>300.42959</v>
      </c>
      <c r="G148" s="25"/>
      <c r="H148" s="26"/>
    </row>
    <row r="149" spans="1:8" ht="12.75" customHeight="1">
      <c r="A149" s="23">
        <v>43041</v>
      </c>
      <c r="B149" s="23"/>
      <c r="C149" s="29">
        <f>ROUND(2.06,5)</f>
        <v>2.06</v>
      </c>
      <c r="D149" s="29">
        <f>F149</f>
        <v>306.43559</v>
      </c>
      <c r="E149" s="29">
        <f>F149</f>
        <v>306.43559</v>
      </c>
      <c r="F149" s="29">
        <f>ROUND(306.43559,5)</f>
        <v>306.43559</v>
      </c>
      <c r="G149" s="25"/>
      <c r="H149" s="26"/>
    </row>
    <row r="150" spans="1:8" ht="12.75" customHeight="1">
      <c r="A150" s="23">
        <v>43132</v>
      </c>
      <c r="B150" s="23"/>
      <c r="C150" s="29">
        <f>ROUND(2.06,5)</f>
        <v>2.06</v>
      </c>
      <c r="D150" s="29">
        <f>F150</f>
        <v>305.50197</v>
      </c>
      <c r="E150" s="29">
        <f>F150</f>
        <v>305.50197</v>
      </c>
      <c r="F150" s="29">
        <f>ROUND(305.50197,5)</f>
        <v>305.50197</v>
      </c>
      <c r="G150" s="25"/>
      <c r="H150" s="26"/>
    </row>
    <row r="151" spans="1:8" ht="12.75" customHeight="1">
      <c r="A151" s="23">
        <v>43223</v>
      </c>
      <c r="B151" s="23"/>
      <c r="C151" s="29">
        <f>ROUND(2.06,5)</f>
        <v>2.06</v>
      </c>
      <c r="D151" s="29">
        <f>F151</f>
        <v>311.3423</v>
      </c>
      <c r="E151" s="29">
        <f>F151</f>
        <v>311.3423</v>
      </c>
      <c r="F151" s="29">
        <f>ROUND(311.3423,5)</f>
        <v>311.3423</v>
      </c>
      <c r="G151" s="25"/>
      <c r="H151" s="26"/>
    </row>
    <row r="152" spans="1:8" ht="12.75" customHeight="1">
      <c r="A152" s="23" t="s">
        <v>47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42859</v>
      </c>
      <c r="B153" s="23"/>
      <c r="C153" s="29">
        <f>ROUND(2.12,5)</f>
        <v>2.12</v>
      </c>
      <c r="D153" s="29">
        <f>F153</f>
        <v>248.24662</v>
      </c>
      <c r="E153" s="29">
        <f>F153</f>
        <v>248.24662</v>
      </c>
      <c r="F153" s="29">
        <f>ROUND(248.24662,5)</f>
        <v>248.24662</v>
      </c>
      <c r="G153" s="25"/>
      <c r="H153" s="26"/>
    </row>
    <row r="154" spans="1:8" ht="12.75" customHeight="1">
      <c r="A154" s="23">
        <v>42950</v>
      </c>
      <c r="B154" s="23"/>
      <c r="C154" s="29">
        <f>ROUND(2.12,5)</f>
        <v>2.12</v>
      </c>
      <c r="D154" s="29">
        <f>F154</f>
        <v>249.35288</v>
      </c>
      <c r="E154" s="29">
        <f>F154</f>
        <v>249.35288</v>
      </c>
      <c r="F154" s="29">
        <f>ROUND(249.35288,5)</f>
        <v>249.35288</v>
      </c>
      <c r="G154" s="25"/>
      <c r="H154" s="26"/>
    </row>
    <row r="155" spans="1:8" ht="12.75" customHeight="1">
      <c r="A155" s="23">
        <v>43041</v>
      </c>
      <c r="B155" s="23"/>
      <c r="C155" s="29">
        <f>ROUND(2.12,5)</f>
        <v>2.12</v>
      </c>
      <c r="D155" s="29">
        <f>F155</f>
        <v>254.33759</v>
      </c>
      <c r="E155" s="29">
        <f>F155</f>
        <v>254.33759</v>
      </c>
      <c r="F155" s="29">
        <f>ROUND(254.33759,5)</f>
        <v>254.33759</v>
      </c>
      <c r="G155" s="25"/>
      <c r="H155" s="26"/>
    </row>
    <row r="156" spans="1:8" ht="12.75" customHeight="1">
      <c r="A156" s="23">
        <v>43132</v>
      </c>
      <c r="B156" s="23"/>
      <c r="C156" s="29">
        <f>ROUND(2.12,5)</f>
        <v>2.12</v>
      </c>
      <c r="D156" s="29">
        <f>F156</f>
        <v>255.69971</v>
      </c>
      <c r="E156" s="29">
        <f>F156</f>
        <v>255.69971</v>
      </c>
      <c r="F156" s="29">
        <f>ROUND(255.69971,5)</f>
        <v>255.69971</v>
      </c>
      <c r="G156" s="25"/>
      <c r="H156" s="26"/>
    </row>
    <row r="157" spans="1:8" ht="12.75" customHeight="1">
      <c r="A157" s="23">
        <v>43223</v>
      </c>
      <c r="B157" s="23"/>
      <c r="C157" s="29">
        <f>ROUND(2.12,5)</f>
        <v>2.12</v>
      </c>
      <c r="D157" s="29">
        <f>F157</f>
        <v>260.59072</v>
      </c>
      <c r="E157" s="29">
        <f>F157</f>
        <v>260.59072</v>
      </c>
      <c r="F157" s="29">
        <f>ROUND(260.59072,5)</f>
        <v>260.59072</v>
      </c>
      <c r="G157" s="25"/>
      <c r="H157" s="26"/>
    </row>
    <row r="158" spans="1:8" ht="12.75" customHeight="1">
      <c r="A158" s="23" t="s">
        <v>48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42859</v>
      </c>
      <c r="B159" s="23"/>
      <c r="C159" s="29">
        <f>ROUND(7.4,5)</f>
        <v>7.4</v>
      </c>
      <c r="D159" s="29">
        <f>F159</f>
        <v>7.16455</v>
      </c>
      <c r="E159" s="29">
        <f>F159</f>
        <v>7.16455</v>
      </c>
      <c r="F159" s="29">
        <f>ROUND(7.16455,5)</f>
        <v>7.16455</v>
      </c>
      <c r="G159" s="25"/>
      <c r="H159" s="26"/>
    </row>
    <row r="160" spans="1:8" ht="12.75" customHeight="1">
      <c r="A160" s="23">
        <v>42950</v>
      </c>
      <c r="B160" s="23"/>
      <c r="C160" s="29">
        <f>ROUND(7.4,5)</f>
        <v>7.4</v>
      </c>
      <c r="D160" s="29">
        <f>F160</f>
        <v>5.83814</v>
      </c>
      <c r="E160" s="29">
        <f>F160</f>
        <v>5.83814</v>
      </c>
      <c r="F160" s="29">
        <f>ROUND(5.83814,5)</f>
        <v>5.83814</v>
      </c>
      <c r="G160" s="25"/>
      <c r="H160" s="26"/>
    </row>
    <row r="161" spans="1:8" ht="12.75" customHeight="1">
      <c r="A161" s="23" t="s">
        <v>49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42859</v>
      </c>
      <c r="B162" s="23"/>
      <c r="C162" s="29">
        <f>ROUND(7.53,5)</f>
        <v>7.53</v>
      </c>
      <c r="D162" s="29">
        <f>F162</f>
        <v>7.52063</v>
      </c>
      <c r="E162" s="29">
        <f>F162</f>
        <v>7.52063</v>
      </c>
      <c r="F162" s="29">
        <f>ROUND(7.52063,5)</f>
        <v>7.52063</v>
      </c>
      <c r="G162" s="25"/>
      <c r="H162" s="26"/>
    </row>
    <row r="163" spans="1:8" ht="12.75" customHeight="1">
      <c r="A163" s="23">
        <v>42950</v>
      </c>
      <c r="B163" s="23"/>
      <c r="C163" s="29">
        <f>ROUND(7.53,5)</f>
        <v>7.53</v>
      </c>
      <c r="D163" s="29">
        <f>F163</f>
        <v>7.47714</v>
      </c>
      <c r="E163" s="29">
        <f>F163</f>
        <v>7.47714</v>
      </c>
      <c r="F163" s="29">
        <f>ROUND(7.47714,5)</f>
        <v>7.47714</v>
      </c>
      <c r="G163" s="25"/>
      <c r="H163" s="26"/>
    </row>
    <row r="164" spans="1:8" ht="12.75" customHeight="1">
      <c r="A164" s="23">
        <v>43041</v>
      </c>
      <c r="B164" s="23"/>
      <c r="C164" s="29">
        <f>ROUND(7.53,5)</f>
        <v>7.53</v>
      </c>
      <c r="D164" s="29">
        <f>F164</f>
        <v>7.34703</v>
      </c>
      <c r="E164" s="29">
        <f>F164</f>
        <v>7.34703</v>
      </c>
      <c r="F164" s="29">
        <f>ROUND(7.34703,5)</f>
        <v>7.34703</v>
      </c>
      <c r="G164" s="25"/>
      <c r="H164" s="26"/>
    </row>
    <row r="165" spans="1:8" ht="12.75" customHeight="1">
      <c r="A165" s="23">
        <v>43132</v>
      </c>
      <c r="B165" s="23"/>
      <c r="C165" s="29">
        <f>ROUND(7.53,5)</f>
        <v>7.53</v>
      </c>
      <c r="D165" s="29">
        <f>F165</f>
        <v>7.13159</v>
      </c>
      <c r="E165" s="29">
        <f>F165</f>
        <v>7.13159</v>
      </c>
      <c r="F165" s="29">
        <f>ROUND(7.13159,5)</f>
        <v>7.13159</v>
      </c>
      <c r="G165" s="25"/>
      <c r="H165" s="26"/>
    </row>
    <row r="166" spans="1:8" ht="12.75" customHeight="1">
      <c r="A166" s="23">
        <v>43223</v>
      </c>
      <c r="B166" s="23"/>
      <c r="C166" s="29">
        <f>ROUND(7.53,5)</f>
        <v>7.53</v>
      </c>
      <c r="D166" s="29">
        <f>F166</f>
        <v>6.87021</v>
      </c>
      <c r="E166" s="29">
        <f>F166</f>
        <v>6.87021</v>
      </c>
      <c r="F166" s="29">
        <f>ROUND(6.87021,5)</f>
        <v>6.87021</v>
      </c>
      <c r="G166" s="25"/>
      <c r="H166" s="26"/>
    </row>
    <row r="167" spans="1:8" ht="12.75" customHeight="1">
      <c r="A167" s="23" t="s">
        <v>50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42859</v>
      </c>
      <c r="B168" s="23"/>
      <c r="C168" s="29">
        <f>ROUND(7.795,5)</f>
        <v>7.795</v>
      </c>
      <c r="D168" s="29">
        <f>F168</f>
        <v>7.81153</v>
      </c>
      <c r="E168" s="29">
        <f>F168</f>
        <v>7.81153</v>
      </c>
      <c r="F168" s="29">
        <f>ROUND(7.81153,5)</f>
        <v>7.81153</v>
      </c>
      <c r="G168" s="25"/>
      <c r="H168" s="26"/>
    </row>
    <row r="169" spans="1:8" ht="12.75" customHeight="1">
      <c r="A169" s="23">
        <v>42950</v>
      </c>
      <c r="B169" s="23"/>
      <c r="C169" s="29">
        <f>ROUND(7.795,5)</f>
        <v>7.795</v>
      </c>
      <c r="D169" s="29">
        <f>F169</f>
        <v>7.82272</v>
      </c>
      <c r="E169" s="29">
        <f>F169</f>
        <v>7.82272</v>
      </c>
      <c r="F169" s="29">
        <f>ROUND(7.82272,5)</f>
        <v>7.82272</v>
      </c>
      <c r="G169" s="25"/>
      <c r="H169" s="26"/>
    </row>
    <row r="170" spans="1:8" ht="12.75" customHeight="1">
      <c r="A170" s="23">
        <v>43041</v>
      </c>
      <c r="B170" s="23"/>
      <c r="C170" s="29">
        <f>ROUND(7.795,5)</f>
        <v>7.795</v>
      </c>
      <c r="D170" s="29">
        <f>F170</f>
        <v>7.79125</v>
      </c>
      <c r="E170" s="29">
        <f>F170</f>
        <v>7.79125</v>
      </c>
      <c r="F170" s="29">
        <f>ROUND(7.79125,5)</f>
        <v>7.79125</v>
      </c>
      <c r="G170" s="25"/>
      <c r="H170" s="26"/>
    </row>
    <row r="171" spans="1:8" ht="12.75" customHeight="1">
      <c r="A171" s="23">
        <v>43132</v>
      </c>
      <c r="B171" s="23"/>
      <c r="C171" s="29">
        <f>ROUND(7.795,5)</f>
        <v>7.795</v>
      </c>
      <c r="D171" s="29">
        <f>F171</f>
        <v>7.7474</v>
      </c>
      <c r="E171" s="29">
        <f>F171</f>
        <v>7.7474</v>
      </c>
      <c r="F171" s="29">
        <f>ROUND(7.7474,5)</f>
        <v>7.7474</v>
      </c>
      <c r="G171" s="25"/>
      <c r="H171" s="26"/>
    </row>
    <row r="172" spans="1:8" ht="12.75" customHeight="1">
      <c r="A172" s="23">
        <v>43223</v>
      </c>
      <c r="B172" s="23"/>
      <c r="C172" s="29">
        <f>ROUND(7.795,5)</f>
        <v>7.795</v>
      </c>
      <c r="D172" s="29">
        <f>F172</f>
        <v>7.75208</v>
      </c>
      <c r="E172" s="29">
        <f>F172</f>
        <v>7.75208</v>
      </c>
      <c r="F172" s="29">
        <f>ROUND(7.75208,5)</f>
        <v>7.75208</v>
      </c>
      <c r="G172" s="25"/>
      <c r="H172" s="26"/>
    </row>
    <row r="173" spans="1:8" ht="12.75" customHeight="1">
      <c r="A173" s="23" t="s">
        <v>51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42859</v>
      </c>
      <c r="B174" s="23"/>
      <c r="C174" s="29">
        <f>ROUND(7.95,5)</f>
        <v>7.95</v>
      </c>
      <c r="D174" s="29">
        <f>F174</f>
        <v>7.96619</v>
      </c>
      <c r="E174" s="29">
        <f>F174</f>
        <v>7.96619</v>
      </c>
      <c r="F174" s="29">
        <f>ROUND(7.96619,5)</f>
        <v>7.96619</v>
      </c>
      <c r="G174" s="25"/>
      <c r="H174" s="26"/>
    </row>
    <row r="175" spans="1:8" ht="12.75" customHeight="1">
      <c r="A175" s="23">
        <v>42950</v>
      </c>
      <c r="B175" s="23"/>
      <c r="C175" s="29">
        <f>ROUND(7.95,5)</f>
        <v>7.95</v>
      </c>
      <c r="D175" s="29">
        <f>F175</f>
        <v>7.98164</v>
      </c>
      <c r="E175" s="29">
        <f>F175</f>
        <v>7.98164</v>
      </c>
      <c r="F175" s="29">
        <f>ROUND(7.98164,5)</f>
        <v>7.98164</v>
      </c>
      <c r="G175" s="25"/>
      <c r="H175" s="26"/>
    </row>
    <row r="176" spans="1:8" ht="12.75" customHeight="1">
      <c r="A176" s="23">
        <v>43041</v>
      </c>
      <c r="B176" s="23"/>
      <c r="C176" s="29">
        <f>ROUND(7.95,5)</f>
        <v>7.95</v>
      </c>
      <c r="D176" s="29">
        <f>F176</f>
        <v>7.97886</v>
      </c>
      <c r="E176" s="29">
        <f>F176</f>
        <v>7.97886</v>
      </c>
      <c r="F176" s="29">
        <f>ROUND(7.97886,5)</f>
        <v>7.97886</v>
      </c>
      <c r="G176" s="25"/>
      <c r="H176" s="26"/>
    </row>
    <row r="177" spans="1:8" ht="12.75" customHeight="1">
      <c r="A177" s="23">
        <v>43132</v>
      </c>
      <c r="B177" s="23"/>
      <c r="C177" s="29">
        <f>ROUND(7.95,5)</f>
        <v>7.95</v>
      </c>
      <c r="D177" s="29">
        <f>F177</f>
        <v>7.97259</v>
      </c>
      <c r="E177" s="29">
        <f>F177</f>
        <v>7.97259</v>
      </c>
      <c r="F177" s="29">
        <f>ROUND(7.97259,5)</f>
        <v>7.97259</v>
      </c>
      <c r="G177" s="25"/>
      <c r="H177" s="26"/>
    </row>
    <row r="178" spans="1:8" ht="12.75" customHeight="1">
      <c r="A178" s="23">
        <v>43223</v>
      </c>
      <c r="B178" s="23"/>
      <c r="C178" s="29">
        <f>ROUND(7.95,5)</f>
        <v>7.95</v>
      </c>
      <c r="D178" s="29">
        <f>F178</f>
        <v>7.99086</v>
      </c>
      <c r="E178" s="29">
        <f>F178</f>
        <v>7.99086</v>
      </c>
      <c r="F178" s="29">
        <f>ROUND(7.99086,5)</f>
        <v>7.99086</v>
      </c>
      <c r="G178" s="25"/>
      <c r="H178" s="26"/>
    </row>
    <row r="179" spans="1:8" ht="12.75" customHeight="1">
      <c r="A179" s="23" t="s">
        <v>52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42859</v>
      </c>
      <c r="B180" s="23"/>
      <c r="C180" s="29">
        <f>ROUND(9.45,5)</f>
        <v>9.45</v>
      </c>
      <c r="D180" s="29">
        <f>F180</f>
        <v>9.48298</v>
      </c>
      <c r="E180" s="29">
        <f>F180</f>
        <v>9.48298</v>
      </c>
      <c r="F180" s="29">
        <f>ROUND(9.48298,5)</f>
        <v>9.48298</v>
      </c>
      <c r="G180" s="25"/>
      <c r="H180" s="26"/>
    </row>
    <row r="181" spans="1:8" ht="12.75" customHeight="1">
      <c r="A181" s="23">
        <v>42950</v>
      </c>
      <c r="B181" s="23"/>
      <c r="C181" s="29">
        <f>ROUND(9.45,5)</f>
        <v>9.45</v>
      </c>
      <c r="D181" s="29">
        <f>F181</f>
        <v>9.52767</v>
      </c>
      <c r="E181" s="29">
        <f>F181</f>
        <v>9.52767</v>
      </c>
      <c r="F181" s="29">
        <f>ROUND(9.52767,5)</f>
        <v>9.52767</v>
      </c>
      <c r="G181" s="25"/>
      <c r="H181" s="26"/>
    </row>
    <row r="182" spans="1:8" ht="12.75" customHeight="1">
      <c r="A182" s="23">
        <v>43041</v>
      </c>
      <c r="B182" s="23"/>
      <c r="C182" s="29">
        <f>ROUND(9.45,5)</f>
        <v>9.45</v>
      </c>
      <c r="D182" s="29">
        <f>F182</f>
        <v>9.56753</v>
      </c>
      <c r="E182" s="29">
        <f>F182</f>
        <v>9.56753</v>
      </c>
      <c r="F182" s="29">
        <f>ROUND(9.56753,5)</f>
        <v>9.56753</v>
      </c>
      <c r="G182" s="25"/>
      <c r="H182" s="26"/>
    </row>
    <row r="183" spans="1:8" ht="12.75" customHeight="1">
      <c r="A183" s="23">
        <v>43132</v>
      </c>
      <c r="B183" s="23"/>
      <c r="C183" s="29">
        <f>ROUND(9.45,5)</f>
        <v>9.45</v>
      </c>
      <c r="D183" s="29">
        <f>F183</f>
        <v>9.6078</v>
      </c>
      <c r="E183" s="29">
        <f>F183</f>
        <v>9.6078</v>
      </c>
      <c r="F183" s="29">
        <f>ROUND(9.6078,5)</f>
        <v>9.6078</v>
      </c>
      <c r="G183" s="25"/>
      <c r="H183" s="26"/>
    </row>
    <row r="184" spans="1:8" ht="12.75" customHeight="1">
      <c r="A184" s="23">
        <v>43223</v>
      </c>
      <c r="B184" s="23"/>
      <c r="C184" s="29">
        <f>ROUND(9.45,5)</f>
        <v>9.45</v>
      </c>
      <c r="D184" s="29">
        <f>F184</f>
        <v>9.65675</v>
      </c>
      <c r="E184" s="29">
        <f>F184</f>
        <v>9.65675</v>
      </c>
      <c r="F184" s="29">
        <f>ROUND(9.65675,5)</f>
        <v>9.65675</v>
      </c>
      <c r="G184" s="25"/>
      <c r="H184" s="26"/>
    </row>
    <row r="185" spans="1:8" ht="12.75" customHeight="1">
      <c r="A185" s="23" t="s">
        <v>53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42859</v>
      </c>
      <c r="B186" s="23"/>
      <c r="C186" s="29">
        <f>ROUND(2.04,5)</f>
        <v>2.04</v>
      </c>
      <c r="D186" s="29">
        <f>F186</f>
        <v>188.29463</v>
      </c>
      <c r="E186" s="29">
        <f>F186</f>
        <v>188.29463</v>
      </c>
      <c r="F186" s="29">
        <f>ROUND(188.29463,5)</f>
        <v>188.29463</v>
      </c>
      <c r="G186" s="25"/>
      <c r="H186" s="26"/>
    </row>
    <row r="187" spans="1:8" ht="12.75" customHeight="1">
      <c r="A187" s="23">
        <v>42950</v>
      </c>
      <c r="B187" s="23"/>
      <c r="C187" s="29">
        <f>ROUND(2.04,5)</f>
        <v>2.04</v>
      </c>
      <c r="D187" s="29">
        <f>F187</f>
        <v>191.93502</v>
      </c>
      <c r="E187" s="29">
        <f>F187</f>
        <v>191.93502</v>
      </c>
      <c r="F187" s="29">
        <f>ROUND(191.93502,5)</f>
        <v>191.93502</v>
      </c>
      <c r="G187" s="25"/>
      <c r="H187" s="26"/>
    </row>
    <row r="188" spans="1:8" ht="12.75" customHeight="1">
      <c r="A188" s="23">
        <v>43041</v>
      </c>
      <c r="B188" s="23"/>
      <c r="C188" s="29">
        <f>ROUND(2.04,5)</f>
        <v>2.04</v>
      </c>
      <c r="D188" s="29">
        <f>F188</f>
        <v>193.33979</v>
      </c>
      <c r="E188" s="29">
        <f>F188</f>
        <v>193.33979</v>
      </c>
      <c r="F188" s="29">
        <f>ROUND(193.33979,5)</f>
        <v>193.33979</v>
      </c>
      <c r="G188" s="25"/>
      <c r="H188" s="26"/>
    </row>
    <row r="189" spans="1:8" ht="12.75" customHeight="1">
      <c r="A189" s="23">
        <v>43132</v>
      </c>
      <c r="B189" s="23"/>
      <c r="C189" s="29">
        <f>ROUND(2.04,5)</f>
        <v>2.04</v>
      </c>
      <c r="D189" s="29">
        <f>F189</f>
        <v>197.26264</v>
      </c>
      <c r="E189" s="29">
        <f>F189</f>
        <v>197.26264</v>
      </c>
      <c r="F189" s="29">
        <f>ROUND(197.26264,5)</f>
        <v>197.26264</v>
      </c>
      <c r="G189" s="25"/>
      <c r="H189" s="26"/>
    </row>
    <row r="190" spans="1:8" ht="12.75" customHeight="1">
      <c r="A190" s="23">
        <v>43223</v>
      </c>
      <c r="B190" s="23"/>
      <c r="C190" s="29">
        <f>ROUND(2.04,5)</f>
        <v>2.04</v>
      </c>
      <c r="D190" s="29">
        <f>F190</f>
        <v>201.0376</v>
      </c>
      <c r="E190" s="29">
        <f>F190</f>
        <v>201.0376</v>
      </c>
      <c r="F190" s="29">
        <f>ROUND(201.0376,5)</f>
        <v>201.0376</v>
      </c>
      <c r="G190" s="25"/>
      <c r="H190" s="26"/>
    </row>
    <row r="191" spans="1:8" ht="12.75" customHeight="1">
      <c r="A191" s="23" t="s">
        <v>54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9">
        <f>ROUND(2.025,5)</f>
        <v>2.025</v>
      </c>
      <c r="D192" s="29">
        <f>F192</f>
        <v>149.40013</v>
      </c>
      <c r="E192" s="29">
        <f>F192</f>
        <v>149.40013</v>
      </c>
      <c r="F192" s="29">
        <f>ROUND(149.40013,5)</f>
        <v>149.40013</v>
      </c>
      <c r="G192" s="25"/>
      <c r="H192" s="26"/>
    </row>
    <row r="193" spans="1:8" ht="12.75" customHeight="1">
      <c r="A193" s="23">
        <v>42950</v>
      </c>
      <c r="B193" s="23"/>
      <c r="C193" s="29">
        <f>ROUND(2.025,5)</f>
        <v>2.025</v>
      </c>
      <c r="D193" s="29">
        <f>F193</f>
        <v>150.23866</v>
      </c>
      <c r="E193" s="29">
        <f>F193</f>
        <v>150.23866</v>
      </c>
      <c r="F193" s="29">
        <f>ROUND(150.23866,5)</f>
        <v>150.23866</v>
      </c>
      <c r="G193" s="25"/>
      <c r="H193" s="26"/>
    </row>
    <row r="194" spans="1:8" ht="12.75" customHeight="1">
      <c r="A194" s="23">
        <v>43041</v>
      </c>
      <c r="B194" s="23"/>
      <c r="C194" s="29">
        <f>ROUND(2.025,5)</f>
        <v>2.025</v>
      </c>
      <c r="D194" s="29">
        <f>F194</f>
        <v>153.24208</v>
      </c>
      <c r="E194" s="29">
        <f>F194</f>
        <v>153.24208</v>
      </c>
      <c r="F194" s="29">
        <f>ROUND(153.24208,5)</f>
        <v>153.24208</v>
      </c>
      <c r="G194" s="25"/>
      <c r="H194" s="26"/>
    </row>
    <row r="195" spans="1:8" ht="12.75" customHeight="1">
      <c r="A195" s="23">
        <v>43132</v>
      </c>
      <c r="B195" s="23"/>
      <c r="C195" s="29">
        <f>ROUND(2.025,5)</f>
        <v>2.025</v>
      </c>
      <c r="D195" s="29">
        <f>F195</f>
        <v>156.28429</v>
      </c>
      <c r="E195" s="29">
        <f>F195</f>
        <v>156.28429</v>
      </c>
      <c r="F195" s="29">
        <f>ROUND(156.28429,5)</f>
        <v>156.28429</v>
      </c>
      <c r="G195" s="25"/>
      <c r="H195" s="26"/>
    </row>
    <row r="196" spans="1:8" ht="12.75" customHeight="1">
      <c r="A196" s="23">
        <v>43223</v>
      </c>
      <c r="B196" s="23"/>
      <c r="C196" s="29">
        <f>ROUND(2.025,5)</f>
        <v>2.025</v>
      </c>
      <c r="D196" s="29">
        <f>F196</f>
        <v>159.27548</v>
      </c>
      <c r="E196" s="29">
        <f>F196</f>
        <v>159.27548</v>
      </c>
      <c r="F196" s="29">
        <f>ROUND(159.27548,5)</f>
        <v>159.27548</v>
      </c>
      <c r="G196" s="25"/>
      <c r="H196" s="26"/>
    </row>
    <row r="197" spans="1:8" ht="12.75" customHeight="1">
      <c r="A197" s="23" t="s">
        <v>55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9">
        <f>ROUND(9.23,5)</f>
        <v>9.23</v>
      </c>
      <c r="D198" s="29">
        <f>F198</f>
        <v>9.26181</v>
      </c>
      <c r="E198" s="29">
        <f>F198</f>
        <v>9.26181</v>
      </c>
      <c r="F198" s="29">
        <f>ROUND(9.26181,5)</f>
        <v>9.26181</v>
      </c>
      <c r="G198" s="25"/>
      <c r="H198" s="26"/>
    </row>
    <row r="199" spans="1:8" ht="12.75" customHeight="1">
      <c r="A199" s="23">
        <v>42950</v>
      </c>
      <c r="B199" s="23"/>
      <c r="C199" s="29">
        <f>ROUND(9.23,5)</f>
        <v>9.23</v>
      </c>
      <c r="D199" s="29">
        <f>F199</f>
        <v>9.30593</v>
      </c>
      <c r="E199" s="29">
        <f>F199</f>
        <v>9.30593</v>
      </c>
      <c r="F199" s="29">
        <f>ROUND(9.30593,5)</f>
        <v>9.30593</v>
      </c>
      <c r="G199" s="25"/>
      <c r="H199" s="26"/>
    </row>
    <row r="200" spans="1:8" ht="12.75" customHeight="1">
      <c r="A200" s="23">
        <v>43041</v>
      </c>
      <c r="B200" s="23"/>
      <c r="C200" s="29">
        <f>ROUND(9.23,5)</f>
        <v>9.23</v>
      </c>
      <c r="D200" s="29">
        <f>F200</f>
        <v>9.34675</v>
      </c>
      <c r="E200" s="29">
        <f>F200</f>
        <v>9.34675</v>
      </c>
      <c r="F200" s="29">
        <f>ROUND(9.34675,5)</f>
        <v>9.34675</v>
      </c>
      <c r="G200" s="25"/>
      <c r="H200" s="26"/>
    </row>
    <row r="201" spans="1:8" ht="12.75" customHeight="1">
      <c r="A201" s="23">
        <v>43132</v>
      </c>
      <c r="B201" s="23"/>
      <c r="C201" s="29">
        <f>ROUND(9.23,5)</f>
        <v>9.23</v>
      </c>
      <c r="D201" s="29">
        <f>F201</f>
        <v>9.38914</v>
      </c>
      <c r="E201" s="29">
        <f>F201</f>
        <v>9.38914</v>
      </c>
      <c r="F201" s="29">
        <f>ROUND(9.38914,5)</f>
        <v>9.38914</v>
      </c>
      <c r="G201" s="25"/>
      <c r="H201" s="26"/>
    </row>
    <row r="202" spans="1:8" ht="12.75" customHeight="1">
      <c r="A202" s="23">
        <v>43223</v>
      </c>
      <c r="B202" s="23"/>
      <c r="C202" s="29">
        <f>ROUND(9.23,5)</f>
        <v>9.23</v>
      </c>
      <c r="D202" s="29">
        <f>F202</f>
        <v>9.43836</v>
      </c>
      <c r="E202" s="29">
        <f>F202</f>
        <v>9.43836</v>
      </c>
      <c r="F202" s="29">
        <f>ROUND(9.43836,5)</f>
        <v>9.43836</v>
      </c>
      <c r="G202" s="25"/>
      <c r="H202" s="26"/>
    </row>
    <row r="203" spans="1:8" ht="12.75" customHeight="1">
      <c r="A203" s="23" t="s">
        <v>56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9">
        <f>ROUND(9.53,5)</f>
        <v>9.53</v>
      </c>
      <c r="D204" s="29">
        <f>F204</f>
        <v>9.56114</v>
      </c>
      <c r="E204" s="29">
        <f>F204</f>
        <v>9.56114</v>
      </c>
      <c r="F204" s="29">
        <f>ROUND(9.56114,5)</f>
        <v>9.56114</v>
      </c>
      <c r="G204" s="25"/>
      <c r="H204" s="26"/>
    </row>
    <row r="205" spans="1:8" ht="12.75" customHeight="1">
      <c r="A205" s="23">
        <v>42950</v>
      </c>
      <c r="B205" s="23"/>
      <c r="C205" s="29">
        <f>ROUND(9.53,5)</f>
        <v>9.53</v>
      </c>
      <c r="D205" s="29">
        <f>F205</f>
        <v>9.60453</v>
      </c>
      <c r="E205" s="29">
        <f>F205</f>
        <v>9.60453</v>
      </c>
      <c r="F205" s="29">
        <f>ROUND(9.60453,5)</f>
        <v>9.60453</v>
      </c>
      <c r="G205" s="25"/>
      <c r="H205" s="26"/>
    </row>
    <row r="206" spans="1:8" ht="12.75" customHeight="1">
      <c r="A206" s="23">
        <v>43041</v>
      </c>
      <c r="B206" s="23"/>
      <c r="C206" s="29">
        <f>ROUND(9.53,5)</f>
        <v>9.53</v>
      </c>
      <c r="D206" s="29">
        <f>F206</f>
        <v>9.64504</v>
      </c>
      <c r="E206" s="29">
        <f>F206</f>
        <v>9.64504</v>
      </c>
      <c r="F206" s="29">
        <f>ROUND(9.64504,5)</f>
        <v>9.64504</v>
      </c>
      <c r="G206" s="25"/>
      <c r="H206" s="26"/>
    </row>
    <row r="207" spans="1:8" ht="12.75" customHeight="1">
      <c r="A207" s="23">
        <v>43132</v>
      </c>
      <c r="B207" s="23"/>
      <c r="C207" s="29">
        <f>ROUND(9.53,5)</f>
        <v>9.53</v>
      </c>
      <c r="D207" s="29">
        <f>F207</f>
        <v>9.68677</v>
      </c>
      <c r="E207" s="29">
        <f>F207</f>
        <v>9.68677</v>
      </c>
      <c r="F207" s="29">
        <f>ROUND(9.68677,5)</f>
        <v>9.68677</v>
      </c>
      <c r="G207" s="25"/>
      <c r="H207" s="26"/>
    </row>
    <row r="208" spans="1:8" ht="12.75" customHeight="1">
      <c r="A208" s="23">
        <v>43223</v>
      </c>
      <c r="B208" s="23"/>
      <c r="C208" s="29">
        <f>ROUND(9.53,5)</f>
        <v>9.53</v>
      </c>
      <c r="D208" s="29">
        <f>F208</f>
        <v>9.73361</v>
      </c>
      <c r="E208" s="29">
        <f>F208</f>
        <v>9.73361</v>
      </c>
      <c r="F208" s="29">
        <f>ROUND(9.73361,5)</f>
        <v>9.73361</v>
      </c>
      <c r="G208" s="25"/>
      <c r="H208" s="26"/>
    </row>
    <row r="209" spans="1:8" ht="12.75" customHeight="1">
      <c r="A209" s="23" t="s">
        <v>57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9">
        <f>ROUND(9.615,5)</f>
        <v>9.615</v>
      </c>
      <c r="D210" s="29">
        <f>F210</f>
        <v>9.64783</v>
      </c>
      <c r="E210" s="29">
        <f>F210</f>
        <v>9.64783</v>
      </c>
      <c r="F210" s="29">
        <f>ROUND(9.64783,5)</f>
        <v>9.64783</v>
      </c>
      <c r="G210" s="25"/>
      <c r="H210" s="26"/>
    </row>
    <row r="211" spans="1:8" ht="12.75" customHeight="1">
      <c r="A211" s="23">
        <v>42950</v>
      </c>
      <c r="B211" s="23"/>
      <c r="C211" s="29">
        <f>ROUND(9.615,5)</f>
        <v>9.615</v>
      </c>
      <c r="D211" s="29">
        <f>F211</f>
        <v>9.69375</v>
      </c>
      <c r="E211" s="29">
        <f>F211</f>
        <v>9.69375</v>
      </c>
      <c r="F211" s="29">
        <f>ROUND(9.69375,5)</f>
        <v>9.69375</v>
      </c>
      <c r="G211" s="25"/>
      <c r="H211" s="26"/>
    </row>
    <row r="212" spans="1:8" ht="12.75" customHeight="1">
      <c r="A212" s="23">
        <v>43041</v>
      </c>
      <c r="B212" s="23"/>
      <c r="C212" s="29">
        <f>ROUND(9.615,5)</f>
        <v>9.615</v>
      </c>
      <c r="D212" s="29">
        <f>F212</f>
        <v>9.7368</v>
      </c>
      <c r="E212" s="29">
        <f>F212</f>
        <v>9.7368</v>
      </c>
      <c r="F212" s="29">
        <f>ROUND(9.7368,5)</f>
        <v>9.7368</v>
      </c>
      <c r="G212" s="25"/>
      <c r="H212" s="26"/>
    </row>
    <row r="213" spans="1:8" ht="12.75" customHeight="1">
      <c r="A213" s="23">
        <v>43132</v>
      </c>
      <c r="B213" s="23"/>
      <c r="C213" s="29">
        <f>ROUND(9.615,5)</f>
        <v>9.615</v>
      </c>
      <c r="D213" s="29">
        <f>F213</f>
        <v>9.78121</v>
      </c>
      <c r="E213" s="29">
        <f>F213</f>
        <v>9.78121</v>
      </c>
      <c r="F213" s="29">
        <f>ROUND(9.78121,5)</f>
        <v>9.78121</v>
      </c>
      <c r="G213" s="25"/>
      <c r="H213" s="26"/>
    </row>
    <row r="214" spans="1:8" ht="12.75" customHeight="1">
      <c r="A214" s="23">
        <v>43223</v>
      </c>
      <c r="B214" s="23"/>
      <c r="C214" s="29">
        <f>ROUND(9.615,5)</f>
        <v>9.615</v>
      </c>
      <c r="D214" s="29">
        <f>F214</f>
        <v>9.83079</v>
      </c>
      <c r="E214" s="29">
        <f>F214</f>
        <v>9.83079</v>
      </c>
      <c r="F214" s="29">
        <f>ROUND(9.83079,5)</f>
        <v>9.83079</v>
      </c>
      <c r="G214" s="25"/>
      <c r="H214" s="26"/>
    </row>
    <row r="215" spans="1:8" ht="12.75" customHeight="1">
      <c r="A215" s="23" t="s">
        <v>58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42809</v>
      </c>
      <c r="B216" s="23"/>
      <c r="C216" s="28">
        <f>ROUND(13.7623328402778,4)</f>
        <v>13.7623</v>
      </c>
      <c r="D216" s="28">
        <f>F216</f>
        <v>13.7969</v>
      </c>
      <c r="E216" s="28">
        <f>F216</f>
        <v>13.7969</v>
      </c>
      <c r="F216" s="28">
        <f>ROUND(13.7969,4)</f>
        <v>13.7969</v>
      </c>
      <c r="G216" s="25"/>
      <c r="H216" s="26"/>
    </row>
    <row r="217" spans="1:8" ht="12.75" customHeight="1">
      <c r="A217" s="23">
        <v>42825</v>
      </c>
      <c r="B217" s="23"/>
      <c r="C217" s="28">
        <f>ROUND(13.7623328402778,4)</f>
        <v>13.7623</v>
      </c>
      <c r="D217" s="28">
        <f>F217</f>
        <v>13.8473</v>
      </c>
      <c r="E217" s="28">
        <f>F217</f>
        <v>13.8473</v>
      </c>
      <c r="F217" s="28">
        <f>ROUND(13.8473,4)</f>
        <v>13.8473</v>
      </c>
      <c r="G217" s="25"/>
      <c r="H217" s="26"/>
    </row>
    <row r="218" spans="1:8" ht="12.75" customHeight="1">
      <c r="A218" s="23">
        <v>42838</v>
      </c>
      <c r="B218" s="23"/>
      <c r="C218" s="28">
        <f>ROUND(13.7623328402778,4)</f>
        <v>13.7623</v>
      </c>
      <c r="D218" s="28">
        <f>F218</f>
        <v>13.8881</v>
      </c>
      <c r="E218" s="28">
        <f>F218</f>
        <v>13.8881</v>
      </c>
      <c r="F218" s="28">
        <f>ROUND(13.8881,4)</f>
        <v>13.8881</v>
      </c>
      <c r="G218" s="25"/>
      <c r="H218" s="26"/>
    </row>
    <row r="219" spans="1:8" ht="12.75" customHeight="1">
      <c r="A219" s="23" t="s">
        <v>59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42825</v>
      </c>
      <c r="B220" s="23"/>
      <c r="C220" s="28">
        <f>ROUND(16.0846838541667,4)</f>
        <v>16.0847</v>
      </c>
      <c r="D220" s="28">
        <f>F220</f>
        <v>16.1748</v>
      </c>
      <c r="E220" s="28">
        <f>F220</f>
        <v>16.1748</v>
      </c>
      <c r="F220" s="28">
        <f>ROUND(16.1748,4)</f>
        <v>16.1748</v>
      </c>
      <c r="G220" s="25"/>
      <c r="H220" s="26"/>
    </row>
    <row r="221" spans="1:8" ht="12.75" customHeight="1">
      <c r="A221" s="23">
        <v>42838</v>
      </c>
      <c r="B221" s="23"/>
      <c r="C221" s="28">
        <f>ROUND(16.0846838541667,4)</f>
        <v>16.0847</v>
      </c>
      <c r="D221" s="28">
        <f>F221</f>
        <v>16.2178</v>
      </c>
      <c r="E221" s="28">
        <f>F221</f>
        <v>16.2178</v>
      </c>
      <c r="F221" s="28">
        <f>ROUND(16.2178,4)</f>
        <v>16.2178</v>
      </c>
      <c r="G221" s="25"/>
      <c r="H221" s="26"/>
    </row>
    <row r="222" spans="1:8" ht="12.75" customHeight="1">
      <c r="A222" s="23">
        <v>42850</v>
      </c>
      <c r="B222" s="23"/>
      <c r="C222" s="28">
        <f>ROUND(16.0846838541667,4)</f>
        <v>16.0847</v>
      </c>
      <c r="D222" s="28">
        <f>F222</f>
        <v>16.2564</v>
      </c>
      <c r="E222" s="28">
        <f>F222</f>
        <v>16.2564</v>
      </c>
      <c r="F222" s="28">
        <f>ROUND(16.2564,4)</f>
        <v>16.2564</v>
      </c>
      <c r="G222" s="25"/>
      <c r="H222" s="26"/>
    </row>
    <row r="223" spans="1:8" ht="12.75" customHeight="1">
      <c r="A223" s="23">
        <v>42853</v>
      </c>
      <c r="B223" s="23"/>
      <c r="C223" s="28">
        <f>ROUND(16.0846838541667,4)</f>
        <v>16.0847</v>
      </c>
      <c r="D223" s="28">
        <f>F223</f>
        <v>16.266</v>
      </c>
      <c r="E223" s="28">
        <f>F223</f>
        <v>16.266</v>
      </c>
      <c r="F223" s="28">
        <f>ROUND(16.266,4)</f>
        <v>16.266</v>
      </c>
      <c r="G223" s="25"/>
      <c r="H223" s="26"/>
    </row>
    <row r="224" spans="1:8" ht="12.75" customHeight="1">
      <c r="A224" s="23" t="s">
        <v>60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42795</v>
      </c>
      <c r="B225" s="23"/>
      <c r="C225" s="28">
        <f>ROUND(13.068125,4)</f>
        <v>13.0681</v>
      </c>
      <c r="D225" s="28">
        <f>F225</f>
        <v>13.0703</v>
      </c>
      <c r="E225" s="28">
        <f>F225</f>
        <v>13.0703</v>
      </c>
      <c r="F225" s="28">
        <f>ROUND(13.0703,4)</f>
        <v>13.0703</v>
      </c>
      <c r="G225" s="25"/>
      <c r="H225" s="26"/>
    </row>
    <row r="226" spans="1:8" ht="12.75" customHeight="1">
      <c r="A226" s="23">
        <v>42810</v>
      </c>
      <c r="B226" s="23"/>
      <c r="C226" s="28">
        <f>ROUND(13.068125,4)</f>
        <v>13.0681</v>
      </c>
      <c r="D226" s="28">
        <f>F226</f>
        <v>13.0977</v>
      </c>
      <c r="E226" s="28">
        <f>F226</f>
        <v>13.0977</v>
      </c>
      <c r="F226" s="28">
        <f>ROUND(13.0977,4)</f>
        <v>13.0977</v>
      </c>
      <c r="G226" s="25"/>
      <c r="H226" s="26"/>
    </row>
    <row r="227" spans="1:8" ht="12.75" customHeight="1">
      <c r="A227" s="23">
        <v>42811</v>
      </c>
      <c r="B227" s="23"/>
      <c r="C227" s="28">
        <f>ROUND(13.068125,4)</f>
        <v>13.0681</v>
      </c>
      <c r="D227" s="28">
        <f>F227</f>
        <v>13.1</v>
      </c>
      <c r="E227" s="28">
        <f>F227</f>
        <v>13.1</v>
      </c>
      <c r="F227" s="28">
        <f>ROUND(13.1,4)</f>
        <v>13.1</v>
      </c>
      <c r="G227" s="25"/>
      <c r="H227" s="26"/>
    </row>
    <row r="228" spans="1:8" ht="12.75" customHeight="1">
      <c r="A228" s="23">
        <v>42823</v>
      </c>
      <c r="B228" s="23"/>
      <c r="C228" s="28">
        <f>ROUND(13.068125,4)</f>
        <v>13.0681</v>
      </c>
      <c r="D228" s="28">
        <f>F228</f>
        <v>13.1274</v>
      </c>
      <c r="E228" s="28">
        <f>F228</f>
        <v>13.1274</v>
      </c>
      <c r="F228" s="28">
        <f>ROUND(13.1274,4)</f>
        <v>13.1274</v>
      </c>
      <c r="G228" s="25"/>
      <c r="H228" s="26"/>
    </row>
    <row r="229" spans="1:8" ht="12.75" customHeight="1">
      <c r="A229" s="23">
        <v>42825</v>
      </c>
      <c r="B229" s="23"/>
      <c r="C229" s="28">
        <f>ROUND(13.068125,4)</f>
        <v>13.0681</v>
      </c>
      <c r="D229" s="28">
        <f>F229</f>
        <v>13.1319</v>
      </c>
      <c r="E229" s="28">
        <f>F229</f>
        <v>13.1319</v>
      </c>
      <c r="F229" s="28">
        <f>ROUND(13.1319,4)</f>
        <v>13.1319</v>
      </c>
      <c r="G229" s="25"/>
      <c r="H229" s="26"/>
    </row>
    <row r="230" spans="1:8" ht="12.75" customHeight="1">
      <c r="A230" s="23">
        <v>42836</v>
      </c>
      <c r="B230" s="23"/>
      <c r="C230" s="28">
        <f>ROUND(13.068125,4)</f>
        <v>13.0681</v>
      </c>
      <c r="D230" s="28">
        <f>F230</f>
        <v>13.1572</v>
      </c>
      <c r="E230" s="28">
        <f>F230</f>
        <v>13.1572</v>
      </c>
      <c r="F230" s="28">
        <f>ROUND(13.1572,4)</f>
        <v>13.1572</v>
      </c>
      <c r="G230" s="25"/>
      <c r="H230" s="26"/>
    </row>
    <row r="231" spans="1:8" ht="12.75" customHeight="1">
      <c r="A231" s="23">
        <v>42837</v>
      </c>
      <c r="B231" s="23"/>
      <c r="C231" s="28">
        <f>ROUND(13.068125,4)</f>
        <v>13.0681</v>
      </c>
      <c r="D231" s="28">
        <f>F231</f>
        <v>13.1595</v>
      </c>
      <c r="E231" s="28">
        <f>F231</f>
        <v>13.1595</v>
      </c>
      <c r="F231" s="28">
        <f>ROUND(13.1595,4)</f>
        <v>13.1595</v>
      </c>
      <c r="G231" s="25"/>
      <c r="H231" s="26"/>
    </row>
    <row r="232" spans="1:8" ht="12.75" customHeight="1">
      <c r="A232" s="23">
        <v>42838</v>
      </c>
      <c r="B232" s="23"/>
      <c r="C232" s="28">
        <f>ROUND(13.068125,4)</f>
        <v>13.0681</v>
      </c>
      <c r="D232" s="28">
        <f>F232</f>
        <v>13.1618</v>
      </c>
      <c r="E232" s="28">
        <f>F232</f>
        <v>13.1618</v>
      </c>
      <c r="F232" s="28">
        <f>ROUND(13.1618,4)</f>
        <v>13.1618</v>
      </c>
      <c r="G232" s="25"/>
      <c r="H232" s="26"/>
    </row>
    <row r="233" spans="1:8" ht="12.75" customHeight="1">
      <c r="A233" s="23">
        <v>42843</v>
      </c>
      <c r="B233" s="23"/>
      <c r="C233" s="28">
        <f>ROUND(13.068125,4)</f>
        <v>13.0681</v>
      </c>
      <c r="D233" s="28">
        <f>F233</f>
        <v>13.1733</v>
      </c>
      <c r="E233" s="28">
        <f>F233</f>
        <v>13.1733</v>
      </c>
      <c r="F233" s="28">
        <f>ROUND(13.1733,4)</f>
        <v>13.1733</v>
      </c>
      <c r="G233" s="25"/>
      <c r="H233" s="26"/>
    </row>
    <row r="234" spans="1:8" ht="12.75" customHeight="1">
      <c r="A234" s="23">
        <v>42846</v>
      </c>
      <c r="B234" s="23"/>
      <c r="C234" s="28">
        <f>ROUND(13.068125,4)</f>
        <v>13.0681</v>
      </c>
      <c r="D234" s="28">
        <f>F234</f>
        <v>13.1802</v>
      </c>
      <c r="E234" s="28">
        <f>F234</f>
        <v>13.1802</v>
      </c>
      <c r="F234" s="28">
        <f>ROUND(13.1802,4)</f>
        <v>13.1802</v>
      </c>
      <c r="G234" s="25"/>
      <c r="H234" s="26"/>
    </row>
    <row r="235" spans="1:8" ht="12.75" customHeight="1">
      <c r="A235" s="23">
        <v>42850</v>
      </c>
      <c r="B235" s="23"/>
      <c r="C235" s="28">
        <f>ROUND(13.068125,4)</f>
        <v>13.0681</v>
      </c>
      <c r="D235" s="28">
        <f>F235</f>
        <v>13.1894</v>
      </c>
      <c r="E235" s="28">
        <f>F235</f>
        <v>13.1894</v>
      </c>
      <c r="F235" s="28">
        <f>ROUND(13.1894,4)</f>
        <v>13.1894</v>
      </c>
      <c r="G235" s="25"/>
      <c r="H235" s="26"/>
    </row>
    <row r="236" spans="1:8" ht="12.75" customHeight="1">
      <c r="A236" s="23">
        <v>42853</v>
      </c>
      <c r="B236" s="23"/>
      <c r="C236" s="28">
        <f>ROUND(13.068125,4)</f>
        <v>13.0681</v>
      </c>
      <c r="D236" s="28">
        <f>F236</f>
        <v>13.1963</v>
      </c>
      <c r="E236" s="28">
        <f>F236</f>
        <v>13.1963</v>
      </c>
      <c r="F236" s="28">
        <f>ROUND(13.1963,4)</f>
        <v>13.1963</v>
      </c>
      <c r="G236" s="25"/>
      <c r="H236" s="26"/>
    </row>
    <row r="237" spans="1:8" ht="12.75" customHeight="1">
      <c r="A237" s="23">
        <v>42859</v>
      </c>
      <c r="B237" s="23"/>
      <c r="C237" s="28">
        <f>ROUND(13.068125,4)</f>
        <v>13.0681</v>
      </c>
      <c r="D237" s="28">
        <f>F237</f>
        <v>13.2102</v>
      </c>
      <c r="E237" s="28">
        <f>F237</f>
        <v>13.2102</v>
      </c>
      <c r="F237" s="28">
        <f>ROUND(13.2102,4)</f>
        <v>13.2102</v>
      </c>
      <c r="G237" s="25"/>
      <c r="H237" s="26"/>
    </row>
    <row r="238" spans="1:8" ht="12.75" customHeight="1">
      <c r="A238" s="23">
        <v>42866</v>
      </c>
      <c r="B238" s="23"/>
      <c r="C238" s="28">
        <f>ROUND(13.068125,4)</f>
        <v>13.0681</v>
      </c>
      <c r="D238" s="28">
        <f>F238</f>
        <v>13.2264</v>
      </c>
      <c r="E238" s="28">
        <f>F238</f>
        <v>13.2264</v>
      </c>
      <c r="F238" s="28">
        <f>ROUND(13.2264,4)</f>
        <v>13.2264</v>
      </c>
      <c r="G238" s="25"/>
      <c r="H238" s="26"/>
    </row>
    <row r="239" spans="1:8" ht="12.75" customHeight="1">
      <c r="A239" s="23">
        <v>42881</v>
      </c>
      <c r="B239" s="23"/>
      <c r="C239" s="28">
        <f>ROUND(13.068125,4)</f>
        <v>13.0681</v>
      </c>
      <c r="D239" s="28">
        <f>F239</f>
        <v>13.2612</v>
      </c>
      <c r="E239" s="28">
        <f>F239</f>
        <v>13.2612</v>
      </c>
      <c r="F239" s="28">
        <f>ROUND(13.2612,4)</f>
        <v>13.2612</v>
      </c>
      <c r="G239" s="25"/>
      <c r="H239" s="26"/>
    </row>
    <row r="240" spans="1:8" ht="12.75" customHeight="1">
      <c r="A240" s="23">
        <v>42914</v>
      </c>
      <c r="B240" s="23"/>
      <c r="C240" s="28">
        <f>ROUND(13.068125,4)</f>
        <v>13.0681</v>
      </c>
      <c r="D240" s="28">
        <f>F240</f>
        <v>13.3378</v>
      </c>
      <c r="E240" s="28">
        <f>F240</f>
        <v>13.3378</v>
      </c>
      <c r="F240" s="28">
        <f>ROUND(13.3378,4)</f>
        <v>13.3378</v>
      </c>
      <c r="G240" s="25"/>
      <c r="H240" s="26"/>
    </row>
    <row r="241" spans="1:8" ht="12.75" customHeight="1">
      <c r="A241" s="23">
        <v>42916</v>
      </c>
      <c r="B241" s="23"/>
      <c r="C241" s="28">
        <f>ROUND(13.068125,4)</f>
        <v>13.0681</v>
      </c>
      <c r="D241" s="28">
        <f>F241</f>
        <v>13.3425</v>
      </c>
      <c r="E241" s="28">
        <f>F241</f>
        <v>13.3425</v>
      </c>
      <c r="F241" s="28">
        <f>ROUND(13.3425,4)</f>
        <v>13.3425</v>
      </c>
      <c r="G241" s="25"/>
      <c r="H241" s="26"/>
    </row>
    <row r="242" spans="1:8" ht="12.75" customHeight="1">
      <c r="A242" s="23">
        <v>42928</v>
      </c>
      <c r="B242" s="23"/>
      <c r="C242" s="28">
        <f>ROUND(13.068125,4)</f>
        <v>13.0681</v>
      </c>
      <c r="D242" s="28">
        <f>F242</f>
        <v>13.3704</v>
      </c>
      <c r="E242" s="28">
        <f>F242</f>
        <v>13.3704</v>
      </c>
      <c r="F242" s="28">
        <f>ROUND(13.3704,4)</f>
        <v>13.3704</v>
      </c>
      <c r="G242" s="25"/>
      <c r="H242" s="26"/>
    </row>
    <row r="243" spans="1:8" ht="12.75" customHeight="1">
      <c r="A243" s="23">
        <v>42937</v>
      </c>
      <c r="B243" s="23"/>
      <c r="C243" s="28">
        <f>ROUND(13.068125,4)</f>
        <v>13.0681</v>
      </c>
      <c r="D243" s="28">
        <f>F243</f>
        <v>13.3913</v>
      </c>
      <c r="E243" s="28">
        <f>F243</f>
        <v>13.3913</v>
      </c>
      <c r="F243" s="28">
        <f>ROUND(13.3913,4)</f>
        <v>13.3913</v>
      </c>
      <c r="G243" s="25"/>
      <c r="H243" s="26"/>
    </row>
    <row r="244" spans="1:8" ht="12.75" customHeight="1">
      <c r="A244" s="23">
        <v>42941</v>
      </c>
      <c r="B244" s="23"/>
      <c r="C244" s="28">
        <f>ROUND(13.068125,4)</f>
        <v>13.0681</v>
      </c>
      <c r="D244" s="28">
        <f>F244</f>
        <v>13.4006</v>
      </c>
      <c r="E244" s="28">
        <f>F244</f>
        <v>13.4006</v>
      </c>
      <c r="F244" s="28">
        <f>ROUND(13.4006,4)</f>
        <v>13.4006</v>
      </c>
      <c r="G244" s="25"/>
      <c r="H244" s="26"/>
    </row>
    <row r="245" spans="1:8" ht="12.75" customHeight="1">
      <c r="A245" s="23">
        <v>42943</v>
      </c>
      <c r="B245" s="23"/>
      <c r="C245" s="28">
        <f>ROUND(13.068125,4)</f>
        <v>13.0681</v>
      </c>
      <c r="D245" s="28">
        <f>F245</f>
        <v>13.4052</v>
      </c>
      <c r="E245" s="28">
        <f>F245</f>
        <v>13.4052</v>
      </c>
      <c r="F245" s="28">
        <f>ROUND(13.4052,4)</f>
        <v>13.4052</v>
      </c>
      <c r="G245" s="25"/>
      <c r="H245" s="26"/>
    </row>
    <row r="246" spans="1:8" ht="12.75" customHeight="1">
      <c r="A246" s="23">
        <v>42947</v>
      </c>
      <c r="B246" s="23"/>
      <c r="C246" s="28">
        <f>ROUND(13.068125,4)</f>
        <v>13.0681</v>
      </c>
      <c r="D246" s="28">
        <f>F246</f>
        <v>13.4145</v>
      </c>
      <c r="E246" s="28">
        <f>F246</f>
        <v>13.4145</v>
      </c>
      <c r="F246" s="28">
        <f>ROUND(13.4145,4)</f>
        <v>13.4145</v>
      </c>
      <c r="G246" s="25"/>
      <c r="H246" s="26"/>
    </row>
    <row r="247" spans="1:8" ht="12.75" customHeight="1">
      <c r="A247" s="23">
        <v>42958</v>
      </c>
      <c r="B247" s="23"/>
      <c r="C247" s="28">
        <f>ROUND(13.068125,4)</f>
        <v>13.0681</v>
      </c>
      <c r="D247" s="28">
        <f>F247</f>
        <v>13.4401</v>
      </c>
      <c r="E247" s="28">
        <f>F247</f>
        <v>13.4401</v>
      </c>
      <c r="F247" s="28">
        <f>ROUND(13.4401,4)</f>
        <v>13.4401</v>
      </c>
      <c r="G247" s="25"/>
      <c r="H247" s="26"/>
    </row>
    <row r="248" spans="1:8" ht="12.75" customHeight="1">
      <c r="A248" s="23">
        <v>42976</v>
      </c>
      <c r="B248" s="23"/>
      <c r="C248" s="28">
        <f>ROUND(13.068125,4)</f>
        <v>13.0681</v>
      </c>
      <c r="D248" s="28">
        <f>F248</f>
        <v>13.4819</v>
      </c>
      <c r="E248" s="28">
        <f>F248</f>
        <v>13.4819</v>
      </c>
      <c r="F248" s="28">
        <f>ROUND(13.4819,4)</f>
        <v>13.4819</v>
      </c>
      <c r="G248" s="25"/>
      <c r="H248" s="26"/>
    </row>
    <row r="249" spans="1:8" ht="12.75" customHeight="1">
      <c r="A249" s="23">
        <v>43005</v>
      </c>
      <c r="B249" s="23"/>
      <c r="C249" s="28">
        <f>ROUND(13.068125,4)</f>
        <v>13.0681</v>
      </c>
      <c r="D249" s="28">
        <f>F249</f>
        <v>13.549</v>
      </c>
      <c r="E249" s="28">
        <f>F249</f>
        <v>13.549</v>
      </c>
      <c r="F249" s="28">
        <f>ROUND(13.549,4)</f>
        <v>13.549</v>
      </c>
      <c r="G249" s="25"/>
      <c r="H249" s="26"/>
    </row>
    <row r="250" spans="1:8" ht="12.75" customHeight="1">
      <c r="A250" s="23">
        <v>43031</v>
      </c>
      <c r="B250" s="23"/>
      <c r="C250" s="28">
        <f>ROUND(13.068125,4)</f>
        <v>13.0681</v>
      </c>
      <c r="D250" s="28">
        <f>F250</f>
        <v>13.6091</v>
      </c>
      <c r="E250" s="28">
        <f>F250</f>
        <v>13.6091</v>
      </c>
      <c r="F250" s="28">
        <f>ROUND(13.6091,4)</f>
        <v>13.6091</v>
      </c>
      <c r="G250" s="25"/>
      <c r="H250" s="26"/>
    </row>
    <row r="251" spans="1:8" ht="12.75" customHeight="1">
      <c r="A251" s="23">
        <v>43035</v>
      </c>
      <c r="B251" s="23"/>
      <c r="C251" s="28">
        <f>ROUND(13.068125,4)</f>
        <v>13.0681</v>
      </c>
      <c r="D251" s="28">
        <f>F251</f>
        <v>13.6184</v>
      </c>
      <c r="E251" s="28">
        <f>F251</f>
        <v>13.6184</v>
      </c>
      <c r="F251" s="28">
        <f>ROUND(13.6184,4)</f>
        <v>13.6184</v>
      </c>
      <c r="G251" s="25"/>
      <c r="H251" s="26"/>
    </row>
    <row r="252" spans="1:8" ht="12.75" customHeight="1">
      <c r="A252" s="23">
        <v>43052</v>
      </c>
      <c r="B252" s="23"/>
      <c r="C252" s="28">
        <f>ROUND(13.068125,4)</f>
        <v>13.0681</v>
      </c>
      <c r="D252" s="28">
        <f>F252</f>
        <v>13.6576</v>
      </c>
      <c r="E252" s="28">
        <f>F252</f>
        <v>13.6576</v>
      </c>
      <c r="F252" s="28">
        <f>ROUND(13.6576,4)</f>
        <v>13.6576</v>
      </c>
      <c r="G252" s="25"/>
      <c r="H252" s="26"/>
    </row>
    <row r="253" spans="1:8" ht="12.75" customHeight="1">
      <c r="A253" s="23">
        <v>43067</v>
      </c>
      <c r="B253" s="23"/>
      <c r="C253" s="28">
        <f>ROUND(13.068125,4)</f>
        <v>13.0681</v>
      </c>
      <c r="D253" s="28">
        <f>F253</f>
        <v>13.6923</v>
      </c>
      <c r="E253" s="28">
        <f>F253</f>
        <v>13.6923</v>
      </c>
      <c r="F253" s="28">
        <f>ROUND(13.6923,4)</f>
        <v>13.6923</v>
      </c>
      <c r="G253" s="25"/>
      <c r="H253" s="26"/>
    </row>
    <row r="254" spans="1:8" ht="12.75" customHeight="1">
      <c r="A254" s="23">
        <v>43091</v>
      </c>
      <c r="B254" s="23"/>
      <c r="C254" s="28">
        <f>ROUND(13.068125,4)</f>
        <v>13.0681</v>
      </c>
      <c r="D254" s="28">
        <f>F254</f>
        <v>13.7473</v>
      </c>
      <c r="E254" s="28">
        <f>F254</f>
        <v>13.7473</v>
      </c>
      <c r="F254" s="28">
        <f>ROUND(13.7473,4)</f>
        <v>13.7473</v>
      </c>
      <c r="G254" s="25"/>
      <c r="H254" s="26"/>
    </row>
    <row r="255" spans="1:8" ht="12.75" customHeight="1">
      <c r="A255" s="23">
        <v>43144</v>
      </c>
      <c r="B255" s="23"/>
      <c r="C255" s="28">
        <f>ROUND(13.068125,4)</f>
        <v>13.0681</v>
      </c>
      <c r="D255" s="28">
        <f>F255</f>
        <v>13.8684</v>
      </c>
      <c r="E255" s="28">
        <f>F255</f>
        <v>13.8684</v>
      </c>
      <c r="F255" s="28">
        <f>ROUND(13.8684,4)</f>
        <v>13.8684</v>
      </c>
      <c r="G255" s="25"/>
      <c r="H255" s="26"/>
    </row>
    <row r="256" spans="1:8" ht="12.75" customHeight="1">
      <c r="A256" s="23">
        <v>43146</v>
      </c>
      <c r="B256" s="23"/>
      <c r="C256" s="28">
        <f>ROUND(13.068125,4)</f>
        <v>13.0681</v>
      </c>
      <c r="D256" s="28">
        <f>F256</f>
        <v>13.8729</v>
      </c>
      <c r="E256" s="28">
        <f>F256</f>
        <v>13.8729</v>
      </c>
      <c r="F256" s="28">
        <f>ROUND(13.8729,4)</f>
        <v>13.8729</v>
      </c>
      <c r="G256" s="25"/>
      <c r="H256" s="26"/>
    </row>
    <row r="257" spans="1:8" ht="12.75" customHeight="1">
      <c r="A257" s="23">
        <v>43215</v>
      </c>
      <c r="B257" s="23"/>
      <c r="C257" s="28">
        <f>ROUND(13.068125,4)</f>
        <v>13.0681</v>
      </c>
      <c r="D257" s="28">
        <f>F257</f>
        <v>14.0752</v>
      </c>
      <c r="E257" s="28">
        <f>F257</f>
        <v>14.0752</v>
      </c>
      <c r="F257" s="28">
        <f>ROUND(14.0752,4)</f>
        <v>14.0752</v>
      </c>
      <c r="G257" s="25"/>
      <c r="H257" s="26"/>
    </row>
    <row r="258" spans="1:8" ht="12.75" customHeight="1">
      <c r="A258" s="23">
        <v>43231</v>
      </c>
      <c r="B258" s="23"/>
      <c r="C258" s="28">
        <f>ROUND(13.068125,4)</f>
        <v>13.0681</v>
      </c>
      <c r="D258" s="28">
        <f>F258</f>
        <v>14.1258</v>
      </c>
      <c r="E258" s="28">
        <f>F258</f>
        <v>14.1258</v>
      </c>
      <c r="F258" s="28">
        <f>ROUND(14.1258,4)</f>
        <v>14.1258</v>
      </c>
      <c r="G258" s="25"/>
      <c r="H258" s="26"/>
    </row>
    <row r="259" spans="1:8" ht="12.75" customHeight="1">
      <c r="A259" s="23">
        <v>43235</v>
      </c>
      <c r="B259" s="23"/>
      <c r="C259" s="28">
        <f>ROUND(13.068125,4)</f>
        <v>13.0681</v>
      </c>
      <c r="D259" s="28">
        <f>F259</f>
        <v>14.1384</v>
      </c>
      <c r="E259" s="28">
        <f>F259</f>
        <v>14.1384</v>
      </c>
      <c r="F259" s="28">
        <f>ROUND(14.1384,4)</f>
        <v>14.1384</v>
      </c>
      <c r="G259" s="25"/>
      <c r="H259" s="26"/>
    </row>
    <row r="260" spans="1:8" ht="12.75" customHeight="1">
      <c r="A260" s="23">
        <v>43325</v>
      </c>
      <c r="B260" s="23"/>
      <c r="C260" s="28">
        <f>ROUND(13.068125,4)</f>
        <v>13.0681</v>
      </c>
      <c r="D260" s="28">
        <f>F260</f>
        <v>14.4228</v>
      </c>
      <c r="E260" s="28">
        <f>F260</f>
        <v>14.4228</v>
      </c>
      <c r="F260" s="28">
        <f>ROUND(14.4228,4)</f>
        <v>14.4228</v>
      </c>
      <c r="G260" s="25"/>
      <c r="H260" s="26"/>
    </row>
    <row r="261" spans="1:8" ht="12.75" customHeight="1">
      <c r="A261" s="23">
        <v>43417</v>
      </c>
      <c r="B261" s="23"/>
      <c r="C261" s="28">
        <f>ROUND(13.068125,4)</f>
        <v>13.0681</v>
      </c>
      <c r="D261" s="28">
        <f>F261</f>
        <v>14.7135</v>
      </c>
      <c r="E261" s="28">
        <f>F261</f>
        <v>14.7135</v>
      </c>
      <c r="F261" s="28">
        <f>ROUND(14.7135,4)</f>
        <v>14.7135</v>
      </c>
      <c r="G261" s="25"/>
      <c r="H261" s="26"/>
    </row>
    <row r="262" spans="1:8" ht="12.75" customHeight="1">
      <c r="A262" s="23">
        <v>43509</v>
      </c>
      <c r="B262" s="23"/>
      <c r="C262" s="28">
        <f>ROUND(13.068125,4)</f>
        <v>13.0681</v>
      </c>
      <c r="D262" s="28">
        <f>F262</f>
        <v>15.0042</v>
      </c>
      <c r="E262" s="28">
        <f>F262</f>
        <v>15.0042</v>
      </c>
      <c r="F262" s="28">
        <f>ROUND(15.0042,4)</f>
        <v>15.0042</v>
      </c>
      <c r="G262" s="25"/>
      <c r="H262" s="26"/>
    </row>
    <row r="263" spans="1:8" ht="12.75" customHeight="1">
      <c r="A263" s="23" t="s">
        <v>61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42807</v>
      </c>
      <c r="B264" s="23"/>
      <c r="C264" s="28">
        <f>ROUND(1.05312222222222,4)</f>
        <v>1.0531</v>
      </c>
      <c r="D264" s="28">
        <f>F264</f>
        <v>1.0535</v>
      </c>
      <c r="E264" s="28">
        <f>F264</f>
        <v>1.0535</v>
      </c>
      <c r="F264" s="28">
        <f>ROUND(1.0535,4)</f>
        <v>1.0535</v>
      </c>
      <c r="G264" s="25"/>
      <c r="H264" s="26"/>
    </row>
    <row r="265" spans="1:8" ht="12.75" customHeight="1">
      <c r="A265" s="23">
        <v>42905</v>
      </c>
      <c r="B265" s="23"/>
      <c r="C265" s="28">
        <f>ROUND(1.05312222222222,4)</f>
        <v>1.0531</v>
      </c>
      <c r="D265" s="28">
        <f>F265</f>
        <v>1.0587</v>
      </c>
      <c r="E265" s="28">
        <f>F265</f>
        <v>1.0587</v>
      </c>
      <c r="F265" s="28">
        <f>ROUND(1.0587,4)</f>
        <v>1.0587</v>
      </c>
      <c r="G265" s="25"/>
      <c r="H265" s="26"/>
    </row>
    <row r="266" spans="1:8" ht="12.75" customHeight="1">
      <c r="A266" s="23">
        <v>42996</v>
      </c>
      <c r="B266" s="23"/>
      <c r="C266" s="28">
        <f>ROUND(1.05312222222222,4)</f>
        <v>1.0531</v>
      </c>
      <c r="D266" s="28">
        <f>F266</f>
        <v>1.064</v>
      </c>
      <c r="E266" s="28">
        <f>F266</f>
        <v>1.064</v>
      </c>
      <c r="F266" s="28">
        <f>ROUND(1.064,4)</f>
        <v>1.064</v>
      </c>
      <c r="G266" s="25"/>
      <c r="H266" s="26"/>
    </row>
    <row r="267" spans="1:8" ht="12.75" customHeight="1">
      <c r="A267" s="23">
        <v>43087</v>
      </c>
      <c r="B267" s="23"/>
      <c r="C267" s="28">
        <f>ROUND(1.05312222222222,4)</f>
        <v>1.0531</v>
      </c>
      <c r="D267" s="28">
        <f>F267</f>
        <v>1.0699</v>
      </c>
      <c r="E267" s="28">
        <f>F267</f>
        <v>1.0699</v>
      </c>
      <c r="F267" s="28">
        <f>ROUND(1.0699,4)</f>
        <v>1.0699</v>
      </c>
      <c r="G267" s="25"/>
      <c r="H267" s="26"/>
    </row>
    <row r="268" spans="1:8" ht="12.75" customHeight="1">
      <c r="A268" s="23" t="s">
        <v>62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42807</v>
      </c>
      <c r="B269" s="23"/>
      <c r="C269" s="28">
        <f>ROUND(21781.72,4)</f>
        <v>21781.72</v>
      </c>
      <c r="D269" s="28">
        <f>F269</f>
        <v>21828.41</v>
      </c>
      <c r="E269" s="28">
        <f>F269</f>
        <v>21828.41</v>
      </c>
      <c r="F269" s="28">
        <f>ROUND(21828.41,4)</f>
        <v>21828.41</v>
      </c>
      <c r="G269" s="25"/>
      <c r="H269" s="26"/>
    </row>
    <row r="270" spans="1:8" ht="12.75" customHeight="1">
      <c r="A270" s="23">
        <v>42905</v>
      </c>
      <c r="B270" s="23"/>
      <c r="C270" s="28">
        <f>ROUND(21781.72,4)</f>
        <v>21781.72</v>
      </c>
      <c r="D270" s="28">
        <f>F270</f>
        <v>22215.9</v>
      </c>
      <c r="E270" s="28">
        <f>F270</f>
        <v>22215.9</v>
      </c>
      <c r="F270" s="28">
        <f>ROUND(22215.9,4)</f>
        <v>22215.9</v>
      </c>
      <c r="G270" s="25"/>
      <c r="H270" s="26"/>
    </row>
    <row r="271" spans="1:8" ht="12.75" customHeight="1">
      <c r="A271" s="23">
        <v>42996</v>
      </c>
      <c r="B271" s="23"/>
      <c r="C271" s="28">
        <f>ROUND(21781.72,4)</f>
        <v>21781.72</v>
      </c>
      <c r="D271" s="28">
        <f>F271</f>
        <v>22583.46</v>
      </c>
      <c r="E271" s="28">
        <f>F271</f>
        <v>22583.46</v>
      </c>
      <c r="F271" s="28">
        <f>ROUND(22583.46,4)</f>
        <v>22583.46</v>
      </c>
      <c r="G271" s="25"/>
      <c r="H271" s="26"/>
    </row>
    <row r="272" spans="1:8" ht="12.75" customHeight="1">
      <c r="A272" s="23" t="s">
        <v>63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42807</v>
      </c>
      <c r="B273" s="23"/>
      <c r="C273" s="28">
        <f>ROUND(10.01102384375,4)</f>
        <v>10.011</v>
      </c>
      <c r="D273" s="28">
        <f>F273</f>
        <v>10.026</v>
      </c>
      <c r="E273" s="28">
        <f>F273</f>
        <v>10.026</v>
      </c>
      <c r="F273" s="28">
        <f>ROUND(10.026,4)</f>
        <v>10.026</v>
      </c>
      <c r="G273" s="25"/>
      <c r="H273" s="26"/>
    </row>
    <row r="274" spans="1:8" ht="12.75" customHeight="1">
      <c r="A274" s="23">
        <v>42905</v>
      </c>
      <c r="B274" s="23"/>
      <c r="C274" s="28">
        <f>ROUND(10.01102384375,4)</f>
        <v>10.011</v>
      </c>
      <c r="D274" s="28">
        <f>F274</f>
        <v>10.1798</v>
      </c>
      <c r="E274" s="28">
        <f>F274</f>
        <v>10.1798</v>
      </c>
      <c r="F274" s="28">
        <f>ROUND(10.1798,4)</f>
        <v>10.1798</v>
      </c>
      <c r="G274" s="25"/>
      <c r="H274" s="26"/>
    </row>
    <row r="275" spans="1:8" ht="12.75" customHeight="1">
      <c r="A275" s="23">
        <v>42996</v>
      </c>
      <c r="B275" s="23"/>
      <c r="C275" s="28">
        <f>ROUND(10.01102384375,4)</f>
        <v>10.011</v>
      </c>
      <c r="D275" s="28">
        <f>F275</f>
        <v>10.3261</v>
      </c>
      <c r="E275" s="28">
        <f>F275</f>
        <v>10.3261</v>
      </c>
      <c r="F275" s="28">
        <f>ROUND(10.3261,4)</f>
        <v>10.3261</v>
      </c>
      <c r="G275" s="25"/>
      <c r="H275" s="26"/>
    </row>
    <row r="276" spans="1:8" ht="12.75" customHeight="1">
      <c r="A276" s="23">
        <v>43087</v>
      </c>
      <c r="B276" s="23"/>
      <c r="C276" s="28">
        <f>ROUND(10.01102384375,4)</f>
        <v>10.011</v>
      </c>
      <c r="D276" s="28">
        <f>F276</f>
        <v>10.4736</v>
      </c>
      <c r="E276" s="28">
        <f>F276</f>
        <v>10.4736</v>
      </c>
      <c r="F276" s="28">
        <f>ROUND(10.4736,4)</f>
        <v>10.4736</v>
      </c>
      <c r="G276" s="25"/>
      <c r="H276" s="26"/>
    </row>
    <row r="277" spans="1:8" ht="12.75" customHeight="1">
      <c r="A277" s="23">
        <v>43178</v>
      </c>
      <c r="B277" s="23"/>
      <c r="C277" s="28">
        <f>ROUND(10.01102384375,4)</f>
        <v>10.011</v>
      </c>
      <c r="D277" s="28">
        <f>F277</f>
        <v>10.6301</v>
      </c>
      <c r="E277" s="28">
        <f>F277</f>
        <v>10.6301</v>
      </c>
      <c r="F277" s="28">
        <f>ROUND(10.6301,4)</f>
        <v>10.6301</v>
      </c>
      <c r="G277" s="25"/>
      <c r="H277" s="26"/>
    </row>
    <row r="278" spans="1:8" ht="12.75" customHeight="1">
      <c r="A278" s="23">
        <v>43269</v>
      </c>
      <c r="B278" s="23"/>
      <c r="C278" s="28">
        <f>ROUND(10.01102384375,4)</f>
        <v>10.011</v>
      </c>
      <c r="D278" s="28">
        <f>F278</f>
        <v>10.8385</v>
      </c>
      <c r="E278" s="28">
        <f>F278</f>
        <v>10.8385</v>
      </c>
      <c r="F278" s="28">
        <f>ROUND(10.8385,4)</f>
        <v>10.8385</v>
      </c>
      <c r="G278" s="25"/>
      <c r="H278" s="26"/>
    </row>
    <row r="279" spans="1:8" ht="12.75" customHeight="1">
      <c r="A279" s="23">
        <v>43360</v>
      </c>
      <c r="B279" s="23"/>
      <c r="C279" s="28">
        <f>ROUND(10.01102384375,4)</f>
        <v>10.011</v>
      </c>
      <c r="D279" s="28">
        <f>F279</f>
        <v>11.6942</v>
      </c>
      <c r="E279" s="28">
        <f>F279</f>
        <v>11.6942</v>
      </c>
      <c r="F279" s="28">
        <f>ROUND(11.6942,4)</f>
        <v>11.6942</v>
      </c>
      <c r="G279" s="25"/>
      <c r="H279" s="26"/>
    </row>
    <row r="280" spans="1:8" ht="12.75" customHeight="1">
      <c r="A280" s="23" t="s">
        <v>64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42807</v>
      </c>
      <c r="B281" s="23"/>
      <c r="C281" s="28">
        <f>ROUND(9.81016815554388,4)</f>
        <v>9.8102</v>
      </c>
      <c r="D281" s="28">
        <f>F281</f>
        <v>9.8277</v>
      </c>
      <c r="E281" s="28">
        <f>F281</f>
        <v>9.8277</v>
      </c>
      <c r="F281" s="28">
        <f>ROUND(9.8277,4)</f>
        <v>9.8277</v>
      </c>
      <c r="G281" s="25"/>
      <c r="H281" s="26"/>
    </row>
    <row r="282" spans="1:8" ht="12.75" customHeight="1">
      <c r="A282" s="23">
        <v>42905</v>
      </c>
      <c r="B282" s="23"/>
      <c r="C282" s="28">
        <f>ROUND(9.81016815554388,4)</f>
        <v>9.8102</v>
      </c>
      <c r="D282" s="28">
        <f>F282</f>
        <v>10.0082</v>
      </c>
      <c r="E282" s="28">
        <f>F282</f>
        <v>10.0082</v>
      </c>
      <c r="F282" s="28">
        <f>ROUND(10.0082,4)</f>
        <v>10.0082</v>
      </c>
      <c r="G282" s="25"/>
      <c r="H282" s="26"/>
    </row>
    <row r="283" spans="1:8" ht="12.75" customHeight="1">
      <c r="A283" s="23">
        <v>42996</v>
      </c>
      <c r="B283" s="23"/>
      <c r="C283" s="28">
        <f>ROUND(9.81016815554388,4)</f>
        <v>9.8102</v>
      </c>
      <c r="D283" s="28">
        <f>F283</f>
        <v>10.181</v>
      </c>
      <c r="E283" s="28">
        <f>F283</f>
        <v>10.181</v>
      </c>
      <c r="F283" s="28">
        <f>ROUND(10.181,4)</f>
        <v>10.181</v>
      </c>
      <c r="G283" s="25"/>
      <c r="H283" s="26"/>
    </row>
    <row r="284" spans="1:8" ht="12.75" customHeight="1">
      <c r="A284" s="23">
        <v>43087</v>
      </c>
      <c r="B284" s="23"/>
      <c r="C284" s="28">
        <f>ROUND(9.81016815554388,4)</f>
        <v>9.8102</v>
      </c>
      <c r="D284" s="28">
        <f>F284</f>
        <v>10.3557</v>
      </c>
      <c r="E284" s="28">
        <f>F284</f>
        <v>10.3557</v>
      </c>
      <c r="F284" s="28">
        <f>ROUND(10.3557,4)</f>
        <v>10.3557</v>
      </c>
      <c r="G284" s="25"/>
      <c r="H284" s="26"/>
    </row>
    <row r="285" spans="1:8" ht="12.75" customHeight="1">
      <c r="A285" s="23" t="s">
        <v>65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ROUND(1.90561382312054,4)</f>
        <v>1.9056</v>
      </c>
      <c r="D286" s="28">
        <f>F286</f>
        <v>1.9043</v>
      </c>
      <c r="E286" s="28">
        <f>F286</f>
        <v>1.9043</v>
      </c>
      <c r="F286" s="28">
        <f>ROUND(1.9043,4)</f>
        <v>1.9043</v>
      </c>
      <c r="G286" s="25"/>
      <c r="H286" s="26"/>
    </row>
    <row r="287" spans="1:8" ht="12.75" customHeight="1">
      <c r="A287" s="23">
        <v>42905</v>
      </c>
      <c r="B287" s="23"/>
      <c r="C287" s="28">
        <f>ROUND(1.90561382312054,4)</f>
        <v>1.9056</v>
      </c>
      <c r="D287" s="28">
        <f>F287</f>
        <v>1.9216</v>
      </c>
      <c r="E287" s="28">
        <f>F287</f>
        <v>1.9216</v>
      </c>
      <c r="F287" s="28">
        <f>ROUND(1.9216,4)</f>
        <v>1.9216</v>
      </c>
      <c r="G287" s="25"/>
      <c r="H287" s="26"/>
    </row>
    <row r="288" spans="1:8" ht="12.75" customHeight="1">
      <c r="A288" s="23">
        <v>42996</v>
      </c>
      <c r="B288" s="23"/>
      <c r="C288" s="28">
        <f>ROUND(1.90561382312054,4)</f>
        <v>1.9056</v>
      </c>
      <c r="D288" s="28">
        <f>F288</f>
        <v>1.9373</v>
      </c>
      <c r="E288" s="28">
        <f>F288</f>
        <v>1.9373</v>
      </c>
      <c r="F288" s="28">
        <f>ROUND(1.9373,4)</f>
        <v>1.9373</v>
      </c>
      <c r="G288" s="25"/>
      <c r="H288" s="26"/>
    </row>
    <row r="289" spans="1:8" ht="12.75" customHeight="1">
      <c r="A289" s="23">
        <v>43087</v>
      </c>
      <c r="B289" s="23"/>
      <c r="C289" s="28">
        <f>ROUND(1.90561382312054,4)</f>
        <v>1.9056</v>
      </c>
      <c r="D289" s="28">
        <f>F289</f>
        <v>1.953</v>
      </c>
      <c r="E289" s="28">
        <f>F289</f>
        <v>1.953</v>
      </c>
      <c r="F289" s="28">
        <f>ROUND(1.953,4)</f>
        <v>1.953</v>
      </c>
      <c r="G289" s="25"/>
      <c r="H289" s="26"/>
    </row>
    <row r="290" spans="1:8" ht="12.75" customHeight="1">
      <c r="A290" s="23" t="s">
        <v>66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42807</v>
      </c>
      <c r="B291" s="23"/>
      <c r="C291" s="28">
        <f>ROUND(1.8508781247787,4)</f>
        <v>1.8509</v>
      </c>
      <c r="D291" s="28">
        <f>F291</f>
        <v>1.8548</v>
      </c>
      <c r="E291" s="28">
        <f>F291</f>
        <v>1.8548</v>
      </c>
      <c r="F291" s="28">
        <f>ROUND(1.8548,4)</f>
        <v>1.8548</v>
      </c>
      <c r="G291" s="25"/>
      <c r="H291" s="26"/>
    </row>
    <row r="292" spans="1:8" ht="12.75" customHeight="1">
      <c r="A292" s="23">
        <v>42905</v>
      </c>
      <c r="B292" s="23"/>
      <c r="C292" s="28">
        <f>ROUND(1.8508781247787,4)</f>
        <v>1.8509</v>
      </c>
      <c r="D292" s="28">
        <f>F292</f>
        <v>1.8969</v>
      </c>
      <c r="E292" s="28">
        <f>F292</f>
        <v>1.8969</v>
      </c>
      <c r="F292" s="28">
        <f>ROUND(1.8969,4)</f>
        <v>1.8969</v>
      </c>
      <c r="G292" s="25"/>
      <c r="H292" s="26"/>
    </row>
    <row r="293" spans="1:8" ht="12.75" customHeight="1">
      <c r="A293" s="23">
        <v>42996</v>
      </c>
      <c r="B293" s="23"/>
      <c r="C293" s="28">
        <f>ROUND(1.8508781247787,4)</f>
        <v>1.8509</v>
      </c>
      <c r="D293" s="28">
        <f>F293</f>
        <v>1.9376</v>
      </c>
      <c r="E293" s="28">
        <f>F293</f>
        <v>1.9376</v>
      </c>
      <c r="F293" s="28">
        <f>ROUND(1.9376,4)</f>
        <v>1.9376</v>
      </c>
      <c r="G293" s="25"/>
      <c r="H293" s="26"/>
    </row>
    <row r="294" spans="1:8" ht="12.75" customHeight="1">
      <c r="A294" s="23" t="s">
        <v>67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42807</v>
      </c>
      <c r="B295" s="23"/>
      <c r="C295" s="28">
        <f>ROUND(13.7623328402778,4)</f>
        <v>13.7623</v>
      </c>
      <c r="D295" s="28">
        <f>F295</f>
        <v>13.7912</v>
      </c>
      <c r="E295" s="28">
        <f>F295</f>
        <v>13.7912</v>
      </c>
      <c r="F295" s="28">
        <f>ROUND(13.7912,4)</f>
        <v>13.7912</v>
      </c>
      <c r="G295" s="25"/>
      <c r="H295" s="26"/>
    </row>
    <row r="296" spans="1:8" ht="12.75" customHeight="1">
      <c r="A296" s="23">
        <v>42905</v>
      </c>
      <c r="B296" s="23"/>
      <c r="C296" s="28">
        <f>ROUND(13.7623328402778,4)</f>
        <v>13.7623</v>
      </c>
      <c r="D296" s="28">
        <f>F296</f>
        <v>14.0988</v>
      </c>
      <c r="E296" s="28">
        <f>F296</f>
        <v>14.0988</v>
      </c>
      <c r="F296" s="28">
        <f>ROUND(14.0988,4)</f>
        <v>14.0988</v>
      </c>
      <c r="G296" s="25"/>
      <c r="H296" s="26"/>
    </row>
    <row r="297" spans="1:8" ht="12.75" customHeight="1">
      <c r="A297" s="23">
        <v>42996</v>
      </c>
      <c r="B297" s="23"/>
      <c r="C297" s="28">
        <f>ROUND(13.7623328402778,4)</f>
        <v>13.7623</v>
      </c>
      <c r="D297" s="28">
        <f>F297</f>
        <v>14.3946</v>
      </c>
      <c r="E297" s="28">
        <f>F297</f>
        <v>14.3946</v>
      </c>
      <c r="F297" s="28">
        <f>ROUND(14.3946,4)</f>
        <v>14.3946</v>
      </c>
      <c r="G297" s="25"/>
      <c r="H297" s="26"/>
    </row>
    <row r="298" spans="1:8" ht="12.75" customHeight="1">
      <c r="A298" s="23">
        <v>43087</v>
      </c>
      <c r="B298" s="23"/>
      <c r="C298" s="28">
        <f>ROUND(13.7623328402778,4)</f>
        <v>13.7623</v>
      </c>
      <c r="D298" s="28">
        <f>F298</f>
        <v>14.699</v>
      </c>
      <c r="E298" s="28">
        <f>F298</f>
        <v>14.699</v>
      </c>
      <c r="F298" s="28">
        <f>ROUND(14.699,4)</f>
        <v>14.699</v>
      </c>
      <c r="G298" s="25"/>
      <c r="H298" s="26"/>
    </row>
    <row r="299" spans="1:8" ht="12.75" customHeight="1">
      <c r="A299" s="23">
        <v>43178</v>
      </c>
      <c r="B299" s="23"/>
      <c r="C299" s="28">
        <f>ROUND(13.7623328402778,4)</f>
        <v>13.7623</v>
      </c>
      <c r="D299" s="28">
        <f>F299</f>
        <v>15.0161</v>
      </c>
      <c r="E299" s="28">
        <f>F299</f>
        <v>15.0161</v>
      </c>
      <c r="F299" s="28">
        <f>ROUND(15.0161,4)</f>
        <v>15.0161</v>
      </c>
      <c r="G299" s="25"/>
      <c r="H299" s="26"/>
    </row>
    <row r="300" spans="1:8" ht="12.75" customHeight="1">
      <c r="A300" s="23">
        <v>43269</v>
      </c>
      <c r="B300" s="23"/>
      <c r="C300" s="28">
        <f>ROUND(13.7623328402778,4)</f>
        <v>13.7623</v>
      </c>
      <c r="D300" s="28">
        <f>F300</f>
        <v>15.3866</v>
      </c>
      <c r="E300" s="28">
        <f>F300</f>
        <v>15.3866</v>
      </c>
      <c r="F300" s="28">
        <f>ROUND(15.3866,4)</f>
        <v>15.3866</v>
      </c>
      <c r="G300" s="25"/>
      <c r="H300" s="26"/>
    </row>
    <row r="301" spans="1:8" ht="12.75" customHeight="1">
      <c r="A301" s="23">
        <v>43360</v>
      </c>
      <c r="B301" s="23"/>
      <c r="C301" s="28">
        <f>ROUND(13.7623328402778,4)</f>
        <v>13.7623</v>
      </c>
      <c r="D301" s="28">
        <f>F301</f>
        <v>15.8451</v>
      </c>
      <c r="E301" s="28">
        <f>F301</f>
        <v>15.8451</v>
      </c>
      <c r="F301" s="28">
        <f>ROUND(15.8451,4)</f>
        <v>15.8451</v>
      </c>
      <c r="G301" s="25"/>
      <c r="H301" s="26"/>
    </row>
    <row r="302" spans="1:8" ht="12.75" customHeight="1">
      <c r="A302" s="23" t="s">
        <v>68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42807</v>
      </c>
      <c r="B303" s="23"/>
      <c r="C303" s="28">
        <f>ROUND(12.9233831091772,4)</f>
        <v>12.9234</v>
      </c>
      <c r="D303" s="28">
        <f>F303</f>
        <v>12.952</v>
      </c>
      <c r="E303" s="28">
        <f>F303</f>
        <v>12.952</v>
      </c>
      <c r="F303" s="28">
        <f>ROUND(12.952,4)</f>
        <v>12.952</v>
      </c>
      <c r="G303" s="25"/>
      <c r="H303" s="26"/>
    </row>
    <row r="304" spans="1:8" ht="12.75" customHeight="1">
      <c r="A304" s="23">
        <v>42905</v>
      </c>
      <c r="B304" s="23"/>
      <c r="C304" s="28">
        <f>ROUND(12.9233831091772,4)</f>
        <v>12.9234</v>
      </c>
      <c r="D304" s="28">
        <f>F304</f>
        <v>13.257</v>
      </c>
      <c r="E304" s="28">
        <f>F304</f>
        <v>13.257</v>
      </c>
      <c r="F304" s="28">
        <f>ROUND(13.257,4)</f>
        <v>13.257</v>
      </c>
      <c r="G304" s="25"/>
      <c r="H304" s="26"/>
    </row>
    <row r="305" spans="1:8" ht="12.75" customHeight="1">
      <c r="A305" s="23">
        <v>42996</v>
      </c>
      <c r="B305" s="23"/>
      <c r="C305" s="28">
        <f>ROUND(12.9233831091772,4)</f>
        <v>12.9234</v>
      </c>
      <c r="D305" s="28">
        <f>F305</f>
        <v>13.554</v>
      </c>
      <c r="E305" s="28">
        <f>F305</f>
        <v>13.554</v>
      </c>
      <c r="F305" s="28">
        <f>ROUND(13.554,4)</f>
        <v>13.554</v>
      </c>
      <c r="G305" s="25"/>
      <c r="H305" s="26"/>
    </row>
    <row r="306" spans="1:8" ht="12.75" customHeight="1">
      <c r="A306" s="23">
        <v>43087</v>
      </c>
      <c r="B306" s="23"/>
      <c r="C306" s="28">
        <f>ROUND(12.9233831091772,4)</f>
        <v>12.9234</v>
      </c>
      <c r="D306" s="28">
        <f>F306</f>
        <v>13.8597</v>
      </c>
      <c r="E306" s="28">
        <f>F306</f>
        <v>13.8597</v>
      </c>
      <c r="F306" s="28">
        <f>ROUND(13.8597,4)</f>
        <v>13.8597</v>
      </c>
      <c r="G306" s="25"/>
      <c r="H306" s="26"/>
    </row>
    <row r="307" spans="1:8" ht="12.75" customHeight="1">
      <c r="A307" s="23">
        <v>43178</v>
      </c>
      <c r="B307" s="23"/>
      <c r="C307" s="28">
        <f>ROUND(12.9233831091772,4)</f>
        <v>12.9234</v>
      </c>
      <c r="D307" s="28">
        <f>F307</f>
        <v>14.1776</v>
      </c>
      <c r="E307" s="28">
        <f>F307</f>
        <v>14.1776</v>
      </c>
      <c r="F307" s="28">
        <f>ROUND(14.1776,4)</f>
        <v>14.1776</v>
      </c>
      <c r="G307" s="25"/>
      <c r="H307" s="26"/>
    </row>
    <row r="308" spans="1:8" ht="12.75" customHeight="1">
      <c r="A308" s="23" t="s">
        <v>69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ROUND(16.0846838541667,4)</f>
        <v>16.0847</v>
      </c>
      <c r="D309" s="28">
        <f>F309</f>
        <v>16.1152</v>
      </c>
      <c r="E309" s="28">
        <f>F309</f>
        <v>16.1152</v>
      </c>
      <c r="F309" s="28">
        <f>ROUND(16.1152,4)</f>
        <v>16.1152</v>
      </c>
      <c r="G309" s="25"/>
      <c r="H309" s="26"/>
    </row>
    <row r="310" spans="1:8" ht="12.75" customHeight="1">
      <c r="A310" s="23">
        <v>42905</v>
      </c>
      <c r="B310" s="23"/>
      <c r="C310" s="28">
        <f>ROUND(16.0846838541667,4)</f>
        <v>16.0847</v>
      </c>
      <c r="D310" s="28">
        <f>F310</f>
        <v>16.4379</v>
      </c>
      <c r="E310" s="28">
        <f>F310</f>
        <v>16.4379</v>
      </c>
      <c r="F310" s="28">
        <f>ROUND(16.4379,4)</f>
        <v>16.4379</v>
      </c>
      <c r="G310" s="25"/>
      <c r="H310" s="26"/>
    </row>
    <row r="311" spans="1:8" ht="12.75" customHeight="1">
      <c r="A311" s="23">
        <v>42996</v>
      </c>
      <c r="B311" s="23"/>
      <c r="C311" s="28">
        <f>ROUND(16.0846838541667,4)</f>
        <v>16.0847</v>
      </c>
      <c r="D311" s="28">
        <f>F311</f>
        <v>16.745</v>
      </c>
      <c r="E311" s="28">
        <f>F311</f>
        <v>16.745</v>
      </c>
      <c r="F311" s="28">
        <f>ROUND(16.745,4)</f>
        <v>16.745</v>
      </c>
      <c r="G311" s="25"/>
      <c r="H311" s="26"/>
    </row>
    <row r="312" spans="1:8" ht="12.75" customHeight="1">
      <c r="A312" s="23">
        <v>43087</v>
      </c>
      <c r="B312" s="23"/>
      <c r="C312" s="28">
        <f>ROUND(16.0846838541667,4)</f>
        <v>16.0847</v>
      </c>
      <c r="D312" s="28">
        <f>F312</f>
        <v>17.0585</v>
      </c>
      <c r="E312" s="28">
        <f>F312</f>
        <v>17.0585</v>
      </c>
      <c r="F312" s="28">
        <f>ROUND(17.0585,4)</f>
        <v>17.0585</v>
      </c>
      <c r="G312" s="25"/>
      <c r="H312" s="26"/>
    </row>
    <row r="313" spans="1:8" ht="12.75" customHeight="1">
      <c r="A313" s="23">
        <v>43178</v>
      </c>
      <c r="B313" s="23"/>
      <c r="C313" s="28">
        <f>ROUND(16.0846838541667,4)</f>
        <v>16.0847</v>
      </c>
      <c r="D313" s="28">
        <f>F313</f>
        <v>17.3918</v>
      </c>
      <c r="E313" s="28">
        <f>F313</f>
        <v>17.3918</v>
      </c>
      <c r="F313" s="28">
        <f>ROUND(17.3918,4)</f>
        <v>17.3918</v>
      </c>
      <c r="G313" s="25"/>
      <c r="H313" s="26"/>
    </row>
    <row r="314" spans="1:8" ht="12.75" customHeight="1">
      <c r="A314" s="23">
        <v>43269</v>
      </c>
      <c r="B314" s="23"/>
      <c r="C314" s="28">
        <f>ROUND(16.0846838541667,4)</f>
        <v>16.0847</v>
      </c>
      <c r="D314" s="28">
        <f>F314</f>
        <v>17.8147</v>
      </c>
      <c r="E314" s="28">
        <f>F314</f>
        <v>17.8147</v>
      </c>
      <c r="F314" s="28">
        <f>ROUND(17.8147,4)</f>
        <v>17.8147</v>
      </c>
      <c r="G314" s="25"/>
      <c r="H314" s="26"/>
    </row>
    <row r="315" spans="1:8" ht="12.75" customHeight="1">
      <c r="A315" s="23">
        <v>43360</v>
      </c>
      <c r="B315" s="23"/>
      <c r="C315" s="28">
        <f>ROUND(16.0846838541667,4)</f>
        <v>16.0847</v>
      </c>
      <c r="D315" s="28">
        <f>F315</f>
        <v>17.8147</v>
      </c>
      <c r="E315" s="28">
        <f>F315</f>
        <v>17.8147</v>
      </c>
      <c r="F315" s="28">
        <f>ROUND(17.8147,4)</f>
        <v>17.8147</v>
      </c>
      <c r="G315" s="25"/>
      <c r="H315" s="26"/>
    </row>
    <row r="316" spans="1:8" ht="12.75" customHeight="1">
      <c r="A316" s="23" t="s">
        <v>70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42807</v>
      </c>
      <c r="B317" s="23"/>
      <c r="C317" s="30">
        <f>ROUND(0.115074718706048,6)</f>
        <v>0.115075</v>
      </c>
      <c r="D317" s="30">
        <f>F317</f>
        <v>0.1151</v>
      </c>
      <c r="E317" s="30">
        <f>F317</f>
        <v>0.1151</v>
      </c>
      <c r="F317" s="30">
        <f>ROUND(0.1151,6)</f>
        <v>0.1151</v>
      </c>
      <c r="G317" s="25"/>
      <c r="H317" s="26"/>
    </row>
    <row r="318" spans="1:8" ht="12.75" customHeight="1">
      <c r="A318" s="23">
        <v>42905</v>
      </c>
      <c r="B318" s="23"/>
      <c r="C318" s="30">
        <f>ROUND(0.115074718706048,6)</f>
        <v>0.115075</v>
      </c>
      <c r="D318" s="30">
        <f>F318</f>
        <v>0.117648</v>
      </c>
      <c r="E318" s="30">
        <f>F318</f>
        <v>0.117648</v>
      </c>
      <c r="F318" s="30">
        <f>ROUND(0.117648,6)</f>
        <v>0.117648</v>
      </c>
      <c r="G318" s="25"/>
      <c r="H318" s="26"/>
    </row>
    <row r="319" spans="1:8" ht="12.75" customHeight="1">
      <c r="A319" s="23">
        <v>42996</v>
      </c>
      <c r="B319" s="23"/>
      <c r="C319" s="30">
        <f>ROUND(0.115074718706048,6)</f>
        <v>0.115075</v>
      </c>
      <c r="D319" s="30">
        <f>F319</f>
        <v>0.120092</v>
      </c>
      <c r="E319" s="30">
        <f>F319</f>
        <v>0.120092</v>
      </c>
      <c r="F319" s="30">
        <f>ROUND(0.120092,6)</f>
        <v>0.120092</v>
      </c>
      <c r="G319" s="25"/>
      <c r="H319" s="26"/>
    </row>
    <row r="320" spans="1:8" ht="12.75" customHeight="1">
      <c r="A320" s="23">
        <v>43087</v>
      </c>
      <c r="B320" s="23"/>
      <c r="C320" s="30">
        <f>ROUND(0.115074718706048,6)</f>
        <v>0.115075</v>
      </c>
      <c r="D320" s="30">
        <f>F320</f>
        <v>0.122621</v>
      </c>
      <c r="E320" s="30">
        <f>F320</f>
        <v>0.122621</v>
      </c>
      <c r="F320" s="30">
        <f>ROUND(0.122621,6)</f>
        <v>0.122621</v>
      </c>
      <c r="G320" s="25"/>
      <c r="H320" s="26"/>
    </row>
    <row r="321" spans="1:8" ht="12.75" customHeight="1">
      <c r="A321" s="23">
        <v>43178</v>
      </c>
      <c r="B321" s="23"/>
      <c r="C321" s="30">
        <f>ROUND(0.115074718706048,6)</f>
        <v>0.115075</v>
      </c>
      <c r="D321" s="30">
        <f>F321</f>
        <v>0.125308</v>
      </c>
      <c r="E321" s="30">
        <f>F321</f>
        <v>0.125308</v>
      </c>
      <c r="F321" s="30">
        <f>ROUND(0.125308,6)</f>
        <v>0.125308</v>
      </c>
      <c r="G321" s="25"/>
      <c r="H321" s="26"/>
    </row>
    <row r="322" spans="1:8" ht="12.75" customHeight="1">
      <c r="A322" s="23" t="s">
        <v>71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42807</v>
      </c>
      <c r="B323" s="23"/>
      <c r="C323" s="28">
        <f>ROUND(0.127090931193776,4)</f>
        <v>0.1271</v>
      </c>
      <c r="D323" s="28">
        <f>F323</f>
        <v>0.1271</v>
      </c>
      <c r="E323" s="28">
        <f>F323</f>
        <v>0.1271</v>
      </c>
      <c r="F323" s="28">
        <f>ROUND(0.1271,4)</f>
        <v>0.1271</v>
      </c>
      <c r="G323" s="25"/>
      <c r="H323" s="26"/>
    </row>
    <row r="324" spans="1:8" ht="12.75" customHeight="1">
      <c r="A324" s="23">
        <v>42905</v>
      </c>
      <c r="B324" s="23"/>
      <c r="C324" s="28">
        <f>ROUND(0.127090931193776,4)</f>
        <v>0.1271</v>
      </c>
      <c r="D324" s="28">
        <f>F324</f>
        <v>0.1267</v>
      </c>
      <c r="E324" s="28">
        <f>F324</f>
        <v>0.1267</v>
      </c>
      <c r="F324" s="28">
        <f>ROUND(0.1267,4)</f>
        <v>0.1267</v>
      </c>
      <c r="G324" s="25"/>
      <c r="H324" s="26"/>
    </row>
    <row r="325" spans="1:8" ht="12.75" customHeight="1">
      <c r="A325" s="23">
        <v>42996</v>
      </c>
      <c r="B325" s="23"/>
      <c r="C325" s="28">
        <f>ROUND(0.127090931193776,4)</f>
        <v>0.1271</v>
      </c>
      <c r="D325" s="28">
        <f>F325</f>
        <v>0.1266</v>
      </c>
      <c r="E325" s="28">
        <f>F325</f>
        <v>0.1266</v>
      </c>
      <c r="F325" s="28">
        <f>ROUND(0.1266,4)</f>
        <v>0.1266</v>
      </c>
      <c r="G325" s="25"/>
      <c r="H325" s="26"/>
    </row>
    <row r="326" spans="1:8" ht="12.75" customHeight="1">
      <c r="A326" s="23">
        <v>43087</v>
      </c>
      <c r="B326" s="23"/>
      <c r="C326" s="28">
        <f>ROUND(0.127090931193776,4)</f>
        <v>0.1271</v>
      </c>
      <c r="D326" s="28">
        <f>F326</f>
        <v>0.1265</v>
      </c>
      <c r="E326" s="28">
        <f>F326</f>
        <v>0.1265</v>
      </c>
      <c r="F326" s="28">
        <f>ROUND(0.1265,4)</f>
        <v>0.1265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42807</v>
      </c>
      <c r="B328" s="23"/>
      <c r="C328" s="28">
        <f>ROUND(3.58128939435462,4)</f>
        <v>3.5813</v>
      </c>
      <c r="D328" s="28">
        <f>F328</f>
        <v>3.5778</v>
      </c>
      <c r="E328" s="28">
        <f>F328</f>
        <v>3.5778</v>
      </c>
      <c r="F328" s="28">
        <f>ROUND(3.5778,4)</f>
        <v>3.5778</v>
      </c>
      <c r="G328" s="25"/>
      <c r="H328" s="26"/>
    </row>
    <row r="329" spans="1:8" ht="12.75" customHeight="1">
      <c r="A329" s="23">
        <v>42905</v>
      </c>
      <c r="B329" s="23"/>
      <c r="C329" s="28">
        <f>ROUND(3.58128939435462,4)</f>
        <v>3.5813</v>
      </c>
      <c r="D329" s="28">
        <f>F329</f>
        <v>3.5465</v>
      </c>
      <c r="E329" s="28">
        <f>F329</f>
        <v>3.5465</v>
      </c>
      <c r="F329" s="28">
        <f>ROUND(3.5465,4)</f>
        <v>3.5465</v>
      </c>
      <c r="G329" s="25"/>
      <c r="H329" s="26"/>
    </row>
    <row r="330" spans="1:8" ht="12.75" customHeight="1">
      <c r="A330" s="23">
        <v>42996</v>
      </c>
      <c r="B330" s="23"/>
      <c r="C330" s="28">
        <f>ROUND(3.58128939435462,4)</f>
        <v>3.5813</v>
      </c>
      <c r="D330" s="28">
        <f>F330</f>
        <v>3.5177</v>
      </c>
      <c r="E330" s="28">
        <f>F330</f>
        <v>3.5177</v>
      </c>
      <c r="F330" s="28">
        <f>ROUND(3.5177,4)</f>
        <v>3.5177</v>
      </c>
      <c r="G330" s="25"/>
      <c r="H330" s="26"/>
    </row>
    <row r="331" spans="1:8" ht="12.75" customHeight="1">
      <c r="A331" s="23" t="s">
        <v>73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42807</v>
      </c>
      <c r="B332" s="23"/>
      <c r="C332" s="28">
        <f>ROUND(13.068125,4)</f>
        <v>13.0681</v>
      </c>
      <c r="D332" s="28">
        <f>F332</f>
        <v>13.0909</v>
      </c>
      <c r="E332" s="28">
        <f>F332</f>
        <v>13.0909</v>
      </c>
      <c r="F332" s="28">
        <f>ROUND(13.0909,4)</f>
        <v>13.0909</v>
      </c>
      <c r="G332" s="25"/>
      <c r="H332" s="26"/>
    </row>
    <row r="333" spans="1:8" ht="12.75" customHeight="1">
      <c r="A333" s="23">
        <v>42905</v>
      </c>
      <c r="B333" s="23"/>
      <c r="C333" s="28">
        <f>ROUND(13.068125,4)</f>
        <v>13.0681</v>
      </c>
      <c r="D333" s="28">
        <f>F333</f>
        <v>13.3169</v>
      </c>
      <c r="E333" s="28">
        <f>F333</f>
        <v>13.3169</v>
      </c>
      <c r="F333" s="28">
        <f>ROUND(13.3169,4)</f>
        <v>13.3169</v>
      </c>
      <c r="G333" s="25"/>
      <c r="H333" s="26"/>
    </row>
    <row r="334" spans="1:8" ht="12.75" customHeight="1">
      <c r="A334" s="23">
        <v>42996</v>
      </c>
      <c r="B334" s="23"/>
      <c r="C334" s="28">
        <f>ROUND(13.068125,4)</f>
        <v>13.0681</v>
      </c>
      <c r="D334" s="28">
        <f>F334</f>
        <v>13.5282</v>
      </c>
      <c r="E334" s="28">
        <f>F334</f>
        <v>13.5282</v>
      </c>
      <c r="F334" s="28">
        <f>ROUND(13.5282,4)</f>
        <v>13.5282</v>
      </c>
      <c r="G334" s="25"/>
      <c r="H334" s="26"/>
    </row>
    <row r="335" spans="1:8" ht="12.75" customHeight="1">
      <c r="A335" s="23">
        <v>43087</v>
      </c>
      <c r="B335" s="23"/>
      <c r="C335" s="28">
        <f>ROUND(13.068125,4)</f>
        <v>13.0681</v>
      </c>
      <c r="D335" s="28">
        <f>F335</f>
        <v>13.7382</v>
      </c>
      <c r="E335" s="28">
        <f>F335</f>
        <v>13.7382</v>
      </c>
      <c r="F335" s="28">
        <f>ROUND(13.7382,4)</f>
        <v>13.7382</v>
      </c>
      <c r="G335" s="25"/>
      <c r="H335" s="26"/>
    </row>
    <row r="336" spans="1:8" ht="12.75" customHeight="1">
      <c r="A336" s="23">
        <v>43178</v>
      </c>
      <c r="B336" s="23"/>
      <c r="C336" s="28">
        <f>ROUND(13.068125,4)</f>
        <v>13.0681</v>
      </c>
      <c r="D336" s="28">
        <f>F336</f>
        <v>13.9583</v>
      </c>
      <c r="E336" s="28">
        <f>F336</f>
        <v>13.9583</v>
      </c>
      <c r="F336" s="28">
        <f>ROUND(13.9583,4)</f>
        <v>13.9583</v>
      </c>
      <c r="G336" s="25"/>
      <c r="H336" s="26"/>
    </row>
    <row r="337" spans="1:8" ht="12.75" customHeight="1">
      <c r="A337" s="23" t="s">
        <v>74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42807</v>
      </c>
      <c r="B338" s="23"/>
      <c r="C338" s="28">
        <f>ROUND(13.068125,4)</f>
        <v>13.0681</v>
      </c>
      <c r="D338" s="28">
        <f>F338</f>
        <v>13.0909</v>
      </c>
      <c r="E338" s="28">
        <f>F338</f>
        <v>13.0909</v>
      </c>
      <c r="F338" s="28">
        <f>ROUND(13.0909,4)</f>
        <v>13.0909</v>
      </c>
      <c r="G338" s="25"/>
      <c r="H338" s="26"/>
    </row>
    <row r="339" spans="1:8" ht="12.75" customHeight="1">
      <c r="A339" s="23">
        <v>42905</v>
      </c>
      <c r="B339" s="23"/>
      <c r="C339" s="28">
        <f>ROUND(13.068125,4)</f>
        <v>13.0681</v>
      </c>
      <c r="D339" s="28">
        <f>F339</f>
        <v>13.3169</v>
      </c>
      <c r="E339" s="28">
        <f>F339</f>
        <v>13.3169</v>
      </c>
      <c r="F339" s="28">
        <f>ROUND(13.3169,4)</f>
        <v>13.3169</v>
      </c>
      <c r="G339" s="25"/>
      <c r="H339" s="26"/>
    </row>
    <row r="340" spans="1:8" ht="12.75" customHeight="1">
      <c r="A340" s="23">
        <v>42996</v>
      </c>
      <c r="B340" s="23"/>
      <c r="C340" s="28">
        <f>ROUND(13.068125,4)</f>
        <v>13.0681</v>
      </c>
      <c r="D340" s="28">
        <f>F340</f>
        <v>13.5282</v>
      </c>
      <c r="E340" s="28">
        <f>F340</f>
        <v>13.5282</v>
      </c>
      <c r="F340" s="28">
        <f>ROUND(13.5282,4)</f>
        <v>13.5282</v>
      </c>
      <c r="G340" s="25"/>
      <c r="H340" s="26"/>
    </row>
    <row r="341" spans="1:8" ht="12.75" customHeight="1">
      <c r="A341" s="23">
        <v>43087</v>
      </c>
      <c r="B341" s="23"/>
      <c r="C341" s="28">
        <f>ROUND(13.068125,4)</f>
        <v>13.0681</v>
      </c>
      <c r="D341" s="28">
        <f>F341</f>
        <v>13.7382</v>
      </c>
      <c r="E341" s="28">
        <f>F341</f>
        <v>13.7382</v>
      </c>
      <c r="F341" s="28">
        <f>ROUND(13.7382,4)</f>
        <v>13.7382</v>
      </c>
      <c r="G341" s="25"/>
      <c r="H341" s="26"/>
    </row>
    <row r="342" spans="1:8" ht="12.75" customHeight="1">
      <c r="A342" s="23">
        <v>43178</v>
      </c>
      <c r="B342" s="23"/>
      <c r="C342" s="28">
        <f>ROUND(13.068125,4)</f>
        <v>13.0681</v>
      </c>
      <c r="D342" s="28">
        <f>F342</f>
        <v>13.9583</v>
      </c>
      <c r="E342" s="28">
        <f>F342</f>
        <v>13.9583</v>
      </c>
      <c r="F342" s="28">
        <f>ROUND(13.9583,4)</f>
        <v>13.9583</v>
      </c>
      <c r="G342" s="25"/>
      <c r="H342" s="26"/>
    </row>
    <row r="343" spans="1:8" ht="12.75" customHeight="1">
      <c r="A343" s="23">
        <v>43269</v>
      </c>
      <c r="B343" s="23"/>
      <c r="C343" s="28">
        <f>ROUND(13.068125,4)</f>
        <v>13.0681</v>
      </c>
      <c r="D343" s="28">
        <f>F343</f>
        <v>14.2458</v>
      </c>
      <c r="E343" s="28">
        <f>F343</f>
        <v>14.2458</v>
      </c>
      <c r="F343" s="28">
        <f>ROUND(14.2458,4)</f>
        <v>14.2458</v>
      </c>
      <c r="G343" s="25"/>
      <c r="H343" s="26"/>
    </row>
    <row r="344" spans="1:8" ht="12.75" customHeight="1">
      <c r="A344" s="23">
        <v>43360</v>
      </c>
      <c r="B344" s="23"/>
      <c r="C344" s="28">
        <f>ROUND(13.068125,4)</f>
        <v>13.0681</v>
      </c>
      <c r="D344" s="28">
        <f>F344</f>
        <v>14.5334</v>
      </c>
      <c r="E344" s="28">
        <f>F344</f>
        <v>14.5334</v>
      </c>
      <c r="F344" s="28">
        <f>ROUND(14.5334,4)</f>
        <v>14.5334</v>
      </c>
      <c r="G344" s="25"/>
      <c r="H344" s="26"/>
    </row>
    <row r="345" spans="1:8" ht="12.75" customHeight="1">
      <c r="A345" s="23">
        <v>43448</v>
      </c>
      <c r="B345" s="23"/>
      <c r="C345" s="28">
        <f>ROUND(13.068125,4)</f>
        <v>13.0681</v>
      </c>
      <c r="D345" s="28">
        <f>F345</f>
        <v>14.8114</v>
      </c>
      <c r="E345" s="28">
        <f>F345</f>
        <v>14.8114</v>
      </c>
      <c r="F345" s="28">
        <f>ROUND(14.8114,4)</f>
        <v>14.8114</v>
      </c>
      <c r="G345" s="25"/>
      <c r="H345" s="26"/>
    </row>
    <row r="346" spans="1:8" ht="12.75" customHeight="1">
      <c r="A346" s="23">
        <v>43542</v>
      </c>
      <c r="B346" s="23"/>
      <c r="C346" s="28">
        <f>ROUND(13.068125,4)</f>
        <v>13.0681</v>
      </c>
      <c r="D346" s="28">
        <f>F346</f>
        <v>15.1085</v>
      </c>
      <c r="E346" s="28">
        <f>F346</f>
        <v>15.1085</v>
      </c>
      <c r="F346" s="28">
        <f>ROUND(15.1085,4)</f>
        <v>15.1085</v>
      </c>
      <c r="G346" s="25"/>
      <c r="H346" s="26"/>
    </row>
    <row r="347" spans="1:8" ht="12.75" customHeight="1">
      <c r="A347" s="23">
        <v>43630</v>
      </c>
      <c r="B347" s="23"/>
      <c r="C347" s="28">
        <f>ROUND(13.068125,4)</f>
        <v>13.0681</v>
      </c>
      <c r="D347" s="28">
        <f>F347</f>
        <v>15.3865</v>
      </c>
      <c r="E347" s="28">
        <f>F347</f>
        <v>15.3865</v>
      </c>
      <c r="F347" s="28">
        <f>ROUND(15.3865,4)</f>
        <v>15.3865</v>
      </c>
      <c r="G347" s="25"/>
      <c r="H347" s="26"/>
    </row>
    <row r="348" spans="1:8" ht="12.75" customHeight="1">
      <c r="A348" s="23" t="s">
        <v>75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42807</v>
      </c>
      <c r="B349" s="23"/>
      <c r="C349" s="28">
        <f>ROUND(1.3671016842766,4)</f>
        <v>1.3671</v>
      </c>
      <c r="D349" s="28">
        <f>F349</f>
        <v>1.3637</v>
      </c>
      <c r="E349" s="28">
        <f>F349</f>
        <v>1.3637</v>
      </c>
      <c r="F349" s="28">
        <f>ROUND(1.3637,4)</f>
        <v>1.3637</v>
      </c>
      <c r="G349" s="25"/>
      <c r="H349" s="26"/>
    </row>
    <row r="350" spans="1:8" ht="12.75" customHeight="1">
      <c r="A350" s="23">
        <v>42905</v>
      </c>
      <c r="B350" s="23"/>
      <c r="C350" s="28">
        <f>ROUND(1.3671016842766,4)</f>
        <v>1.3671</v>
      </c>
      <c r="D350" s="28">
        <f>F350</f>
        <v>1.3392</v>
      </c>
      <c r="E350" s="28">
        <f>F350</f>
        <v>1.3392</v>
      </c>
      <c r="F350" s="28">
        <f>ROUND(1.3392,4)</f>
        <v>1.3392</v>
      </c>
      <c r="G350" s="25"/>
      <c r="H350" s="26"/>
    </row>
    <row r="351" spans="1:8" ht="12.75" customHeight="1">
      <c r="A351" s="23">
        <v>42996</v>
      </c>
      <c r="B351" s="23"/>
      <c r="C351" s="28">
        <f>ROUND(1.3671016842766,4)</f>
        <v>1.3671</v>
      </c>
      <c r="D351" s="28">
        <f>F351</f>
        <v>1.3202</v>
      </c>
      <c r="E351" s="28">
        <f>F351</f>
        <v>1.3202</v>
      </c>
      <c r="F351" s="28">
        <f>ROUND(1.3202,4)</f>
        <v>1.3202</v>
      </c>
      <c r="G351" s="25"/>
      <c r="H351" s="26"/>
    </row>
    <row r="352" spans="1:8" ht="12.75" customHeight="1">
      <c r="A352" s="23">
        <v>43087</v>
      </c>
      <c r="B352" s="23"/>
      <c r="C352" s="28">
        <f>ROUND(1.3671016842766,4)</f>
        <v>1.3671</v>
      </c>
      <c r="D352" s="28">
        <f>F352</f>
        <v>1.3019</v>
      </c>
      <c r="E352" s="28">
        <f>F352</f>
        <v>1.3019</v>
      </c>
      <c r="F352" s="28">
        <f>ROUND(1.3019,4)</f>
        <v>1.3019</v>
      </c>
      <c r="G352" s="25"/>
      <c r="H352" s="26"/>
    </row>
    <row r="353" spans="1:8" ht="12.75" customHeight="1">
      <c r="A353" s="23" t="s">
        <v>76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42859</v>
      </c>
      <c r="B354" s="23"/>
      <c r="C354" s="24">
        <f>ROUND(593.705,3)</f>
        <v>593.705</v>
      </c>
      <c r="D354" s="24">
        <f>F354</f>
        <v>601.553</v>
      </c>
      <c r="E354" s="24">
        <f>F354</f>
        <v>601.553</v>
      </c>
      <c r="F354" s="24">
        <f>ROUND(601.553,3)</f>
        <v>601.553</v>
      </c>
      <c r="G354" s="25"/>
      <c r="H354" s="26"/>
    </row>
    <row r="355" spans="1:8" ht="12.75" customHeight="1">
      <c r="A355" s="23">
        <v>42950</v>
      </c>
      <c r="B355" s="23"/>
      <c r="C355" s="24">
        <f>ROUND(593.705,3)</f>
        <v>593.705</v>
      </c>
      <c r="D355" s="24">
        <f>F355</f>
        <v>613.059</v>
      </c>
      <c r="E355" s="24">
        <f>F355</f>
        <v>613.059</v>
      </c>
      <c r="F355" s="24">
        <f>ROUND(613.059,3)</f>
        <v>613.059</v>
      </c>
      <c r="G355" s="25"/>
      <c r="H355" s="26"/>
    </row>
    <row r="356" spans="1:8" ht="12.75" customHeight="1">
      <c r="A356" s="23">
        <v>43041</v>
      </c>
      <c r="B356" s="23"/>
      <c r="C356" s="24">
        <f>ROUND(593.705,3)</f>
        <v>593.705</v>
      </c>
      <c r="D356" s="24">
        <f>F356</f>
        <v>625.182</v>
      </c>
      <c r="E356" s="24">
        <f>F356</f>
        <v>625.182</v>
      </c>
      <c r="F356" s="24">
        <f>ROUND(625.182,3)</f>
        <v>625.182</v>
      </c>
      <c r="G356" s="25"/>
      <c r="H356" s="26"/>
    </row>
    <row r="357" spans="1:8" ht="12.75" customHeight="1">
      <c r="A357" s="23">
        <v>43132</v>
      </c>
      <c r="B357" s="23"/>
      <c r="C357" s="24">
        <f>ROUND(593.705,3)</f>
        <v>593.705</v>
      </c>
      <c r="D357" s="24">
        <f>F357</f>
        <v>637.64</v>
      </c>
      <c r="E357" s="24">
        <f>F357</f>
        <v>637.64</v>
      </c>
      <c r="F357" s="24">
        <f>ROUND(637.64,3)</f>
        <v>637.64</v>
      </c>
      <c r="G357" s="25"/>
      <c r="H357" s="26"/>
    </row>
    <row r="358" spans="1:8" ht="12.75" customHeight="1">
      <c r="A358" s="23" t="s">
        <v>77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42859</v>
      </c>
      <c r="B359" s="23"/>
      <c r="C359" s="24">
        <f>ROUND(521.408,3)</f>
        <v>521.408</v>
      </c>
      <c r="D359" s="24">
        <f>F359</f>
        <v>528.301</v>
      </c>
      <c r="E359" s="24">
        <f>F359</f>
        <v>528.301</v>
      </c>
      <c r="F359" s="24">
        <f>ROUND(528.301,3)</f>
        <v>528.301</v>
      </c>
      <c r="G359" s="25"/>
      <c r="H359" s="26"/>
    </row>
    <row r="360" spans="1:8" ht="12.75" customHeight="1">
      <c r="A360" s="23">
        <v>42950</v>
      </c>
      <c r="B360" s="23"/>
      <c r="C360" s="24">
        <f>ROUND(521.408,3)</f>
        <v>521.408</v>
      </c>
      <c r="D360" s="24">
        <f>F360</f>
        <v>538.405</v>
      </c>
      <c r="E360" s="24">
        <f>F360</f>
        <v>538.405</v>
      </c>
      <c r="F360" s="24">
        <f>ROUND(538.405,3)</f>
        <v>538.405</v>
      </c>
      <c r="G360" s="25"/>
      <c r="H360" s="26"/>
    </row>
    <row r="361" spans="1:8" ht="12.75" customHeight="1">
      <c r="A361" s="23">
        <v>43041</v>
      </c>
      <c r="B361" s="23"/>
      <c r="C361" s="24">
        <f>ROUND(521.408,3)</f>
        <v>521.408</v>
      </c>
      <c r="D361" s="24">
        <f>F361</f>
        <v>549.052</v>
      </c>
      <c r="E361" s="24">
        <f>F361</f>
        <v>549.052</v>
      </c>
      <c r="F361" s="24">
        <f>ROUND(549.052,3)</f>
        <v>549.052</v>
      </c>
      <c r="G361" s="25"/>
      <c r="H361" s="26"/>
    </row>
    <row r="362" spans="1:8" ht="12.75" customHeight="1">
      <c r="A362" s="23">
        <v>43132</v>
      </c>
      <c r="B362" s="23"/>
      <c r="C362" s="24">
        <f>ROUND(521.408,3)</f>
        <v>521.408</v>
      </c>
      <c r="D362" s="24">
        <f>F362</f>
        <v>559.993</v>
      </c>
      <c r="E362" s="24">
        <f>F362</f>
        <v>559.993</v>
      </c>
      <c r="F362" s="24">
        <f>ROUND(559.993,3)</f>
        <v>559.993</v>
      </c>
      <c r="G362" s="25"/>
      <c r="H362" s="26"/>
    </row>
    <row r="363" spans="1:8" ht="12.75" customHeight="1">
      <c r="A363" s="23" t="s">
        <v>78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42859</v>
      </c>
      <c r="B364" s="23"/>
      <c r="C364" s="24">
        <f>ROUND(600.396,3)</f>
        <v>600.396</v>
      </c>
      <c r="D364" s="24">
        <f>F364</f>
        <v>608.333</v>
      </c>
      <c r="E364" s="24">
        <f>F364</f>
        <v>608.333</v>
      </c>
      <c r="F364" s="24">
        <f>ROUND(608.333,3)</f>
        <v>608.333</v>
      </c>
      <c r="G364" s="25"/>
      <c r="H364" s="26"/>
    </row>
    <row r="365" spans="1:8" ht="12.75" customHeight="1">
      <c r="A365" s="23">
        <v>42950</v>
      </c>
      <c r="B365" s="23"/>
      <c r="C365" s="24">
        <f>ROUND(600.396,3)</f>
        <v>600.396</v>
      </c>
      <c r="D365" s="24">
        <f>F365</f>
        <v>619.968</v>
      </c>
      <c r="E365" s="24">
        <f>F365</f>
        <v>619.968</v>
      </c>
      <c r="F365" s="24">
        <f>ROUND(619.968,3)</f>
        <v>619.968</v>
      </c>
      <c r="G365" s="25"/>
      <c r="H365" s="26"/>
    </row>
    <row r="366" spans="1:8" ht="12.75" customHeight="1">
      <c r="A366" s="23">
        <v>43041</v>
      </c>
      <c r="B366" s="23"/>
      <c r="C366" s="24">
        <f>ROUND(600.396,3)</f>
        <v>600.396</v>
      </c>
      <c r="D366" s="24">
        <f>F366</f>
        <v>632.228</v>
      </c>
      <c r="E366" s="24">
        <f>F366</f>
        <v>632.228</v>
      </c>
      <c r="F366" s="24">
        <f>ROUND(632.228,3)</f>
        <v>632.228</v>
      </c>
      <c r="G366" s="25"/>
      <c r="H366" s="26"/>
    </row>
    <row r="367" spans="1:8" ht="12.75" customHeight="1">
      <c r="A367" s="23">
        <v>43132</v>
      </c>
      <c r="B367" s="23"/>
      <c r="C367" s="24">
        <f>ROUND(600.396,3)</f>
        <v>600.396</v>
      </c>
      <c r="D367" s="24">
        <f>F367</f>
        <v>644.826</v>
      </c>
      <c r="E367" s="24">
        <f>F367</f>
        <v>644.826</v>
      </c>
      <c r="F367" s="24">
        <f>ROUND(644.826,3)</f>
        <v>644.826</v>
      </c>
      <c r="G367" s="25"/>
      <c r="H367" s="26"/>
    </row>
    <row r="368" spans="1:8" ht="12.75" customHeight="1">
      <c r="A368" s="23" t="s">
        <v>79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42859</v>
      </c>
      <c r="B369" s="23"/>
      <c r="C369" s="24">
        <f>ROUND(544.434,3)</f>
        <v>544.434</v>
      </c>
      <c r="D369" s="24">
        <f>F369</f>
        <v>551.631</v>
      </c>
      <c r="E369" s="24">
        <f>F369</f>
        <v>551.631</v>
      </c>
      <c r="F369" s="24">
        <f>ROUND(551.631,3)</f>
        <v>551.631</v>
      </c>
      <c r="G369" s="25"/>
      <c r="H369" s="26"/>
    </row>
    <row r="370" spans="1:8" ht="12.75" customHeight="1">
      <c r="A370" s="23">
        <v>42950</v>
      </c>
      <c r="B370" s="23"/>
      <c r="C370" s="24">
        <f>ROUND(544.434,3)</f>
        <v>544.434</v>
      </c>
      <c r="D370" s="24">
        <f>F370</f>
        <v>562.182</v>
      </c>
      <c r="E370" s="24">
        <f>F370</f>
        <v>562.182</v>
      </c>
      <c r="F370" s="24">
        <f>ROUND(562.182,3)</f>
        <v>562.182</v>
      </c>
      <c r="G370" s="25"/>
      <c r="H370" s="26"/>
    </row>
    <row r="371" spans="1:8" ht="12.75" customHeight="1">
      <c r="A371" s="23">
        <v>43041</v>
      </c>
      <c r="B371" s="23"/>
      <c r="C371" s="24">
        <f>ROUND(544.434,3)</f>
        <v>544.434</v>
      </c>
      <c r="D371" s="24">
        <f>F371</f>
        <v>573.299</v>
      </c>
      <c r="E371" s="24">
        <f>F371</f>
        <v>573.299</v>
      </c>
      <c r="F371" s="24">
        <f>ROUND(573.299,3)</f>
        <v>573.299</v>
      </c>
      <c r="G371" s="25"/>
      <c r="H371" s="26"/>
    </row>
    <row r="372" spans="1:8" ht="12.75" customHeight="1">
      <c r="A372" s="23">
        <v>43132</v>
      </c>
      <c r="B372" s="23"/>
      <c r="C372" s="24">
        <f>ROUND(544.434,3)</f>
        <v>544.434</v>
      </c>
      <c r="D372" s="24">
        <f>F372</f>
        <v>584.723</v>
      </c>
      <c r="E372" s="24">
        <f>F372</f>
        <v>584.723</v>
      </c>
      <c r="F372" s="24">
        <f>ROUND(584.723,3)</f>
        <v>584.723</v>
      </c>
      <c r="G372" s="25"/>
      <c r="H372" s="26"/>
    </row>
    <row r="373" spans="1:8" ht="12.75" customHeight="1">
      <c r="A373" s="23" t="s">
        <v>80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42859</v>
      </c>
      <c r="B374" s="23"/>
      <c r="C374" s="24">
        <f>ROUND(249.409395824985,3)</f>
        <v>249.409</v>
      </c>
      <c r="D374" s="24">
        <f>F374</f>
        <v>252.744</v>
      </c>
      <c r="E374" s="24">
        <f>F374</f>
        <v>252.744</v>
      </c>
      <c r="F374" s="24">
        <f>ROUND(252.744,3)</f>
        <v>252.744</v>
      </c>
      <c r="G374" s="25"/>
      <c r="H374" s="26"/>
    </row>
    <row r="375" spans="1:8" ht="12.75" customHeight="1">
      <c r="A375" s="23">
        <v>42950</v>
      </c>
      <c r="B375" s="23"/>
      <c r="C375" s="24">
        <f>ROUND(249.409395824985,3)</f>
        <v>249.409</v>
      </c>
      <c r="D375" s="24">
        <f>F375</f>
        <v>257.63</v>
      </c>
      <c r="E375" s="24">
        <f>F375</f>
        <v>257.63</v>
      </c>
      <c r="F375" s="24">
        <f>ROUND(257.63,3)</f>
        <v>257.63</v>
      </c>
      <c r="G375" s="25"/>
      <c r="H375" s="26"/>
    </row>
    <row r="376" spans="1:8" ht="12.75" customHeight="1">
      <c r="A376" s="23">
        <v>43041</v>
      </c>
      <c r="B376" s="23"/>
      <c r="C376" s="24">
        <f>ROUND(249.409395824985,3)</f>
        <v>249.409</v>
      </c>
      <c r="D376" s="24">
        <f>F376</f>
        <v>262.78</v>
      </c>
      <c r="E376" s="24">
        <f>F376</f>
        <v>262.78</v>
      </c>
      <c r="F376" s="24">
        <f>ROUND(262.78,3)</f>
        <v>262.78</v>
      </c>
      <c r="G376" s="25"/>
      <c r="H376" s="26"/>
    </row>
    <row r="377" spans="1:8" ht="12.75" customHeight="1">
      <c r="A377" s="23">
        <v>43132</v>
      </c>
      <c r="B377" s="23"/>
      <c r="C377" s="24">
        <f>ROUND(249.409395824985,3)</f>
        <v>249.409</v>
      </c>
      <c r="D377" s="24">
        <f>F377</f>
        <v>268.111</v>
      </c>
      <c r="E377" s="24">
        <f>F377</f>
        <v>268.111</v>
      </c>
      <c r="F377" s="24">
        <f>ROUND(268.111,3)</f>
        <v>268.111</v>
      </c>
      <c r="G377" s="25"/>
      <c r="H377" s="26"/>
    </row>
    <row r="378" spans="1:8" ht="12.75" customHeight="1">
      <c r="A378" s="23" t="s">
        <v>81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42859</v>
      </c>
      <c r="B379" s="23"/>
      <c r="C379" s="24">
        <f>ROUND(675.731,3)</f>
        <v>675.731</v>
      </c>
      <c r="D379" s="24">
        <f>F379</f>
        <v>684.674</v>
      </c>
      <c r="E379" s="24">
        <f>F379</f>
        <v>684.674</v>
      </c>
      <c r="F379" s="24">
        <f>ROUND(684.674,3)</f>
        <v>684.674</v>
      </c>
      <c r="G379" s="25"/>
      <c r="H379" s="26"/>
    </row>
    <row r="380" spans="1:8" ht="12.75" customHeight="1">
      <c r="A380" s="23">
        <v>42950</v>
      </c>
      <c r="B380" s="23"/>
      <c r="C380" s="24">
        <f>ROUND(675.731,3)</f>
        <v>675.731</v>
      </c>
      <c r="D380" s="24">
        <f>F380</f>
        <v>697.676</v>
      </c>
      <c r="E380" s="24">
        <f>F380</f>
        <v>697.676</v>
      </c>
      <c r="F380" s="24">
        <f>ROUND(697.676,3)</f>
        <v>697.676</v>
      </c>
      <c r="G380" s="25"/>
      <c r="H380" s="26"/>
    </row>
    <row r="381" spans="1:8" ht="12.75" customHeight="1">
      <c r="A381" s="23">
        <v>43041</v>
      </c>
      <c r="B381" s="23"/>
      <c r="C381" s="24">
        <f>ROUND(675.731,3)</f>
        <v>675.731</v>
      </c>
      <c r="D381" s="24">
        <f>F381</f>
        <v>711.712</v>
      </c>
      <c r="E381" s="24">
        <f>F381</f>
        <v>711.712</v>
      </c>
      <c r="F381" s="24">
        <f>ROUND(711.712,3)</f>
        <v>711.712</v>
      </c>
      <c r="G381" s="25"/>
      <c r="H381" s="26"/>
    </row>
    <row r="382" spans="1:8" ht="12.75" customHeight="1">
      <c r="A382" s="23">
        <v>43132</v>
      </c>
      <c r="B382" s="23"/>
      <c r="C382" s="24">
        <f>ROUND(675.731,3)</f>
        <v>675.731</v>
      </c>
      <c r="D382" s="24">
        <f>F382</f>
        <v>726.272</v>
      </c>
      <c r="E382" s="24">
        <f>F382</f>
        <v>726.272</v>
      </c>
      <c r="F382" s="24">
        <f>ROUND(726.272,3)</f>
        <v>726.272</v>
      </c>
      <c r="G382" s="25"/>
      <c r="H382" s="26"/>
    </row>
    <row r="383" spans="1:8" ht="12.75" customHeight="1">
      <c r="A383" s="23" t="s">
        <v>82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42859</v>
      </c>
      <c r="B384" s="23"/>
      <c r="C384" s="24">
        <f>ROUND(542.263,3)</f>
        <v>542.263</v>
      </c>
      <c r="D384" s="24">
        <f>F384</f>
        <v>549.431</v>
      </c>
      <c r="E384" s="24">
        <f>F384</f>
        <v>549.431</v>
      </c>
      <c r="F384" s="24">
        <f>ROUND(549.431,3)</f>
        <v>549.431</v>
      </c>
      <c r="G384" s="25"/>
      <c r="H384" s="26"/>
    </row>
    <row r="385" spans="1:8" ht="12.75" customHeight="1">
      <c r="A385" s="23">
        <v>42950</v>
      </c>
      <c r="B385" s="23"/>
      <c r="C385" s="24">
        <f>ROUND(542.263,3)</f>
        <v>542.263</v>
      </c>
      <c r="D385" s="24">
        <f>F385</f>
        <v>559.94</v>
      </c>
      <c r="E385" s="24">
        <f>F385</f>
        <v>559.94</v>
      </c>
      <c r="F385" s="24">
        <f>ROUND(559.94,3)</f>
        <v>559.94</v>
      </c>
      <c r="G385" s="25"/>
      <c r="H385" s="26"/>
    </row>
    <row r="386" spans="1:8" ht="12.75" customHeight="1">
      <c r="A386" s="23">
        <v>43041</v>
      </c>
      <c r="B386" s="23"/>
      <c r="C386" s="24">
        <f>ROUND(542.263,3)</f>
        <v>542.263</v>
      </c>
      <c r="D386" s="24">
        <f>F386</f>
        <v>571.013</v>
      </c>
      <c r="E386" s="24">
        <f>F386</f>
        <v>571.013</v>
      </c>
      <c r="F386" s="24">
        <f>ROUND(571.013,3)</f>
        <v>571.013</v>
      </c>
      <c r="G386" s="25"/>
      <c r="H386" s="26"/>
    </row>
    <row r="387" spans="1:8" ht="12.75" customHeight="1" thickBot="1">
      <c r="A387" s="31">
        <v>43132</v>
      </c>
      <c r="B387" s="31"/>
      <c r="C387" s="32">
        <f>ROUND(542.263,3)</f>
        <v>542.263</v>
      </c>
      <c r="D387" s="32">
        <f>F387</f>
        <v>582.391</v>
      </c>
      <c r="E387" s="32">
        <f>F387</f>
        <v>582.391</v>
      </c>
      <c r="F387" s="32">
        <f>ROUND(582.391,3)</f>
        <v>582.391</v>
      </c>
      <c r="G387" s="33"/>
      <c r="H387" s="34"/>
    </row>
  </sheetData>
  <sheetProtection/>
  <mergeCells count="386"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2017-03-01T13:33:20Z</dcterms:modified>
  <cp:category/>
  <cp:version/>
  <cp:contentType/>
  <cp:contentStatus/>
</cp:coreProperties>
</file>