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'Jerry'!$A$1:$H$594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<sst xmlns="http://schemas.openxmlformats.org/spreadsheetml/2006/main" count="126" uniqueCount="122">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</sst>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3"/>
  <sheetViews>
    <sheetView tabSelected="1" zoomScaleSheetLayoutView="75" zoomScalePageLayoutView="0" workbookViewId="0" topLeftCell="A1">
      <selection activeCell="I60" sqref="I6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43118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ROUND(99.4161411964562,2)</f>
        <v>99.42</v>
      </c>
      <c r="D6" s="24">
        <f>F6</f>
        <v>99.72</v>
      </c>
      <c r="E6" s="24">
        <f>F6</f>
        <v>99.72</v>
      </c>
      <c r="F6" s="24">
        <f>ROUND(99.7245334071696,2)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ROUND(99.4161411964562,2)</f>
        <v>99.42</v>
      </c>
      <c r="D7" s="24">
        <f>F7</f>
        <v>99.89</v>
      </c>
      <c r="E7" s="24">
        <f>F7</f>
        <v>99.89</v>
      </c>
      <c r="F7" s="24">
        <f>ROUND(99.8946329277956,2)</f>
        <v>99.89</v>
      </c>
      <c r="G7" s="24"/>
      <c r="H7" s="36"/>
    </row>
    <row r="8" spans="1:8" ht="12.75" customHeight="1">
      <c r="A8" s="22">
        <v>43363</v>
      </c>
      <c r="B8" s="22"/>
      <c r="C8" s="24">
        <f>ROUND(99.4161411964562,2)</f>
        <v>99.42</v>
      </c>
      <c r="D8" s="24">
        <f>F8</f>
        <v>100.02</v>
      </c>
      <c r="E8" s="24">
        <f>F8</f>
        <v>100.02</v>
      </c>
      <c r="F8" s="24">
        <f>ROUND(100.019204495832,2)</f>
        <v>100.02</v>
      </c>
      <c r="G8" s="24"/>
      <c r="H8" s="36"/>
    </row>
    <row r="9" spans="1:8" ht="12.75" customHeight="1">
      <c r="A9" s="22">
        <v>43454</v>
      </c>
      <c r="B9" s="22"/>
      <c r="C9" s="24">
        <f>ROUND(99.4161411964562,2)</f>
        <v>99.42</v>
      </c>
      <c r="D9" s="24">
        <f>F9</f>
        <v>100.44</v>
      </c>
      <c r="E9" s="24">
        <f>F9</f>
        <v>100.44</v>
      </c>
      <c r="F9" s="24">
        <f>ROUND(100.442149226341,2)</f>
        <v>100.44</v>
      </c>
      <c r="G9" s="24"/>
      <c r="H9" s="36"/>
    </row>
    <row r="10" spans="1:8" ht="12.75" customHeight="1">
      <c r="A10" s="22">
        <v>43546</v>
      </c>
      <c r="B10" s="22"/>
      <c r="C10" s="24">
        <f>ROUND(99.4161411964562,2)</f>
        <v>99.42</v>
      </c>
      <c r="D10" s="24">
        <f>F10</f>
        <v>99.42</v>
      </c>
      <c r="E10" s="24">
        <f>F10</f>
        <v>99.42</v>
      </c>
      <c r="F10" s="24">
        <f>ROUND(99.4161411964562,2)</f>
        <v>99.42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ROUND(98.5156577433908,2)</f>
        <v>98.52</v>
      </c>
      <c r="D12" s="24">
        <f>F12</f>
        <v>99.01</v>
      </c>
      <c r="E12" s="24">
        <f>F12</f>
        <v>99.01</v>
      </c>
      <c r="F12" s="24">
        <f>ROUND(99.0074220517038,2)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ROUND(98.5156577433908,2)</f>
        <v>98.52</v>
      </c>
      <c r="D13" s="24">
        <f>F13</f>
        <v>98.59</v>
      </c>
      <c r="E13" s="24">
        <f>F13</f>
        <v>98.59</v>
      </c>
      <c r="F13" s="24">
        <f>ROUND(98.586879149934,2)</f>
        <v>98.59</v>
      </c>
      <c r="G13" s="24"/>
      <c r="H13" s="36"/>
    </row>
    <row r="14" spans="1:8" ht="12.75" customHeight="1">
      <c r="A14" s="22">
        <v>43364</v>
      </c>
      <c r="B14" s="22"/>
      <c r="C14" s="24">
        <f>ROUND(98.5156577433908,2)</f>
        <v>98.52</v>
      </c>
      <c r="D14" s="24">
        <f>F14</f>
        <v>98.49</v>
      </c>
      <c r="E14" s="24">
        <f>F14</f>
        <v>98.49</v>
      </c>
      <c r="F14" s="24">
        <f>ROUND(98.4885428922286,2)</f>
        <v>98.49</v>
      </c>
      <c r="G14" s="24"/>
      <c r="H14" s="36"/>
    </row>
    <row r="15" spans="1:8" ht="12.75" customHeight="1">
      <c r="A15" s="22">
        <v>43455</v>
      </c>
      <c r="B15" s="22"/>
      <c r="C15" s="24">
        <f>ROUND(98.5156577433908,2)</f>
        <v>98.52</v>
      </c>
      <c r="D15" s="24">
        <f>F15</f>
        <v>98.82</v>
      </c>
      <c r="E15" s="24">
        <f>F15</f>
        <v>98.82</v>
      </c>
      <c r="F15" s="24">
        <f>ROUND(98.8222463494981,2)</f>
        <v>98.82</v>
      </c>
      <c r="G15" s="24"/>
      <c r="H15" s="36"/>
    </row>
    <row r="16" spans="1:8" ht="12.75" customHeight="1">
      <c r="A16" s="22">
        <v>43539</v>
      </c>
      <c r="B16" s="22"/>
      <c r="C16" s="24">
        <f>ROUND(98.5156577433908,2)</f>
        <v>98.52</v>
      </c>
      <c r="D16" s="24">
        <f>F16</f>
        <v>99.17</v>
      </c>
      <c r="E16" s="24">
        <f>F16</f>
        <v>99.17</v>
      </c>
      <c r="F16" s="24">
        <f>ROUND(99.1725634797215,2)</f>
        <v>99.17</v>
      </c>
      <c r="G16" s="24"/>
      <c r="H16" s="36"/>
    </row>
    <row r="17" spans="1:8" ht="12.75" customHeight="1">
      <c r="A17" s="22">
        <v>43637</v>
      </c>
      <c r="B17" s="22"/>
      <c r="C17" s="24">
        <f>ROUND(98.5156577433908,2)</f>
        <v>98.52</v>
      </c>
      <c r="D17" s="24">
        <f>F17</f>
        <v>99.51</v>
      </c>
      <c r="E17" s="24">
        <f>F17</f>
        <v>99.51</v>
      </c>
      <c r="F17" s="24">
        <f>ROUND(99.5100385621318,2)</f>
        <v>99.51</v>
      </c>
      <c r="G17" s="24"/>
      <c r="H17" s="36"/>
    </row>
    <row r="18" spans="1:8" ht="12.75" customHeight="1">
      <c r="A18" s="22">
        <v>43728</v>
      </c>
      <c r="B18" s="22"/>
      <c r="C18" s="24">
        <f>ROUND(98.5156577433908,2)</f>
        <v>98.52</v>
      </c>
      <c r="D18" s="24">
        <f>F18</f>
        <v>99.87</v>
      </c>
      <c r="E18" s="24">
        <f>F18</f>
        <v>99.87</v>
      </c>
      <c r="F18" s="24">
        <f>ROUND(99.8742807907428,2)</f>
        <v>99.87</v>
      </c>
      <c r="G18" s="24"/>
      <c r="H18" s="36"/>
    </row>
    <row r="19" spans="1:8" ht="12.75" customHeight="1">
      <c r="A19" s="22">
        <v>43819</v>
      </c>
      <c r="B19" s="22"/>
      <c r="C19" s="24">
        <f>ROUND(98.5156577433908,2)</f>
        <v>98.52</v>
      </c>
      <c r="D19" s="24">
        <f>F19</f>
        <v>100.79</v>
      </c>
      <c r="E19" s="24">
        <f>F19</f>
        <v>100.79</v>
      </c>
      <c r="F19" s="24">
        <f>ROUND(100.790871442097,2)</f>
        <v>100.79</v>
      </c>
      <c r="G19" s="24"/>
      <c r="H19" s="36"/>
    </row>
    <row r="20" spans="1:8" ht="12.75" customHeight="1">
      <c r="A20" s="22">
        <v>43913</v>
      </c>
      <c r="B20" s="22"/>
      <c r="C20" s="24">
        <f>ROUND(98.5156577433908,2)</f>
        <v>98.52</v>
      </c>
      <c r="D20" s="24">
        <f>F20</f>
        <v>98.52</v>
      </c>
      <c r="E20" s="24">
        <f>F20</f>
        <v>98.52</v>
      </c>
      <c r="F20" s="24">
        <f>ROUND(98.5156577433908,2)</f>
        <v>98.52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ROUND(96.2740066383505,2)</f>
        <v>96.27</v>
      </c>
      <c r="D22" s="24">
        <f>F22</f>
        <v>95.89</v>
      </c>
      <c r="E22" s="24">
        <f>F22</f>
        <v>95.89</v>
      </c>
      <c r="F22" s="24">
        <f>ROUND(95.8895273897495,2)</f>
        <v>95.89</v>
      </c>
      <c r="G22" s="24"/>
      <c r="H22" s="36"/>
    </row>
    <row r="23" spans="1:8" ht="12.75" customHeight="1">
      <c r="A23" s="22">
        <v>44271</v>
      </c>
      <c r="B23" s="22"/>
      <c r="C23" s="24">
        <f>ROUND(96.2740066383505,2)</f>
        <v>96.27</v>
      </c>
      <c r="D23" s="24">
        <f>F23</f>
        <v>95.08</v>
      </c>
      <c r="E23" s="24">
        <f>F23</f>
        <v>95.08</v>
      </c>
      <c r="F23" s="24">
        <f>ROUND(95.0794385134812,2)</f>
        <v>95.08</v>
      </c>
      <c r="G23" s="24"/>
      <c r="H23" s="36"/>
    </row>
    <row r="24" spans="1:8" ht="12.75" customHeight="1">
      <c r="A24" s="22">
        <v>44362</v>
      </c>
      <c r="B24" s="22"/>
      <c r="C24" s="24">
        <f>ROUND(96.2740066383505,2)</f>
        <v>96.27</v>
      </c>
      <c r="D24" s="24">
        <f>F24</f>
        <v>94.24</v>
      </c>
      <c r="E24" s="24">
        <f>F24</f>
        <v>94.24</v>
      </c>
      <c r="F24" s="24">
        <f>ROUND(94.2363975784889,2)</f>
        <v>94.24</v>
      </c>
      <c r="G24" s="24"/>
      <c r="H24" s="36"/>
    </row>
    <row r="25" spans="1:8" ht="12.75" customHeight="1">
      <c r="A25" s="22">
        <v>44460</v>
      </c>
      <c r="B25" s="22"/>
      <c r="C25" s="24">
        <f>ROUND(96.2740066383505,2)</f>
        <v>96.27</v>
      </c>
      <c r="D25" s="24">
        <f>F25</f>
        <v>94.36</v>
      </c>
      <c r="E25" s="24">
        <f>F25</f>
        <v>94.36</v>
      </c>
      <c r="F25" s="24">
        <f>ROUND(94.3645637657712,2)</f>
        <v>94.36</v>
      </c>
      <c r="G25" s="24"/>
      <c r="H25" s="36"/>
    </row>
    <row r="26" spans="1:8" ht="12.75" customHeight="1">
      <c r="A26" s="22">
        <v>44551</v>
      </c>
      <c r="B26" s="22"/>
      <c r="C26" s="24">
        <f>ROUND(96.2740066383505,2)</f>
        <v>96.27</v>
      </c>
      <c r="D26" s="24">
        <f>F26</f>
        <v>96.52</v>
      </c>
      <c r="E26" s="24">
        <f>F26</f>
        <v>96.52</v>
      </c>
      <c r="F26" s="24">
        <f>ROUND(96.524736780744,2)</f>
        <v>96.52</v>
      </c>
      <c r="G26" s="24"/>
      <c r="H26" s="36"/>
    </row>
    <row r="27" spans="1:8" ht="12.75" customHeight="1">
      <c r="A27" s="22">
        <v>44635</v>
      </c>
      <c r="B27" s="22"/>
      <c r="C27" s="24">
        <f>ROUND(96.2740066383505,2)</f>
        <v>96.27</v>
      </c>
      <c r="D27" s="24">
        <f>F27</f>
        <v>96.64</v>
      </c>
      <c r="E27" s="24">
        <f>F27</f>
        <v>96.64</v>
      </c>
      <c r="F27" s="24">
        <f>ROUND(96.6355890725947,2)</f>
        <v>96.64</v>
      </c>
      <c r="G27" s="24"/>
      <c r="H27" s="36"/>
    </row>
    <row r="28" spans="1:8" ht="12.75" customHeight="1">
      <c r="A28" s="22">
        <v>44733</v>
      </c>
      <c r="B28" s="22"/>
      <c r="C28" s="24">
        <f>ROUND(96.2740066383505,2)</f>
        <v>96.27</v>
      </c>
      <c r="D28" s="24">
        <f>F28</f>
        <v>97.79</v>
      </c>
      <c r="E28" s="24">
        <f>F28</f>
        <v>97.79</v>
      </c>
      <c r="F28" s="24">
        <f>ROUND(97.7911303229076,2)</f>
        <v>97.79</v>
      </c>
      <c r="G28" s="24"/>
      <c r="H28" s="36"/>
    </row>
    <row r="29" spans="1:8" ht="12.75" customHeight="1">
      <c r="A29" s="22">
        <v>44824</v>
      </c>
      <c r="B29" s="22"/>
      <c r="C29" s="24">
        <f>ROUND(96.2740066383505,2)</f>
        <v>96.27</v>
      </c>
      <c r="D29" s="24">
        <f>F29</f>
        <v>99.97</v>
      </c>
      <c r="E29" s="24">
        <f>F29</f>
        <v>99.97</v>
      </c>
      <c r="F29" s="24">
        <f>ROUND(99.9678585128599,2)</f>
        <v>99.97</v>
      </c>
      <c r="G29" s="24"/>
      <c r="H29" s="36"/>
    </row>
    <row r="30" spans="1:8" ht="12.75" customHeight="1">
      <c r="A30" s="22">
        <v>44915</v>
      </c>
      <c r="B30" s="22"/>
      <c r="C30" s="24">
        <f>ROUND(96.2740066383505,2)</f>
        <v>96.27</v>
      </c>
      <c r="D30" s="24">
        <f>F30</f>
        <v>101.19</v>
      </c>
      <c r="E30" s="24">
        <f>F30</f>
        <v>101.19</v>
      </c>
      <c r="F30" s="24">
        <f>ROUND(101.194011460447,2)</f>
        <v>101.19</v>
      </c>
      <c r="G30" s="24"/>
      <c r="H30" s="36"/>
    </row>
    <row r="31" spans="1:8" ht="12.75" customHeight="1">
      <c r="A31" s="22">
        <v>45007</v>
      </c>
      <c r="B31" s="22"/>
      <c r="C31" s="24">
        <f>ROUND(96.2740066383505,2)</f>
        <v>96.27</v>
      </c>
      <c r="D31" s="24">
        <f>F31</f>
        <v>96.27</v>
      </c>
      <c r="E31" s="24">
        <f>F31</f>
        <v>96.27</v>
      </c>
      <c r="F31" s="24">
        <f>ROUND(96.2740066383505,2)</f>
        <v>96.27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ROUND(95.9443128052738,2)</f>
        <v>95.94</v>
      </c>
      <c r="D33" s="24">
        <f>F33</f>
        <v>94.36</v>
      </c>
      <c r="E33" s="24">
        <f>F33</f>
        <v>94.36</v>
      </c>
      <c r="F33" s="24">
        <f>ROUND(94.355136180405,2)</f>
        <v>94.36</v>
      </c>
      <c r="G33" s="24"/>
      <c r="H33" s="36"/>
    </row>
    <row r="34" spans="1:8" ht="12.75" customHeight="1">
      <c r="A34" s="22">
        <v>46097</v>
      </c>
      <c r="B34" s="22"/>
      <c r="C34" s="24">
        <f>ROUND(95.9443128052738,2)</f>
        <v>95.94</v>
      </c>
      <c r="D34" s="24">
        <f>F34</f>
        <v>91.34</v>
      </c>
      <c r="E34" s="24">
        <f>F34</f>
        <v>91.34</v>
      </c>
      <c r="F34" s="24">
        <f>ROUND(91.3415919592875,2)</f>
        <v>91.34</v>
      </c>
      <c r="G34" s="24"/>
      <c r="H34" s="36"/>
    </row>
    <row r="35" spans="1:8" ht="12.75" customHeight="1">
      <c r="A35" s="22">
        <v>46188</v>
      </c>
      <c r="B35" s="22"/>
      <c r="C35" s="24">
        <f>ROUND(95.9443128052738,2)</f>
        <v>95.94</v>
      </c>
      <c r="D35" s="24">
        <f>F35</f>
        <v>90.06</v>
      </c>
      <c r="E35" s="24">
        <f>F35</f>
        <v>90.06</v>
      </c>
      <c r="F35" s="24">
        <f>ROUND(90.0640083423319,2)</f>
        <v>90.06</v>
      </c>
      <c r="G35" s="24"/>
      <c r="H35" s="36"/>
    </row>
    <row r="36" spans="1:8" ht="12.75" customHeight="1">
      <c r="A36" s="22">
        <v>46286</v>
      </c>
      <c r="B36" s="22"/>
      <c r="C36" s="24">
        <f>ROUND(95.9443128052738,2)</f>
        <v>95.94</v>
      </c>
      <c r="D36" s="24">
        <f>F36</f>
        <v>92.2</v>
      </c>
      <c r="E36" s="24">
        <f>F36</f>
        <v>92.2</v>
      </c>
      <c r="F36" s="24">
        <f>ROUND(92.2004667811475,2)</f>
        <v>92.2</v>
      </c>
      <c r="G36" s="24"/>
      <c r="H36" s="36"/>
    </row>
    <row r="37" spans="1:8" ht="12.75" customHeight="1">
      <c r="A37" s="22">
        <v>46377</v>
      </c>
      <c r="B37" s="22"/>
      <c r="C37" s="24">
        <f>ROUND(95.9443128052738,2)</f>
        <v>95.94</v>
      </c>
      <c r="D37" s="24">
        <f>F37</f>
        <v>95.98</v>
      </c>
      <c r="E37" s="24">
        <f>F37</f>
        <v>95.98</v>
      </c>
      <c r="F37" s="24">
        <f>ROUND(95.9784108601486,2)</f>
        <v>95.98</v>
      </c>
      <c r="G37" s="24"/>
      <c r="H37" s="36"/>
    </row>
    <row r="38" spans="1:8" ht="12.75" customHeight="1">
      <c r="A38" s="22">
        <v>46461</v>
      </c>
      <c r="B38" s="22"/>
      <c r="C38" s="24">
        <f>ROUND(95.9443128052738,2)</f>
        <v>95.94</v>
      </c>
      <c r="D38" s="24">
        <f>F38</f>
        <v>94.54</v>
      </c>
      <c r="E38" s="24">
        <f>F38</f>
        <v>94.54</v>
      </c>
      <c r="F38" s="24">
        <f>ROUND(94.5448928056046,2)</f>
        <v>94.54</v>
      </c>
      <c r="G38" s="24"/>
      <c r="H38" s="36"/>
    </row>
    <row r="39" spans="1:8" ht="12.75" customHeight="1">
      <c r="A39" s="22">
        <v>46559</v>
      </c>
      <c r="B39" s="22"/>
      <c r="C39" s="24">
        <f>ROUND(95.9443128052738,2)</f>
        <v>95.94</v>
      </c>
      <c r="D39" s="24">
        <f>F39</f>
        <v>96.62</v>
      </c>
      <c r="E39" s="24">
        <f>F39</f>
        <v>96.62</v>
      </c>
      <c r="F39" s="24">
        <f>ROUND(96.6181149989584,2)</f>
        <v>96.62</v>
      </c>
      <c r="G39" s="24"/>
      <c r="H39" s="36"/>
    </row>
    <row r="40" spans="1:8" ht="12.75" customHeight="1">
      <c r="A40" s="22">
        <v>46650</v>
      </c>
      <c r="B40" s="22"/>
      <c r="C40" s="24">
        <f>ROUND(95.9443128052738,2)</f>
        <v>95.94</v>
      </c>
      <c r="D40" s="24">
        <f>F40</f>
        <v>100.36</v>
      </c>
      <c r="E40" s="24">
        <f>F40</f>
        <v>100.36</v>
      </c>
      <c r="F40" s="24">
        <f>ROUND(100.358068767726,2)</f>
        <v>100.36</v>
      </c>
      <c r="G40" s="24"/>
      <c r="H40" s="36"/>
    </row>
    <row r="41" spans="1:8" ht="12.75" customHeight="1">
      <c r="A41" s="22">
        <v>46741</v>
      </c>
      <c r="B41" s="22"/>
      <c r="C41" s="24">
        <f>ROUND(95.9443128052738,2)</f>
        <v>95.94</v>
      </c>
      <c r="D41" s="24">
        <f>F41</f>
        <v>100.72</v>
      </c>
      <c r="E41" s="24">
        <f>F41</f>
        <v>100.72</v>
      </c>
      <c r="F41" s="24">
        <f>ROUND(100.715557172007,2)</f>
        <v>100.72</v>
      </c>
      <c r="G41" s="24"/>
      <c r="H41" s="36"/>
    </row>
    <row r="42" spans="1:8" ht="12.75" customHeight="1">
      <c r="A42" s="22">
        <v>46834</v>
      </c>
      <c r="B42" s="22"/>
      <c r="C42" s="24">
        <f>ROUND(95.9443128052738,2)</f>
        <v>95.94</v>
      </c>
      <c r="D42" s="24">
        <f>F42</f>
        <v>95.94</v>
      </c>
      <c r="E42" s="24">
        <f>F42</f>
        <v>95.94</v>
      </c>
      <c r="F42" s="24">
        <f>ROUND(95.9443128052738,2)</f>
        <v>95.94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ROUND(2.43,5)</f>
        <v>2.43</v>
      </c>
      <c r="D44" s="26">
        <f>F44</f>
        <v>2.43</v>
      </c>
      <c r="E44" s="26">
        <f>F44</f>
        <v>2.43</v>
      </c>
      <c r="F44" s="26">
        <f>ROUND(2.43,5)</f>
        <v>2.43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ROUND(2.65,5)</f>
        <v>2.65</v>
      </c>
      <c r="D46" s="26">
        <f>F46</f>
        <v>2.65</v>
      </c>
      <c r="E46" s="26">
        <f>F46</f>
        <v>2.65</v>
      </c>
      <c r="F46" s="26">
        <f>ROUND(2.65,5)</f>
        <v>2.65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ROUND(2.74,5)</f>
        <v>2.74</v>
      </c>
      <c r="D48" s="26">
        <f>F48</f>
        <v>2.74</v>
      </c>
      <c r="E48" s="26">
        <f>F48</f>
        <v>2.74</v>
      </c>
      <c r="F48" s="26">
        <f>ROUND(2.74,5)</f>
        <v>2.74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ROUND(3.26,5)</f>
        <v>3.26</v>
      </c>
      <c r="D50" s="26">
        <f>F50</f>
        <v>3.26</v>
      </c>
      <c r="E50" s="26">
        <f>F50</f>
        <v>3.26</v>
      </c>
      <c r="F50" s="26">
        <f>ROUND(3.26,5)</f>
        <v>3.26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ROUND(10.71,5)</f>
        <v>10.71</v>
      </c>
      <c r="D52" s="26">
        <f>F52</f>
        <v>10.71</v>
      </c>
      <c r="E52" s="26">
        <f>F52</f>
        <v>10.71</v>
      </c>
      <c r="F52" s="26">
        <f>ROUND(10.71,5)</f>
        <v>10.71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ROUND(7.805,5)</f>
        <v>7.805</v>
      </c>
      <c r="D54" s="26">
        <f>F54</f>
        <v>7.805</v>
      </c>
      <c r="E54" s="26">
        <f>F54</f>
        <v>7.805</v>
      </c>
      <c r="F54" s="26">
        <f>ROUND(7.805,5)</f>
        <v>7.805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ROUND(8.485,3)</f>
        <v>8.485</v>
      </c>
      <c r="D56" s="27">
        <f>F56</f>
        <v>8.485</v>
      </c>
      <c r="E56" s="27">
        <f>F56</f>
        <v>8.485</v>
      </c>
      <c r="F56" s="27">
        <f>ROUND(8.485,3)</f>
        <v>8.485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ROUND(2.4,3)</f>
        <v>2.4</v>
      </c>
      <c r="D58" s="27">
        <f>F58</f>
        <v>2.4</v>
      </c>
      <c r="E58" s="27">
        <f>F58</f>
        <v>2.4</v>
      </c>
      <c r="F58" s="27">
        <f>ROUND(2.4,3)</f>
        <v>2.4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ROUND(2.65,3)</f>
        <v>2.65</v>
      </c>
      <c r="D60" s="27">
        <f>F60</f>
        <v>2.65</v>
      </c>
      <c r="E60" s="27">
        <f>F60</f>
        <v>2.65</v>
      </c>
      <c r="F60" s="27">
        <f>ROUND(2.65,3)</f>
        <v>2.65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ROUND(7.04,3)</f>
        <v>7.04</v>
      </c>
      <c r="D62" s="27">
        <f>F62</f>
        <v>7.04</v>
      </c>
      <c r="E62" s="27">
        <f>F62</f>
        <v>7.04</v>
      </c>
      <c r="F62" s="27">
        <f>ROUND(7.04,3)</f>
        <v>7.04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ROUND(7.14,3)</f>
        <v>7.14</v>
      </c>
      <c r="D64" s="27">
        <f>F64</f>
        <v>7.14</v>
      </c>
      <c r="E64" s="27">
        <f>F64</f>
        <v>7.14</v>
      </c>
      <c r="F64" s="27">
        <f>ROUND(7.14,3)</f>
        <v>7.14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ROUND(7.42,3)</f>
        <v>7.42</v>
      </c>
      <c r="D66" s="27">
        <f>F66</f>
        <v>7.42</v>
      </c>
      <c r="E66" s="27">
        <f>F66</f>
        <v>7.42</v>
      </c>
      <c r="F66" s="27">
        <f>ROUND(7.42,3)</f>
        <v>7.42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ROUND(9.415,3)</f>
        <v>9.415</v>
      </c>
      <c r="D68" s="27">
        <f>F68</f>
        <v>9.415</v>
      </c>
      <c r="E68" s="27">
        <f>F68</f>
        <v>9.415</v>
      </c>
      <c r="F68" s="27">
        <f>ROUND(9.415,3)</f>
        <v>9.415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ROUND(2.54,3)</f>
        <v>2.54</v>
      </c>
      <c r="D70" s="27">
        <f>F70</f>
        <v>2.54</v>
      </c>
      <c r="E70" s="27">
        <f>F70</f>
        <v>2.54</v>
      </c>
      <c r="F70" s="27">
        <f>ROUND(2.54,3)</f>
        <v>2.54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ROUND(2.32,3)</f>
        <v>2.32</v>
      </c>
      <c r="D72" s="27">
        <f>F72</f>
        <v>2.32</v>
      </c>
      <c r="E72" s="27">
        <f>F72</f>
        <v>2.32</v>
      </c>
      <c r="F72" s="27">
        <f>ROUND(2.32,3)</f>
        <v>2.32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ROUND(9.11,3)</f>
        <v>9.11</v>
      </c>
      <c r="D74" s="27">
        <f>F74</f>
        <v>9.11</v>
      </c>
      <c r="E74" s="27">
        <f>F74</f>
        <v>9.11</v>
      </c>
      <c r="F74" s="27">
        <f>ROUND(9.11,3)</f>
        <v>9.11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43132</v>
      </c>
      <c r="B76" s="22"/>
      <c r="C76" s="26">
        <f>ROUND(2.43,5)</f>
        <v>2.43</v>
      </c>
      <c r="D76" s="26">
        <f>F76</f>
        <v>130.59519</v>
      </c>
      <c r="E76" s="26">
        <f>F76</f>
        <v>130.59519</v>
      </c>
      <c r="F76" s="26">
        <f>ROUND(130.59519,5)</f>
        <v>130.59519</v>
      </c>
      <c r="G76" s="24"/>
      <c r="H76" s="36"/>
    </row>
    <row r="77" spans="1:8" ht="12.75" customHeight="1">
      <c r="A77" s="22">
        <v>43223</v>
      </c>
      <c r="B77" s="22"/>
      <c r="C77" s="26">
        <f>ROUND(2.43,5)</f>
        <v>2.43</v>
      </c>
      <c r="D77" s="26">
        <f>F77</f>
        <v>133.04256</v>
      </c>
      <c r="E77" s="26">
        <f>F77</f>
        <v>133.04256</v>
      </c>
      <c r="F77" s="26">
        <f>ROUND(133.04256,5)</f>
        <v>133.04256</v>
      </c>
      <c r="G77" s="24"/>
      <c r="H77" s="36"/>
    </row>
    <row r="78" spans="1:8" ht="12.75" customHeight="1">
      <c r="A78" s="22">
        <v>43314</v>
      </c>
      <c r="B78" s="22"/>
      <c r="C78" s="26">
        <f>ROUND(2.43,5)</f>
        <v>2.43</v>
      </c>
      <c r="D78" s="26">
        <f>F78</f>
        <v>135.50436</v>
      </c>
      <c r="E78" s="26">
        <f>F78</f>
        <v>135.50436</v>
      </c>
      <c r="F78" s="26">
        <f>ROUND(135.50436,5)</f>
        <v>135.50436</v>
      </c>
      <c r="G78" s="24"/>
      <c r="H78" s="36"/>
    </row>
    <row r="79" spans="1:8" ht="12.75" customHeight="1">
      <c r="A79" s="22">
        <v>43405</v>
      </c>
      <c r="B79" s="22"/>
      <c r="C79" s="26">
        <f>ROUND(2.43,5)</f>
        <v>2.43</v>
      </c>
      <c r="D79" s="26">
        <f>F79</f>
        <v>138.15627</v>
      </c>
      <c r="E79" s="26">
        <f>F79</f>
        <v>138.15627</v>
      </c>
      <c r="F79" s="26">
        <f>ROUND(138.15627,5)</f>
        <v>138.15627</v>
      </c>
      <c r="G79" s="24"/>
      <c r="H79" s="36"/>
    </row>
    <row r="80" spans="1:8" ht="12.75" customHeight="1">
      <c r="A80" s="22">
        <v>43503</v>
      </c>
      <c r="B80" s="22"/>
      <c r="C80" s="26">
        <f>ROUND(2.43,5)</f>
        <v>2.43</v>
      </c>
      <c r="D80" s="26">
        <f>F80</f>
        <v>141.02081</v>
      </c>
      <c r="E80" s="26">
        <f>F80</f>
        <v>141.02081</v>
      </c>
      <c r="F80" s="26">
        <f>ROUND(141.02081,5)</f>
        <v>141.02081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43132</v>
      </c>
      <c r="B82" s="22"/>
      <c r="C82" s="26">
        <f>ROUND(100.39404,5)</f>
        <v>100.39404</v>
      </c>
      <c r="D82" s="26">
        <f>F82</f>
        <v>100.67387</v>
      </c>
      <c r="E82" s="26">
        <f>F82</f>
        <v>100.67387</v>
      </c>
      <c r="F82" s="26">
        <f>ROUND(100.67387,5)</f>
        <v>100.67387</v>
      </c>
      <c r="G82" s="24"/>
      <c r="H82" s="36"/>
    </row>
    <row r="83" spans="1:8" ht="12.75" customHeight="1">
      <c r="A83" s="22">
        <v>43223</v>
      </c>
      <c r="B83" s="22"/>
      <c r="C83" s="26">
        <f>ROUND(100.39404,5)</f>
        <v>100.39404</v>
      </c>
      <c r="D83" s="26">
        <f>F83</f>
        <v>101.54243</v>
      </c>
      <c r="E83" s="26">
        <f>F83</f>
        <v>101.54243</v>
      </c>
      <c r="F83" s="26">
        <f>ROUND(101.54243,5)</f>
        <v>101.54243</v>
      </c>
      <c r="G83" s="24"/>
      <c r="H83" s="36"/>
    </row>
    <row r="84" spans="1:8" ht="12.75" customHeight="1">
      <c r="A84" s="22">
        <v>43314</v>
      </c>
      <c r="B84" s="22"/>
      <c r="C84" s="26">
        <f>ROUND(100.39404,5)</f>
        <v>100.39404</v>
      </c>
      <c r="D84" s="26">
        <f>F84</f>
        <v>103.45526</v>
      </c>
      <c r="E84" s="26">
        <f>F84</f>
        <v>103.45526</v>
      </c>
      <c r="F84" s="26">
        <f>ROUND(103.45526,5)</f>
        <v>103.45526</v>
      </c>
      <c r="G84" s="24"/>
      <c r="H84" s="36"/>
    </row>
    <row r="85" spans="1:8" ht="12.75" customHeight="1">
      <c r="A85" s="22">
        <v>43405</v>
      </c>
      <c r="B85" s="22"/>
      <c r="C85" s="26">
        <f>ROUND(100.39404,5)</f>
        <v>100.39404</v>
      </c>
      <c r="D85" s="26">
        <f>F85</f>
        <v>105.48</v>
      </c>
      <c r="E85" s="26">
        <f>F85</f>
        <v>105.48</v>
      </c>
      <c r="F85" s="26">
        <f>ROUND(105.48,5)</f>
        <v>105.48</v>
      </c>
      <c r="G85" s="24"/>
      <c r="H85" s="36"/>
    </row>
    <row r="86" spans="1:8" ht="12.75" customHeight="1">
      <c r="A86" s="22">
        <v>43503</v>
      </c>
      <c r="B86" s="22"/>
      <c r="C86" s="26">
        <f>ROUND(100.39404,5)</f>
        <v>100.39404</v>
      </c>
      <c r="D86" s="26">
        <f>F86</f>
        <v>107.66693</v>
      </c>
      <c r="E86" s="26">
        <f>F86</f>
        <v>107.66693</v>
      </c>
      <c r="F86" s="26">
        <f>ROUND(107.66693,5)</f>
        <v>107.66693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43132</v>
      </c>
      <c r="B88" s="22"/>
      <c r="C88" s="26">
        <f>ROUND(9.035,5)</f>
        <v>9.035</v>
      </c>
      <c r="D88" s="26">
        <f>F88</f>
        <v>9.04313</v>
      </c>
      <c r="E88" s="26">
        <f>F88</f>
        <v>9.04313</v>
      </c>
      <c r="F88" s="26">
        <f>ROUND(9.04313,5)</f>
        <v>9.04313</v>
      </c>
      <c r="G88" s="24"/>
      <c r="H88" s="36"/>
    </row>
    <row r="89" spans="1:8" ht="12.75" customHeight="1">
      <c r="A89" s="22">
        <v>43223</v>
      </c>
      <c r="B89" s="22"/>
      <c r="C89" s="26">
        <f>ROUND(9.035,5)</f>
        <v>9.035</v>
      </c>
      <c r="D89" s="26">
        <f>F89</f>
        <v>9.09524</v>
      </c>
      <c r="E89" s="26">
        <f>F89</f>
        <v>9.09524</v>
      </c>
      <c r="F89" s="26">
        <f>ROUND(9.09524,5)</f>
        <v>9.09524</v>
      </c>
      <c r="G89" s="24"/>
      <c r="H89" s="36"/>
    </row>
    <row r="90" spans="1:8" ht="12.75" customHeight="1">
      <c r="A90" s="22">
        <v>43314</v>
      </c>
      <c r="B90" s="22"/>
      <c r="C90" s="26">
        <f>ROUND(9.035,5)</f>
        <v>9.035</v>
      </c>
      <c r="D90" s="26">
        <f>F90</f>
        <v>9.15015</v>
      </c>
      <c r="E90" s="26">
        <f>F90</f>
        <v>9.15015</v>
      </c>
      <c r="F90" s="26">
        <f>ROUND(9.15015,5)</f>
        <v>9.15015</v>
      </c>
      <c r="G90" s="24"/>
      <c r="H90" s="36"/>
    </row>
    <row r="91" spans="1:8" ht="12.75" customHeight="1">
      <c r="A91" s="22">
        <v>43405</v>
      </c>
      <c r="B91" s="22"/>
      <c r="C91" s="26">
        <f>ROUND(9.035,5)</f>
        <v>9.035</v>
      </c>
      <c r="D91" s="26">
        <f>F91</f>
        <v>9.19353</v>
      </c>
      <c r="E91" s="26">
        <f>F91</f>
        <v>9.19353</v>
      </c>
      <c r="F91" s="26">
        <f>ROUND(9.19353,5)</f>
        <v>9.19353</v>
      </c>
      <c r="G91" s="24"/>
      <c r="H91" s="36"/>
    </row>
    <row r="92" spans="1:8" ht="12.75" customHeight="1">
      <c r="A92" s="22">
        <v>43503</v>
      </c>
      <c r="B92" s="22"/>
      <c r="C92" s="26">
        <f>ROUND(9.035,5)</f>
        <v>9.035</v>
      </c>
      <c r="D92" s="26">
        <f>F92</f>
        <v>9.24626</v>
      </c>
      <c r="E92" s="26">
        <f>F92</f>
        <v>9.24626</v>
      </c>
      <c r="F92" s="26">
        <f>ROUND(9.24626,5)</f>
        <v>9.24626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43132</v>
      </c>
      <c r="B94" s="22"/>
      <c r="C94" s="26">
        <f>ROUND(9.235,5)</f>
        <v>9.235</v>
      </c>
      <c r="D94" s="26">
        <f>F94</f>
        <v>9.24389</v>
      </c>
      <c r="E94" s="26">
        <f>F94</f>
        <v>9.24389</v>
      </c>
      <c r="F94" s="26">
        <f>ROUND(9.24389,5)</f>
        <v>9.24389</v>
      </c>
      <c r="G94" s="24"/>
      <c r="H94" s="36"/>
    </row>
    <row r="95" spans="1:8" ht="12.75" customHeight="1">
      <c r="A95" s="22">
        <v>43223</v>
      </c>
      <c r="B95" s="22"/>
      <c r="C95" s="26">
        <f>ROUND(9.235,5)</f>
        <v>9.235</v>
      </c>
      <c r="D95" s="26">
        <f>F95</f>
        <v>9.29669</v>
      </c>
      <c r="E95" s="26">
        <f>F95</f>
        <v>9.29669</v>
      </c>
      <c r="F95" s="26">
        <f>ROUND(9.29669,5)</f>
        <v>9.29669</v>
      </c>
      <c r="G95" s="24"/>
      <c r="H95" s="36"/>
    </row>
    <row r="96" spans="1:8" ht="12.75" customHeight="1">
      <c r="A96" s="22">
        <v>43314</v>
      </c>
      <c r="B96" s="22"/>
      <c r="C96" s="26">
        <f>ROUND(9.235,5)</f>
        <v>9.235</v>
      </c>
      <c r="D96" s="26">
        <f>F96</f>
        <v>9.35027</v>
      </c>
      <c r="E96" s="26">
        <f>F96</f>
        <v>9.35027</v>
      </c>
      <c r="F96" s="26">
        <f>ROUND(9.35027,5)</f>
        <v>9.35027</v>
      </c>
      <c r="G96" s="24"/>
      <c r="H96" s="36"/>
    </row>
    <row r="97" spans="1:8" ht="12.75" customHeight="1">
      <c r="A97" s="22">
        <v>43405</v>
      </c>
      <c r="B97" s="22"/>
      <c r="C97" s="26">
        <f>ROUND(9.235,5)</f>
        <v>9.235</v>
      </c>
      <c r="D97" s="26">
        <f>F97</f>
        <v>9.39932</v>
      </c>
      <c r="E97" s="26">
        <f>F97</f>
        <v>9.39932</v>
      </c>
      <c r="F97" s="26">
        <f>ROUND(9.39932,5)</f>
        <v>9.39932</v>
      </c>
      <c r="G97" s="24"/>
      <c r="H97" s="36"/>
    </row>
    <row r="98" spans="1:8" ht="12.75" customHeight="1">
      <c r="A98" s="22">
        <v>43503</v>
      </c>
      <c r="B98" s="22"/>
      <c r="C98" s="26">
        <f>ROUND(9.235,5)</f>
        <v>9.235</v>
      </c>
      <c r="D98" s="26">
        <f>F98</f>
        <v>9.45738</v>
      </c>
      <c r="E98" s="26">
        <f>F98</f>
        <v>9.45738</v>
      </c>
      <c r="F98" s="26">
        <f>ROUND(9.45738,5)</f>
        <v>9.45738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43132</v>
      </c>
      <c r="B100" s="22"/>
      <c r="C100" s="26">
        <f>ROUND(104.92882,5)</f>
        <v>104.92882</v>
      </c>
      <c r="D100" s="26">
        <f>F100</f>
        <v>105.22126</v>
      </c>
      <c r="E100" s="26">
        <f>F100</f>
        <v>105.22126</v>
      </c>
      <c r="F100" s="26">
        <f>ROUND(105.22126,5)</f>
        <v>105.22126</v>
      </c>
      <c r="G100" s="24"/>
      <c r="H100" s="36"/>
    </row>
    <row r="101" spans="1:8" ht="12.75" customHeight="1">
      <c r="A101" s="22">
        <v>43223</v>
      </c>
      <c r="B101" s="22"/>
      <c r="C101" s="26">
        <f>ROUND(104.92882,5)</f>
        <v>104.92882</v>
      </c>
      <c r="D101" s="26">
        <f>F101</f>
        <v>106.10518</v>
      </c>
      <c r="E101" s="26">
        <f>F101</f>
        <v>106.10518</v>
      </c>
      <c r="F101" s="26">
        <f>ROUND(106.10518,5)</f>
        <v>106.10518</v>
      </c>
      <c r="G101" s="24"/>
      <c r="H101" s="36"/>
    </row>
    <row r="102" spans="1:8" ht="12.75" customHeight="1">
      <c r="A102" s="22">
        <v>43314</v>
      </c>
      <c r="B102" s="22"/>
      <c r="C102" s="26">
        <f>ROUND(104.92882,5)</f>
        <v>104.92882</v>
      </c>
      <c r="D102" s="26">
        <f>F102</f>
        <v>108.10398</v>
      </c>
      <c r="E102" s="26">
        <f>F102</f>
        <v>108.10398</v>
      </c>
      <c r="F102" s="26">
        <f>ROUND(108.10398,5)</f>
        <v>108.10398</v>
      </c>
      <c r="G102" s="24"/>
      <c r="H102" s="36"/>
    </row>
    <row r="103" spans="1:8" ht="12.75" customHeight="1">
      <c r="A103" s="22">
        <v>43405</v>
      </c>
      <c r="B103" s="22"/>
      <c r="C103" s="26">
        <f>ROUND(104.92882,5)</f>
        <v>104.92882</v>
      </c>
      <c r="D103" s="26">
        <f>F103</f>
        <v>110.21967</v>
      </c>
      <c r="E103" s="26">
        <f>F103</f>
        <v>110.21967</v>
      </c>
      <c r="F103" s="26">
        <f>ROUND(110.21967,5)</f>
        <v>110.21967</v>
      </c>
      <c r="G103" s="24"/>
      <c r="H103" s="36"/>
    </row>
    <row r="104" spans="1:8" ht="12.75" customHeight="1">
      <c r="A104" s="22">
        <v>43503</v>
      </c>
      <c r="B104" s="22"/>
      <c r="C104" s="26">
        <f>ROUND(104.92882,5)</f>
        <v>104.92882</v>
      </c>
      <c r="D104" s="26">
        <f>F104</f>
        <v>112.50492</v>
      </c>
      <c r="E104" s="26">
        <f>F104</f>
        <v>112.50492</v>
      </c>
      <c r="F104" s="26">
        <f>ROUND(112.50492,5)</f>
        <v>112.50492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43132</v>
      </c>
      <c r="B106" s="22"/>
      <c r="C106" s="26">
        <f>ROUND(9.54,5)</f>
        <v>9.54</v>
      </c>
      <c r="D106" s="26">
        <f>F106</f>
        <v>9.54887</v>
      </c>
      <c r="E106" s="26">
        <f>F106</f>
        <v>9.54887</v>
      </c>
      <c r="F106" s="26">
        <f>ROUND(9.54887,5)</f>
        <v>9.54887</v>
      </c>
      <c r="G106" s="24"/>
      <c r="H106" s="36"/>
    </row>
    <row r="107" spans="1:8" ht="12.75" customHeight="1">
      <c r="A107" s="22">
        <v>43223</v>
      </c>
      <c r="B107" s="22"/>
      <c r="C107" s="26">
        <f>ROUND(9.54,5)</f>
        <v>9.54</v>
      </c>
      <c r="D107" s="26">
        <f>F107</f>
        <v>9.60622</v>
      </c>
      <c r="E107" s="26">
        <f>F107</f>
        <v>9.60622</v>
      </c>
      <c r="F107" s="26">
        <f>ROUND(9.60622,5)</f>
        <v>9.60622</v>
      </c>
      <c r="G107" s="24"/>
      <c r="H107" s="36"/>
    </row>
    <row r="108" spans="1:8" ht="12.75" customHeight="1">
      <c r="A108" s="22">
        <v>43314</v>
      </c>
      <c r="B108" s="22"/>
      <c r="C108" s="26">
        <f>ROUND(9.54,5)</f>
        <v>9.54</v>
      </c>
      <c r="D108" s="26">
        <f>F108</f>
        <v>9.6662</v>
      </c>
      <c r="E108" s="26">
        <f>F108</f>
        <v>9.6662</v>
      </c>
      <c r="F108" s="26">
        <f>ROUND(9.6662,5)</f>
        <v>9.6662</v>
      </c>
      <c r="G108" s="24"/>
      <c r="H108" s="36"/>
    </row>
    <row r="109" spans="1:8" ht="12.75" customHeight="1">
      <c r="A109" s="22">
        <v>43405</v>
      </c>
      <c r="B109" s="22"/>
      <c r="C109" s="26">
        <f>ROUND(9.54,5)</f>
        <v>9.54</v>
      </c>
      <c r="D109" s="26">
        <f>F109</f>
        <v>9.71611</v>
      </c>
      <c r="E109" s="26">
        <f>F109</f>
        <v>9.71611</v>
      </c>
      <c r="F109" s="26">
        <f>ROUND(9.71611,5)</f>
        <v>9.71611</v>
      </c>
      <c r="G109" s="24"/>
      <c r="H109" s="36"/>
    </row>
    <row r="110" spans="1:8" ht="12.75" customHeight="1">
      <c r="A110" s="22">
        <v>43503</v>
      </c>
      <c r="B110" s="22"/>
      <c r="C110" s="26">
        <f>ROUND(9.54,5)</f>
        <v>9.54</v>
      </c>
      <c r="D110" s="26">
        <f>F110</f>
        <v>9.77521</v>
      </c>
      <c r="E110" s="26">
        <f>F110</f>
        <v>9.77521</v>
      </c>
      <c r="F110" s="26">
        <f>ROUND(9.77521,5)</f>
        <v>9.77521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43132</v>
      </c>
      <c r="B112" s="22"/>
      <c r="C112" s="26">
        <f>ROUND(2.65,5)</f>
        <v>2.65</v>
      </c>
      <c r="D112" s="26">
        <f>F112</f>
        <v>125.98826</v>
      </c>
      <c r="E112" s="26">
        <f>F112</f>
        <v>125.98826</v>
      </c>
      <c r="F112" s="26">
        <f>ROUND(125.98826,5)</f>
        <v>125.98826</v>
      </c>
      <c r="G112" s="24"/>
      <c r="H112" s="36"/>
    </row>
    <row r="113" spans="1:8" ht="12.75" customHeight="1">
      <c r="A113" s="22">
        <v>43223</v>
      </c>
      <c r="B113" s="22"/>
      <c r="C113" s="26">
        <f>ROUND(2.65,5)</f>
        <v>2.65</v>
      </c>
      <c r="D113" s="26">
        <f>F113</f>
        <v>128.34913</v>
      </c>
      <c r="E113" s="26">
        <f>F113</f>
        <v>128.34913</v>
      </c>
      <c r="F113" s="26">
        <f>ROUND(128.34913,5)</f>
        <v>128.34913</v>
      </c>
      <c r="G113" s="24"/>
      <c r="H113" s="36"/>
    </row>
    <row r="114" spans="1:8" ht="12.75" customHeight="1">
      <c r="A114" s="22">
        <v>43314</v>
      </c>
      <c r="B114" s="22"/>
      <c r="C114" s="26">
        <f>ROUND(2.65,5)</f>
        <v>2.65</v>
      </c>
      <c r="D114" s="26">
        <f>F114</f>
        <v>130.71706</v>
      </c>
      <c r="E114" s="26">
        <f>F114</f>
        <v>130.71706</v>
      </c>
      <c r="F114" s="26">
        <f>ROUND(130.71706,5)</f>
        <v>130.71706</v>
      </c>
      <c r="G114" s="24"/>
      <c r="H114" s="36"/>
    </row>
    <row r="115" spans="1:8" ht="12.75" customHeight="1">
      <c r="A115" s="22">
        <v>43405</v>
      </c>
      <c r="B115" s="22"/>
      <c r="C115" s="26">
        <f>ROUND(2.65,5)</f>
        <v>2.65</v>
      </c>
      <c r="D115" s="26">
        <f>F115</f>
        <v>133.27527</v>
      </c>
      <c r="E115" s="26">
        <f>F115</f>
        <v>133.27527</v>
      </c>
      <c r="F115" s="26">
        <f>ROUND(133.27527,5)</f>
        <v>133.27527</v>
      </c>
      <c r="G115" s="24"/>
      <c r="H115" s="36"/>
    </row>
    <row r="116" spans="1:8" ht="12.75" customHeight="1">
      <c r="A116" s="22">
        <v>43503</v>
      </c>
      <c r="B116" s="22"/>
      <c r="C116" s="26">
        <f>ROUND(2.65,5)</f>
        <v>2.65</v>
      </c>
      <c r="D116" s="26">
        <f>F116</f>
        <v>136.03861</v>
      </c>
      <c r="E116" s="26">
        <f>F116</f>
        <v>136.03861</v>
      </c>
      <c r="F116" s="26">
        <f>ROUND(136.03861,5)</f>
        <v>136.03861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43132</v>
      </c>
      <c r="B118" s="22"/>
      <c r="C118" s="26">
        <f>ROUND(9.61,5)</f>
        <v>9.61</v>
      </c>
      <c r="D118" s="26">
        <f>F118</f>
        <v>9.61886</v>
      </c>
      <c r="E118" s="26">
        <f>F118</f>
        <v>9.61886</v>
      </c>
      <c r="F118" s="26">
        <f>ROUND(9.61886,5)</f>
        <v>9.61886</v>
      </c>
      <c r="G118" s="24"/>
      <c r="H118" s="36"/>
    </row>
    <row r="119" spans="1:8" ht="12.75" customHeight="1">
      <c r="A119" s="22">
        <v>43223</v>
      </c>
      <c r="B119" s="22"/>
      <c r="C119" s="26">
        <f>ROUND(9.61,5)</f>
        <v>9.61</v>
      </c>
      <c r="D119" s="26">
        <f>F119</f>
        <v>9.6762</v>
      </c>
      <c r="E119" s="26">
        <f>F119</f>
        <v>9.6762</v>
      </c>
      <c r="F119" s="26">
        <f>ROUND(9.6762,5)</f>
        <v>9.6762</v>
      </c>
      <c r="G119" s="24"/>
      <c r="H119" s="36"/>
    </row>
    <row r="120" spans="1:8" ht="12.75" customHeight="1">
      <c r="A120" s="22">
        <v>43314</v>
      </c>
      <c r="B120" s="22"/>
      <c r="C120" s="26">
        <f>ROUND(9.61,5)</f>
        <v>9.61</v>
      </c>
      <c r="D120" s="26">
        <f>F120</f>
        <v>9.73611</v>
      </c>
      <c r="E120" s="26">
        <f>F120</f>
        <v>9.73611</v>
      </c>
      <c r="F120" s="26">
        <f>ROUND(9.73611,5)</f>
        <v>9.73611</v>
      </c>
      <c r="G120" s="24"/>
      <c r="H120" s="36"/>
    </row>
    <row r="121" spans="1:8" ht="12.75" customHeight="1">
      <c r="A121" s="22">
        <v>43405</v>
      </c>
      <c r="B121" s="22"/>
      <c r="C121" s="26">
        <f>ROUND(9.61,5)</f>
        <v>9.61</v>
      </c>
      <c r="D121" s="26">
        <f>F121</f>
        <v>9.78616</v>
      </c>
      <c r="E121" s="26">
        <f>F121</f>
        <v>9.78616</v>
      </c>
      <c r="F121" s="26">
        <f>ROUND(9.78616,5)</f>
        <v>9.78616</v>
      </c>
      <c r="G121" s="24"/>
      <c r="H121" s="36"/>
    </row>
    <row r="122" spans="1:8" ht="12.75" customHeight="1">
      <c r="A122" s="22">
        <v>43503</v>
      </c>
      <c r="B122" s="22"/>
      <c r="C122" s="26">
        <f>ROUND(9.61,5)</f>
        <v>9.61</v>
      </c>
      <c r="D122" s="26">
        <f>F122</f>
        <v>9.84524</v>
      </c>
      <c r="E122" s="26">
        <f>F122</f>
        <v>9.84524</v>
      </c>
      <c r="F122" s="26">
        <f>ROUND(9.84524,5)</f>
        <v>9.84524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43132</v>
      </c>
      <c r="B124" s="22"/>
      <c r="C124" s="26">
        <f>ROUND(9.64,5)</f>
        <v>9.64</v>
      </c>
      <c r="D124" s="26">
        <f>F124</f>
        <v>9.64859</v>
      </c>
      <c r="E124" s="26">
        <f>F124</f>
        <v>9.64859</v>
      </c>
      <c r="F124" s="26">
        <f>ROUND(9.64859,5)</f>
        <v>9.64859</v>
      </c>
      <c r="G124" s="24"/>
      <c r="H124" s="36"/>
    </row>
    <row r="125" spans="1:8" ht="12.75" customHeight="1">
      <c r="A125" s="22">
        <v>43223</v>
      </c>
      <c r="B125" s="22"/>
      <c r="C125" s="26">
        <f>ROUND(9.64,5)</f>
        <v>9.64</v>
      </c>
      <c r="D125" s="26">
        <f>F125</f>
        <v>9.70412</v>
      </c>
      <c r="E125" s="26">
        <f>F125</f>
        <v>9.70412</v>
      </c>
      <c r="F125" s="26">
        <f>ROUND(9.70412,5)</f>
        <v>9.70412</v>
      </c>
      <c r="G125" s="24"/>
      <c r="H125" s="36"/>
    </row>
    <row r="126" spans="1:8" ht="12.75" customHeight="1">
      <c r="A126" s="22">
        <v>43314</v>
      </c>
      <c r="B126" s="22"/>
      <c r="C126" s="26">
        <f>ROUND(9.64,5)</f>
        <v>9.64</v>
      </c>
      <c r="D126" s="26">
        <f>F126</f>
        <v>9.76203</v>
      </c>
      <c r="E126" s="26">
        <f>F126</f>
        <v>9.76203</v>
      </c>
      <c r="F126" s="26">
        <f>ROUND(9.76203,5)</f>
        <v>9.76203</v>
      </c>
      <c r="G126" s="24"/>
      <c r="H126" s="36"/>
    </row>
    <row r="127" spans="1:8" ht="12.75" customHeight="1">
      <c r="A127" s="22">
        <v>43405</v>
      </c>
      <c r="B127" s="22"/>
      <c r="C127" s="26">
        <f>ROUND(9.64,5)</f>
        <v>9.64</v>
      </c>
      <c r="D127" s="26">
        <f>F127</f>
        <v>9.81041</v>
      </c>
      <c r="E127" s="26">
        <f>F127</f>
        <v>9.81041</v>
      </c>
      <c r="F127" s="26">
        <f>ROUND(9.81041,5)</f>
        <v>9.81041</v>
      </c>
      <c r="G127" s="24"/>
      <c r="H127" s="36"/>
    </row>
    <row r="128" spans="1:8" ht="12.75" customHeight="1">
      <c r="A128" s="22">
        <v>43503</v>
      </c>
      <c r="B128" s="22"/>
      <c r="C128" s="26">
        <f>ROUND(9.64,5)</f>
        <v>9.64</v>
      </c>
      <c r="D128" s="26">
        <f>F128</f>
        <v>9.86738</v>
      </c>
      <c r="E128" s="26">
        <f>F128</f>
        <v>9.86738</v>
      </c>
      <c r="F128" s="26">
        <f>ROUND(9.86738,5)</f>
        <v>9.86738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43132</v>
      </c>
      <c r="B130" s="22"/>
      <c r="C130" s="26">
        <f>ROUND(121.11741,5)</f>
        <v>121.11741</v>
      </c>
      <c r="D130" s="26">
        <f>F130</f>
        <v>121.45502</v>
      </c>
      <c r="E130" s="26">
        <f>F130</f>
        <v>121.45502</v>
      </c>
      <c r="F130" s="26">
        <f>ROUND(121.45502,5)</f>
        <v>121.45502</v>
      </c>
      <c r="G130" s="24"/>
      <c r="H130" s="36"/>
    </row>
    <row r="131" spans="1:8" ht="12.75" customHeight="1">
      <c r="A131" s="22">
        <v>43223</v>
      </c>
      <c r="B131" s="22"/>
      <c r="C131" s="26">
        <f>ROUND(121.11741,5)</f>
        <v>121.11741</v>
      </c>
      <c r="D131" s="26">
        <f>F131</f>
        <v>122.1315</v>
      </c>
      <c r="E131" s="26">
        <f>F131</f>
        <v>122.1315</v>
      </c>
      <c r="F131" s="26">
        <f>ROUND(122.1315,5)</f>
        <v>122.1315</v>
      </c>
      <c r="G131" s="24"/>
      <c r="H131" s="36"/>
    </row>
    <row r="132" spans="1:8" ht="12.75" customHeight="1">
      <c r="A132" s="22">
        <v>43314</v>
      </c>
      <c r="B132" s="22"/>
      <c r="C132" s="26">
        <f>ROUND(121.11741,5)</f>
        <v>121.11741</v>
      </c>
      <c r="D132" s="26">
        <f>F132</f>
        <v>124.43201</v>
      </c>
      <c r="E132" s="26">
        <f>F132</f>
        <v>124.43201</v>
      </c>
      <c r="F132" s="26">
        <f>ROUND(124.43201,5)</f>
        <v>124.43201</v>
      </c>
      <c r="G132" s="24"/>
      <c r="H132" s="36"/>
    </row>
    <row r="133" spans="1:8" ht="12.75" customHeight="1">
      <c r="A133" s="22">
        <v>43405</v>
      </c>
      <c r="B133" s="22"/>
      <c r="C133" s="26">
        <f>ROUND(121.11741,5)</f>
        <v>121.11741</v>
      </c>
      <c r="D133" s="26">
        <f>F133</f>
        <v>126.86731</v>
      </c>
      <c r="E133" s="26">
        <f>F133</f>
        <v>126.86731</v>
      </c>
      <c r="F133" s="26">
        <f>ROUND(126.86731,5)</f>
        <v>126.86731</v>
      </c>
      <c r="G133" s="24"/>
      <c r="H133" s="36"/>
    </row>
    <row r="134" spans="1:8" ht="12.75" customHeight="1">
      <c r="A134" s="22">
        <v>43503</v>
      </c>
      <c r="B134" s="22"/>
      <c r="C134" s="26">
        <f>ROUND(121.11741,5)</f>
        <v>121.11741</v>
      </c>
      <c r="D134" s="26">
        <f>F134</f>
        <v>129.49764</v>
      </c>
      <c r="E134" s="26">
        <f>F134</f>
        <v>129.49764</v>
      </c>
      <c r="F134" s="26">
        <f>ROUND(129.49764,5)</f>
        <v>129.49764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43132</v>
      </c>
      <c r="B136" s="22"/>
      <c r="C136" s="26">
        <f>ROUND(2.74,5)</f>
        <v>2.74</v>
      </c>
      <c r="D136" s="26">
        <f>F136</f>
        <v>127.4905</v>
      </c>
      <c r="E136" s="26">
        <f>F136</f>
        <v>127.4905</v>
      </c>
      <c r="F136" s="26">
        <f>ROUND(127.4905,5)</f>
        <v>127.4905</v>
      </c>
      <c r="G136" s="24"/>
      <c r="H136" s="36"/>
    </row>
    <row r="137" spans="1:8" ht="12.75" customHeight="1">
      <c r="A137" s="22">
        <v>43223</v>
      </c>
      <c r="B137" s="22"/>
      <c r="C137" s="26">
        <f>ROUND(2.74,5)</f>
        <v>2.74</v>
      </c>
      <c r="D137" s="26">
        <f>F137</f>
        <v>129.8799</v>
      </c>
      <c r="E137" s="26">
        <f>F137</f>
        <v>129.8799</v>
      </c>
      <c r="F137" s="26">
        <f>ROUND(129.8799,5)</f>
        <v>129.8799</v>
      </c>
      <c r="G137" s="24"/>
      <c r="H137" s="36"/>
    </row>
    <row r="138" spans="1:8" ht="12.75" customHeight="1">
      <c r="A138" s="22">
        <v>43314</v>
      </c>
      <c r="B138" s="22"/>
      <c r="C138" s="26">
        <f>ROUND(2.74,5)</f>
        <v>2.74</v>
      </c>
      <c r="D138" s="26">
        <f>F138</f>
        <v>130.59334</v>
      </c>
      <c r="E138" s="26">
        <f>F138</f>
        <v>130.59334</v>
      </c>
      <c r="F138" s="26">
        <f>ROUND(130.59334,5)</f>
        <v>130.59334</v>
      </c>
      <c r="G138" s="24"/>
      <c r="H138" s="36"/>
    </row>
    <row r="139" spans="1:8" ht="12.75" customHeight="1">
      <c r="A139" s="22">
        <v>43405</v>
      </c>
      <c r="B139" s="22"/>
      <c r="C139" s="26">
        <f>ROUND(2.74,5)</f>
        <v>2.74</v>
      </c>
      <c r="D139" s="26">
        <f>F139</f>
        <v>133.14936</v>
      </c>
      <c r="E139" s="26">
        <f>F139</f>
        <v>133.14936</v>
      </c>
      <c r="F139" s="26">
        <f>ROUND(133.14936,5)</f>
        <v>133.14936</v>
      </c>
      <c r="G139" s="24"/>
      <c r="H139" s="36"/>
    </row>
    <row r="140" spans="1:8" ht="12.75" customHeight="1">
      <c r="A140" s="22">
        <v>43503</v>
      </c>
      <c r="B140" s="22"/>
      <c r="C140" s="26">
        <f>ROUND(2.74,5)</f>
        <v>2.74</v>
      </c>
      <c r="D140" s="26">
        <f>F140</f>
        <v>135.90969</v>
      </c>
      <c r="E140" s="26">
        <f>F140</f>
        <v>135.90969</v>
      </c>
      <c r="F140" s="26">
        <f>ROUND(135.90969,5)</f>
        <v>135.90969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43132</v>
      </c>
      <c r="B142" s="22"/>
      <c r="C142" s="26">
        <f>ROUND(3.26,5)</f>
        <v>3.26</v>
      </c>
      <c r="D142" s="26">
        <f>F142</f>
        <v>128.99382</v>
      </c>
      <c r="E142" s="26">
        <f>F142</f>
        <v>128.99382</v>
      </c>
      <c r="F142" s="26">
        <f>ROUND(128.99382,5)</f>
        <v>128.99382</v>
      </c>
      <c r="G142" s="24"/>
      <c r="H142" s="36"/>
    </row>
    <row r="143" spans="1:8" ht="12.75" customHeight="1">
      <c r="A143" s="22">
        <v>43223</v>
      </c>
      <c r="B143" s="22"/>
      <c r="C143" s="26">
        <f>ROUND(3.26,5)</f>
        <v>3.26</v>
      </c>
      <c r="D143" s="26">
        <f>F143</f>
        <v>129.65165</v>
      </c>
      <c r="E143" s="26">
        <f>F143</f>
        <v>129.65165</v>
      </c>
      <c r="F143" s="26">
        <f>ROUND(129.65165,5)</f>
        <v>129.65165</v>
      </c>
      <c r="G143" s="24"/>
      <c r="H143" s="36"/>
    </row>
    <row r="144" spans="1:8" ht="12.75" customHeight="1">
      <c r="A144" s="22">
        <v>43314</v>
      </c>
      <c r="B144" s="22"/>
      <c r="C144" s="26">
        <f>ROUND(3.26,5)</f>
        <v>3.26</v>
      </c>
      <c r="D144" s="26">
        <f>F144</f>
        <v>132.09391</v>
      </c>
      <c r="E144" s="26">
        <f>F144</f>
        <v>132.09391</v>
      </c>
      <c r="F144" s="26">
        <f>ROUND(132.09391,5)</f>
        <v>132.09391</v>
      </c>
      <c r="G144" s="24"/>
      <c r="H144" s="36"/>
    </row>
    <row r="145" spans="1:8" ht="12.75" customHeight="1">
      <c r="A145" s="22">
        <v>43405</v>
      </c>
      <c r="B145" s="22"/>
      <c r="C145" s="26">
        <f>ROUND(3.26,5)</f>
        <v>3.26</v>
      </c>
      <c r="D145" s="26">
        <f>F145</f>
        <v>134.67921</v>
      </c>
      <c r="E145" s="26">
        <f>F145</f>
        <v>134.67921</v>
      </c>
      <c r="F145" s="26">
        <f>ROUND(134.67921,5)</f>
        <v>134.67921</v>
      </c>
      <c r="G145" s="24"/>
      <c r="H145" s="36"/>
    </row>
    <row r="146" spans="1:8" ht="12.75" customHeight="1">
      <c r="A146" s="22">
        <v>43503</v>
      </c>
      <c r="B146" s="22"/>
      <c r="C146" s="26">
        <f>ROUND(3.26,5)</f>
        <v>3.26</v>
      </c>
      <c r="D146" s="26">
        <f>F146</f>
        <v>137.47141</v>
      </c>
      <c r="E146" s="26">
        <f>F146</f>
        <v>137.47141</v>
      </c>
      <c r="F146" s="26">
        <f>ROUND(137.47141,5)</f>
        <v>137.47141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43132</v>
      </c>
      <c r="B148" s="22"/>
      <c r="C148" s="26">
        <f>ROUND(10.71,5)</f>
        <v>10.71</v>
      </c>
      <c r="D148" s="26">
        <f>F148</f>
        <v>10.72611</v>
      </c>
      <c r="E148" s="26">
        <f>F148</f>
        <v>10.72611</v>
      </c>
      <c r="F148" s="26">
        <f>ROUND(10.72611,5)</f>
        <v>10.72611</v>
      </c>
      <c r="G148" s="24"/>
      <c r="H148" s="36"/>
    </row>
    <row r="149" spans="1:8" ht="12.75" customHeight="1">
      <c r="A149" s="22">
        <v>43223</v>
      </c>
      <c r="B149" s="22"/>
      <c r="C149" s="26">
        <f>ROUND(10.71,5)</f>
        <v>10.71</v>
      </c>
      <c r="D149" s="26">
        <f>F149</f>
        <v>10.82323</v>
      </c>
      <c r="E149" s="26">
        <f>F149</f>
        <v>10.82323</v>
      </c>
      <c r="F149" s="26">
        <f>ROUND(10.82323,5)</f>
        <v>10.82323</v>
      </c>
      <c r="G149" s="24"/>
      <c r="H149" s="36"/>
    </row>
    <row r="150" spans="1:8" ht="12.75" customHeight="1">
      <c r="A150" s="22">
        <v>43314</v>
      </c>
      <c r="B150" s="22"/>
      <c r="C150" s="26">
        <f>ROUND(10.71,5)</f>
        <v>10.71</v>
      </c>
      <c r="D150" s="26">
        <f>F150</f>
        <v>10.92209</v>
      </c>
      <c r="E150" s="26">
        <f>F150</f>
        <v>10.92209</v>
      </c>
      <c r="F150" s="26">
        <f>ROUND(10.92209,5)</f>
        <v>10.92209</v>
      </c>
      <c r="G150" s="24"/>
      <c r="H150" s="36"/>
    </row>
    <row r="151" spans="1:8" ht="12.75" customHeight="1">
      <c r="A151" s="22">
        <v>43405</v>
      </c>
      <c r="B151" s="22"/>
      <c r="C151" s="26">
        <f>ROUND(10.71,5)</f>
        <v>10.71</v>
      </c>
      <c r="D151" s="26">
        <f>F151</f>
        <v>11.0203</v>
      </c>
      <c r="E151" s="26">
        <f>F151</f>
        <v>11.0203</v>
      </c>
      <c r="F151" s="26">
        <f>ROUND(11.0203,5)</f>
        <v>11.0203</v>
      </c>
      <c r="G151" s="24"/>
      <c r="H151" s="36"/>
    </row>
    <row r="152" spans="1:8" ht="12.75" customHeight="1">
      <c r="A152" s="22">
        <v>43503</v>
      </c>
      <c r="B152" s="22"/>
      <c r="C152" s="26">
        <f>ROUND(10.71,5)</f>
        <v>10.71</v>
      </c>
      <c r="D152" s="26">
        <f>F152</f>
        <v>11.13595</v>
      </c>
      <c r="E152" s="26">
        <f>F152</f>
        <v>11.13595</v>
      </c>
      <c r="F152" s="26">
        <f>ROUND(11.13595,5)</f>
        <v>11.13595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6">
        <f>ROUND(10.89,5)</f>
        <v>10.89</v>
      </c>
      <c r="D154" s="26">
        <f>F154</f>
        <v>10.90518</v>
      </c>
      <c r="E154" s="26">
        <f>F154</f>
        <v>10.90518</v>
      </c>
      <c r="F154" s="26">
        <f>ROUND(10.90518,5)</f>
        <v>10.90518</v>
      </c>
      <c r="G154" s="24"/>
      <c r="H154" s="36"/>
    </row>
    <row r="155" spans="1:8" ht="12.75" customHeight="1">
      <c r="A155" s="22">
        <v>43223</v>
      </c>
      <c r="B155" s="22"/>
      <c r="C155" s="26">
        <f>ROUND(10.89,5)</f>
        <v>10.89</v>
      </c>
      <c r="D155" s="26">
        <f>F155</f>
        <v>11.00158</v>
      </c>
      <c r="E155" s="26">
        <f>F155</f>
        <v>11.00158</v>
      </c>
      <c r="F155" s="26">
        <f>ROUND(11.00158,5)</f>
        <v>11.00158</v>
      </c>
      <c r="G155" s="24"/>
      <c r="H155" s="36"/>
    </row>
    <row r="156" spans="1:8" ht="12.75" customHeight="1">
      <c r="A156" s="22">
        <v>43314</v>
      </c>
      <c r="B156" s="22"/>
      <c r="C156" s="26">
        <f>ROUND(10.89,5)</f>
        <v>10.89</v>
      </c>
      <c r="D156" s="26">
        <f>F156</f>
        <v>11.0979</v>
      </c>
      <c r="E156" s="26">
        <f>F156</f>
        <v>11.0979</v>
      </c>
      <c r="F156" s="26">
        <f>ROUND(11.0979,5)</f>
        <v>11.0979</v>
      </c>
      <c r="G156" s="24"/>
      <c r="H156" s="36"/>
    </row>
    <row r="157" spans="1:8" ht="12.75" customHeight="1">
      <c r="A157" s="22">
        <v>43405</v>
      </c>
      <c r="B157" s="22"/>
      <c r="C157" s="26">
        <f>ROUND(10.89,5)</f>
        <v>10.89</v>
      </c>
      <c r="D157" s="26">
        <f>F157</f>
        <v>11.1928</v>
      </c>
      <c r="E157" s="26">
        <f>F157</f>
        <v>11.1928</v>
      </c>
      <c r="F157" s="26">
        <f>ROUND(11.1928,5)</f>
        <v>11.1928</v>
      </c>
      <c r="G157" s="24"/>
      <c r="H157" s="36"/>
    </row>
    <row r="158" spans="1:8" ht="12.75" customHeight="1">
      <c r="A158" s="22">
        <v>43503</v>
      </c>
      <c r="B158" s="22"/>
      <c r="C158" s="26">
        <f>ROUND(10.89,5)</f>
        <v>10.89</v>
      </c>
      <c r="D158" s="26">
        <f>F158</f>
        <v>11.30049</v>
      </c>
      <c r="E158" s="26">
        <f>F158</f>
        <v>11.30049</v>
      </c>
      <c r="F158" s="26">
        <f>ROUND(11.30049,5)</f>
        <v>11.30049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6">
        <f>ROUND(7.805,5)</f>
        <v>7.805</v>
      </c>
      <c r="D160" s="26">
        <f>F160</f>
        <v>7.80945</v>
      </c>
      <c r="E160" s="26">
        <f>F160</f>
        <v>7.80945</v>
      </c>
      <c r="F160" s="26">
        <f>ROUND(7.80945,5)</f>
        <v>7.80945</v>
      </c>
      <c r="G160" s="24"/>
      <c r="H160" s="36"/>
    </row>
    <row r="161" spans="1:8" ht="12.75" customHeight="1">
      <c r="A161" s="22">
        <v>43223</v>
      </c>
      <c r="B161" s="22"/>
      <c r="C161" s="26">
        <f>ROUND(7.805,5)</f>
        <v>7.805</v>
      </c>
      <c r="D161" s="26">
        <f>F161</f>
        <v>7.82283</v>
      </c>
      <c r="E161" s="26">
        <f>F161</f>
        <v>7.82283</v>
      </c>
      <c r="F161" s="26">
        <f>ROUND(7.82283,5)</f>
        <v>7.82283</v>
      </c>
      <c r="G161" s="24"/>
      <c r="H161" s="36"/>
    </row>
    <row r="162" spans="1:8" ht="12.75" customHeight="1">
      <c r="A162" s="22">
        <v>43314</v>
      </c>
      <c r="B162" s="22"/>
      <c r="C162" s="26">
        <f>ROUND(7.805,5)</f>
        <v>7.805</v>
      </c>
      <c r="D162" s="26">
        <f>F162</f>
        <v>7.83506</v>
      </c>
      <c r="E162" s="26">
        <f>F162</f>
        <v>7.83506</v>
      </c>
      <c r="F162" s="26">
        <f>ROUND(7.83506,5)</f>
        <v>7.83506</v>
      </c>
      <c r="G162" s="24"/>
      <c r="H162" s="36"/>
    </row>
    <row r="163" spans="1:8" ht="12.75" customHeight="1">
      <c r="A163" s="22">
        <v>43405</v>
      </c>
      <c r="B163" s="22"/>
      <c r="C163" s="26">
        <f>ROUND(7.805,5)</f>
        <v>7.805</v>
      </c>
      <c r="D163" s="26">
        <f>F163</f>
        <v>7.83875</v>
      </c>
      <c r="E163" s="26">
        <f>F163</f>
        <v>7.83875</v>
      </c>
      <c r="F163" s="26">
        <f>ROUND(7.83875,5)</f>
        <v>7.83875</v>
      </c>
      <c r="G163" s="24"/>
      <c r="H163" s="36"/>
    </row>
    <row r="164" spans="1:8" ht="12.75" customHeight="1">
      <c r="A164" s="22">
        <v>43503</v>
      </c>
      <c r="B164" s="22"/>
      <c r="C164" s="26">
        <f>ROUND(7.805,5)</f>
        <v>7.805</v>
      </c>
      <c r="D164" s="26">
        <f>F164</f>
        <v>7.8503</v>
      </c>
      <c r="E164" s="26">
        <f>F164</f>
        <v>7.8503</v>
      </c>
      <c r="F164" s="26">
        <f>ROUND(7.8503,5)</f>
        <v>7.8503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6">
        <f>ROUND(9.465,5)</f>
        <v>9.465</v>
      </c>
      <c r="D166" s="26">
        <f>F166</f>
        <v>9.47472</v>
      </c>
      <c r="E166" s="26">
        <f>F166</f>
        <v>9.47472</v>
      </c>
      <c r="F166" s="26">
        <f>ROUND(9.47472,5)</f>
        <v>9.47472</v>
      </c>
      <c r="G166" s="24"/>
      <c r="H166" s="36"/>
    </row>
    <row r="167" spans="1:8" ht="12.75" customHeight="1">
      <c r="A167" s="22">
        <v>43223</v>
      </c>
      <c r="B167" s="22"/>
      <c r="C167" s="26">
        <f>ROUND(9.465,5)</f>
        <v>9.465</v>
      </c>
      <c r="D167" s="26">
        <f>F167</f>
        <v>9.5294</v>
      </c>
      <c r="E167" s="26">
        <f>F167</f>
        <v>9.5294</v>
      </c>
      <c r="F167" s="26">
        <f>ROUND(9.5294,5)</f>
        <v>9.5294</v>
      </c>
      <c r="G167" s="24"/>
      <c r="H167" s="36"/>
    </row>
    <row r="168" spans="1:8" ht="12.75" customHeight="1">
      <c r="A168" s="22">
        <v>43314</v>
      </c>
      <c r="B168" s="22"/>
      <c r="C168" s="26">
        <f>ROUND(9.465,5)</f>
        <v>9.465</v>
      </c>
      <c r="D168" s="26">
        <f>F168</f>
        <v>9.58535</v>
      </c>
      <c r="E168" s="26">
        <f>F168</f>
        <v>9.58535</v>
      </c>
      <c r="F168" s="26">
        <f>ROUND(9.58535,5)</f>
        <v>9.58535</v>
      </c>
      <c r="G168" s="24"/>
      <c r="H168" s="36"/>
    </row>
    <row r="169" spans="1:8" ht="12.75" customHeight="1">
      <c r="A169" s="22">
        <v>43405</v>
      </c>
      <c r="B169" s="22"/>
      <c r="C169" s="26">
        <f>ROUND(9.465,5)</f>
        <v>9.465</v>
      </c>
      <c r="D169" s="26">
        <f>F169</f>
        <v>9.63912</v>
      </c>
      <c r="E169" s="26">
        <f>F169</f>
        <v>9.63912</v>
      </c>
      <c r="F169" s="26">
        <f>ROUND(9.63912,5)</f>
        <v>9.63912</v>
      </c>
      <c r="G169" s="24"/>
      <c r="H169" s="36"/>
    </row>
    <row r="170" spans="1:8" ht="12.75" customHeight="1">
      <c r="A170" s="22">
        <v>43503</v>
      </c>
      <c r="B170" s="22"/>
      <c r="C170" s="26">
        <f>ROUND(9.465,5)</f>
        <v>9.465</v>
      </c>
      <c r="D170" s="26">
        <f>F170</f>
        <v>9.70333</v>
      </c>
      <c r="E170" s="26">
        <f>F170</f>
        <v>9.70333</v>
      </c>
      <c r="F170" s="26">
        <f>ROUND(9.70333,5)</f>
        <v>9.70333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6">
        <f>ROUND(8.485,5)</f>
        <v>8.485</v>
      </c>
      <c r="D172" s="26">
        <f>F172</f>
        <v>8.49206</v>
      </c>
      <c r="E172" s="26">
        <f>F172</f>
        <v>8.49206</v>
      </c>
      <c r="F172" s="26">
        <f>ROUND(8.49206,5)</f>
        <v>8.49206</v>
      </c>
      <c r="G172" s="24"/>
      <c r="H172" s="36"/>
    </row>
    <row r="173" spans="1:8" ht="12.75" customHeight="1">
      <c r="A173" s="22">
        <v>43223</v>
      </c>
      <c r="B173" s="22"/>
      <c r="C173" s="26">
        <f>ROUND(8.485,5)</f>
        <v>8.485</v>
      </c>
      <c r="D173" s="26">
        <f>F173</f>
        <v>8.5329</v>
      </c>
      <c r="E173" s="26">
        <f>F173</f>
        <v>8.5329</v>
      </c>
      <c r="F173" s="26">
        <f>ROUND(8.5329,5)</f>
        <v>8.5329</v>
      </c>
      <c r="G173" s="24"/>
      <c r="H173" s="36"/>
    </row>
    <row r="174" spans="1:8" ht="12.75" customHeight="1">
      <c r="A174" s="22">
        <v>43314</v>
      </c>
      <c r="B174" s="22"/>
      <c r="C174" s="26">
        <f>ROUND(8.485,5)</f>
        <v>8.485</v>
      </c>
      <c r="D174" s="26">
        <f>F174</f>
        <v>8.57496</v>
      </c>
      <c r="E174" s="26">
        <f>F174</f>
        <v>8.57496</v>
      </c>
      <c r="F174" s="26">
        <f>ROUND(8.57496,5)</f>
        <v>8.57496</v>
      </c>
      <c r="G174" s="24"/>
      <c r="H174" s="36"/>
    </row>
    <row r="175" spans="1:8" ht="12.75" customHeight="1">
      <c r="A175" s="22">
        <v>43405</v>
      </c>
      <c r="B175" s="22"/>
      <c r="C175" s="26">
        <f>ROUND(8.485,5)</f>
        <v>8.485</v>
      </c>
      <c r="D175" s="26">
        <f>F175</f>
        <v>8.60793</v>
      </c>
      <c r="E175" s="26">
        <f>F175</f>
        <v>8.60793</v>
      </c>
      <c r="F175" s="26">
        <f>ROUND(8.60793,5)</f>
        <v>8.60793</v>
      </c>
      <c r="G175" s="24"/>
      <c r="H175" s="36"/>
    </row>
    <row r="176" spans="1:8" ht="12.75" customHeight="1">
      <c r="A176" s="22">
        <v>43503</v>
      </c>
      <c r="B176" s="22"/>
      <c r="C176" s="26">
        <f>ROUND(8.485,5)</f>
        <v>8.485</v>
      </c>
      <c r="D176" s="26">
        <f>F176</f>
        <v>8.64999</v>
      </c>
      <c r="E176" s="26">
        <f>F176</f>
        <v>8.64999</v>
      </c>
      <c r="F176" s="26">
        <f>ROUND(8.64999,5)</f>
        <v>8.64999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6">
        <f>ROUND(2.4,5)</f>
        <v>2.4</v>
      </c>
      <c r="D178" s="26">
        <f>F178</f>
        <v>297.88889</v>
      </c>
      <c r="E178" s="26">
        <f>F178</f>
        <v>297.88889</v>
      </c>
      <c r="F178" s="26">
        <f>ROUND(297.88889,5)</f>
        <v>297.88889</v>
      </c>
      <c r="G178" s="24"/>
      <c r="H178" s="36"/>
    </row>
    <row r="179" spans="1:8" ht="12.75" customHeight="1">
      <c r="A179" s="22">
        <v>43223</v>
      </c>
      <c r="B179" s="22"/>
      <c r="C179" s="26">
        <f>ROUND(2.4,5)</f>
        <v>2.4</v>
      </c>
      <c r="D179" s="26">
        <f>F179</f>
        <v>303.47144</v>
      </c>
      <c r="E179" s="26">
        <f>F179</f>
        <v>303.47144</v>
      </c>
      <c r="F179" s="26">
        <f>ROUND(303.47144,5)</f>
        <v>303.47144</v>
      </c>
      <c r="G179" s="24"/>
      <c r="H179" s="36"/>
    </row>
    <row r="180" spans="1:8" ht="12.75" customHeight="1">
      <c r="A180" s="22">
        <v>43314</v>
      </c>
      <c r="B180" s="22"/>
      <c r="C180" s="26">
        <f>ROUND(2.4,5)</f>
        <v>2.4</v>
      </c>
      <c r="D180" s="26">
        <f>F180</f>
        <v>301.98928</v>
      </c>
      <c r="E180" s="26">
        <f>F180</f>
        <v>301.98928</v>
      </c>
      <c r="F180" s="26">
        <f>ROUND(301.98928,5)</f>
        <v>301.98928</v>
      </c>
      <c r="G180" s="24"/>
      <c r="H180" s="36"/>
    </row>
    <row r="181" spans="1:8" ht="12.75" customHeight="1">
      <c r="A181" s="22">
        <v>43405</v>
      </c>
      <c r="B181" s="22"/>
      <c r="C181" s="26">
        <f>ROUND(2.4,5)</f>
        <v>2.4</v>
      </c>
      <c r="D181" s="26">
        <f>F181</f>
        <v>307.9002</v>
      </c>
      <c r="E181" s="26">
        <f>F181</f>
        <v>307.9002</v>
      </c>
      <c r="F181" s="26">
        <f>ROUND(307.9002,5)</f>
        <v>307.9002</v>
      </c>
      <c r="G181" s="24"/>
      <c r="H181" s="36"/>
    </row>
    <row r="182" spans="1:8" ht="12.75" customHeight="1">
      <c r="A182" s="22">
        <v>43503</v>
      </c>
      <c r="B182" s="22"/>
      <c r="C182" s="26">
        <f>ROUND(2.4,5)</f>
        <v>2.4</v>
      </c>
      <c r="D182" s="26">
        <f>F182</f>
        <v>314.28279</v>
      </c>
      <c r="E182" s="26">
        <f>F182</f>
        <v>314.28279</v>
      </c>
      <c r="F182" s="26">
        <f>ROUND(314.28279,5)</f>
        <v>314.28279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6">
        <f>ROUND(2.65,5)</f>
        <v>2.65</v>
      </c>
      <c r="D184" s="26">
        <f>F184</f>
        <v>237.57832</v>
      </c>
      <c r="E184" s="26">
        <f>F184</f>
        <v>237.57832</v>
      </c>
      <c r="F184" s="26">
        <f>ROUND(237.57832,5)</f>
        <v>237.57832</v>
      </c>
      <c r="G184" s="24"/>
      <c r="H184" s="36"/>
    </row>
    <row r="185" spans="1:8" ht="12.75" customHeight="1">
      <c r="A185" s="22">
        <v>43223</v>
      </c>
      <c r="B185" s="22"/>
      <c r="C185" s="26">
        <f>ROUND(2.65,5)</f>
        <v>2.65</v>
      </c>
      <c r="D185" s="26">
        <f>F185</f>
        <v>242.03057</v>
      </c>
      <c r="E185" s="26">
        <f>F185</f>
        <v>242.03057</v>
      </c>
      <c r="F185" s="26">
        <f>ROUND(242.03057,5)</f>
        <v>242.03057</v>
      </c>
      <c r="G185" s="24"/>
      <c r="H185" s="36"/>
    </row>
    <row r="186" spans="1:8" ht="12.75" customHeight="1">
      <c r="A186" s="22">
        <v>43314</v>
      </c>
      <c r="B186" s="22"/>
      <c r="C186" s="26">
        <f>ROUND(2.65,5)</f>
        <v>2.65</v>
      </c>
      <c r="D186" s="26">
        <f>F186</f>
        <v>242.76617</v>
      </c>
      <c r="E186" s="26">
        <f>F186</f>
        <v>242.76617</v>
      </c>
      <c r="F186" s="26">
        <f>ROUND(242.76617,5)</f>
        <v>242.76617</v>
      </c>
      <c r="G186" s="24"/>
      <c r="H186" s="36"/>
    </row>
    <row r="187" spans="1:8" ht="12.75" customHeight="1">
      <c r="A187" s="22">
        <v>43405</v>
      </c>
      <c r="B187" s="22"/>
      <c r="C187" s="26">
        <f>ROUND(2.65,5)</f>
        <v>2.65</v>
      </c>
      <c r="D187" s="26">
        <f>F187</f>
        <v>247.51768</v>
      </c>
      <c r="E187" s="26">
        <f>F187</f>
        <v>247.51768</v>
      </c>
      <c r="F187" s="26">
        <f>ROUND(247.51768,5)</f>
        <v>247.51768</v>
      </c>
      <c r="G187" s="24"/>
      <c r="H187" s="36"/>
    </row>
    <row r="188" spans="1:8" ht="12.75" customHeight="1">
      <c r="A188" s="22">
        <v>43503</v>
      </c>
      <c r="B188" s="22"/>
      <c r="C188" s="26">
        <f>ROUND(2.65,5)</f>
        <v>2.65</v>
      </c>
      <c r="D188" s="26">
        <f>F188</f>
        <v>252.64897</v>
      </c>
      <c r="E188" s="26">
        <f>F188</f>
        <v>252.64897</v>
      </c>
      <c r="F188" s="26">
        <f>ROUND(252.64897,5)</f>
        <v>252.64897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43132</v>
      </c>
      <c r="B192" s="22"/>
      <c r="C192" s="26">
        <f>ROUND(7.04,5)</f>
        <v>7.04</v>
      </c>
      <c r="D192" s="26">
        <f>F192</f>
        <v>7.0251</v>
      </c>
      <c r="E192" s="26">
        <f>F192</f>
        <v>7.0251</v>
      </c>
      <c r="F192" s="26">
        <f>ROUND(7.0251,5)</f>
        <v>7.0251</v>
      </c>
      <c r="G192" s="24"/>
      <c r="H192" s="36"/>
    </row>
    <row r="193" spans="1:8" ht="12.75" customHeight="1">
      <c r="A193" s="22">
        <v>43223</v>
      </c>
      <c r="B193" s="22"/>
      <c r="C193" s="26">
        <f>ROUND(7.04,5)</f>
        <v>7.04</v>
      </c>
      <c r="D193" s="26">
        <f>F193</f>
        <v>6.81113</v>
      </c>
      <c r="E193" s="26">
        <f>F193</f>
        <v>6.81113</v>
      </c>
      <c r="F193" s="26">
        <f>ROUND(6.81113,5)</f>
        <v>6.81113</v>
      </c>
      <c r="G193" s="24"/>
      <c r="H193" s="36"/>
    </row>
    <row r="194" spans="1:8" ht="12.75" customHeight="1">
      <c r="A194" s="22">
        <v>43314</v>
      </c>
      <c r="B194" s="22"/>
      <c r="C194" s="26">
        <f>ROUND(7.04,5)</f>
        <v>7.04</v>
      </c>
      <c r="D194" s="26">
        <f>F194</f>
        <v>6.25126</v>
      </c>
      <c r="E194" s="26">
        <f>F194</f>
        <v>6.25126</v>
      </c>
      <c r="F194" s="26">
        <f>ROUND(6.25126,5)</f>
        <v>6.25126</v>
      </c>
      <c r="G194" s="24"/>
      <c r="H194" s="36"/>
    </row>
    <row r="195" spans="1:8" ht="12.75" customHeight="1">
      <c r="A195" s="22">
        <v>43405</v>
      </c>
      <c r="B195" s="22"/>
      <c r="C195" s="26">
        <f>ROUND(7.04,5)</f>
        <v>7.04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43503</v>
      </c>
      <c r="B196" s="22"/>
      <c r="C196" s="26">
        <f>ROUND(7.04,5)</f>
        <v>7.04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43132</v>
      </c>
      <c r="B198" s="22"/>
      <c r="C198" s="26">
        <f>ROUND(7.14,5)</f>
        <v>7.14</v>
      </c>
      <c r="D198" s="26">
        <f>F198</f>
        <v>7.13603</v>
      </c>
      <c r="E198" s="26">
        <f>F198</f>
        <v>7.13603</v>
      </c>
      <c r="F198" s="26">
        <f>ROUND(7.13603,5)</f>
        <v>7.13603</v>
      </c>
      <c r="G198" s="24"/>
      <c r="H198" s="36"/>
    </row>
    <row r="199" spans="1:8" ht="12.75" customHeight="1">
      <c r="A199" s="22">
        <v>43223</v>
      </c>
      <c r="B199" s="22"/>
      <c r="C199" s="26">
        <f>ROUND(7.14,5)</f>
        <v>7.14</v>
      </c>
      <c r="D199" s="26">
        <f>F199</f>
        <v>7.07856</v>
      </c>
      <c r="E199" s="26">
        <f>F199</f>
        <v>7.07856</v>
      </c>
      <c r="F199" s="26">
        <f>ROUND(7.07856,5)</f>
        <v>7.07856</v>
      </c>
      <c r="G199" s="24"/>
      <c r="H199" s="36"/>
    </row>
    <row r="200" spans="1:8" ht="12.75" customHeight="1">
      <c r="A200" s="22">
        <v>43314</v>
      </c>
      <c r="B200" s="22"/>
      <c r="C200" s="26">
        <f>ROUND(7.14,5)</f>
        <v>7.14</v>
      </c>
      <c r="D200" s="26">
        <f>F200</f>
        <v>6.99331</v>
      </c>
      <c r="E200" s="26">
        <f>F200</f>
        <v>6.99331</v>
      </c>
      <c r="F200" s="26">
        <f>ROUND(6.99331,5)</f>
        <v>6.99331</v>
      </c>
      <c r="G200" s="24"/>
      <c r="H200" s="36"/>
    </row>
    <row r="201" spans="1:8" ht="12.75" customHeight="1">
      <c r="A201" s="22">
        <v>43405</v>
      </c>
      <c r="B201" s="22"/>
      <c r="C201" s="26">
        <f>ROUND(7.14,5)</f>
        <v>7.14</v>
      </c>
      <c r="D201" s="26">
        <f>F201</f>
        <v>6.80177</v>
      </c>
      <c r="E201" s="26">
        <f>F201</f>
        <v>6.80177</v>
      </c>
      <c r="F201" s="26">
        <f>ROUND(6.80177,5)</f>
        <v>6.80177</v>
      </c>
      <c r="G201" s="24"/>
      <c r="H201" s="36"/>
    </row>
    <row r="202" spans="1:8" ht="12.75" customHeight="1">
      <c r="A202" s="22">
        <v>43503</v>
      </c>
      <c r="B202" s="22"/>
      <c r="C202" s="26">
        <f>ROUND(7.14,5)</f>
        <v>7.14</v>
      </c>
      <c r="D202" s="26">
        <f>F202</f>
        <v>6.50438</v>
      </c>
      <c r="E202" s="26">
        <f>F202</f>
        <v>6.50438</v>
      </c>
      <c r="F202" s="26">
        <f>ROUND(6.50438,5)</f>
        <v>6.50438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43132</v>
      </c>
      <c r="B204" s="22"/>
      <c r="C204" s="26">
        <f>ROUND(7.42,5)</f>
        <v>7.42</v>
      </c>
      <c r="D204" s="26">
        <f>F204</f>
        <v>7.42068</v>
      </c>
      <c r="E204" s="26">
        <f>F204</f>
        <v>7.42068</v>
      </c>
      <c r="F204" s="26">
        <f>ROUND(7.42068,5)</f>
        <v>7.42068</v>
      </c>
      <c r="G204" s="24"/>
      <c r="H204" s="36"/>
    </row>
    <row r="205" spans="1:8" ht="12.75" customHeight="1">
      <c r="A205" s="22">
        <v>43223</v>
      </c>
      <c r="B205" s="22"/>
      <c r="C205" s="26">
        <f>ROUND(7.42,5)</f>
        <v>7.42</v>
      </c>
      <c r="D205" s="26">
        <f>F205</f>
        <v>7.40756</v>
      </c>
      <c r="E205" s="26">
        <f>F205</f>
        <v>7.40756</v>
      </c>
      <c r="F205" s="26">
        <f>ROUND(7.40756,5)</f>
        <v>7.40756</v>
      </c>
      <c r="G205" s="24"/>
      <c r="H205" s="36"/>
    </row>
    <row r="206" spans="1:8" ht="12.75" customHeight="1">
      <c r="A206" s="22">
        <v>43314</v>
      </c>
      <c r="B206" s="22"/>
      <c r="C206" s="26">
        <f>ROUND(7.42,5)</f>
        <v>7.42</v>
      </c>
      <c r="D206" s="26">
        <f>F206</f>
        <v>7.38855</v>
      </c>
      <c r="E206" s="26">
        <f>F206</f>
        <v>7.38855</v>
      </c>
      <c r="F206" s="26">
        <f>ROUND(7.38855,5)</f>
        <v>7.38855</v>
      </c>
      <c r="G206" s="24"/>
      <c r="H206" s="36"/>
    </row>
    <row r="207" spans="1:8" ht="12.75" customHeight="1">
      <c r="A207" s="22">
        <v>43405</v>
      </c>
      <c r="B207" s="22"/>
      <c r="C207" s="26">
        <f>ROUND(7.42,5)</f>
        <v>7.42</v>
      </c>
      <c r="D207" s="26">
        <f>F207</f>
        <v>7.34012</v>
      </c>
      <c r="E207" s="26">
        <f>F207</f>
        <v>7.34012</v>
      </c>
      <c r="F207" s="26">
        <f>ROUND(7.34012,5)</f>
        <v>7.34012</v>
      </c>
      <c r="G207" s="24"/>
      <c r="H207" s="36"/>
    </row>
    <row r="208" spans="1:8" ht="12.75" customHeight="1">
      <c r="A208" s="22">
        <v>43503</v>
      </c>
      <c r="B208" s="22"/>
      <c r="C208" s="26">
        <f>ROUND(7.42,5)</f>
        <v>7.42</v>
      </c>
      <c r="D208" s="26">
        <f>F208</f>
        <v>7.28613</v>
      </c>
      <c r="E208" s="26">
        <f>F208</f>
        <v>7.28613</v>
      </c>
      <c r="F208" s="26">
        <f>ROUND(7.28613,5)</f>
        <v>7.28613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43132</v>
      </c>
      <c r="B210" s="22"/>
      <c r="C210" s="26">
        <f>ROUND(9.415,5)</f>
        <v>9.415</v>
      </c>
      <c r="D210" s="26">
        <f>F210</f>
        <v>9.42329</v>
      </c>
      <c r="E210" s="26">
        <f>F210</f>
        <v>9.42329</v>
      </c>
      <c r="F210" s="26">
        <f>ROUND(9.42329,5)</f>
        <v>9.42329</v>
      </c>
      <c r="G210" s="24"/>
      <c r="H210" s="36"/>
    </row>
    <row r="211" spans="1:8" ht="12.75" customHeight="1">
      <c r="A211" s="22">
        <v>43223</v>
      </c>
      <c r="B211" s="22"/>
      <c r="C211" s="26">
        <f>ROUND(9.415,5)</f>
        <v>9.415</v>
      </c>
      <c r="D211" s="26">
        <f>F211</f>
        <v>9.47282</v>
      </c>
      <c r="E211" s="26">
        <f>F211</f>
        <v>9.47282</v>
      </c>
      <c r="F211" s="26">
        <f>ROUND(9.47282,5)</f>
        <v>9.47282</v>
      </c>
      <c r="G211" s="24"/>
      <c r="H211" s="36"/>
    </row>
    <row r="212" spans="1:8" ht="12.75" customHeight="1">
      <c r="A212" s="22">
        <v>43314</v>
      </c>
      <c r="B212" s="22"/>
      <c r="C212" s="26">
        <f>ROUND(9.415,5)</f>
        <v>9.415</v>
      </c>
      <c r="D212" s="26">
        <f>F212</f>
        <v>9.52278</v>
      </c>
      <c r="E212" s="26">
        <f>F212</f>
        <v>9.52278</v>
      </c>
      <c r="F212" s="26">
        <f>ROUND(9.52278,5)</f>
        <v>9.52278</v>
      </c>
      <c r="G212" s="24"/>
      <c r="H212" s="36"/>
    </row>
    <row r="213" spans="1:8" ht="12.75" customHeight="1">
      <c r="A213" s="22">
        <v>43405</v>
      </c>
      <c r="B213" s="22"/>
      <c r="C213" s="26">
        <f>ROUND(9.415,5)</f>
        <v>9.415</v>
      </c>
      <c r="D213" s="26">
        <f>F213</f>
        <v>9.56871</v>
      </c>
      <c r="E213" s="26">
        <f>F213</f>
        <v>9.56871</v>
      </c>
      <c r="F213" s="26">
        <f>ROUND(9.56871,5)</f>
        <v>9.56871</v>
      </c>
      <c r="G213" s="24"/>
      <c r="H213" s="36"/>
    </row>
    <row r="214" spans="1:8" ht="12.75" customHeight="1">
      <c r="A214" s="22">
        <v>43503</v>
      </c>
      <c r="B214" s="22"/>
      <c r="C214" s="26">
        <f>ROUND(9.415,5)</f>
        <v>9.415</v>
      </c>
      <c r="D214" s="26">
        <f>F214</f>
        <v>9.62235</v>
      </c>
      <c r="E214" s="26">
        <f>F214</f>
        <v>9.62235</v>
      </c>
      <c r="F214" s="26">
        <f>ROUND(9.62235,5)</f>
        <v>9.62235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43132</v>
      </c>
      <c r="B216" s="22"/>
      <c r="C216" s="26">
        <f>ROUND(2.54,5)</f>
        <v>2.54</v>
      </c>
      <c r="D216" s="26">
        <f>F216</f>
        <v>187.09152</v>
      </c>
      <c r="E216" s="26">
        <f>F216</f>
        <v>187.09152</v>
      </c>
      <c r="F216" s="26">
        <f>ROUND(187.09152,5)</f>
        <v>187.09152</v>
      </c>
      <c r="G216" s="24"/>
      <c r="H216" s="36"/>
    </row>
    <row r="217" spans="1:8" ht="12.75" customHeight="1">
      <c r="A217" s="22">
        <v>43223</v>
      </c>
      <c r="B217" s="22"/>
      <c r="C217" s="26">
        <f>ROUND(2.54,5)</f>
        <v>2.54</v>
      </c>
      <c r="D217" s="26">
        <f>F217</f>
        <v>188.1727</v>
      </c>
      <c r="E217" s="26">
        <f>F217</f>
        <v>188.1727</v>
      </c>
      <c r="F217" s="26">
        <f>ROUND(188.1727,5)</f>
        <v>188.1727</v>
      </c>
      <c r="G217" s="24"/>
      <c r="H217" s="36"/>
    </row>
    <row r="218" spans="1:8" ht="12.75" customHeight="1">
      <c r="A218" s="22">
        <v>43314</v>
      </c>
      <c r="B218" s="22"/>
      <c r="C218" s="26">
        <f>ROUND(2.54,5)</f>
        <v>2.54</v>
      </c>
      <c r="D218" s="26">
        <f>F218</f>
        <v>191.71735</v>
      </c>
      <c r="E218" s="26">
        <f>F218</f>
        <v>191.71735</v>
      </c>
      <c r="F218" s="26">
        <f>ROUND(191.71735,5)</f>
        <v>191.71735</v>
      </c>
      <c r="G218" s="24"/>
      <c r="H218" s="36"/>
    </row>
    <row r="219" spans="1:8" ht="12.75" customHeight="1">
      <c r="A219" s="22">
        <v>43405</v>
      </c>
      <c r="B219" s="22"/>
      <c r="C219" s="26">
        <f>ROUND(2.54,5)</f>
        <v>2.54</v>
      </c>
      <c r="D219" s="26">
        <f>F219</f>
        <v>195.4695</v>
      </c>
      <c r="E219" s="26">
        <f>F219</f>
        <v>195.4695</v>
      </c>
      <c r="F219" s="26">
        <f>ROUND(195.4695,5)</f>
        <v>195.4695</v>
      </c>
      <c r="G219" s="24"/>
      <c r="H219" s="36"/>
    </row>
    <row r="220" spans="1:8" ht="12.75" customHeight="1">
      <c r="A220" s="22">
        <v>43503</v>
      </c>
      <c r="B220" s="22"/>
      <c r="C220" s="26">
        <f>ROUND(2.54,5)</f>
        <v>2.54</v>
      </c>
      <c r="D220" s="26">
        <f>F220</f>
        <v>199.52216</v>
      </c>
      <c r="E220" s="26">
        <f>F220</f>
        <v>199.52216</v>
      </c>
      <c r="F220" s="26">
        <f>ROUND(199.52216,5)</f>
        <v>199.52216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43132</v>
      </c>
      <c r="B222" s="22"/>
      <c r="C222" s="26">
        <f>ROUND(2.32,5)</f>
        <v>2.32</v>
      </c>
      <c r="D222" s="26">
        <f>F222</f>
        <v>151.24788</v>
      </c>
      <c r="E222" s="26">
        <f>F222</f>
        <v>151.24788</v>
      </c>
      <c r="F222" s="26">
        <f>ROUND(151.24788,5)</f>
        <v>151.24788</v>
      </c>
      <c r="G222" s="24"/>
      <c r="H222" s="36"/>
    </row>
    <row r="223" spans="1:8" ht="12.75" customHeight="1">
      <c r="A223" s="22">
        <v>43223</v>
      </c>
      <c r="B223" s="22"/>
      <c r="C223" s="26">
        <f>ROUND(2.32,5)</f>
        <v>2.32</v>
      </c>
      <c r="D223" s="26">
        <f>F223</f>
        <v>154.08231</v>
      </c>
      <c r="E223" s="26">
        <f>F223</f>
        <v>154.08231</v>
      </c>
      <c r="F223" s="26">
        <f>ROUND(154.08231,5)</f>
        <v>154.08231</v>
      </c>
      <c r="G223" s="24"/>
      <c r="H223" s="36"/>
    </row>
    <row r="224" spans="1:8" ht="12.75" customHeight="1">
      <c r="A224" s="22">
        <v>43314</v>
      </c>
      <c r="B224" s="22"/>
      <c r="C224" s="26">
        <f>ROUND(2.32,5)</f>
        <v>2.32</v>
      </c>
      <c r="D224" s="26">
        <f>F224</f>
        <v>156.91717</v>
      </c>
      <c r="E224" s="26">
        <f>F224</f>
        <v>156.91717</v>
      </c>
      <c r="F224" s="26">
        <f>ROUND(156.91717,5)</f>
        <v>156.91717</v>
      </c>
      <c r="G224" s="24"/>
      <c r="H224" s="36"/>
    </row>
    <row r="225" spans="1:8" ht="12.75" customHeight="1">
      <c r="A225" s="22">
        <v>43405</v>
      </c>
      <c r="B225" s="22"/>
      <c r="C225" s="26">
        <f>ROUND(2.32,5)</f>
        <v>2.32</v>
      </c>
      <c r="D225" s="26">
        <f>F225</f>
        <v>159.98814</v>
      </c>
      <c r="E225" s="26">
        <f>F225</f>
        <v>159.98814</v>
      </c>
      <c r="F225" s="26">
        <f>ROUND(159.98814,5)</f>
        <v>159.98814</v>
      </c>
      <c r="G225" s="24"/>
      <c r="H225" s="36"/>
    </row>
    <row r="226" spans="1:8" ht="12.75" customHeight="1">
      <c r="A226" s="22">
        <v>43503</v>
      </c>
      <c r="B226" s="22"/>
      <c r="C226" s="26">
        <f>ROUND(2.32,5)</f>
        <v>2.32</v>
      </c>
      <c r="D226" s="26">
        <f>F226</f>
        <v>163.30535</v>
      </c>
      <c r="E226" s="26">
        <f>F226</f>
        <v>163.30535</v>
      </c>
      <c r="F226" s="26">
        <f>ROUND(163.30535,5)</f>
        <v>163.30535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43132</v>
      </c>
      <c r="B228" s="22"/>
      <c r="C228" s="26">
        <f>ROUND(9.11,5)</f>
        <v>9.11</v>
      </c>
      <c r="D228" s="26">
        <f>F228</f>
        <v>9.1186</v>
      </c>
      <c r="E228" s="26">
        <f>F228</f>
        <v>9.1186</v>
      </c>
      <c r="F228" s="26">
        <f>ROUND(9.1186,5)</f>
        <v>9.1186</v>
      </c>
      <c r="G228" s="24"/>
      <c r="H228" s="36"/>
    </row>
    <row r="229" spans="1:8" ht="12.75" customHeight="1">
      <c r="A229" s="22">
        <v>43223</v>
      </c>
      <c r="B229" s="22"/>
      <c r="C229" s="26">
        <f>ROUND(9.11,5)</f>
        <v>9.11</v>
      </c>
      <c r="D229" s="26">
        <f>F229</f>
        <v>9.16588</v>
      </c>
      <c r="E229" s="26">
        <f>F229</f>
        <v>9.16588</v>
      </c>
      <c r="F229" s="26">
        <f>ROUND(9.16588,5)</f>
        <v>9.16588</v>
      </c>
      <c r="G229" s="24"/>
      <c r="H229" s="36"/>
    </row>
    <row r="230" spans="1:8" ht="12.75" customHeight="1">
      <c r="A230" s="22">
        <v>43314</v>
      </c>
      <c r="B230" s="22"/>
      <c r="C230" s="26">
        <f>ROUND(9.11,5)</f>
        <v>9.11</v>
      </c>
      <c r="D230" s="26">
        <f>F230</f>
        <v>9.21421</v>
      </c>
      <c r="E230" s="26">
        <f>F230</f>
        <v>9.21421</v>
      </c>
      <c r="F230" s="26">
        <f>ROUND(9.21421,5)</f>
        <v>9.21421</v>
      </c>
      <c r="G230" s="24"/>
      <c r="H230" s="36"/>
    </row>
    <row r="231" spans="1:8" ht="12.75" customHeight="1">
      <c r="A231" s="22">
        <v>43405</v>
      </c>
      <c r="B231" s="22"/>
      <c r="C231" s="26">
        <f>ROUND(9.11,5)</f>
        <v>9.11</v>
      </c>
      <c r="D231" s="26">
        <f>F231</f>
        <v>9.26009</v>
      </c>
      <c r="E231" s="26">
        <f>F231</f>
        <v>9.26009</v>
      </c>
      <c r="F231" s="26">
        <f>ROUND(9.26009,5)</f>
        <v>9.26009</v>
      </c>
      <c r="G231" s="24"/>
      <c r="H231" s="36"/>
    </row>
    <row r="232" spans="1:8" ht="12.75" customHeight="1">
      <c r="A232" s="22">
        <v>43503</v>
      </c>
      <c r="B232" s="22"/>
      <c r="C232" s="26">
        <f>ROUND(9.11,5)</f>
        <v>9.11</v>
      </c>
      <c r="D232" s="26">
        <f>F232</f>
        <v>9.31578</v>
      </c>
      <c r="E232" s="26">
        <f>F232</f>
        <v>9.31578</v>
      </c>
      <c r="F232" s="26">
        <f>ROUND(9.31578,5)</f>
        <v>9.31578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43132</v>
      </c>
      <c r="B234" s="22"/>
      <c r="C234" s="26">
        <f>ROUND(9.58,5)</f>
        <v>9.58</v>
      </c>
      <c r="D234" s="26">
        <f>F234</f>
        <v>9.58878</v>
      </c>
      <c r="E234" s="26">
        <f>F234</f>
        <v>9.58878</v>
      </c>
      <c r="F234" s="26">
        <f>ROUND(9.58878,5)</f>
        <v>9.58878</v>
      </c>
      <c r="G234" s="24"/>
      <c r="H234" s="36"/>
    </row>
    <row r="235" spans="1:8" ht="12.75" customHeight="1">
      <c r="A235" s="22">
        <v>43223</v>
      </c>
      <c r="B235" s="22"/>
      <c r="C235" s="26">
        <f>ROUND(9.58,5)</f>
        <v>9.58</v>
      </c>
      <c r="D235" s="26">
        <f>F235</f>
        <v>9.63834</v>
      </c>
      <c r="E235" s="26">
        <f>F235</f>
        <v>9.63834</v>
      </c>
      <c r="F235" s="26">
        <f>ROUND(9.63834,5)</f>
        <v>9.63834</v>
      </c>
      <c r="G235" s="24"/>
      <c r="H235" s="36"/>
    </row>
    <row r="236" spans="1:8" ht="12.75" customHeight="1">
      <c r="A236" s="22">
        <v>43314</v>
      </c>
      <c r="B236" s="22"/>
      <c r="C236" s="26">
        <f>ROUND(9.58,5)</f>
        <v>9.58</v>
      </c>
      <c r="D236" s="26">
        <f>F236</f>
        <v>9.68874</v>
      </c>
      <c r="E236" s="26">
        <f>F236</f>
        <v>9.68874</v>
      </c>
      <c r="F236" s="26">
        <f>ROUND(9.68874,5)</f>
        <v>9.68874</v>
      </c>
      <c r="G236" s="24"/>
      <c r="H236" s="36"/>
    </row>
    <row r="237" spans="1:8" ht="12.75" customHeight="1">
      <c r="A237" s="22">
        <v>43405</v>
      </c>
      <c r="B237" s="22"/>
      <c r="C237" s="26">
        <f>ROUND(9.58,5)</f>
        <v>9.58</v>
      </c>
      <c r="D237" s="26">
        <f>F237</f>
        <v>9.73704</v>
      </c>
      <c r="E237" s="26">
        <f>F237</f>
        <v>9.73704</v>
      </c>
      <c r="F237" s="26">
        <f>ROUND(9.73704,5)</f>
        <v>9.73704</v>
      </c>
      <c r="G237" s="24"/>
      <c r="H237" s="36"/>
    </row>
    <row r="238" spans="1:8" ht="12.75" customHeight="1">
      <c r="A238" s="22">
        <v>43503</v>
      </c>
      <c r="B238" s="22"/>
      <c r="C238" s="26">
        <f>ROUND(9.58,5)</f>
        <v>9.58</v>
      </c>
      <c r="D238" s="26">
        <f>F238</f>
        <v>9.79411</v>
      </c>
      <c r="E238" s="26">
        <f>F238</f>
        <v>9.79411</v>
      </c>
      <c r="F238" s="26">
        <f>ROUND(9.79411,5)</f>
        <v>9.79411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43132</v>
      </c>
      <c r="B240" s="22"/>
      <c r="C240" s="26">
        <f>ROUND(9.61,5)</f>
        <v>9.61</v>
      </c>
      <c r="D240" s="26">
        <f>F240</f>
        <v>9.61891</v>
      </c>
      <c r="E240" s="26">
        <f>F240</f>
        <v>9.61891</v>
      </c>
      <c r="F240" s="26">
        <f>ROUND(9.61891,5)</f>
        <v>9.61891</v>
      </c>
      <c r="G240" s="24"/>
      <c r="H240" s="36"/>
    </row>
    <row r="241" spans="1:8" ht="12.75" customHeight="1">
      <c r="A241" s="22">
        <v>43223</v>
      </c>
      <c r="B241" s="22"/>
      <c r="C241" s="26">
        <f>ROUND(9.61,5)</f>
        <v>9.61</v>
      </c>
      <c r="D241" s="26">
        <f>F241</f>
        <v>9.66926</v>
      </c>
      <c r="E241" s="26">
        <f>F241</f>
        <v>9.66926</v>
      </c>
      <c r="F241" s="26">
        <f>ROUND(9.66926,5)</f>
        <v>9.66926</v>
      </c>
      <c r="G241" s="24"/>
      <c r="H241" s="36"/>
    </row>
    <row r="242" spans="1:8" ht="12.75" customHeight="1">
      <c r="A242" s="22">
        <v>43314</v>
      </c>
      <c r="B242" s="22"/>
      <c r="C242" s="26">
        <f>ROUND(9.61,5)</f>
        <v>9.61</v>
      </c>
      <c r="D242" s="26">
        <f>F242</f>
        <v>9.72048</v>
      </c>
      <c r="E242" s="26">
        <f>F242</f>
        <v>9.72048</v>
      </c>
      <c r="F242" s="26">
        <f>ROUND(9.72048,5)</f>
        <v>9.72048</v>
      </c>
      <c r="G242" s="24"/>
      <c r="H242" s="36"/>
    </row>
    <row r="243" spans="1:8" ht="12.75" customHeight="1">
      <c r="A243" s="22">
        <v>43405</v>
      </c>
      <c r="B243" s="22"/>
      <c r="C243" s="26">
        <f>ROUND(9.61,5)</f>
        <v>9.61</v>
      </c>
      <c r="D243" s="26">
        <f>F243</f>
        <v>9.76957</v>
      </c>
      <c r="E243" s="26">
        <f>F243</f>
        <v>9.76957</v>
      </c>
      <c r="F243" s="26">
        <f>ROUND(9.76957,5)</f>
        <v>9.76957</v>
      </c>
      <c r="G243" s="24"/>
      <c r="H243" s="36"/>
    </row>
    <row r="244" spans="1:8" ht="12.75" customHeight="1">
      <c r="A244" s="22">
        <v>43503</v>
      </c>
      <c r="B244" s="22"/>
      <c r="C244" s="26">
        <f>ROUND(9.61,5)</f>
        <v>9.61</v>
      </c>
      <c r="D244" s="26">
        <f>F244</f>
        <v>9.82756</v>
      </c>
      <c r="E244" s="26">
        <f>F244</f>
        <v>9.82756</v>
      </c>
      <c r="F244" s="26">
        <f>ROUND(9.82756,5)</f>
        <v>9.82756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43159</v>
      </c>
      <c r="B246" s="22"/>
      <c r="C246" s="25">
        <f>ROUND(9.7626960375,4)</f>
        <v>9.7627</v>
      </c>
      <c r="D246" s="25">
        <f>F246</f>
        <v>9.8158</v>
      </c>
      <c r="E246" s="25">
        <f>F246</f>
        <v>9.8158</v>
      </c>
      <c r="F246" s="25">
        <f>ROUND(9.8158,4)</f>
        <v>9.8158</v>
      </c>
      <c r="G246" s="24"/>
      <c r="H246" s="36"/>
    </row>
    <row r="247" spans="1:8" ht="12.75" customHeight="1">
      <c r="A247" s="22" t="s">
        <v>62</v>
      </c>
      <c r="B247" s="22"/>
      <c r="C247" s="23"/>
      <c r="D247" s="23"/>
      <c r="E247" s="23"/>
      <c r="F247" s="23"/>
      <c r="G247" s="24"/>
      <c r="H247" s="36"/>
    </row>
    <row r="248" spans="1:8" ht="12.75" customHeight="1">
      <c r="A248" s="22">
        <v>43130</v>
      </c>
      <c r="B248" s="22"/>
      <c r="C248" s="25">
        <f>ROUND(14.9541959875,4)</f>
        <v>14.9542</v>
      </c>
      <c r="D248" s="25">
        <f>F248</f>
        <v>14.968</v>
      </c>
      <c r="E248" s="25">
        <f>F248</f>
        <v>14.968</v>
      </c>
      <c r="F248" s="25">
        <f>ROUND(14.968,4)</f>
        <v>14.968</v>
      </c>
      <c r="G248" s="24"/>
      <c r="H248" s="36"/>
    </row>
    <row r="249" spans="1:8" ht="12.75" customHeight="1">
      <c r="A249" s="22">
        <v>43131</v>
      </c>
      <c r="B249" s="22"/>
      <c r="C249" s="25">
        <f>ROUND(14.9541959875,4)</f>
        <v>14.9542</v>
      </c>
      <c r="D249" s="25">
        <f>F249</f>
        <v>14.9827</v>
      </c>
      <c r="E249" s="25">
        <f>F249</f>
        <v>14.9827</v>
      </c>
      <c r="F249" s="25">
        <f>ROUND(14.9827,4)</f>
        <v>14.9827</v>
      </c>
      <c r="G249" s="24"/>
      <c r="H249" s="36"/>
    </row>
    <row r="250" spans="1:8" ht="12.75" customHeight="1">
      <c r="A250" s="22">
        <v>43146</v>
      </c>
      <c r="B250" s="22"/>
      <c r="C250" s="25">
        <f>ROUND(14.9541959875,4)</f>
        <v>14.9542</v>
      </c>
      <c r="D250" s="25">
        <f>F250</f>
        <v>15.0303</v>
      </c>
      <c r="E250" s="25">
        <f>F250</f>
        <v>15.0303</v>
      </c>
      <c r="F250" s="25">
        <f>ROUND(15.0303,4)</f>
        <v>15.0303</v>
      </c>
      <c r="G250" s="24"/>
      <c r="H250" s="36"/>
    </row>
    <row r="251" spans="1:8" ht="12.75" customHeight="1">
      <c r="A251" s="22">
        <v>43159</v>
      </c>
      <c r="B251" s="22"/>
      <c r="C251" s="25">
        <f>ROUND(14.9541959875,4)</f>
        <v>14.9542</v>
      </c>
      <c r="D251" s="25">
        <f>F251</f>
        <v>15.0713</v>
      </c>
      <c r="E251" s="25">
        <f>F251</f>
        <v>15.0713</v>
      </c>
      <c r="F251" s="25">
        <f>ROUND(15.0713,4)</f>
        <v>15.0713</v>
      </c>
      <c r="G251" s="24"/>
      <c r="H251" s="36"/>
    </row>
    <row r="252" spans="1:8" ht="12.75" customHeight="1">
      <c r="A252" s="22">
        <v>43174</v>
      </c>
      <c r="B252" s="22"/>
      <c r="C252" s="25">
        <f>ROUND(14.9541959875,4)</f>
        <v>14.9542</v>
      </c>
      <c r="D252" s="25">
        <f>F252</f>
        <v>15.1183</v>
      </c>
      <c r="E252" s="25">
        <f>F252</f>
        <v>15.1183</v>
      </c>
      <c r="F252" s="25">
        <f>ROUND(15.1183,4)</f>
        <v>15.1183</v>
      </c>
      <c r="G252" s="24"/>
      <c r="H252" s="36"/>
    </row>
    <row r="253" spans="1:8" ht="12.75" customHeight="1">
      <c r="A253" s="22">
        <v>43188</v>
      </c>
      <c r="B253" s="22"/>
      <c r="C253" s="25">
        <f>ROUND(14.9541959875,4)</f>
        <v>14.9542</v>
      </c>
      <c r="D253" s="25">
        <f>F253</f>
        <v>15.1633</v>
      </c>
      <c r="E253" s="25">
        <f>F253</f>
        <v>15.1633</v>
      </c>
      <c r="F253" s="25">
        <f>ROUND(15.1633,4)</f>
        <v>15.1633</v>
      </c>
      <c r="G253" s="24"/>
      <c r="H253" s="36"/>
    </row>
    <row r="254" spans="1:8" ht="12.75" customHeight="1">
      <c r="A254" s="22" t="s">
        <v>63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43131</v>
      </c>
      <c r="B255" s="22"/>
      <c r="C255" s="25">
        <f>ROUND(16.936106775,4)</f>
        <v>16.9361</v>
      </c>
      <c r="D255" s="25">
        <f>F255</f>
        <v>16.9646</v>
      </c>
      <c r="E255" s="25">
        <f>F255</f>
        <v>16.9646</v>
      </c>
      <c r="F255" s="25">
        <f>ROUND(16.9646,4)</f>
        <v>16.9646</v>
      </c>
      <c r="G255" s="24"/>
      <c r="H255" s="36"/>
    </row>
    <row r="256" spans="1:8" ht="12.75" customHeight="1">
      <c r="A256" s="22">
        <v>43160</v>
      </c>
      <c r="B256" s="22"/>
      <c r="C256" s="25">
        <f>ROUND(16.936106775,4)</f>
        <v>16.9361</v>
      </c>
      <c r="D256" s="25">
        <f>F256</f>
        <v>17.0553</v>
      </c>
      <c r="E256" s="25">
        <f>F256</f>
        <v>17.0553</v>
      </c>
      <c r="F256" s="25">
        <f>ROUND(17.0553,4)</f>
        <v>17.0553</v>
      </c>
      <c r="G256" s="24"/>
      <c r="H256" s="36"/>
    </row>
    <row r="257" spans="1:8" ht="12.75" customHeight="1">
      <c r="A257" s="22">
        <v>43174</v>
      </c>
      <c r="B257" s="22"/>
      <c r="C257" s="25">
        <f>ROUND(16.936106775,4)</f>
        <v>16.9361</v>
      </c>
      <c r="D257" s="25">
        <f>F257</f>
        <v>17.0985</v>
      </c>
      <c r="E257" s="25">
        <f>F257</f>
        <v>17.0985</v>
      </c>
      <c r="F257" s="25">
        <f>ROUND(17.0985,4)</f>
        <v>17.0985</v>
      </c>
      <c r="G257" s="24"/>
      <c r="H257" s="36"/>
    </row>
    <row r="258" spans="1:8" ht="12.75" customHeight="1">
      <c r="A258" s="22" t="s">
        <v>64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43118</v>
      </c>
      <c r="B259" s="22"/>
      <c r="C259" s="25">
        <f>ROUND(12.1975,4)</f>
        <v>12.1975</v>
      </c>
      <c r="D259" s="25">
        <f>F259</f>
        <v>12.1975</v>
      </c>
      <c r="E259" s="25">
        <f>F259</f>
        <v>12.1975</v>
      </c>
      <c r="F259" s="25">
        <f>ROUND(12.1975,4)</f>
        <v>12.1975</v>
      </c>
      <c r="G259" s="24"/>
      <c r="H259" s="36"/>
    </row>
    <row r="260" spans="1:8" ht="12.75" customHeight="1">
      <c r="A260" s="22">
        <v>43119</v>
      </c>
      <c r="B260" s="22"/>
      <c r="C260" s="25">
        <f>ROUND(12.1975,4)</f>
        <v>12.1975</v>
      </c>
      <c r="D260" s="25">
        <f>F260</f>
        <v>12.2023</v>
      </c>
      <c r="E260" s="25">
        <f>F260</f>
        <v>12.2023</v>
      </c>
      <c r="F260" s="25">
        <f>ROUND(12.2023,4)</f>
        <v>12.2023</v>
      </c>
      <c r="G260" s="24"/>
      <c r="H260" s="36"/>
    </row>
    <row r="261" spans="1:8" ht="12.75" customHeight="1">
      <c r="A261" s="22">
        <v>43125</v>
      </c>
      <c r="B261" s="22"/>
      <c r="C261" s="25">
        <f>ROUND(12.1975,4)</f>
        <v>12.1975</v>
      </c>
      <c r="D261" s="25">
        <f>F261</f>
        <v>12.2031</v>
      </c>
      <c r="E261" s="25">
        <f>F261</f>
        <v>12.2031</v>
      </c>
      <c r="F261" s="25">
        <f>ROUND(12.2031,4)</f>
        <v>12.2031</v>
      </c>
      <c r="G261" s="24"/>
      <c r="H261" s="36"/>
    </row>
    <row r="262" spans="1:8" ht="12.75" customHeight="1">
      <c r="A262" s="22">
        <v>43131</v>
      </c>
      <c r="B262" s="22"/>
      <c r="C262" s="25">
        <f>ROUND(12.1975,4)</f>
        <v>12.1975</v>
      </c>
      <c r="D262" s="25">
        <f>F262</f>
        <v>12.2143</v>
      </c>
      <c r="E262" s="25">
        <f>F262</f>
        <v>12.2143</v>
      </c>
      <c r="F262" s="25">
        <f>ROUND(12.2143,4)</f>
        <v>12.2143</v>
      </c>
      <c r="G262" s="24"/>
      <c r="H262" s="36"/>
    </row>
    <row r="263" spans="1:8" ht="12.75" customHeight="1">
      <c r="A263" s="22">
        <v>43132</v>
      </c>
      <c r="B263" s="22"/>
      <c r="C263" s="25">
        <f>ROUND(12.1975,4)</f>
        <v>12.1975</v>
      </c>
      <c r="D263" s="25">
        <f>F263</f>
        <v>12.2162</v>
      </c>
      <c r="E263" s="25">
        <f>F263</f>
        <v>12.2162</v>
      </c>
      <c r="F263" s="25">
        <f>ROUND(12.2162,4)</f>
        <v>12.2162</v>
      </c>
      <c r="G263" s="24"/>
      <c r="H263" s="36"/>
    </row>
    <row r="264" spans="1:8" ht="12.75" customHeight="1">
      <c r="A264" s="22">
        <v>43133</v>
      </c>
      <c r="B264" s="22"/>
      <c r="C264" s="25">
        <f>ROUND(12.1975,4)</f>
        <v>12.1975</v>
      </c>
      <c r="D264" s="25">
        <f>F264</f>
        <v>12.218</v>
      </c>
      <c r="E264" s="25">
        <f>F264</f>
        <v>12.218</v>
      </c>
      <c r="F264" s="25">
        <f>ROUND(12.218,4)</f>
        <v>12.218</v>
      </c>
      <c r="G264" s="24"/>
      <c r="H264" s="36"/>
    </row>
    <row r="265" spans="1:8" ht="12.75" customHeight="1">
      <c r="A265" s="22">
        <v>43137</v>
      </c>
      <c r="B265" s="22"/>
      <c r="C265" s="25">
        <f>ROUND(12.1975,4)</f>
        <v>12.1975</v>
      </c>
      <c r="D265" s="25">
        <f>F265</f>
        <v>12.2254</v>
      </c>
      <c r="E265" s="25">
        <f>F265</f>
        <v>12.2254</v>
      </c>
      <c r="F265" s="25">
        <f>ROUND(12.2254,4)</f>
        <v>12.2254</v>
      </c>
      <c r="G265" s="24"/>
      <c r="H265" s="36"/>
    </row>
    <row r="266" spans="1:8" ht="12.75" customHeight="1">
      <c r="A266" s="22">
        <v>43139</v>
      </c>
      <c r="B266" s="22"/>
      <c r="C266" s="25">
        <f>ROUND(12.1975,4)</f>
        <v>12.1975</v>
      </c>
      <c r="D266" s="25">
        <f>F266</f>
        <v>12.2291</v>
      </c>
      <c r="E266" s="25">
        <f>F266</f>
        <v>12.2291</v>
      </c>
      <c r="F266" s="25">
        <f>ROUND(12.2291,4)</f>
        <v>12.2291</v>
      </c>
      <c r="G266" s="24"/>
      <c r="H266" s="36"/>
    </row>
    <row r="267" spans="1:8" ht="12.75" customHeight="1">
      <c r="A267" s="22">
        <v>43140</v>
      </c>
      <c r="B267" s="22"/>
      <c r="C267" s="25">
        <f>ROUND(12.1975,4)</f>
        <v>12.1975</v>
      </c>
      <c r="D267" s="25">
        <f>F267</f>
        <v>12.231</v>
      </c>
      <c r="E267" s="25">
        <f>F267</f>
        <v>12.231</v>
      </c>
      <c r="F267" s="25">
        <f>ROUND(12.231,4)</f>
        <v>12.231</v>
      </c>
      <c r="G267" s="24"/>
      <c r="H267" s="36"/>
    </row>
    <row r="268" spans="1:8" ht="12.75" customHeight="1">
      <c r="A268" s="22">
        <v>43143</v>
      </c>
      <c r="B268" s="22"/>
      <c r="C268" s="25">
        <f>ROUND(12.1975,4)</f>
        <v>12.1975</v>
      </c>
      <c r="D268" s="25">
        <f>F268</f>
        <v>12.2365</v>
      </c>
      <c r="E268" s="25">
        <f>F268</f>
        <v>12.2365</v>
      </c>
      <c r="F268" s="25">
        <f>ROUND(12.2365,4)</f>
        <v>12.2365</v>
      </c>
      <c r="G268" s="24"/>
      <c r="H268" s="36"/>
    </row>
    <row r="269" spans="1:8" ht="12.75" customHeight="1">
      <c r="A269" s="22">
        <v>43144</v>
      </c>
      <c r="B269" s="22"/>
      <c r="C269" s="25">
        <f>ROUND(12.1975,4)</f>
        <v>12.1975</v>
      </c>
      <c r="D269" s="25">
        <f>F269</f>
        <v>12.2384</v>
      </c>
      <c r="E269" s="25">
        <f>F269</f>
        <v>12.2384</v>
      </c>
      <c r="F269" s="25">
        <f>ROUND(12.2384,4)</f>
        <v>12.2384</v>
      </c>
      <c r="G269" s="24"/>
      <c r="H269" s="36"/>
    </row>
    <row r="270" spans="1:8" ht="12.75" customHeight="1">
      <c r="A270" s="22">
        <v>43146</v>
      </c>
      <c r="B270" s="22"/>
      <c r="C270" s="25">
        <f>ROUND(12.1975,4)</f>
        <v>12.1975</v>
      </c>
      <c r="D270" s="25">
        <f>F270</f>
        <v>12.2421</v>
      </c>
      <c r="E270" s="25">
        <f>F270</f>
        <v>12.2421</v>
      </c>
      <c r="F270" s="25">
        <f>ROUND(12.2421,4)</f>
        <v>12.2421</v>
      </c>
      <c r="G270" s="24"/>
      <c r="H270" s="36"/>
    </row>
    <row r="271" spans="1:8" ht="12.75" customHeight="1">
      <c r="A271" s="22">
        <v>43147</v>
      </c>
      <c r="B271" s="22"/>
      <c r="C271" s="25">
        <f>ROUND(12.1975,4)</f>
        <v>12.1975</v>
      </c>
      <c r="D271" s="25">
        <f>F271</f>
        <v>12.2439</v>
      </c>
      <c r="E271" s="25">
        <f>F271</f>
        <v>12.2439</v>
      </c>
      <c r="F271" s="25">
        <f>ROUND(12.2439,4)</f>
        <v>12.2439</v>
      </c>
      <c r="G271" s="24"/>
      <c r="H271" s="36"/>
    </row>
    <row r="272" spans="1:8" ht="12.75" customHeight="1">
      <c r="A272" s="22">
        <v>43159</v>
      </c>
      <c r="B272" s="22"/>
      <c r="C272" s="25">
        <f>ROUND(12.1975,4)</f>
        <v>12.1975</v>
      </c>
      <c r="D272" s="25">
        <f>F272</f>
        <v>12.266</v>
      </c>
      <c r="E272" s="25">
        <f>F272</f>
        <v>12.266</v>
      </c>
      <c r="F272" s="25">
        <f>ROUND(12.266,4)</f>
        <v>12.266</v>
      </c>
      <c r="G272" s="24"/>
      <c r="H272" s="36"/>
    </row>
    <row r="273" spans="1:8" ht="12.75" customHeight="1">
      <c r="A273" s="22">
        <v>43160</v>
      </c>
      <c r="B273" s="22"/>
      <c r="C273" s="25">
        <f>ROUND(12.1975,4)</f>
        <v>12.1975</v>
      </c>
      <c r="D273" s="25">
        <f>F273</f>
        <v>12.2678</v>
      </c>
      <c r="E273" s="25">
        <f>F273</f>
        <v>12.2678</v>
      </c>
      <c r="F273" s="25">
        <f>ROUND(12.2678,4)</f>
        <v>12.2678</v>
      </c>
      <c r="G273" s="24"/>
      <c r="H273" s="36"/>
    </row>
    <row r="274" spans="1:8" ht="12.75" customHeight="1">
      <c r="A274" s="22">
        <v>43161</v>
      </c>
      <c r="B274" s="22"/>
      <c r="C274" s="25">
        <f>ROUND(12.1975,4)</f>
        <v>12.1975</v>
      </c>
      <c r="D274" s="25">
        <f>F274</f>
        <v>12.2696</v>
      </c>
      <c r="E274" s="25">
        <f>F274</f>
        <v>12.2696</v>
      </c>
      <c r="F274" s="25">
        <f>ROUND(12.2696,4)</f>
        <v>12.2696</v>
      </c>
      <c r="G274" s="24"/>
      <c r="H274" s="36"/>
    </row>
    <row r="275" spans="1:8" ht="12.75" customHeight="1">
      <c r="A275" s="22">
        <v>43174</v>
      </c>
      <c r="B275" s="22"/>
      <c r="C275" s="25">
        <f>ROUND(12.1975,4)</f>
        <v>12.1975</v>
      </c>
      <c r="D275" s="25">
        <f>F275</f>
        <v>12.2934</v>
      </c>
      <c r="E275" s="25">
        <f>F275</f>
        <v>12.2934</v>
      </c>
      <c r="F275" s="25">
        <f>ROUND(12.2934,4)</f>
        <v>12.2934</v>
      </c>
      <c r="G275" s="24"/>
      <c r="H275" s="36"/>
    </row>
    <row r="276" spans="1:8" ht="12.75" customHeight="1">
      <c r="A276" s="22">
        <v>43188</v>
      </c>
      <c r="B276" s="22"/>
      <c r="C276" s="25">
        <f>ROUND(12.1975,4)</f>
        <v>12.1975</v>
      </c>
      <c r="D276" s="25">
        <f>F276</f>
        <v>12.3185</v>
      </c>
      <c r="E276" s="25">
        <f>F276</f>
        <v>12.3185</v>
      </c>
      <c r="F276" s="25">
        <f>ROUND(12.3185,4)</f>
        <v>12.3185</v>
      </c>
      <c r="G276" s="24"/>
      <c r="H276" s="36"/>
    </row>
    <row r="277" spans="1:8" ht="12.75" customHeight="1">
      <c r="A277" s="22">
        <v>43214</v>
      </c>
      <c r="B277" s="22"/>
      <c r="C277" s="25">
        <f>ROUND(12.1975,4)</f>
        <v>12.1975</v>
      </c>
      <c r="D277" s="25">
        <f>F277</f>
        <v>12.364</v>
      </c>
      <c r="E277" s="25">
        <f>F277</f>
        <v>12.364</v>
      </c>
      <c r="F277" s="25">
        <f>ROUND(12.364,4)</f>
        <v>12.364</v>
      </c>
      <c r="G277" s="24"/>
      <c r="H277" s="36"/>
    </row>
    <row r="278" spans="1:8" ht="12.75" customHeight="1">
      <c r="A278" s="22">
        <v>43215</v>
      </c>
      <c r="B278" s="22"/>
      <c r="C278" s="25">
        <f>ROUND(12.1975,4)</f>
        <v>12.1975</v>
      </c>
      <c r="D278" s="25">
        <f>F278</f>
        <v>12.3658</v>
      </c>
      <c r="E278" s="25">
        <f>F278</f>
        <v>12.3658</v>
      </c>
      <c r="F278" s="25">
        <f>ROUND(12.3658,4)</f>
        <v>12.3658</v>
      </c>
      <c r="G278" s="24"/>
      <c r="H278" s="36"/>
    </row>
    <row r="279" spans="1:8" ht="12.75" customHeight="1">
      <c r="A279" s="22">
        <v>43220</v>
      </c>
      <c r="B279" s="22"/>
      <c r="C279" s="25">
        <f>ROUND(12.1975,4)</f>
        <v>12.1975</v>
      </c>
      <c r="D279" s="25">
        <f>F279</f>
        <v>12.3746</v>
      </c>
      <c r="E279" s="25">
        <f>F279</f>
        <v>12.3746</v>
      </c>
      <c r="F279" s="25">
        <f>ROUND(12.3746,4)</f>
        <v>12.3746</v>
      </c>
      <c r="G279" s="24"/>
      <c r="H279" s="36"/>
    </row>
    <row r="280" spans="1:8" ht="12.75" customHeight="1">
      <c r="A280" s="22">
        <v>43229</v>
      </c>
      <c r="B280" s="22"/>
      <c r="C280" s="25">
        <f>ROUND(12.1975,4)</f>
        <v>12.1975</v>
      </c>
      <c r="D280" s="25">
        <f>F280</f>
        <v>12.3904</v>
      </c>
      <c r="E280" s="25">
        <f>F280</f>
        <v>12.3904</v>
      </c>
      <c r="F280" s="25">
        <f>ROUND(12.3904,4)</f>
        <v>12.3904</v>
      </c>
      <c r="G280" s="24"/>
      <c r="H280" s="36"/>
    </row>
    <row r="281" spans="1:8" ht="12.75" customHeight="1">
      <c r="A281" s="22">
        <v>43231</v>
      </c>
      <c r="B281" s="22"/>
      <c r="C281" s="25">
        <f>ROUND(12.1975,4)</f>
        <v>12.1975</v>
      </c>
      <c r="D281" s="25">
        <f>F281</f>
        <v>12.3939</v>
      </c>
      <c r="E281" s="25">
        <f>F281</f>
        <v>12.3939</v>
      </c>
      <c r="F281" s="25">
        <f>ROUND(12.3939,4)</f>
        <v>12.3939</v>
      </c>
      <c r="G281" s="24"/>
      <c r="H281" s="36"/>
    </row>
    <row r="282" spans="1:8" ht="12.75" customHeight="1">
      <c r="A282" s="22">
        <v>43234</v>
      </c>
      <c r="B282" s="22"/>
      <c r="C282" s="25">
        <f>ROUND(12.1975,4)</f>
        <v>12.1975</v>
      </c>
      <c r="D282" s="25">
        <f>F282</f>
        <v>12.3991</v>
      </c>
      <c r="E282" s="25">
        <f>F282</f>
        <v>12.3991</v>
      </c>
      <c r="F282" s="25">
        <f>ROUND(12.3991,4)</f>
        <v>12.3991</v>
      </c>
      <c r="G282" s="24"/>
      <c r="H282" s="36"/>
    </row>
    <row r="283" spans="1:8" ht="12.75" customHeight="1">
      <c r="A283" s="22">
        <v>43235</v>
      </c>
      <c r="B283" s="22"/>
      <c r="C283" s="25">
        <f>ROUND(12.1975,4)</f>
        <v>12.1975</v>
      </c>
      <c r="D283" s="25">
        <f>F283</f>
        <v>12.4009</v>
      </c>
      <c r="E283" s="25">
        <f>F283</f>
        <v>12.4009</v>
      </c>
      <c r="F283" s="25">
        <f>ROUND(12.4009,4)</f>
        <v>12.4009</v>
      </c>
      <c r="G283" s="24"/>
      <c r="H283" s="36"/>
    </row>
    <row r="284" spans="1:8" ht="12.75" customHeight="1">
      <c r="A284" s="22">
        <v>43251</v>
      </c>
      <c r="B284" s="22"/>
      <c r="C284" s="25">
        <f>ROUND(12.1975,4)</f>
        <v>12.1975</v>
      </c>
      <c r="D284" s="25">
        <f>F284</f>
        <v>12.429</v>
      </c>
      <c r="E284" s="25">
        <f>F284</f>
        <v>12.429</v>
      </c>
      <c r="F284" s="25">
        <f>ROUND(12.429,4)</f>
        <v>12.429</v>
      </c>
      <c r="G284" s="24"/>
      <c r="H284" s="36"/>
    </row>
    <row r="285" spans="1:8" ht="12.75" customHeight="1">
      <c r="A285" s="22">
        <v>43280</v>
      </c>
      <c r="B285" s="22"/>
      <c r="C285" s="25">
        <f>ROUND(12.1975,4)</f>
        <v>12.1975</v>
      </c>
      <c r="D285" s="25">
        <f>F285</f>
        <v>12.4799</v>
      </c>
      <c r="E285" s="25">
        <f>F285</f>
        <v>12.4799</v>
      </c>
      <c r="F285" s="25">
        <f>ROUND(12.4799,4)</f>
        <v>12.4799</v>
      </c>
      <c r="G285" s="24"/>
      <c r="H285" s="36"/>
    </row>
    <row r="286" spans="1:8" ht="12.75" customHeight="1">
      <c r="A286" s="22">
        <v>43283</v>
      </c>
      <c r="B286" s="22"/>
      <c r="C286" s="25">
        <f>ROUND(12.1975,4)</f>
        <v>12.1975</v>
      </c>
      <c r="D286" s="25">
        <f>F286</f>
        <v>12.4851</v>
      </c>
      <c r="E286" s="25">
        <f>F286</f>
        <v>12.4851</v>
      </c>
      <c r="F286" s="25">
        <f>ROUND(12.4851,4)</f>
        <v>12.4851</v>
      </c>
      <c r="G286" s="24"/>
      <c r="H286" s="36"/>
    </row>
    <row r="287" spans="1:8" ht="12.75" customHeight="1">
      <c r="A287" s="22">
        <v>43287</v>
      </c>
      <c r="B287" s="22"/>
      <c r="C287" s="25">
        <f>ROUND(12.1975,4)</f>
        <v>12.1975</v>
      </c>
      <c r="D287" s="25">
        <f>F287</f>
        <v>12.4922</v>
      </c>
      <c r="E287" s="25">
        <f>F287</f>
        <v>12.4922</v>
      </c>
      <c r="F287" s="25">
        <f>ROUND(12.4922,4)</f>
        <v>12.4922</v>
      </c>
      <c r="G287" s="24"/>
      <c r="H287" s="36"/>
    </row>
    <row r="288" spans="1:8" ht="12.75" customHeight="1">
      <c r="A288" s="22">
        <v>43301</v>
      </c>
      <c r="B288" s="22"/>
      <c r="C288" s="25">
        <f>ROUND(12.1975,4)</f>
        <v>12.1975</v>
      </c>
      <c r="D288" s="25">
        <f>F288</f>
        <v>12.5167</v>
      </c>
      <c r="E288" s="25">
        <f>F288</f>
        <v>12.5167</v>
      </c>
      <c r="F288" s="25">
        <f>ROUND(12.5167,4)</f>
        <v>12.5167</v>
      </c>
      <c r="G288" s="24"/>
      <c r="H288" s="36"/>
    </row>
    <row r="289" spans="1:8" ht="12.75" customHeight="1">
      <c r="A289" s="22">
        <v>43305</v>
      </c>
      <c r="B289" s="22"/>
      <c r="C289" s="25">
        <f>ROUND(12.1975,4)</f>
        <v>12.1975</v>
      </c>
      <c r="D289" s="25">
        <f>F289</f>
        <v>12.5237</v>
      </c>
      <c r="E289" s="25">
        <f>F289</f>
        <v>12.5237</v>
      </c>
      <c r="F289" s="25">
        <f>ROUND(12.5237,4)</f>
        <v>12.5237</v>
      </c>
      <c r="G289" s="24"/>
      <c r="H289" s="36"/>
    </row>
    <row r="290" spans="1:8" ht="12.75" customHeight="1">
      <c r="A290" s="22">
        <v>43306</v>
      </c>
      <c r="B290" s="22"/>
      <c r="C290" s="25">
        <f>ROUND(12.1975,4)</f>
        <v>12.1975</v>
      </c>
      <c r="D290" s="25">
        <f>F290</f>
        <v>12.5254</v>
      </c>
      <c r="E290" s="25">
        <f>F290</f>
        <v>12.5254</v>
      </c>
      <c r="F290" s="25">
        <f>ROUND(12.5254,4)</f>
        <v>12.5254</v>
      </c>
      <c r="G290" s="24"/>
      <c r="H290" s="36"/>
    </row>
    <row r="291" spans="1:8" ht="12.75" customHeight="1">
      <c r="A291" s="22">
        <v>43312</v>
      </c>
      <c r="B291" s="22"/>
      <c r="C291" s="25">
        <f>ROUND(12.1975,4)</f>
        <v>12.1975</v>
      </c>
      <c r="D291" s="25">
        <f>F291</f>
        <v>12.5355</v>
      </c>
      <c r="E291" s="25">
        <f>F291</f>
        <v>12.5355</v>
      </c>
      <c r="F291" s="25">
        <f>ROUND(12.5355,4)</f>
        <v>12.5355</v>
      </c>
      <c r="G291" s="24"/>
      <c r="H291" s="36"/>
    </row>
    <row r="292" spans="1:8" ht="12.75" customHeight="1">
      <c r="A292" s="22">
        <v>43319</v>
      </c>
      <c r="B292" s="22"/>
      <c r="C292" s="25">
        <f>ROUND(12.1975,4)</f>
        <v>12.1975</v>
      </c>
      <c r="D292" s="25">
        <f>F292</f>
        <v>12.5472</v>
      </c>
      <c r="E292" s="25">
        <f>F292</f>
        <v>12.5472</v>
      </c>
      <c r="F292" s="25">
        <f>ROUND(12.5472,4)</f>
        <v>12.5472</v>
      </c>
      <c r="G292" s="24"/>
      <c r="H292" s="36"/>
    </row>
    <row r="293" spans="1:8" ht="12.75" customHeight="1">
      <c r="A293" s="22">
        <v>43325</v>
      </c>
      <c r="B293" s="22"/>
      <c r="C293" s="25">
        <f>ROUND(12.1975,4)</f>
        <v>12.1975</v>
      </c>
      <c r="D293" s="25">
        <f>F293</f>
        <v>12.5573</v>
      </c>
      <c r="E293" s="25">
        <f>F293</f>
        <v>12.5573</v>
      </c>
      <c r="F293" s="25">
        <f>ROUND(12.5573,4)</f>
        <v>12.5573</v>
      </c>
      <c r="G293" s="24"/>
      <c r="H293" s="36"/>
    </row>
    <row r="294" spans="1:8" ht="12.75" customHeight="1">
      <c r="A294" s="22">
        <v>43343</v>
      </c>
      <c r="B294" s="22"/>
      <c r="C294" s="25">
        <f>ROUND(12.1975,4)</f>
        <v>12.1975</v>
      </c>
      <c r="D294" s="25">
        <f>F294</f>
        <v>12.5876</v>
      </c>
      <c r="E294" s="25">
        <f>F294</f>
        <v>12.5876</v>
      </c>
      <c r="F294" s="25">
        <f>ROUND(12.5876,4)</f>
        <v>12.5876</v>
      </c>
      <c r="G294" s="24"/>
      <c r="H294" s="36"/>
    </row>
    <row r="295" spans="1:8" ht="12.75" customHeight="1">
      <c r="A295" s="22">
        <v>43371</v>
      </c>
      <c r="B295" s="22"/>
      <c r="C295" s="25">
        <f>ROUND(12.1975,4)</f>
        <v>12.1975</v>
      </c>
      <c r="D295" s="25">
        <f>F295</f>
        <v>12.6347</v>
      </c>
      <c r="E295" s="25">
        <f>F295</f>
        <v>12.6347</v>
      </c>
      <c r="F295" s="25">
        <f>ROUND(12.6347,4)</f>
        <v>12.6347</v>
      </c>
      <c r="G295" s="24"/>
      <c r="H295" s="36"/>
    </row>
    <row r="296" spans="1:8" ht="12.75" customHeight="1">
      <c r="A296" s="22">
        <v>43398</v>
      </c>
      <c r="B296" s="22"/>
      <c r="C296" s="25">
        <f>ROUND(12.1975,4)</f>
        <v>12.1975</v>
      </c>
      <c r="D296" s="25">
        <f>F296</f>
        <v>12.6799</v>
      </c>
      <c r="E296" s="25">
        <f>F296</f>
        <v>12.6799</v>
      </c>
      <c r="F296" s="25">
        <f>ROUND(12.6799,4)</f>
        <v>12.6799</v>
      </c>
      <c r="G296" s="24"/>
      <c r="H296" s="36"/>
    </row>
    <row r="297" spans="1:8" ht="12.75" customHeight="1">
      <c r="A297" s="22">
        <v>43402</v>
      </c>
      <c r="B297" s="22"/>
      <c r="C297" s="25">
        <f>ROUND(12.1975,4)</f>
        <v>12.1975</v>
      </c>
      <c r="D297" s="25">
        <f>F297</f>
        <v>12.6865</v>
      </c>
      <c r="E297" s="25">
        <f>F297</f>
        <v>12.6865</v>
      </c>
      <c r="F297" s="25">
        <f>ROUND(12.6865,4)</f>
        <v>12.6865</v>
      </c>
      <c r="G297" s="24"/>
      <c r="H297" s="36"/>
    </row>
    <row r="298" spans="1:8" ht="12.75" customHeight="1">
      <c r="A298" s="22">
        <v>43404</v>
      </c>
      <c r="B298" s="22"/>
      <c r="C298" s="25">
        <f>ROUND(12.1975,4)</f>
        <v>12.1975</v>
      </c>
      <c r="D298" s="25">
        <f>F298</f>
        <v>12.6897</v>
      </c>
      <c r="E298" s="25">
        <f>F298</f>
        <v>12.6897</v>
      </c>
      <c r="F298" s="25">
        <f>ROUND(12.6897,4)</f>
        <v>12.6897</v>
      </c>
      <c r="G298" s="24"/>
      <c r="H298" s="36"/>
    </row>
    <row r="299" spans="1:8" ht="12.75" customHeight="1">
      <c r="A299" s="22">
        <v>43409</v>
      </c>
      <c r="B299" s="22"/>
      <c r="C299" s="25">
        <f>ROUND(12.1975,4)</f>
        <v>12.1975</v>
      </c>
      <c r="D299" s="25">
        <f>F299</f>
        <v>12.6979</v>
      </c>
      <c r="E299" s="25">
        <f>F299</f>
        <v>12.6979</v>
      </c>
      <c r="F299" s="25">
        <f>ROUND(12.6979,4)</f>
        <v>12.6979</v>
      </c>
      <c r="G299" s="24"/>
      <c r="H299" s="36"/>
    </row>
    <row r="300" spans="1:8" ht="12.75" customHeight="1">
      <c r="A300" s="22">
        <v>43417</v>
      </c>
      <c r="B300" s="22"/>
      <c r="C300" s="25">
        <f>ROUND(12.1975,4)</f>
        <v>12.1975</v>
      </c>
      <c r="D300" s="25">
        <f>F300</f>
        <v>12.7109</v>
      </c>
      <c r="E300" s="25">
        <f>F300</f>
        <v>12.7109</v>
      </c>
      <c r="F300" s="25">
        <f>ROUND(12.7109,4)</f>
        <v>12.7109</v>
      </c>
      <c r="G300" s="24"/>
      <c r="H300" s="36"/>
    </row>
    <row r="301" spans="1:8" ht="12.75" customHeight="1">
      <c r="A301" s="22">
        <v>43434</v>
      </c>
      <c r="B301" s="22"/>
      <c r="C301" s="25">
        <f>ROUND(12.1975,4)</f>
        <v>12.1975</v>
      </c>
      <c r="D301" s="25">
        <f>F301</f>
        <v>12.7387</v>
      </c>
      <c r="E301" s="25">
        <f>F301</f>
        <v>12.7387</v>
      </c>
      <c r="F301" s="25">
        <f>ROUND(12.7387,4)</f>
        <v>12.7387</v>
      </c>
      <c r="G301" s="24"/>
      <c r="H301" s="36"/>
    </row>
    <row r="302" spans="1:8" ht="12.75" customHeight="1">
      <c r="A302" s="22">
        <v>43445</v>
      </c>
      <c r="B302" s="22"/>
      <c r="C302" s="25">
        <f>ROUND(12.1975,4)</f>
        <v>12.1975</v>
      </c>
      <c r="D302" s="25">
        <f>F302</f>
        <v>12.7567</v>
      </c>
      <c r="E302" s="25">
        <f>F302</f>
        <v>12.7567</v>
      </c>
      <c r="F302" s="25">
        <f>ROUND(12.7567,4)</f>
        <v>12.7567</v>
      </c>
      <c r="G302" s="24"/>
      <c r="H302" s="36"/>
    </row>
    <row r="303" spans="1:8" ht="12.75" customHeight="1">
      <c r="A303" s="22">
        <v>43465</v>
      </c>
      <c r="B303" s="22"/>
      <c r="C303" s="25">
        <f>ROUND(12.1975,4)</f>
        <v>12.1975</v>
      </c>
      <c r="D303" s="25">
        <f>F303</f>
        <v>12.7893</v>
      </c>
      <c r="E303" s="25">
        <f>F303</f>
        <v>12.7893</v>
      </c>
      <c r="F303" s="25">
        <f>ROUND(12.7893,4)</f>
        <v>12.7893</v>
      </c>
      <c r="G303" s="24"/>
      <c r="H303" s="36"/>
    </row>
    <row r="304" spans="1:8" ht="12.75" customHeight="1">
      <c r="A304" s="22">
        <v>43509</v>
      </c>
      <c r="B304" s="22"/>
      <c r="C304" s="25">
        <f>ROUND(12.1975,4)</f>
        <v>12.1975</v>
      </c>
      <c r="D304" s="25">
        <f>F304</f>
        <v>12.8638</v>
      </c>
      <c r="E304" s="25">
        <f>F304</f>
        <v>12.8638</v>
      </c>
      <c r="F304" s="25">
        <f>ROUND(12.8638,4)</f>
        <v>12.8638</v>
      </c>
      <c r="G304" s="24"/>
      <c r="H304" s="36"/>
    </row>
    <row r="305" spans="1:8" ht="12.75" customHeight="1">
      <c r="A305" s="22">
        <v>44040</v>
      </c>
      <c r="B305" s="22"/>
      <c r="C305" s="25">
        <f>ROUND(12.1975,4)</f>
        <v>12.1975</v>
      </c>
      <c r="D305" s="25">
        <f>F305</f>
        <v>13.8442</v>
      </c>
      <c r="E305" s="25">
        <f>F305</f>
        <v>13.8442</v>
      </c>
      <c r="F305" s="25">
        <f>ROUND(13.8442,4)</f>
        <v>13.8442</v>
      </c>
      <c r="G305" s="24"/>
      <c r="H305" s="36"/>
    </row>
    <row r="306" spans="1:8" ht="12.75" customHeight="1">
      <c r="A306" s="22" t="s">
        <v>65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43178</v>
      </c>
      <c r="B307" s="22"/>
      <c r="C307" s="25">
        <f>ROUND(1.226005,4)</f>
        <v>1.226</v>
      </c>
      <c r="D307" s="25">
        <f>F307</f>
        <v>1.2301</v>
      </c>
      <c r="E307" s="25">
        <f>F307</f>
        <v>1.2301</v>
      </c>
      <c r="F307" s="25">
        <f>ROUND(1.2301,4)</f>
        <v>1.2301</v>
      </c>
      <c r="G307" s="24"/>
      <c r="H307" s="36"/>
    </row>
    <row r="308" spans="1:8" ht="12.75" customHeight="1">
      <c r="A308" s="22">
        <v>43269</v>
      </c>
      <c r="B308" s="22"/>
      <c r="C308" s="25">
        <f>ROUND(1.226005,4)</f>
        <v>1.226</v>
      </c>
      <c r="D308" s="25">
        <f>F308</f>
        <v>1.2378</v>
      </c>
      <c r="E308" s="25">
        <f>F308</f>
        <v>1.2378</v>
      </c>
      <c r="F308" s="25">
        <f>ROUND(1.2378,4)</f>
        <v>1.2378</v>
      </c>
      <c r="G308" s="24"/>
      <c r="H308" s="36"/>
    </row>
    <row r="309" spans="1:8" ht="12.75" customHeight="1">
      <c r="A309" s="22">
        <v>43360</v>
      </c>
      <c r="B309" s="22"/>
      <c r="C309" s="25">
        <f>ROUND(1.226005,4)</f>
        <v>1.226</v>
      </c>
      <c r="D309" s="25">
        <f>F309</f>
        <v>1.246</v>
      </c>
      <c r="E309" s="25">
        <f>F309</f>
        <v>1.246</v>
      </c>
      <c r="F309" s="25">
        <f>ROUND(1.246,4)</f>
        <v>1.246</v>
      </c>
      <c r="G309" s="24"/>
      <c r="H309" s="36"/>
    </row>
    <row r="310" spans="1:8" ht="12.75" customHeight="1">
      <c r="A310" s="22">
        <v>43448</v>
      </c>
      <c r="B310" s="22"/>
      <c r="C310" s="25">
        <f>ROUND(1.226005,4)</f>
        <v>1.226</v>
      </c>
      <c r="D310" s="25">
        <f>F310</f>
        <v>1.2545</v>
      </c>
      <c r="E310" s="25">
        <f>F310</f>
        <v>1.2545</v>
      </c>
      <c r="F310" s="25">
        <f>ROUND(1.2545,4)</f>
        <v>1.2545</v>
      </c>
      <c r="G310" s="24"/>
      <c r="H310" s="36"/>
    </row>
    <row r="311" spans="1:8" ht="12.75" customHeight="1">
      <c r="A311" s="22" t="s">
        <v>66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43178</v>
      </c>
      <c r="B312" s="22"/>
      <c r="C312" s="25">
        <f>ROUND(1.38849,4)</f>
        <v>1.3885</v>
      </c>
      <c r="D312" s="25">
        <f>F312</f>
        <v>1.391</v>
      </c>
      <c r="E312" s="25">
        <f>F312</f>
        <v>1.391</v>
      </c>
      <c r="F312" s="25">
        <f>ROUND(1.391,4)</f>
        <v>1.391</v>
      </c>
      <c r="G312" s="24"/>
      <c r="H312" s="36"/>
    </row>
    <row r="313" spans="1:8" ht="12.75" customHeight="1">
      <c r="A313" s="22">
        <v>43269</v>
      </c>
      <c r="B313" s="22"/>
      <c r="C313" s="25">
        <f>ROUND(1.38849,4)</f>
        <v>1.3885</v>
      </c>
      <c r="D313" s="25">
        <f>F313</f>
        <v>1.396</v>
      </c>
      <c r="E313" s="25">
        <f>F313</f>
        <v>1.396</v>
      </c>
      <c r="F313" s="25">
        <f>ROUND(1.396,4)</f>
        <v>1.396</v>
      </c>
      <c r="G313" s="24"/>
      <c r="H313" s="36"/>
    </row>
    <row r="314" spans="1:8" ht="12.75" customHeight="1">
      <c r="A314" s="22">
        <v>43360</v>
      </c>
      <c r="B314" s="22"/>
      <c r="C314" s="25">
        <f>ROUND(1.38849,4)</f>
        <v>1.3885</v>
      </c>
      <c r="D314" s="25">
        <f>F314</f>
        <v>1.4012</v>
      </c>
      <c r="E314" s="25">
        <f>F314</f>
        <v>1.4012</v>
      </c>
      <c r="F314" s="25">
        <f>ROUND(1.4012,4)</f>
        <v>1.4012</v>
      </c>
      <c r="G314" s="24"/>
      <c r="H314" s="36"/>
    </row>
    <row r="315" spans="1:8" ht="12.75" customHeight="1">
      <c r="A315" s="22">
        <v>43448</v>
      </c>
      <c r="B315" s="22"/>
      <c r="C315" s="25">
        <f>ROUND(1.38849,4)</f>
        <v>1.3885</v>
      </c>
      <c r="D315" s="25">
        <f>F315</f>
        <v>1.4064</v>
      </c>
      <c r="E315" s="25">
        <f>F315</f>
        <v>1.4064</v>
      </c>
      <c r="F315" s="25">
        <f>ROUND(1.4064,4)</f>
        <v>1.4064</v>
      </c>
      <c r="G315" s="24"/>
      <c r="H315" s="36"/>
    </row>
    <row r="316" spans="1:8" ht="12.75" customHeight="1">
      <c r="A316" s="22" t="s">
        <v>67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43178</v>
      </c>
      <c r="B317" s="22"/>
      <c r="C317" s="25">
        <f>ROUND(9.09469153515064,4)</f>
        <v>9.0947</v>
      </c>
      <c r="D317" s="25">
        <f>F317</f>
        <v>8.993</v>
      </c>
      <c r="E317" s="25">
        <f>F317</f>
        <v>8.993</v>
      </c>
      <c r="F317" s="25">
        <f>ROUND(8.993,4)</f>
        <v>8.993</v>
      </c>
      <c r="G317" s="24"/>
      <c r="H317" s="36"/>
    </row>
    <row r="318" spans="1:8" ht="12.75" customHeight="1">
      <c r="A318" s="22">
        <v>43269</v>
      </c>
      <c r="B318" s="22"/>
      <c r="C318" s="25">
        <f>ROUND(9.09469153515064,4)</f>
        <v>9.0947</v>
      </c>
      <c r="D318" s="25">
        <f>F318</f>
        <v>8.8275</v>
      </c>
      <c r="E318" s="25">
        <f>F318</f>
        <v>8.8275</v>
      </c>
      <c r="F318" s="25">
        <f>ROUND(8.8275,4)</f>
        <v>8.8275</v>
      </c>
      <c r="G318" s="24"/>
      <c r="H318" s="36"/>
    </row>
    <row r="319" spans="1:8" ht="12.75" customHeight="1">
      <c r="A319" s="22">
        <v>43360</v>
      </c>
      <c r="B319" s="22"/>
      <c r="C319" s="25">
        <f>ROUND(9.09469153515064,4)</f>
        <v>9.0947</v>
      </c>
      <c r="D319" s="25">
        <f>F319</f>
        <v>8.6653</v>
      </c>
      <c r="E319" s="25">
        <f>F319</f>
        <v>8.6653</v>
      </c>
      <c r="F319" s="25">
        <f>ROUND(8.6653,4)</f>
        <v>8.6653</v>
      </c>
      <c r="G319" s="24"/>
      <c r="H319" s="36"/>
    </row>
    <row r="320" spans="1:8" ht="12.75" customHeight="1">
      <c r="A320" s="22" t="s">
        <v>68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43178</v>
      </c>
      <c r="B321" s="22"/>
      <c r="C321" s="25">
        <f>ROUND(9.7626960375,4)</f>
        <v>9.7627</v>
      </c>
      <c r="D321" s="25">
        <f>F321</f>
        <v>9.8427</v>
      </c>
      <c r="E321" s="25">
        <f>F321</f>
        <v>9.8427</v>
      </c>
      <c r="F321" s="25">
        <f>ROUND(9.8427,4)</f>
        <v>9.8427</v>
      </c>
      <c r="G321" s="24"/>
      <c r="H321" s="36"/>
    </row>
    <row r="322" spans="1:8" ht="12.75" customHeight="1">
      <c r="A322" s="22">
        <v>43269</v>
      </c>
      <c r="B322" s="22"/>
      <c r="C322" s="25">
        <f>ROUND(9.7626960375,4)</f>
        <v>9.7627</v>
      </c>
      <c r="D322" s="25">
        <f>F322</f>
        <v>9.9709</v>
      </c>
      <c r="E322" s="25">
        <f>F322</f>
        <v>9.9709</v>
      </c>
      <c r="F322" s="25">
        <f>ROUND(9.9709,4)</f>
        <v>9.9709</v>
      </c>
      <c r="G322" s="24"/>
      <c r="H322" s="36"/>
    </row>
    <row r="323" spans="1:8" ht="12.75" customHeight="1">
      <c r="A323" s="22">
        <v>43360</v>
      </c>
      <c r="B323" s="22"/>
      <c r="C323" s="25">
        <f>ROUND(9.7626960375,4)</f>
        <v>9.7627</v>
      </c>
      <c r="D323" s="25">
        <f>F323</f>
        <v>10.0978</v>
      </c>
      <c r="E323" s="25">
        <f>F323</f>
        <v>10.0978</v>
      </c>
      <c r="F323" s="25">
        <f>ROUND(10.0978,4)</f>
        <v>10.0978</v>
      </c>
      <c r="G323" s="24"/>
      <c r="H323" s="36"/>
    </row>
    <row r="324" spans="1:8" ht="12.75" customHeight="1">
      <c r="A324" s="22">
        <v>43448</v>
      </c>
      <c r="B324" s="22"/>
      <c r="C324" s="25">
        <f>ROUND(9.7626960375,4)</f>
        <v>9.7627</v>
      </c>
      <c r="D324" s="25">
        <f>F324</f>
        <v>10.2173</v>
      </c>
      <c r="E324" s="25">
        <f>F324</f>
        <v>10.2173</v>
      </c>
      <c r="F324" s="25">
        <f>ROUND(10.2173,4)</f>
        <v>10.2173</v>
      </c>
      <c r="G324" s="24"/>
      <c r="H324" s="36"/>
    </row>
    <row r="325" spans="1:8" ht="12.75" customHeight="1">
      <c r="A325" s="22">
        <v>43542</v>
      </c>
      <c r="B325" s="22"/>
      <c r="C325" s="25">
        <f>ROUND(9.7626960375,4)</f>
        <v>9.7627</v>
      </c>
      <c r="D325" s="25">
        <f>F325</f>
        <v>10.3487</v>
      </c>
      <c r="E325" s="25">
        <f>F325</f>
        <v>10.3487</v>
      </c>
      <c r="F325" s="25">
        <f>ROUND(10.3487,4)</f>
        <v>10.3487</v>
      </c>
      <c r="G325" s="24"/>
      <c r="H325" s="36"/>
    </row>
    <row r="326" spans="1:8" ht="12.75" customHeight="1">
      <c r="A326" s="22">
        <v>43630</v>
      </c>
      <c r="B326" s="22"/>
      <c r="C326" s="25">
        <f>ROUND(9.7626960375,4)</f>
        <v>9.7627</v>
      </c>
      <c r="D326" s="25">
        <f>F326</f>
        <v>10.474</v>
      </c>
      <c r="E326" s="25">
        <f>F326</f>
        <v>10.474</v>
      </c>
      <c r="F326" s="25">
        <f>ROUND(10.474,4)</f>
        <v>10.474</v>
      </c>
      <c r="G326" s="24"/>
      <c r="H326" s="36"/>
    </row>
    <row r="327" spans="1:8" ht="12.75" customHeight="1">
      <c r="A327" s="22">
        <v>43724</v>
      </c>
      <c r="B327" s="22"/>
      <c r="C327" s="25">
        <f>ROUND(9.7626960375,4)</f>
        <v>9.7627</v>
      </c>
      <c r="D327" s="25">
        <f>F327</f>
        <v>10.6062</v>
      </c>
      <c r="E327" s="25">
        <f>F327</f>
        <v>10.6062</v>
      </c>
      <c r="F327" s="25">
        <f>ROUND(10.6062,4)</f>
        <v>10.6062</v>
      </c>
      <c r="G327" s="24"/>
      <c r="H327" s="36"/>
    </row>
    <row r="328" spans="1:8" ht="12.75" customHeight="1">
      <c r="A328" s="22">
        <v>43812</v>
      </c>
      <c r="B328" s="22"/>
      <c r="C328" s="25">
        <f>ROUND(9.7626960375,4)</f>
        <v>9.7627</v>
      </c>
      <c r="D328" s="25">
        <f>F328</f>
        <v>10.7285</v>
      </c>
      <c r="E328" s="25">
        <f>F328</f>
        <v>10.7285</v>
      </c>
      <c r="F328" s="25">
        <f>ROUND(10.7285,4)</f>
        <v>10.7285</v>
      </c>
      <c r="G328" s="24"/>
      <c r="H328" s="36"/>
    </row>
    <row r="329" spans="1:8" ht="12.75" customHeight="1">
      <c r="A329" s="22" t="s">
        <v>69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43178</v>
      </c>
      <c r="B330" s="22"/>
      <c r="C330" s="25">
        <f>ROUND(3.32103572206491,4)</f>
        <v>3.321</v>
      </c>
      <c r="D330" s="25">
        <f>F330</f>
        <v>3.6049</v>
      </c>
      <c r="E330" s="25">
        <f>F330</f>
        <v>3.6049</v>
      </c>
      <c r="F330" s="25">
        <f>ROUND(3.6049,4)</f>
        <v>3.6049</v>
      </c>
      <c r="G330" s="24"/>
      <c r="H330" s="36"/>
    </row>
    <row r="331" spans="1:8" ht="12.75" customHeight="1">
      <c r="A331" s="22">
        <v>43269</v>
      </c>
      <c r="B331" s="22"/>
      <c r="C331" s="25">
        <f>ROUND(3.32103572206491,4)</f>
        <v>3.321</v>
      </c>
      <c r="D331" s="25">
        <f>F331</f>
        <v>3.6468</v>
      </c>
      <c r="E331" s="25">
        <f>F331</f>
        <v>3.6468</v>
      </c>
      <c r="F331" s="25">
        <f>ROUND(3.6468,4)</f>
        <v>3.6468</v>
      </c>
      <c r="G331" s="24"/>
      <c r="H331" s="36"/>
    </row>
    <row r="332" spans="1:8" ht="12.75" customHeight="1">
      <c r="A332" s="22">
        <v>43360</v>
      </c>
      <c r="B332" s="22"/>
      <c r="C332" s="25">
        <f>ROUND(3.32103572206491,4)</f>
        <v>3.321</v>
      </c>
      <c r="D332" s="25">
        <f>F332</f>
        <v>3.6956</v>
      </c>
      <c r="E332" s="25">
        <f>F332</f>
        <v>3.6956</v>
      </c>
      <c r="F332" s="25">
        <f>ROUND(3.6956,4)</f>
        <v>3.6956</v>
      </c>
      <c r="G332" s="24"/>
      <c r="H332" s="36"/>
    </row>
    <row r="333" spans="1:8" ht="12.75" customHeight="1">
      <c r="A333" s="22" t="s">
        <v>70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43178</v>
      </c>
      <c r="B334" s="22"/>
      <c r="C334" s="25">
        <f>ROUND(1.250853625,4)</f>
        <v>1.2509</v>
      </c>
      <c r="D334" s="25">
        <f>F334</f>
        <v>1.2569</v>
      </c>
      <c r="E334" s="25">
        <f>F334</f>
        <v>1.2569</v>
      </c>
      <c r="F334" s="25">
        <f>ROUND(1.2569,4)</f>
        <v>1.2569</v>
      </c>
      <c r="G334" s="24"/>
      <c r="H334" s="36"/>
    </row>
    <row r="335" spans="1:8" ht="12.75" customHeight="1">
      <c r="A335" s="22">
        <v>43269</v>
      </c>
      <c r="B335" s="22"/>
      <c r="C335" s="25">
        <f>ROUND(1.250853625,4)</f>
        <v>1.2509</v>
      </c>
      <c r="D335" s="25">
        <f>F335</f>
        <v>1.2657</v>
      </c>
      <c r="E335" s="25">
        <f>F335</f>
        <v>1.2657</v>
      </c>
      <c r="F335" s="25">
        <f>ROUND(1.2657,4)</f>
        <v>1.2657</v>
      </c>
      <c r="G335" s="24"/>
      <c r="H335" s="36"/>
    </row>
    <row r="336" spans="1:8" ht="12.75" customHeight="1">
      <c r="A336" s="22">
        <v>43360</v>
      </c>
      <c r="B336" s="22"/>
      <c r="C336" s="25">
        <f>ROUND(1.250853625,4)</f>
        <v>1.2509</v>
      </c>
      <c r="D336" s="25">
        <f>F336</f>
        <v>1.2736</v>
      </c>
      <c r="E336" s="25">
        <f>F336</f>
        <v>1.2736</v>
      </c>
      <c r="F336" s="25">
        <f>ROUND(1.2736,4)</f>
        <v>1.2736</v>
      </c>
      <c r="G336" s="24"/>
      <c r="H336" s="36"/>
    </row>
    <row r="337" spans="1:8" ht="12.75" customHeight="1">
      <c r="A337" s="22">
        <v>43448</v>
      </c>
      <c r="B337" s="22"/>
      <c r="C337" s="25">
        <f>ROUND(1.250853625,4)</f>
        <v>1.2509</v>
      </c>
      <c r="D337" s="25">
        <f>F337</f>
        <v>1.2795</v>
      </c>
      <c r="E337" s="25">
        <f>F337</f>
        <v>1.2795</v>
      </c>
      <c r="F337" s="25">
        <f>ROUND(1.2795,4)</f>
        <v>1.2795</v>
      </c>
      <c r="G337" s="24"/>
      <c r="H337" s="36"/>
    </row>
    <row r="338" spans="1:8" ht="12.75" customHeight="1">
      <c r="A338" s="22">
        <v>43542</v>
      </c>
      <c r="B338" s="22"/>
      <c r="C338" s="25">
        <f>ROUND(1.250853625,4)</f>
        <v>1.2509</v>
      </c>
      <c r="D338" s="25">
        <f>F338</f>
        <v>1.3467</v>
      </c>
      <c r="E338" s="25">
        <f>F338</f>
        <v>1.3467</v>
      </c>
      <c r="F338" s="25">
        <f>ROUND(1.3467,4)</f>
        <v>1.3467</v>
      </c>
      <c r="G338" s="24"/>
      <c r="H338" s="36"/>
    </row>
    <row r="339" spans="1:8" ht="12.75" customHeight="1">
      <c r="A339" s="22">
        <v>43630</v>
      </c>
      <c r="B339" s="22"/>
      <c r="C339" s="25">
        <f>ROUND(1.250853625,4)</f>
        <v>1.2509</v>
      </c>
      <c r="D339" s="25">
        <f>F339</f>
        <v>1.3646</v>
      </c>
      <c r="E339" s="25">
        <f>F339</f>
        <v>1.3646</v>
      </c>
      <c r="F339" s="25">
        <f>ROUND(1.3646,4)</f>
        <v>1.3646</v>
      </c>
      <c r="G339" s="24"/>
      <c r="H339" s="36"/>
    </row>
    <row r="340" spans="1:8" ht="12.75" customHeight="1">
      <c r="A340" s="22">
        <v>43724</v>
      </c>
      <c r="B340" s="22"/>
      <c r="C340" s="25">
        <f>ROUND(1.250853625,4)</f>
        <v>1.2509</v>
      </c>
      <c r="D340" s="25">
        <f>F340</f>
        <v>1.3728</v>
      </c>
      <c r="E340" s="25">
        <f>F340</f>
        <v>1.3728</v>
      </c>
      <c r="F340" s="25">
        <f>ROUND(1.3728,4)</f>
        <v>1.3728</v>
      </c>
      <c r="G340" s="24"/>
      <c r="H340" s="36"/>
    </row>
    <row r="341" spans="1:8" ht="12.75" customHeight="1">
      <c r="A341" s="22">
        <v>43812</v>
      </c>
      <c r="B341" s="22"/>
      <c r="C341" s="25">
        <f>ROUND(1.250853625,4)</f>
        <v>1.2509</v>
      </c>
      <c r="D341" s="25">
        <f>F341</f>
        <v>1.3826</v>
      </c>
      <c r="E341" s="25">
        <f>F341</f>
        <v>1.3826</v>
      </c>
      <c r="F341" s="25">
        <f>ROUND(1.3826,4)</f>
        <v>1.3826</v>
      </c>
      <c r="G341" s="24"/>
      <c r="H341" s="36"/>
    </row>
    <row r="342" spans="1:8" ht="12.75" customHeight="1">
      <c r="A342" s="22" t="s">
        <v>71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43178</v>
      </c>
      <c r="B343" s="22"/>
      <c r="C343" s="25">
        <f>ROUND(9.78979726150537,4)</f>
        <v>9.7898</v>
      </c>
      <c r="D343" s="25">
        <f>F343</f>
        <v>9.8781</v>
      </c>
      <c r="E343" s="25">
        <f>F343</f>
        <v>9.8781</v>
      </c>
      <c r="F343" s="25">
        <f>ROUND(9.8781,4)</f>
        <v>9.8781</v>
      </c>
      <c r="G343" s="24"/>
      <c r="H343" s="36"/>
    </row>
    <row r="344" spans="1:8" ht="12.75" customHeight="1">
      <c r="A344" s="22">
        <v>43269</v>
      </c>
      <c r="B344" s="22"/>
      <c r="C344" s="25">
        <f>ROUND(9.78979726150537,4)</f>
        <v>9.7898</v>
      </c>
      <c r="D344" s="25">
        <f>F344</f>
        <v>10.0167</v>
      </c>
      <c r="E344" s="25">
        <f>F344</f>
        <v>10.0167</v>
      </c>
      <c r="F344" s="25">
        <f>ROUND(10.0167,4)</f>
        <v>10.0167</v>
      </c>
      <c r="G344" s="24"/>
      <c r="H344" s="36"/>
    </row>
    <row r="345" spans="1:8" ht="12.75" customHeight="1">
      <c r="A345" s="22">
        <v>43360</v>
      </c>
      <c r="B345" s="22"/>
      <c r="C345" s="25">
        <f>ROUND(9.78979726150537,4)</f>
        <v>9.7898</v>
      </c>
      <c r="D345" s="25">
        <f>F345</f>
        <v>10.1505</v>
      </c>
      <c r="E345" s="25">
        <f>F345</f>
        <v>10.1505</v>
      </c>
      <c r="F345" s="25">
        <f>ROUND(10.1505,4)</f>
        <v>10.1505</v>
      </c>
      <c r="G345" s="24"/>
      <c r="H345" s="36"/>
    </row>
    <row r="346" spans="1:8" ht="12.75" customHeight="1">
      <c r="A346" s="22">
        <v>43448</v>
      </c>
      <c r="B346" s="22"/>
      <c r="C346" s="25">
        <f>ROUND(9.78979726150537,4)</f>
        <v>9.7898</v>
      </c>
      <c r="D346" s="25">
        <f>F346</f>
        <v>10.158</v>
      </c>
      <c r="E346" s="25">
        <f>F346</f>
        <v>10.158</v>
      </c>
      <c r="F346" s="25">
        <f>ROUND(10.158,4)</f>
        <v>10.158</v>
      </c>
      <c r="G346" s="24"/>
      <c r="H346" s="36"/>
    </row>
    <row r="347" spans="1:8" ht="12.75" customHeight="1">
      <c r="A347" s="22">
        <v>43542</v>
      </c>
      <c r="B347" s="22"/>
      <c r="C347" s="25">
        <f>ROUND(9.78979726150537,4)</f>
        <v>9.7898</v>
      </c>
      <c r="D347" s="25">
        <f>F347</f>
        <v>10.2839</v>
      </c>
      <c r="E347" s="25">
        <f>F347</f>
        <v>10.2839</v>
      </c>
      <c r="F347" s="25">
        <f>ROUND(10.2839,4)</f>
        <v>10.2839</v>
      </c>
      <c r="G347" s="24"/>
      <c r="H347" s="36"/>
    </row>
    <row r="348" spans="1:8" ht="12.75" customHeight="1">
      <c r="A348" s="22">
        <v>43630</v>
      </c>
      <c r="B348" s="22"/>
      <c r="C348" s="25">
        <f>ROUND(9.78979726150537,4)</f>
        <v>9.7898</v>
      </c>
      <c r="D348" s="25">
        <f>F348</f>
        <v>10.4199</v>
      </c>
      <c r="E348" s="25">
        <f>F348</f>
        <v>10.4199</v>
      </c>
      <c r="F348" s="25">
        <f>ROUND(10.4199,4)</f>
        <v>10.4199</v>
      </c>
      <c r="G348" s="24"/>
      <c r="H348" s="36"/>
    </row>
    <row r="349" spans="1:8" ht="12.75" customHeight="1">
      <c r="A349" s="22">
        <v>43724</v>
      </c>
      <c r="B349" s="22"/>
      <c r="C349" s="25">
        <f>ROUND(9.78979726150537,4)</f>
        <v>9.7898</v>
      </c>
      <c r="D349" s="25">
        <f>F349</f>
        <v>10.5519</v>
      </c>
      <c r="E349" s="25">
        <f>F349</f>
        <v>10.5519</v>
      </c>
      <c r="F349" s="25">
        <f>ROUND(10.5519,4)</f>
        <v>10.5519</v>
      </c>
      <c r="G349" s="24"/>
      <c r="H349" s="36"/>
    </row>
    <row r="350" spans="1:8" ht="12.75" customHeight="1">
      <c r="A350" s="22">
        <v>43812</v>
      </c>
      <c r="B350" s="22"/>
      <c r="C350" s="25">
        <f>ROUND(9.78979726150537,4)</f>
        <v>9.7898</v>
      </c>
      <c r="D350" s="25">
        <f>F350</f>
        <v>10.6922</v>
      </c>
      <c r="E350" s="25">
        <f>F350</f>
        <v>10.6922</v>
      </c>
      <c r="F350" s="25">
        <f>ROUND(10.6922,4)</f>
        <v>10.6922</v>
      </c>
      <c r="G350" s="24"/>
      <c r="H350" s="36"/>
    </row>
    <row r="351" spans="1:8" ht="12.75" customHeight="1">
      <c r="A351" s="22" t="s">
        <v>72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43178</v>
      </c>
      <c r="B352" s="22"/>
      <c r="C352" s="25">
        <f>ROUND(1.9165372168789,4)</f>
        <v>1.9165</v>
      </c>
      <c r="D352" s="25">
        <f>F352</f>
        <v>1.9107</v>
      </c>
      <c r="E352" s="25">
        <f>F352</f>
        <v>1.9107</v>
      </c>
      <c r="F352" s="25">
        <f>ROUND(1.9107,4)</f>
        <v>1.9107</v>
      </c>
      <c r="G352" s="24"/>
      <c r="H352" s="36"/>
    </row>
    <row r="353" spans="1:8" ht="12.75" customHeight="1">
      <c r="A353" s="22">
        <v>43269</v>
      </c>
      <c r="B353" s="22"/>
      <c r="C353" s="25">
        <f>ROUND(1.9165372168789,4)</f>
        <v>1.9165</v>
      </c>
      <c r="D353" s="25">
        <f>F353</f>
        <v>1.9267</v>
      </c>
      <c r="E353" s="25">
        <f>F353</f>
        <v>1.9267</v>
      </c>
      <c r="F353" s="25">
        <f>ROUND(1.9267,4)</f>
        <v>1.9267</v>
      </c>
      <c r="G353" s="24"/>
      <c r="H353" s="36"/>
    </row>
    <row r="354" spans="1:8" ht="12.75" customHeight="1">
      <c r="A354" s="22">
        <v>43360</v>
      </c>
      <c r="B354" s="22"/>
      <c r="C354" s="25">
        <f>ROUND(1.9165372168789,4)</f>
        <v>1.9165</v>
      </c>
      <c r="D354" s="25">
        <f>F354</f>
        <v>1.9423</v>
      </c>
      <c r="E354" s="25">
        <f>F354</f>
        <v>1.9423</v>
      </c>
      <c r="F354" s="25">
        <f>ROUND(1.9423,4)</f>
        <v>1.9423</v>
      </c>
      <c r="G354" s="24"/>
      <c r="H354" s="36"/>
    </row>
    <row r="355" spans="1:8" ht="12.75" customHeight="1">
      <c r="A355" s="22">
        <v>43448</v>
      </c>
      <c r="B355" s="22"/>
      <c r="C355" s="25">
        <f>ROUND(1.9165372168789,4)</f>
        <v>1.9165</v>
      </c>
      <c r="D355" s="25">
        <f>F355</f>
        <v>1.9568</v>
      </c>
      <c r="E355" s="25">
        <f>F355</f>
        <v>1.9568</v>
      </c>
      <c r="F355" s="25">
        <f>ROUND(1.9568,4)</f>
        <v>1.9568</v>
      </c>
      <c r="G355" s="24"/>
      <c r="H355" s="36"/>
    </row>
    <row r="356" spans="1:8" ht="12.75" customHeight="1">
      <c r="A356" s="22">
        <v>43542</v>
      </c>
      <c r="B356" s="22"/>
      <c r="C356" s="25">
        <f>ROUND(1.9165372168789,4)</f>
        <v>1.9165</v>
      </c>
      <c r="D356" s="25">
        <f>F356</f>
        <v>1.973</v>
      </c>
      <c r="E356" s="25">
        <f>F356</f>
        <v>1.973</v>
      </c>
      <c r="F356" s="25">
        <f>ROUND(1.973,4)</f>
        <v>1.973</v>
      </c>
      <c r="G356" s="24"/>
      <c r="H356" s="36"/>
    </row>
    <row r="357" spans="1:8" ht="12.75" customHeight="1">
      <c r="A357" s="22">
        <v>43630</v>
      </c>
      <c r="B357" s="22"/>
      <c r="C357" s="25">
        <f>ROUND(1.9165372168789,4)</f>
        <v>1.9165</v>
      </c>
      <c r="D357" s="25">
        <f>F357</f>
        <v>1.9887</v>
      </c>
      <c r="E357" s="25">
        <f>F357</f>
        <v>1.9887</v>
      </c>
      <c r="F357" s="25">
        <f>ROUND(1.9887,4)</f>
        <v>1.9887</v>
      </c>
      <c r="G357" s="24"/>
      <c r="H357" s="36"/>
    </row>
    <row r="358" spans="1:8" ht="12.75" customHeight="1">
      <c r="A358" s="22">
        <v>43724</v>
      </c>
      <c r="B358" s="22"/>
      <c r="C358" s="25">
        <f>ROUND(1.9165372168789,4)</f>
        <v>1.9165</v>
      </c>
      <c r="D358" s="25">
        <f>F358</f>
        <v>2.0053</v>
      </c>
      <c r="E358" s="25">
        <f>F358</f>
        <v>2.0053</v>
      </c>
      <c r="F358" s="25">
        <f>ROUND(2.0053,4)</f>
        <v>2.0053</v>
      </c>
      <c r="G358" s="24"/>
      <c r="H358" s="36"/>
    </row>
    <row r="359" spans="1:8" ht="12.75" customHeight="1">
      <c r="A359" s="22">
        <v>43812</v>
      </c>
      <c r="B359" s="22"/>
      <c r="C359" s="25">
        <f>ROUND(1.9165372168789,4)</f>
        <v>1.9165</v>
      </c>
      <c r="D359" s="25">
        <f>F359</f>
        <v>2.0208</v>
      </c>
      <c r="E359" s="25">
        <f>F359</f>
        <v>2.0208</v>
      </c>
      <c r="F359" s="25">
        <f>ROUND(2.0208,4)</f>
        <v>2.0208</v>
      </c>
      <c r="G359" s="24"/>
      <c r="H359" s="36"/>
    </row>
    <row r="360" spans="1:8" ht="12.75" customHeight="1">
      <c r="A360" s="22" t="s">
        <v>73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43178</v>
      </c>
      <c r="B361" s="22"/>
      <c r="C361" s="25">
        <f>ROUND(2.00786685443521,4)</f>
        <v>2.0079</v>
      </c>
      <c r="D361" s="25">
        <f>F361</f>
        <v>2.0433</v>
      </c>
      <c r="E361" s="25">
        <f>F361</f>
        <v>2.0433</v>
      </c>
      <c r="F361" s="25">
        <f>ROUND(2.0433,4)</f>
        <v>2.0433</v>
      </c>
      <c r="G361" s="24"/>
      <c r="H361" s="36"/>
    </row>
    <row r="362" spans="1:8" ht="12.75" customHeight="1">
      <c r="A362" s="22">
        <v>43269</v>
      </c>
      <c r="B362" s="22"/>
      <c r="C362" s="25">
        <f>ROUND(2.00786685443521,4)</f>
        <v>2.0079</v>
      </c>
      <c r="D362" s="25">
        <f>F362</f>
        <v>2.0845</v>
      </c>
      <c r="E362" s="25">
        <f>F362</f>
        <v>2.0845</v>
      </c>
      <c r="F362" s="25">
        <f>ROUND(2.0845,4)</f>
        <v>2.0845</v>
      </c>
      <c r="G362" s="24"/>
      <c r="H362" s="36"/>
    </row>
    <row r="363" spans="1:8" ht="12.75" customHeight="1">
      <c r="A363" s="22">
        <v>43360</v>
      </c>
      <c r="B363" s="22"/>
      <c r="C363" s="25">
        <f>ROUND(2.00786685443521,4)</f>
        <v>2.0079</v>
      </c>
      <c r="D363" s="25">
        <f>F363</f>
        <v>2.1259</v>
      </c>
      <c r="E363" s="25">
        <f>F363</f>
        <v>2.1259</v>
      </c>
      <c r="F363" s="25">
        <f>ROUND(2.1259,4)</f>
        <v>2.1259</v>
      </c>
      <c r="G363" s="24"/>
      <c r="H363" s="36"/>
    </row>
    <row r="364" spans="1:8" ht="12.75" customHeight="1">
      <c r="A364" s="22">
        <v>43448</v>
      </c>
      <c r="B364" s="22"/>
      <c r="C364" s="25">
        <f>ROUND(2.00786685443521,4)</f>
        <v>2.0079</v>
      </c>
      <c r="D364" s="25">
        <f>F364</f>
        <v>2.1634</v>
      </c>
      <c r="E364" s="25">
        <f>F364</f>
        <v>2.1634</v>
      </c>
      <c r="F364" s="25">
        <f>ROUND(2.1634,4)</f>
        <v>2.1634</v>
      </c>
      <c r="G364" s="24"/>
      <c r="H364" s="36"/>
    </row>
    <row r="365" spans="1:8" ht="12.75" customHeight="1">
      <c r="A365" s="22">
        <v>43542</v>
      </c>
      <c r="B365" s="22"/>
      <c r="C365" s="25">
        <f>ROUND(2.00786685443521,4)</f>
        <v>2.0079</v>
      </c>
      <c r="D365" s="25">
        <f>F365</f>
        <v>2.2866</v>
      </c>
      <c r="E365" s="25">
        <f>F365</f>
        <v>2.2866</v>
      </c>
      <c r="F365" s="25">
        <f>ROUND(2.2866,4)</f>
        <v>2.2866</v>
      </c>
      <c r="G365" s="24"/>
      <c r="H365" s="36"/>
    </row>
    <row r="366" spans="1:8" ht="12.75" customHeight="1">
      <c r="A366" s="22">
        <v>43630</v>
      </c>
      <c r="B366" s="22"/>
      <c r="C366" s="25">
        <f>ROUND(2.00786685443521,4)</f>
        <v>2.0079</v>
      </c>
      <c r="D366" s="25">
        <f>F366</f>
        <v>2.3432</v>
      </c>
      <c r="E366" s="25">
        <f>F366</f>
        <v>2.3432</v>
      </c>
      <c r="F366" s="25">
        <f>ROUND(2.3432,4)</f>
        <v>2.3432</v>
      </c>
      <c r="G366" s="24"/>
      <c r="H366" s="36"/>
    </row>
    <row r="367" spans="1:8" ht="12.75" customHeight="1">
      <c r="A367" s="22">
        <v>43724</v>
      </c>
      <c r="B367" s="22"/>
      <c r="C367" s="25">
        <f>ROUND(2.00786685443521,4)</f>
        <v>2.0079</v>
      </c>
      <c r="D367" s="25">
        <f>F367</f>
        <v>2.4027</v>
      </c>
      <c r="E367" s="25">
        <f>F367</f>
        <v>2.4027</v>
      </c>
      <c r="F367" s="25">
        <f>ROUND(2.4027,4)</f>
        <v>2.4027</v>
      </c>
      <c r="G367" s="24"/>
      <c r="H367" s="36"/>
    </row>
    <row r="368" spans="1:8" ht="12.75" customHeight="1">
      <c r="A368" s="22">
        <v>43812</v>
      </c>
      <c r="B368" s="22"/>
      <c r="C368" s="25">
        <f>ROUND(2.00786685443521,4)</f>
        <v>2.0079</v>
      </c>
      <c r="D368" s="25">
        <f>F368</f>
        <v>2.4639</v>
      </c>
      <c r="E368" s="25">
        <f>F368</f>
        <v>2.4639</v>
      </c>
      <c r="F368" s="25">
        <f>ROUND(2.4639,4)</f>
        <v>2.4639</v>
      </c>
      <c r="G368" s="24"/>
      <c r="H368" s="36"/>
    </row>
    <row r="369" spans="1:8" ht="12.75" customHeight="1">
      <c r="A369" s="22" t="s">
        <v>74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43178</v>
      </c>
      <c r="B370" s="22"/>
      <c r="C370" s="25">
        <f>ROUND(14.9541959875,4)</f>
        <v>14.9542</v>
      </c>
      <c r="D370" s="25">
        <f>F370</f>
        <v>15.1309</v>
      </c>
      <c r="E370" s="25">
        <f>F370</f>
        <v>15.1309</v>
      </c>
      <c r="F370" s="25">
        <f>ROUND(15.1309,4)</f>
        <v>15.1309</v>
      </c>
      <c r="G370" s="24"/>
      <c r="H370" s="36"/>
    </row>
    <row r="371" spans="1:8" ht="12.75" customHeight="1">
      <c r="A371" s="22">
        <v>43269</v>
      </c>
      <c r="B371" s="22"/>
      <c r="C371" s="25">
        <f>ROUND(14.9541959875,4)</f>
        <v>14.9542</v>
      </c>
      <c r="D371" s="25">
        <f>F371</f>
        <v>15.4232</v>
      </c>
      <c r="E371" s="25">
        <f>F371</f>
        <v>15.4232</v>
      </c>
      <c r="F371" s="25">
        <f>ROUND(15.4232,4)</f>
        <v>15.4232</v>
      </c>
      <c r="G371" s="24"/>
      <c r="H371" s="36"/>
    </row>
    <row r="372" spans="1:8" ht="12.75" customHeight="1">
      <c r="A372" s="22">
        <v>43360</v>
      </c>
      <c r="B372" s="22"/>
      <c r="C372" s="25">
        <f>ROUND(14.9541959875,4)</f>
        <v>14.9542</v>
      </c>
      <c r="D372" s="25">
        <f>F372</f>
        <v>15.7204</v>
      </c>
      <c r="E372" s="25">
        <f>F372</f>
        <v>15.7204</v>
      </c>
      <c r="F372" s="25">
        <f>ROUND(15.7204,4)</f>
        <v>15.7204</v>
      </c>
      <c r="G372" s="24"/>
      <c r="H372" s="36"/>
    </row>
    <row r="373" spans="1:8" ht="12.75" customHeight="1">
      <c r="A373" s="22">
        <v>43448</v>
      </c>
      <c r="B373" s="22"/>
      <c r="C373" s="25">
        <f>ROUND(14.9541959875,4)</f>
        <v>14.9542</v>
      </c>
      <c r="D373" s="25">
        <f>F373</f>
        <v>16.0098</v>
      </c>
      <c r="E373" s="25">
        <f>F373</f>
        <v>16.0098</v>
      </c>
      <c r="F373" s="25">
        <f>ROUND(16.0098,4)</f>
        <v>16.0098</v>
      </c>
      <c r="G373" s="24"/>
      <c r="H373" s="36"/>
    </row>
    <row r="374" spans="1:8" ht="12.75" customHeight="1">
      <c r="A374" s="22">
        <v>43542</v>
      </c>
      <c r="B374" s="22"/>
      <c r="C374" s="25">
        <f>ROUND(14.9541959875,4)</f>
        <v>14.9542</v>
      </c>
      <c r="D374" s="25">
        <f>F374</f>
        <v>16.3036</v>
      </c>
      <c r="E374" s="25">
        <f>F374</f>
        <v>16.3036</v>
      </c>
      <c r="F374" s="25">
        <f>ROUND(16.3036,4)</f>
        <v>16.3036</v>
      </c>
      <c r="G374" s="24"/>
      <c r="H374" s="36"/>
    </row>
    <row r="375" spans="1:8" ht="12.75" customHeight="1">
      <c r="A375" s="22">
        <v>43630</v>
      </c>
      <c r="B375" s="22"/>
      <c r="C375" s="25">
        <f>ROUND(14.9541959875,4)</f>
        <v>14.9542</v>
      </c>
      <c r="D375" s="25">
        <f>F375</f>
        <v>16.6237</v>
      </c>
      <c r="E375" s="25">
        <f>F375</f>
        <v>16.6237</v>
      </c>
      <c r="F375" s="25">
        <f>ROUND(16.6237,4)</f>
        <v>16.6237</v>
      </c>
      <c r="G375" s="24"/>
      <c r="H375" s="36"/>
    </row>
    <row r="376" spans="1:8" ht="12.75" customHeight="1">
      <c r="A376" s="22">
        <v>43724</v>
      </c>
      <c r="B376" s="22"/>
      <c r="C376" s="25">
        <f>ROUND(14.9541959875,4)</f>
        <v>14.9542</v>
      </c>
      <c r="D376" s="25">
        <f>F376</f>
        <v>17.0198</v>
      </c>
      <c r="E376" s="25">
        <f>F376</f>
        <v>17.0198</v>
      </c>
      <c r="F376" s="25">
        <f>ROUND(17.0198,4)</f>
        <v>17.0198</v>
      </c>
      <c r="G376" s="24"/>
      <c r="H376" s="36"/>
    </row>
    <row r="377" spans="1:8" ht="12.75" customHeight="1">
      <c r="A377" s="22">
        <v>43812</v>
      </c>
      <c r="B377" s="22"/>
      <c r="C377" s="25">
        <f>ROUND(14.9541959875,4)</f>
        <v>14.9542</v>
      </c>
      <c r="D377" s="25">
        <f>F377</f>
        <v>17.3949</v>
      </c>
      <c r="E377" s="25">
        <f>F377</f>
        <v>17.3949</v>
      </c>
      <c r="F377" s="25">
        <f>ROUND(17.3949,4)</f>
        <v>17.3949</v>
      </c>
      <c r="G377" s="24"/>
      <c r="H377" s="36"/>
    </row>
    <row r="378" spans="1:8" ht="12.75" customHeight="1">
      <c r="A378" s="22" t="s">
        <v>75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43178</v>
      </c>
      <c r="B379" s="22"/>
      <c r="C379" s="25">
        <f>ROUND(12.7196412743104,4)</f>
        <v>12.7196</v>
      </c>
      <c r="D379" s="25">
        <f>F379</f>
        <v>12.8778</v>
      </c>
      <c r="E379" s="25">
        <f>F379</f>
        <v>12.8778</v>
      </c>
      <c r="F379" s="25">
        <f>ROUND(12.8778,4)</f>
        <v>12.8778</v>
      </c>
      <c r="G379" s="24"/>
      <c r="H379" s="36"/>
    </row>
    <row r="380" spans="1:8" ht="12.75" customHeight="1">
      <c r="A380" s="22">
        <v>43269</v>
      </c>
      <c r="B380" s="22"/>
      <c r="C380" s="25">
        <f>ROUND(12.7196412743104,4)</f>
        <v>12.7196</v>
      </c>
      <c r="D380" s="25">
        <f>F380</f>
        <v>13.1412</v>
      </c>
      <c r="E380" s="25">
        <f>F380</f>
        <v>13.1412</v>
      </c>
      <c r="F380" s="25">
        <f>ROUND(13.1412,4)</f>
        <v>13.1412</v>
      </c>
      <c r="G380" s="24"/>
      <c r="H380" s="36"/>
    </row>
    <row r="381" spans="1:8" ht="12.75" customHeight="1">
      <c r="A381" s="22">
        <v>43360</v>
      </c>
      <c r="B381" s="22"/>
      <c r="C381" s="25">
        <f>ROUND(12.7196412743104,4)</f>
        <v>12.7196</v>
      </c>
      <c r="D381" s="25">
        <f>F381</f>
        <v>13.4081</v>
      </c>
      <c r="E381" s="25">
        <f>F381</f>
        <v>13.4081</v>
      </c>
      <c r="F381" s="25">
        <f>ROUND(13.4081,4)</f>
        <v>13.4081</v>
      </c>
      <c r="G381" s="24"/>
      <c r="H381" s="36"/>
    </row>
    <row r="382" spans="1:8" ht="12.75" customHeight="1">
      <c r="A382" s="22">
        <v>43448</v>
      </c>
      <c r="B382" s="22"/>
      <c r="C382" s="25">
        <f>ROUND(12.7196412743104,4)</f>
        <v>12.7196</v>
      </c>
      <c r="D382" s="25">
        <f>F382</f>
        <v>13.6681</v>
      </c>
      <c r="E382" s="25">
        <f>F382</f>
        <v>13.6681</v>
      </c>
      <c r="F382" s="25">
        <f>ROUND(13.6681,4)</f>
        <v>13.6681</v>
      </c>
      <c r="G382" s="24"/>
      <c r="H382" s="36"/>
    </row>
    <row r="383" spans="1:8" ht="12.75" customHeight="1">
      <c r="A383" s="22">
        <v>43542</v>
      </c>
      <c r="B383" s="22"/>
      <c r="C383" s="25">
        <f>ROUND(12.7196412743104,4)</f>
        <v>12.7196</v>
      </c>
      <c r="D383" s="25">
        <f>F383</f>
        <v>13.9279</v>
      </c>
      <c r="E383" s="25">
        <f>F383</f>
        <v>13.9279</v>
      </c>
      <c r="F383" s="25">
        <f>ROUND(13.9279,4)</f>
        <v>13.9279</v>
      </c>
      <c r="G383" s="24"/>
      <c r="H383" s="36"/>
    </row>
    <row r="384" spans="1:8" ht="12.75" customHeight="1">
      <c r="A384" s="22">
        <v>43630</v>
      </c>
      <c r="B384" s="22"/>
      <c r="C384" s="25">
        <f>ROUND(12.7196412743104,4)</f>
        <v>12.7196</v>
      </c>
      <c r="D384" s="25">
        <f>F384</f>
        <v>14.493</v>
      </c>
      <c r="E384" s="25">
        <f>F384</f>
        <v>14.493</v>
      </c>
      <c r="F384" s="25">
        <f>ROUND(14.493,4)</f>
        <v>14.493</v>
      </c>
      <c r="G384" s="24"/>
      <c r="H384" s="36"/>
    </row>
    <row r="385" spans="1:8" ht="12.75" customHeight="1">
      <c r="A385" s="22">
        <v>43724</v>
      </c>
      <c r="B385" s="22"/>
      <c r="C385" s="25">
        <f>ROUND(12.7196412743104,4)</f>
        <v>12.7196</v>
      </c>
      <c r="D385" s="25">
        <f>F385</f>
        <v>14.7479</v>
      </c>
      <c r="E385" s="25">
        <f>F385</f>
        <v>14.7479</v>
      </c>
      <c r="F385" s="25">
        <f>ROUND(14.7479,4)</f>
        <v>14.7479</v>
      </c>
      <c r="G385" s="24"/>
      <c r="H385" s="36"/>
    </row>
    <row r="386" spans="1:8" ht="12.75" customHeight="1">
      <c r="A386" s="22">
        <v>43812</v>
      </c>
      <c r="B386" s="22"/>
      <c r="C386" s="25">
        <f>ROUND(12.7196412743104,4)</f>
        <v>12.7196</v>
      </c>
      <c r="D386" s="25">
        <f>F386</f>
        <v>14.9996</v>
      </c>
      <c r="E386" s="25">
        <f>F386</f>
        <v>14.9996</v>
      </c>
      <c r="F386" s="25">
        <f>ROUND(14.9996,4)</f>
        <v>14.9996</v>
      </c>
      <c r="G386" s="24"/>
      <c r="H386" s="36"/>
    </row>
    <row r="387" spans="1:8" ht="12.75" customHeight="1">
      <c r="A387" s="22" t="s">
        <v>76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43178</v>
      </c>
      <c r="B388" s="22"/>
      <c r="C388" s="25">
        <f>ROUND(16.936106775,4)</f>
        <v>16.9361</v>
      </c>
      <c r="D388" s="25">
        <f>F388</f>
        <v>17.1108</v>
      </c>
      <c r="E388" s="25">
        <f>F388</f>
        <v>17.1108</v>
      </c>
      <c r="F388" s="25">
        <f>ROUND(17.1108,4)</f>
        <v>17.1108</v>
      </c>
      <c r="G388" s="24"/>
      <c r="H388" s="36"/>
    </row>
    <row r="389" spans="1:8" ht="12.75" customHeight="1">
      <c r="A389" s="22">
        <v>43269</v>
      </c>
      <c r="B389" s="22"/>
      <c r="C389" s="25">
        <f>ROUND(16.936106775,4)</f>
        <v>16.9361</v>
      </c>
      <c r="D389" s="25">
        <f>F389</f>
        <v>17.3946</v>
      </c>
      <c r="E389" s="25">
        <f>F389</f>
        <v>17.3946</v>
      </c>
      <c r="F389" s="25">
        <f>ROUND(17.3946,4)</f>
        <v>17.3946</v>
      </c>
      <c r="G389" s="24"/>
      <c r="H389" s="36"/>
    </row>
    <row r="390" spans="1:8" ht="12.75" customHeight="1">
      <c r="A390" s="22">
        <v>43360</v>
      </c>
      <c r="B390" s="22"/>
      <c r="C390" s="25">
        <f>ROUND(16.936106775,4)</f>
        <v>16.9361</v>
      </c>
      <c r="D390" s="25">
        <f>F390</f>
        <v>17.6773</v>
      </c>
      <c r="E390" s="25">
        <f>F390</f>
        <v>17.6773</v>
      </c>
      <c r="F390" s="25">
        <f>ROUND(17.6773,4)</f>
        <v>17.6773</v>
      </c>
      <c r="G390" s="24"/>
      <c r="H390" s="36"/>
    </row>
    <row r="391" spans="1:8" ht="12.75" customHeight="1">
      <c r="A391" s="22">
        <v>43448</v>
      </c>
      <c r="B391" s="22"/>
      <c r="C391" s="25">
        <f>ROUND(16.936106775,4)</f>
        <v>16.9361</v>
      </c>
      <c r="D391" s="25">
        <f>F391</f>
        <v>17.9474</v>
      </c>
      <c r="E391" s="25">
        <f>F391</f>
        <v>17.9474</v>
      </c>
      <c r="F391" s="25">
        <f>ROUND(17.9474,4)</f>
        <v>17.9474</v>
      </c>
      <c r="G391" s="24"/>
      <c r="H391" s="36"/>
    </row>
    <row r="392" spans="1:8" ht="12.75" customHeight="1">
      <c r="A392" s="22">
        <v>43542</v>
      </c>
      <c r="B392" s="22"/>
      <c r="C392" s="25">
        <f>ROUND(16.936106775,4)</f>
        <v>16.9361</v>
      </c>
      <c r="D392" s="25">
        <f>F392</f>
        <v>18.2528</v>
      </c>
      <c r="E392" s="25">
        <f>F392</f>
        <v>18.2528</v>
      </c>
      <c r="F392" s="25">
        <f>ROUND(18.2528,4)</f>
        <v>18.2528</v>
      </c>
      <c r="G392" s="24"/>
      <c r="H392" s="36"/>
    </row>
    <row r="393" spans="1:8" ht="12.75" customHeight="1">
      <c r="A393" s="22">
        <v>43630</v>
      </c>
      <c r="B393" s="22"/>
      <c r="C393" s="25">
        <f>ROUND(16.936106775,4)</f>
        <v>16.9361</v>
      </c>
      <c r="D393" s="25">
        <f>F393</f>
        <v>18.5394</v>
      </c>
      <c r="E393" s="25">
        <f>F393</f>
        <v>18.5394</v>
      </c>
      <c r="F393" s="25">
        <f>ROUND(18.5394,4)</f>
        <v>18.5394</v>
      </c>
      <c r="G393" s="24"/>
      <c r="H393" s="36"/>
    </row>
    <row r="394" spans="1:8" ht="12.75" customHeight="1">
      <c r="A394" s="22">
        <v>43724</v>
      </c>
      <c r="B394" s="22"/>
      <c r="C394" s="25">
        <f>ROUND(16.936106775,4)</f>
        <v>16.9361</v>
      </c>
      <c r="D394" s="25">
        <f>F394</f>
        <v>18.6147</v>
      </c>
      <c r="E394" s="25">
        <f>F394</f>
        <v>18.6147</v>
      </c>
      <c r="F394" s="25">
        <f>ROUND(18.6147,4)</f>
        <v>18.6147</v>
      </c>
      <c r="G394" s="24"/>
      <c r="H394" s="36"/>
    </row>
    <row r="395" spans="1:8" ht="12.75" customHeight="1">
      <c r="A395" s="22">
        <v>43812</v>
      </c>
      <c r="B395" s="22"/>
      <c r="C395" s="25">
        <f>ROUND(16.936106775,4)</f>
        <v>16.9361</v>
      </c>
      <c r="D395" s="25">
        <f>F395</f>
        <v>19.1413</v>
      </c>
      <c r="E395" s="25">
        <f>F395</f>
        <v>19.1413</v>
      </c>
      <c r="F395" s="25">
        <f>ROUND(19.1413,4)</f>
        <v>19.1413</v>
      </c>
      <c r="G395" s="24"/>
      <c r="H395" s="36"/>
    </row>
    <row r="396" spans="1:8" ht="12.75" customHeight="1">
      <c r="A396" s="22" t="s">
        <v>77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43178</v>
      </c>
      <c r="B397" s="22"/>
      <c r="C397" s="25">
        <f>ROUND(1.56038122041704,4)</f>
        <v>1.5604</v>
      </c>
      <c r="D397" s="25">
        <f>F397</f>
        <v>1.5755</v>
      </c>
      <c r="E397" s="25">
        <f>F397</f>
        <v>1.5755</v>
      </c>
      <c r="F397" s="25">
        <f>ROUND(1.5755,4)</f>
        <v>1.5755</v>
      </c>
      <c r="G397" s="24"/>
      <c r="H397" s="36"/>
    </row>
    <row r="398" spans="1:8" ht="12.75" customHeight="1">
      <c r="A398" s="22">
        <v>43269</v>
      </c>
      <c r="B398" s="22"/>
      <c r="C398" s="25">
        <f>ROUND(1.56038122041704,4)</f>
        <v>1.5604</v>
      </c>
      <c r="D398" s="25">
        <f>F398</f>
        <v>1.5989</v>
      </c>
      <c r="E398" s="25">
        <f>F398</f>
        <v>1.5989</v>
      </c>
      <c r="F398" s="25">
        <f>ROUND(1.5989,4)</f>
        <v>1.5989</v>
      </c>
      <c r="G398" s="24"/>
      <c r="H398" s="36"/>
    </row>
    <row r="399" spans="1:8" ht="12.75" customHeight="1">
      <c r="A399" s="22">
        <v>43360</v>
      </c>
      <c r="B399" s="22"/>
      <c r="C399" s="25">
        <f>ROUND(1.56038122041704,4)</f>
        <v>1.5604</v>
      </c>
      <c r="D399" s="25">
        <f>F399</f>
        <v>1.6214</v>
      </c>
      <c r="E399" s="25">
        <f>F399</f>
        <v>1.6214</v>
      </c>
      <c r="F399" s="25">
        <f>ROUND(1.6214,4)</f>
        <v>1.6214</v>
      </c>
      <c r="G399" s="24"/>
      <c r="H399" s="36"/>
    </row>
    <row r="400" spans="1:8" ht="12.75" customHeight="1">
      <c r="A400" s="22">
        <v>43448</v>
      </c>
      <c r="B400" s="22"/>
      <c r="C400" s="25">
        <f>ROUND(1.56038122041704,4)</f>
        <v>1.5604</v>
      </c>
      <c r="D400" s="25">
        <f>F400</f>
        <v>1.6417</v>
      </c>
      <c r="E400" s="25">
        <f>F400</f>
        <v>1.6417</v>
      </c>
      <c r="F400" s="25">
        <f>ROUND(1.6417,4)</f>
        <v>1.6417</v>
      </c>
      <c r="G400" s="24"/>
      <c r="H400" s="36"/>
    </row>
    <row r="401" spans="1:8" ht="12.75" customHeight="1">
      <c r="A401" s="22">
        <v>43542</v>
      </c>
      <c r="B401" s="22"/>
      <c r="C401" s="25">
        <f>ROUND(1.56038122041704,4)</f>
        <v>1.5604</v>
      </c>
      <c r="D401" s="25">
        <f>F401</f>
        <v>1.7248</v>
      </c>
      <c r="E401" s="25">
        <f>F401</f>
        <v>1.7248</v>
      </c>
      <c r="F401" s="25">
        <f>ROUND(1.7248,4)</f>
        <v>1.7248</v>
      </c>
      <c r="G401" s="24"/>
      <c r="H401" s="36"/>
    </row>
    <row r="402" spans="1:8" ht="12.75" customHeight="1">
      <c r="A402" s="22">
        <v>43630</v>
      </c>
      <c r="B402" s="22"/>
      <c r="C402" s="25">
        <f>ROUND(1.56038122041704,4)</f>
        <v>1.5604</v>
      </c>
      <c r="D402" s="25">
        <f>F402</f>
        <v>1.749</v>
      </c>
      <c r="E402" s="25">
        <f>F402</f>
        <v>1.749</v>
      </c>
      <c r="F402" s="25">
        <f>ROUND(1.749,4)</f>
        <v>1.749</v>
      </c>
      <c r="G402" s="24"/>
      <c r="H402" s="36"/>
    </row>
    <row r="403" spans="1:8" ht="12.75" customHeight="1">
      <c r="A403" s="22">
        <v>43724</v>
      </c>
      <c r="B403" s="22"/>
      <c r="C403" s="25">
        <f>ROUND(1.56038122041704,4)</f>
        <v>1.5604</v>
      </c>
      <c r="D403" s="25">
        <f>F403</f>
        <v>1.7733</v>
      </c>
      <c r="E403" s="25">
        <f>F403</f>
        <v>1.7733</v>
      </c>
      <c r="F403" s="25">
        <f>ROUND(1.7733,4)</f>
        <v>1.7733</v>
      </c>
      <c r="G403" s="24"/>
      <c r="H403" s="36"/>
    </row>
    <row r="404" spans="1:8" ht="12.75" customHeight="1">
      <c r="A404" s="22">
        <v>43812</v>
      </c>
      <c r="B404" s="22"/>
      <c r="C404" s="25">
        <f>ROUND(1.56038122041704,4)</f>
        <v>1.5604</v>
      </c>
      <c r="D404" s="25">
        <f>F404</f>
        <v>1.799</v>
      </c>
      <c r="E404" s="25">
        <f>F404</f>
        <v>1.799</v>
      </c>
      <c r="F404" s="25">
        <f>ROUND(1.799,4)</f>
        <v>1.799</v>
      </c>
      <c r="G404" s="24"/>
      <c r="H404" s="36"/>
    </row>
    <row r="405" spans="1:8" ht="12.75" customHeight="1">
      <c r="A405" s="22" t="s">
        <v>78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43178</v>
      </c>
      <c r="B406" s="22"/>
      <c r="C406" s="28">
        <f>ROUND(0.109954251459221,6)</f>
        <v>0.109954</v>
      </c>
      <c r="D406" s="28">
        <f>F406</f>
        <v>0.111197</v>
      </c>
      <c r="E406" s="28">
        <f>F406</f>
        <v>0.111197</v>
      </c>
      <c r="F406" s="28">
        <f>ROUND(0.111197,6)</f>
        <v>0.111197</v>
      </c>
      <c r="G406" s="24"/>
      <c r="H406" s="36"/>
    </row>
    <row r="407" spans="1:8" ht="12.75" customHeight="1">
      <c r="A407" s="22">
        <v>43269</v>
      </c>
      <c r="B407" s="22"/>
      <c r="C407" s="28">
        <f>ROUND(0.109954251459221,6)</f>
        <v>0.109954</v>
      </c>
      <c r="D407" s="28">
        <f>F407</f>
        <v>0.113282</v>
      </c>
      <c r="E407" s="28">
        <f>F407</f>
        <v>0.113282</v>
      </c>
      <c r="F407" s="28">
        <f>ROUND(0.113282,6)</f>
        <v>0.113282</v>
      </c>
      <c r="G407" s="24"/>
      <c r="H407" s="36"/>
    </row>
    <row r="408" spans="1:8" ht="12.75" customHeight="1">
      <c r="A408" s="22">
        <v>43360</v>
      </c>
      <c r="B408" s="22"/>
      <c r="C408" s="28">
        <f>ROUND(0.109954251459221,6)</f>
        <v>0.109954</v>
      </c>
      <c r="D408" s="28">
        <f>F408</f>
        <v>0.115403</v>
      </c>
      <c r="E408" s="28">
        <f>F408</f>
        <v>0.115403</v>
      </c>
      <c r="F408" s="28">
        <f>ROUND(0.115403,6)</f>
        <v>0.115403</v>
      </c>
      <c r="G408" s="24"/>
      <c r="H408" s="36"/>
    </row>
    <row r="409" spans="1:8" ht="12.75" customHeight="1">
      <c r="A409" s="22">
        <v>43448</v>
      </c>
      <c r="B409" s="22"/>
      <c r="C409" s="28">
        <f>ROUND(0.109954251459221,6)</f>
        <v>0.109954</v>
      </c>
      <c r="D409" s="28">
        <f>F409</f>
        <v>0.117483</v>
      </c>
      <c r="E409" s="28">
        <f>F409</f>
        <v>0.117483</v>
      </c>
      <c r="F409" s="28">
        <f>ROUND(0.117483,6)</f>
        <v>0.117483</v>
      </c>
      <c r="G409" s="24"/>
      <c r="H409" s="36"/>
    </row>
    <row r="410" spans="1:8" ht="12.75" customHeight="1">
      <c r="A410" s="22">
        <v>43542</v>
      </c>
      <c r="B410" s="22"/>
      <c r="C410" s="28">
        <f>ROUND(0.109954251459221,6)</f>
        <v>0.109954</v>
      </c>
      <c r="D410" s="28">
        <f>F410</f>
        <v>0.119874</v>
      </c>
      <c r="E410" s="28">
        <f>F410</f>
        <v>0.119874</v>
      </c>
      <c r="F410" s="28">
        <f>ROUND(0.119874,6)</f>
        <v>0.119874</v>
      </c>
      <c r="G410" s="24"/>
      <c r="H410" s="36"/>
    </row>
    <row r="411" spans="1:8" ht="12.75" customHeight="1">
      <c r="A411" s="22">
        <v>43630</v>
      </c>
      <c r="B411" s="22"/>
      <c r="C411" s="28">
        <f>ROUND(0.109954251459221,6)</f>
        <v>0.109954</v>
      </c>
      <c r="D411" s="28">
        <f>F411</f>
        <v>0.125107</v>
      </c>
      <c r="E411" s="28">
        <f>F411</f>
        <v>0.125107</v>
      </c>
      <c r="F411" s="28">
        <f>ROUND(0.125107,6)</f>
        <v>0.125107</v>
      </c>
      <c r="G411" s="24"/>
      <c r="H411" s="36"/>
    </row>
    <row r="412" spans="1:8" ht="12.75" customHeight="1">
      <c r="A412" s="22">
        <v>43724</v>
      </c>
      <c r="B412" s="22"/>
      <c r="C412" s="28">
        <f>ROUND(0.109954251459221,6)</f>
        <v>0.109954</v>
      </c>
      <c r="D412" s="28">
        <f>F412</f>
        <v>0.127169</v>
      </c>
      <c r="E412" s="28">
        <f>F412</f>
        <v>0.127169</v>
      </c>
      <c r="F412" s="28">
        <f>ROUND(0.127169,6)</f>
        <v>0.127169</v>
      </c>
      <c r="G412" s="24"/>
      <c r="H412" s="36"/>
    </row>
    <row r="413" spans="1:8" ht="12.75" customHeight="1">
      <c r="A413" s="22">
        <v>43812</v>
      </c>
      <c r="B413" s="22"/>
      <c r="C413" s="28">
        <f>ROUND(0.109954251459221,6)</f>
        <v>0.109954</v>
      </c>
      <c r="D413" s="28">
        <f>F413</f>
        <v>0.128847</v>
      </c>
      <c r="E413" s="28">
        <f>F413</f>
        <v>0.128847</v>
      </c>
      <c r="F413" s="28">
        <f>ROUND(0.128847,6)</f>
        <v>0.128847</v>
      </c>
      <c r="G413" s="24"/>
      <c r="H413" s="36"/>
    </row>
    <row r="414" spans="1:8" ht="12.75" customHeight="1">
      <c r="A414" s="22" t="s">
        <v>79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43178</v>
      </c>
      <c r="B415" s="22"/>
      <c r="C415" s="25">
        <f>ROUND(0.118551816304216,4)</f>
        <v>0.1186</v>
      </c>
      <c r="D415" s="25">
        <f>F415</f>
        <v>0.1186</v>
      </c>
      <c r="E415" s="25">
        <f>F415</f>
        <v>0.1186</v>
      </c>
      <c r="F415" s="25">
        <f>ROUND(0.1186,4)</f>
        <v>0.1186</v>
      </c>
      <c r="G415" s="24"/>
      <c r="H415" s="36"/>
    </row>
    <row r="416" spans="1:8" ht="12.75" customHeight="1">
      <c r="A416" s="22">
        <v>43269</v>
      </c>
      <c r="B416" s="22"/>
      <c r="C416" s="25">
        <f>ROUND(0.118551816304216,4)</f>
        <v>0.1186</v>
      </c>
      <c r="D416" s="25">
        <f>F416</f>
        <v>0.1183</v>
      </c>
      <c r="E416" s="25">
        <f>F416</f>
        <v>0.1183</v>
      </c>
      <c r="F416" s="25">
        <f>ROUND(0.1183,4)</f>
        <v>0.1183</v>
      </c>
      <c r="G416" s="24"/>
      <c r="H416" s="36"/>
    </row>
    <row r="417" spans="1:8" ht="12.75" customHeight="1">
      <c r="A417" s="22">
        <v>43360</v>
      </c>
      <c r="B417" s="22"/>
      <c r="C417" s="25">
        <f>ROUND(0.118551816304216,4)</f>
        <v>0.1186</v>
      </c>
      <c r="D417" s="25">
        <f>F417</f>
        <v>0.118</v>
      </c>
      <c r="E417" s="25">
        <f>F417</f>
        <v>0.118</v>
      </c>
      <c r="F417" s="25">
        <f>ROUND(0.118,4)</f>
        <v>0.118</v>
      </c>
      <c r="G417" s="24"/>
      <c r="H417" s="36"/>
    </row>
    <row r="418" spans="1:8" ht="12.75" customHeight="1">
      <c r="A418" s="22">
        <v>43448</v>
      </c>
      <c r="B418" s="22"/>
      <c r="C418" s="25">
        <f>ROUND(0.118551816304216,4)</f>
        <v>0.1186</v>
      </c>
      <c r="D418" s="25">
        <f>F418</f>
        <v>0.1172</v>
      </c>
      <c r="E418" s="25">
        <f>F418</f>
        <v>0.1172</v>
      </c>
      <c r="F418" s="25">
        <f>ROUND(0.1172,4)</f>
        <v>0.1172</v>
      </c>
      <c r="G418" s="24"/>
      <c r="H418" s="36"/>
    </row>
    <row r="419" spans="1:8" ht="12.75" customHeight="1">
      <c r="A419" s="22">
        <v>43542</v>
      </c>
      <c r="B419" s="22"/>
      <c r="C419" s="25">
        <f>ROUND(0.118551816304216,4)</f>
        <v>0.1186</v>
      </c>
      <c r="D419" s="25">
        <f>F419</f>
        <v>0.1159</v>
      </c>
      <c r="E419" s="25">
        <f>F419</f>
        <v>0.1159</v>
      </c>
      <c r="F419" s="25">
        <f>ROUND(0.1159,4)</f>
        <v>0.1159</v>
      </c>
      <c r="G419" s="24"/>
      <c r="H419" s="36"/>
    </row>
    <row r="420" spans="1:8" ht="12.75" customHeight="1">
      <c r="A420" s="22">
        <v>43630</v>
      </c>
      <c r="B420" s="22"/>
      <c r="C420" s="25">
        <f>ROUND(0.118551816304216,4)</f>
        <v>0.1186</v>
      </c>
      <c r="D420" s="25">
        <f>F420</f>
        <v>0.1149</v>
      </c>
      <c r="E420" s="25">
        <f>F420</f>
        <v>0.1149</v>
      </c>
      <c r="F420" s="25">
        <f>ROUND(0.1149,4)</f>
        <v>0.1149</v>
      </c>
      <c r="G420" s="24"/>
      <c r="H420" s="36"/>
    </row>
    <row r="421" spans="1:8" ht="12.75" customHeight="1">
      <c r="A421" s="22">
        <v>43724</v>
      </c>
      <c r="B421" s="22"/>
      <c r="C421" s="25">
        <f>ROUND(0.118551816304216,4)</f>
        <v>0.1186</v>
      </c>
      <c r="D421" s="25">
        <f>F421</f>
        <v>0.1191</v>
      </c>
      <c r="E421" s="25">
        <f>F421</f>
        <v>0.1191</v>
      </c>
      <c r="F421" s="25">
        <f>ROUND(0.1191,4)</f>
        <v>0.1191</v>
      </c>
      <c r="G421" s="24"/>
      <c r="H421" s="36"/>
    </row>
    <row r="422" spans="1:8" ht="12.75" customHeight="1">
      <c r="A422" s="22" t="s">
        <v>80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43178</v>
      </c>
      <c r="B423" s="22"/>
      <c r="C423" s="25">
        <f>ROUND(1.5582880868732,4)</f>
        <v>1.5583</v>
      </c>
      <c r="D423" s="25">
        <f>F423</f>
        <v>1.5778</v>
      </c>
      <c r="E423" s="25">
        <f>F423</f>
        <v>1.5778</v>
      </c>
      <c r="F423" s="25">
        <f>ROUND(1.5778,4)</f>
        <v>1.5778</v>
      </c>
      <c r="G423" s="24"/>
      <c r="H423" s="36"/>
    </row>
    <row r="424" spans="1:8" ht="12.75" customHeight="1">
      <c r="A424" s="22">
        <v>43269</v>
      </c>
      <c r="B424" s="22"/>
      <c r="C424" s="25">
        <f>ROUND(1.5582880868732,4)</f>
        <v>1.5583</v>
      </c>
      <c r="D424" s="25">
        <f>F424</f>
        <v>1.6039</v>
      </c>
      <c r="E424" s="25">
        <f>F424</f>
        <v>1.6039</v>
      </c>
      <c r="F424" s="25">
        <f>ROUND(1.6039,4)</f>
        <v>1.6039</v>
      </c>
      <c r="G424" s="24"/>
      <c r="H424" s="36"/>
    </row>
    <row r="425" spans="1:8" ht="12.75" customHeight="1">
      <c r="A425" s="22">
        <v>43360</v>
      </c>
      <c r="B425" s="22"/>
      <c r="C425" s="25">
        <f>ROUND(1.5582880868732,4)</f>
        <v>1.5583</v>
      </c>
      <c r="D425" s="25">
        <f>F425</f>
        <v>1.6297</v>
      </c>
      <c r="E425" s="25">
        <f>F425</f>
        <v>1.6297</v>
      </c>
      <c r="F425" s="25">
        <f>ROUND(1.6297,4)</f>
        <v>1.6297</v>
      </c>
      <c r="G425" s="24"/>
      <c r="H425" s="36"/>
    </row>
    <row r="426" spans="1:8" ht="12.75" customHeight="1">
      <c r="A426" s="22">
        <v>43448</v>
      </c>
      <c r="B426" s="22"/>
      <c r="C426" s="25">
        <f>ROUND(1.5582880868732,4)</f>
        <v>1.5583</v>
      </c>
      <c r="D426" s="25">
        <f>F426</f>
        <v>1.6536</v>
      </c>
      <c r="E426" s="25">
        <f>F426</f>
        <v>1.6536</v>
      </c>
      <c r="F426" s="25">
        <f>ROUND(1.6536,4)</f>
        <v>1.6536</v>
      </c>
      <c r="G426" s="24"/>
      <c r="H426" s="36"/>
    </row>
    <row r="427" spans="1:8" ht="12.75" customHeight="1">
      <c r="A427" s="22">
        <v>43630</v>
      </c>
      <c r="B427" s="22"/>
      <c r="C427" s="25">
        <f>ROUND(1.5582880868732,4)</f>
        <v>1.5583</v>
      </c>
      <c r="D427" s="25">
        <f>F427</f>
        <v>1.7099</v>
      </c>
      <c r="E427" s="25">
        <f>F427</f>
        <v>1.7099</v>
      </c>
      <c r="F427" s="25">
        <v>1.7099</v>
      </c>
      <c r="G427" s="24"/>
      <c r="H427" s="36"/>
    </row>
    <row r="428" spans="1:8" ht="12.75" customHeight="1">
      <c r="A428" s="22">
        <v>43724</v>
      </c>
      <c r="B428" s="22"/>
      <c r="C428" s="25">
        <f>ROUND(1.5582880868732,4)</f>
        <v>1.5583</v>
      </c>
      <c r="D428" s="25">
        <f>F428</f>
        <v>1.742</v>
      </c>
      <c r="E428" s="25">
        <f>F428</f>
        <v>1.742</v>
      </c>
      <c r="F428" s="25">
        <v>1.742</v>
      </c>
      <c r="G428" s="24"/>
      <c r="H428" s="36"/>
    </row>
    <row r="429" spans="1:8" ht="12.75" customHeight="1">
      <c r="A429" s="22">
        <v>43812</v>
      </c>
      <c r="B429" s="22"/>
      <c r="C429" s="25">
        <f>ROUND(1.5582880868732,4)</f>
        <v>1.5583</v>
      </c>
      <c r="D429" s="25">
        <f>F429</f>
        <v>1.7724</v>
      </c>
      <c r="E429" s="25">
        <f>F429</f>
        <v>1.7724</v>
      </c>
      <c r="F429" s="25">
        <f>ROUND(1.7724,4)</f>
        <v>1.7724</v>
      </c>
      <c r="G429" s="24"/>
      <c r="H429" s="36"/>
    </row>
    <row r="430" spans="1:8" ht="12.75" customHeight="1">
      <c r="A430" s="22" t="s">
        <v>81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43178</v>
      </c>
      <c r="B431" s="22"/>
      <c r="C431" s="25">
        <f>ROUND(8.9275332125,4)</f>
        <v>8.9275</v>
      </c>
      <c r="D431" s="25">
        <f>F431</f>
        <v>8.9975</v>
      </c>
      <c r="E431" s="25">
        <f>F431</f>
        <v>8.9975</v>
      </c>
      <c r="F431" s="25">
        <f>ROUND(8.9975,4)</f>
        <v>8.9975</v>
      </c>
      <c r="G431" s="24"/>
      <c r="H431" s="36"/>
    </row>
    <row r="432" spans="1:8" ht="12.75" customHeight="1">
      <c r="A432" s="22">
        <v>43269</v>
      </c>
      <c r="B432" s="22"/>
      <c r="C432" s="25">
        <f>ROUND(8.9275332125,4)</f>
        <v>8.9275</v>
      </c>
      <c r="D432" s="25">
        <f>F432</f>
        <v>9.1094</v>
      </c>
      <c r="E432" s="25">
        <f>F432</f>
        <v>9.1094</v>
      </c>
      <c r="F432" s="25">
        <f>ROUND(9.1094,4)</f>
        <v>9.1094</v>
      </c>
      <c r="G432" s="24"/>
      <c r="H432" s="36"/>
    </row>
    <row r="433" spans="1:8" ht="12.75" customHeight="1">
      <c r="A433" s="22">
        <v>43360</v>
      </c>
      <c r="B433" s="22"/>
      <c r="C433" s="25">
        <f>ROUND(8.9275332125,4)</f>
        <v>8.9275</v>
      </c>
      <c r="D433" s="25">
        <f>F433</f>
        <v>9.2208</v>
      </c>
      <c r="E433" s="25">
        <f>F433</f>
        <v>9.2208</v>
      </c>
      <c r="F433" s="25">
        <f>ROUND(9.2208,4)</f>
        <v>9.2208</v>
      </c>
      <c r="G433" s="24"/>
      <c r="H433" s="36"/>
    </row>
    <row r="434" spans="1:8" ht="12.75" customHeight="1">
      <c r="A434" s="22">
        <v>43448</v>
      </c>
      <c r="B434" s="22"/>
      <c r="C434" s="25">
        <f>ROUND(8.9275332125,4)</f>
        <v>8.9275</v>
      </c>
      <c r="D434" s="25">
        <f>F434</f>
        <v>9.3252</v>
      </c>
      <c r="E434" s="25">
        <f>F434</f>
        <v>9.3252</v>
      </c>
      <c r="F434" s="25">
        <f>ROUND(9.3252,4)</f>
        <v>9.3252</v>
      </c>
      <c r="G434" s="24"/>
      <c r="H434" s="36"/>
    </row>
    <row r="435" spans="1:8" ht="12.75" customHeight="1">
      <c r="A435" s="22">
        <v>43542</v>
      </c>
      <c r="B435" s="22"/>
      <c r="C435" s="25">
        <f>ROUND(8.9275332125,4)</f>
        <v>8.9275</v>
      </c>
      <c r="D435" s="25">
        <f>F435</f>
        <v>9.7864</v>
      </c>
      <c r="E435" s="25">
        <f>F435</f>
        <v>9.7864</v>
      </c>
      <c r="F435" s="25">
        <f>ROUND(9.7864,4)</f>
        <v>9.7864</v>
      </c>
      <c r="G435" s="24"/>
      <c r="H435" s="36"/>
    </row>
    <row r="436" spans="1:8" ht="12.75" customHeight="1">
      <c r="A436" s="22">
        <v>43630</v>
      </c>
      <c r="B436" s="22"/>
      <c r="C436" s="25">
        <f>ROUND(8.9275332125,4)</f>
        <v>8.9275</v>
      </c>
      <c r="D436" s="25">
        <f>F436</f>
        <v>9.9169</v>
      </c>
      <c r="E436" s="25">
        <f>F436</f>
        <v>9.9169</v>
      </c>
      <c r="F436" s="25">
        <f>ROUND(9.9169,4)</f>
        <v>9.9169</v>
      </c>
      <c r="G436" s="24"/>
      <c r="H436" s="36"/>
    </row>
    <row r="437" spans="1:8" ht="12.75" customHeight="1">
      <c r="A437" s="22">
        <v>43724</v>
      </c>
      <c r="B437" s="22"/>
      <c r="C437" s="25">
        <f>ROUND(8.9275332125,4)</f>
        <v>8.9275</v>
      </c>
      <c r="D437" s="25">
        <f>F437</f>
        <v>10.0465</v>
      </c>
      <c r="E437" s="25">
        <f>F437</f>
        <v>10.0465</v>
      </c>
      <c r="F437" s="25">
        <f>ROUND(10.0465,4)</f>
        <v>10.0465</v>
      </c>
      <c r="G437" s="24"/>
      <c r="H437" s="36"/>
    </row>
    <row r="438" spans="1:8" ht="12.75" customHeight="1">
      <c r="A438" s="22">
        <v>43812</v>
      </c>
      <c r="B438" s="22"/>
      <c r="C438" s="25">
        <f>ROUND(8.9275332125,4)</f>
        <v>8.9275</v>
      </c>
      <c r="D438" s="25">
        <f>F438</f>
        <v>10.1849</v>
      </c>
      <c r="E438" s="25">
        <f>F438</f>
        <v>10.1849</v>
      </c>
      <c r="F438" s="25">
        <f>ROUND(10.1849,4)</f>
        <v>10.1849</v>
      </c>
      <c r="G438" s="24"/>
      <c r="H438" s="36"/>
    </row>
    <row r="439" spans="1:8" ht="12.75" customHeight="1">
      <c r="A439" s="22" t="s">
        <v>82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43178</v>
      </c>
      <c r="B440" s="22"/>
      <c r="C440" s="25">
        <f>ROUND(9.23787091594844,4)</f>
        <v>9.2379</v>
      </c>
      <c r="D440" s="25">
        <f>F440</f>
        <v>9.3257</v>
      </c>
      <c r="E440" s="25">
        <f>F440</f>
        <v>9.3257</v>
      </c>
      <c r="F440" s="25">
        <f>ROUND(9.3257,4)</f>
        <v>9.3257</v>
      </c>
      <c r="G440" s="24"/>
      <c r="H440" s="36"/>
    </row>
    <row r="441" spans="1:8" ht="12.75" customHeight="1">
      <c r="A441" s="22">
        <v>43269</v>
      </c>
      <c r="B441" s="22"/>
      <c r="C441" s="25">
        <f>ROUND(9.23787091594844,4)</f>
        <v>9.2379</v>
      </c>
      <c r="D441" s="25">
        <f>F441</f>
        <v>9.4654</v>
      </c>
      <c r="E441" s="25">
        <f>F441</f>
        <v>9.4654</v>
      </c>
      <c r="F441" s="25">
        <f>ROUND(9.4654,4)</f>
        <v>9.4654</v>
      </c>
      <c r="G441" s="24"/>
      <c r="H441" s="36"/>
    </row>
    <row r="442" spans="1:8" ht="12.75" customHeight="1">
      <c r="A442" s="22">
        <v>43360</v>
      </c>
      <c r="B442" s="22"/>
      <c r="C442" s="25">
        <f>ROUND(9.23787091594844,4)</f>
        <v>9.2379</v>
      </c>
      <c r="D442" s="25">
        <f>F442</f>
        <v>9.6045</v>
      </c>
      <c r="E442" s="25">
        <f>F442</f>
        <v>9.6045</v>
      </c>
      <c r="F442" s="25">
        <f>ROUND(9.6045,4)</f>
        <v>9.6045</v>
      </c>
      <c r="G442" s="24"/>
      <c r="H442" s="36"/>
    </row>
    <row r="443" spans="1:8" ht="12.75" customHeight="1">
      <c r="A443" s="22">
        <v>43448</v>
      </c>
      <c r="B443" s="22"/>
      <c r="C443" s="25">
        <f>ROUND(9.23787091594844,4)</f>
        <v>9.2379</v>
      </c>
      <c r="D443" s="25">
        <f>F443</f>
        <v>9.7352</v>
      </c>
      <c r="E443" s="25">
        <f>F443</f>
        <v>9.7352</v>
      </c>
      <c r="F443" s="25">
        <f>ROUND(9.7352,4)</f>
        <v>9.7352</v>
      </c>
      <c r="G443" s="24"/>
      <c r="H443" s="36"/>
    </row>
    <row r="444" spans="1:8" ht="12.75" customHeight="1">
      <c r="A444" s="22">
        <v>43542</v>
      </c>
      <c r="B444" s="22"/>
      <c r="C444" s="25">
        <f>ROUND(9.23787091594844,4)</f>
        <v>9.2379</v>
      </c>
      <c r="D444" s="25">
        <f>F444</f>
        <v>10.2406</v>
      </c>
      <c r="E444" s="25">
        <f>F444</f>
        <v>10.2406</v>
      </c>
      <c r="F444" s="25">
        <f>ROUND(10.2406,4)</f>
        <v>10.2406</v>
      </c>
      <c r="G444" s="24"/>
      <c r="H444" s="36"/>
    </row>
    <row r="445" spans="1:8" ht="12.75" customHeight="1">
      <c r="A445" s="22">
        <v>43630</v>
      </c>
      <c r="B445" s="22"/>
      <c r="C445" s="25">
        <f>ROUND(9.23787091594844,4)</f>
        <v>9.2379</v>
      </c>
      <c r="D445" s="25">
        <f>F445</f>
        <v>10.3974</v>
      </c>
      <c r="E445" s="25">
        <f>F445</f>
        <v>10.3974</v>
      </c>
      <c r="F445" s="25">
        <f>ROUND(10.3974,4)</f>
        <v>10.3974</v>
      </c>
      <c r="G445" s="24"/>
      <c r="H445" s="36"/>
    </row>
    <row r="446" spans="1:8" ht="12.75" customHeight="1">
      <c r="A446" s="22">
        <v>43724</v>
      </c>
      <c r="B446" s="22"/>
      <c r="C446" s="25">
        <f>ROUND(9.23787091594844,4)</f>
        <v>9.2379</v>
      </c>
      <c r="D446" s="25">
        <f>F446</f>
        <v>10.5546</v>
      </c>
      <c r="E446" s="25">
        <f>F446</f>
        <v>10.5546</v>
      </c>
      <c r="F446" s="25">
        <f>ROUND(10.5546,4)</f>
        <v>10.5546</v>
      </c>
      <c r="G446" s="24"/>
      <c r="H446" s="36"/>
    </row>
    <row r="447" spans="1:8" ht="12.75" customHeight="1">
      <c r="A447" s="22">
        <v>43812</v>
      </c>
      <c r="B447" s="22"/>
      <c r="C447" s="25">
        <f>ROUND(9.23787091594844,4)</f>
        <v>9.2379</v>
      </c>
      <c r="D447" s="25">
        <f>F447</f>
        <v>10.7213</v>
      </c>
      <c r="E447" s="25">
        <f>F447</f>
        <v>10.7213</v>
      </c>
      <c r="F447" s="25">
        <f>ROUND(10.7213,4)</f>
        <v>10.7213</v>
      </c>
      <c r="G447" s="24"/>
      <c r="H447" s="36"/>
    </row>
    <row r="448" spans="1:8" ht="12.75" customHeight="1">
      <c r="A448" s="22" t="s">
        <v>83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43178</v>
      </c>
      <c r="B449" s="22"/>
      <c r="C449" s="25">
        <f>ROUND(3.23109159108248,4)</f>
        <v>3.2311</v>
      </c>
      <c r="D449" s="25">
        <f>F449</f>
        <v>3.2045</v>
      </c>
      <c r="E449" s="25">
        <f>F449</f>
        <v>3.2045</v>
      </c>
      <c r="F449" s="25">
        <f>ROUND(3.2045,4)</f>
        <v>3.2045</v>
      </c>
      <c r="G449" s="24"/>
      <c r="H449" s="36"/>
    </row>
    <row r="450" spans="1:8" ht="12.75" customHeight="1">
      <c r="A450" s="22">
        <v>43269</v>
      </c>
      <c r="B450" s="22"/>
      <c r="C450" s="25">
        <f>ROUND(3.23109159108248,4)</f>
        <v>3.2311</v>
      </c>
      <c r="D450" s="25">
        <f>F450</f>
        <v>3.1591</v>
      </c>
      <c r="E450" s="25">
        <f>F450</f>
        <v>3.1591</v>
      </c>
      <c r="F450" s="25">
        <f>ROUND(3.1591,4)</f>
        <v>3.1591</v>
      </c>
      <c r="G450" s="24"/>
      <c r="H450" s="36"/>
    </row>
    <row r="451" spans="1:8" ht="12.75" customHeight="1">
      <c r="A451" s="22">
        <v>43360</v>
      </c>
      <c r="B451" s="22"/>
      <c r="C451" s="25">
        <f>ROUND(3.23109159108248,4)</f>
        <v>3.2311</v>
      </c>
      <c r="D451" s="25">
        <f>F451</f>
        <v>3.1131</v>
      </c>
      <c r="E451" s="25">
        <f>F451</f>
        <v>3.1131</v>
      </c>
      <c r="F451" s="25">
        <f>ROUND(3.1131,4)</f>
        <v>3.1131</v>
      </c>
      <c r="G451" s="24"/>
      <c r="H451" s="36"/>
    </row>
    <row r="452" spans="1:8" ht="12.75" customHeight="1">
      <c r="A452" s="22">
        <v>43448</v>
      </c>
      <c r="B452" s="22"/>
      <c r="C452" s="25">
        <f>ROUND(3.23109159108248,4)</f>
        <v>3.2311</v>
      </c>
      <c r="D452" s="25">
        <f>F452</f>
        <v>3.0665</v>
      </c>
      <c r="E452" s="25">
        <f>F452</f>
        <v>3.0665</v>
      </c>
      <c r="F452" s="25">
        <f>ROUND(3.0665,4)</f>
        <v>3.0665</v>
      </c>
      <c r="G452" s="24"/>
      <c r="H452" s="36"/>
    </row>
    <row r="453" spans="1:8" ht="12.75" customHeight="1">
      <c r="A453" s="22">
        <v>43542</v>
      </c>
      <c r="B453" s="22"/>
      <c r="C453" s="25">
        <f>ROUND(3.23109159108248,4)</f>
        <v>3.2311</v>
      </c>
      <c r="D453" s="25">
        <f>F453</f>
        <v>3.1159</v>
      </c>
      <c r="E453" s="25">
        <f>F453</f>
        <v>3.1159</v>
      </c>
      <c r="F453" s="25">
        <f>ROUND(3.1159,4)</f>
        <v>3.1159</v>
      </c>
      <c r="G453" s="24"/>
      <c r="H453" s="36"/>
    </row>
    <row r="454" spans="1:8" ht="12.75" customHeight="1">
      <c r="A454" s="22">
        <v>43630</v>
      </c>
      <c r="B454" s="22"/>
      <c r="C454" s="25">
        <f>ROUND(3.23109159108248,4)</f>
        <v>3.2311</v>
      </c>
      <c r="D454" s="25">
        <f>F454</f>
        <v>3.0642</v>
      </c>
      <c r="E454" s="25">
        <f>F454</f>
        <v>3.0642</v>
      </c>
      <c r="F454" s="25">
        <f>ROUND(3.0642,4)</f>
        <v>3.0642</v>
      </c>
      <c r="G454" s="24"/>
      <c r="H454" s="36"/>
    </row>
    <row r="455" spans="1:8" ht="12.75" customHeight="1">
      <c r="A455" s="22">
        <v>43724</v>
      </c>
      <c r="B455" s="22"/>
      <c r="C455" s="25">
        <f>ROUND(3.23109159108248,4)</f>
        <v>3.2311</v>
      </c>
      <c r="D455" s="25">
        <f>F455</f>
        <v>3.0094</v>
      </c>
      <c r="E455" s="25">
        <f>F455</f>
        <v>3.0094</v>
      </c>
      <c r="F455" s="25">
        <f>ROUND(3.0094,4)</f>
        <v>3.0094</v>
      </c>
      <c r="G455" s="24"/>
      <c r="H455" s="36"/>
    </row>
    <row r="456" spans="1:8" ht="12.75" customHeight="1">
      <c r="A456" s="22">
        <v>43812</v>
      </c>
      <c r="B456" s="22"/>
      <c r="C456" s="25">
        <f>ROUND(3.23109159108248,4)</f>
        <v>3.2311</v>
      </c>
      <c r="D456" s="25">
        <f>F456</f>
        <v>2.9661</v>
      </c>
      <c r="E456" s="25">
        <f>F456</f>
        <v>2.9661</v>
      </c>
      <c r="F456" s="25">
        <f>ROUND(2.9661,4)</f>
        <v>2.9661</v>
      </c>
      <c r="G456" s="24"/>
      <c r="H456" s="36"/>
    </row>
    <row r="457" spans="1:8" ht="12.75" customHeight="1">
      <c r="A457" s="22" t="s">
        <v>84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43178</v>
      </c>
      <c r="B458" s="22"/>
      <c r="C458" s="25">
        <f>ROUND(12.1975,4)</f>
        <v>12.1975</v>
      </c>
      <c r="D458" s="25">
        <f>F458</f>
        <v>12.3007</v>
      </c>
      <c r="E458" s="25">
        <f>F458</f>
        <v>12.3007</v>
      </c>
      <c r="F458" s="25">
        <f>ROUND(12.3007,4)</f>
        <v>12.3007</v>
      </c>
      <c r="G458" s="24"/>
      <c r="H458" s="36"/>
    </row>
    <row r="459" spans="1:8" ht="12.75" customHeight="1">
      <c r="A459" s="22">
        <v>43269</v>
      </c>
      <c r="B459" s="22"/>
      <c r="C459" s="25">
        <f>ROUND(12.1975,4)</f>
        <v>12.1975</v>
      </c>
      <c r="D459" s="25">
        <f>F459</f>
        <v>12.4606</v>
      </c>
      <c r="E459" s="25">
        <f>F459</f>
        <v>12.4606</v>
      </c>
      <c r="F459" s="25">
        <f>ROUND(12.4606,4)</f>
        <v>12.4606</v>
      </c>
      <c r="G459" s="24"/>
      <c r="H459" s="36"/>
    </row>
    <row r="460" spans="1:8" ht="12.75" customHeight="1">
      <c r="A460" s="22">
        <v>43360</v>
      </c>
      <c r="B460" s="22"/>
      <c r="C460" s="25">
        <f>ROUND(12.1975,4)</f>
        <v>12.1975</v>
      </c>
      <c r="D460" s="25">
        <f>F460</f>
        <v>12.6162</v>
      </c>
      <c r="E460" s="25">
        <f>F460</f>
        <v>12.6162</v>
      </c>
      <c r="F460" s="25">
        <f>ROUND(12.6162,4)</f>
        <v>12.6162</v>
      </c>
      <c r="G460" s="24"/>
      <c r="H460" s="36"/>
    </row>
    <row r="461" spans="1:8" ht="12.75" customHeight="1">
      <c r="A461" s="22">
        <v>43448</v>
      </c>
      <c r="B461" s="22"/>
      <c r="C461" s="25">
        <f>ROUND(12.1975,4)</f>
        <v>12.1975</v>
      </c>
      <c r="D461" s="25">
        <f>F461</f>
        <v>12.7616</v>
      </c>
      <c r="E461" s="25">
        <f>F461</f>
        <v>12.7616</v>
      </c>
      <c r="F461" s="25">
        <f>ROUND(12.7616,4)</f>
        <v>12.7616</v>
      </c>
      <c r="G461" s="24"/>
      <c r="H461" s="36"/>
    </row>
    <row r="462" spans="1:8" ht="12.75" customHeight="1">
      <c r="A462" s="22">
        <v>43630</v>
      </c>
      <c r="B462" s="22"/>
      <c r="C462" s="25">
        <f>ROUND(12.1975,4)</f>
        <v>12.1975</v>
      </c>
      <c r="D462" s="25">
        <f>F462</f>
        <v>13.0755</v>
      </c>
      <c r="E462" s="25">
        <f>F462</f>
        <v>13.0755</v>
      </c>
      <c r="F462" s="25">
        <v>13.0755</v>
      </c>
      <c r="G462" s="24"/>
      <c r="H462" s="36"/>
    </row>
    <row r="463" spans="1:8" ht="12.75" customHeight="1">
      <c r="A463" s="22">
        <v>43724</v>
      </c>
      <c r="B463" s="22"/>
      <c r="C463" s="25">
        <f>ROUND(12.1975,4)</f>
        <v>12.1975</v>
      </c>
      <c r="D463" s="25">
        <f>F463</f>
        <v>13.24</v>
      </c>
      <c r="E463" s="25">
        <f>F463</f>
        <v>13.24</v>
      </c>
      <c r="F463" s="25">
        <v>13.24</v>
      </c>
      <c r="G463" s="24"/>
      <c r="H463" s="36"/>
    </row>
    <row r="464" spans="1:8" ht="12.75" customHeight="1">
      <c r="A464" s="22">
        <v>43812</v>
      </c>
      <c r="B464" s="22"/>
      <c r="C464" s="25">
        <f>ROUND(12.1975,4)</f>
        <v>12.1975</v>
      </c>
      <c r="D464" s="25">
        <f>F464</f>
        <v>13.394</v>
      </c>
      <c r="E464" s="25">
        <f>F464</f>
        <v>13.394</v>
      </c>
      <c r="F464" s="25">
        <v>13.394</v>
      </c>
      <c r="G464" s="24"/>
      <c r="H464" s="36"/>
    </row>
    <row r="465" spans="1:8" ht="12.75" customHeight="1">
      <c r="A465" s="22" t="s">
        <v>85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43178</v>
      </c>
      <c r="B466" s="22"/>
      <c r="C466" s="25">
        <f>ROUND(12.1975,4)</f>
        <v>12.1975</v>
      </c>
      <c r="D466" s="25">
        <f>F466</f>
        <v>12.3007</v>
      </c>
      <c r="E466" s="25">
        <f>F466</f>
        <v>12.3007</v>
      </c>
      <c r="F466" s="25">
        <f>ROUND(12.3007,4)</f>
        <v>12.3007</v>
      </c>
      <c r="G466" s="24"/>
      <c r="H466" s="36"/>
    </row>
    <row r="467" spans="1:8" ht="12.75" customHeight="1">
      <c r="A467" s="22">
        <v>43269</v>
      </c>
      <c r="B467" s="22"/>
      <c r="C467" s="25">
        <f>ROUND(12.1975,4)</f>
        <v>12.1975</v>
      </c>
      <c r="D467" s="25">
        <f>F467</f>
        <v>12.4606</v>
      </c>
      <c r="E467" s="25">
        <f>F467</f>
        <v>12.4606</v>
      </c>
      <c r="F467" s="25">
        <f>ROUND(12.4606,4)</f>
        <v>12.4606</v>
      </c>
      <c r="G467" s="24"/>
      <c r="H467" s="36"/>
    </row>
    <row r="468" spans="1:8" ht="12.75" customHeight="1">
      <c r="A468" s="22">
        <v>43360</v>
      </c>
      <c r="B468" s="22"/>
      <c r="C468" s="25">
        <f>ROUND(12.1975,4)</f>
        <v>12.1975</v>
      </c>
      <c r="D468" s="25">
        <f>F468</f>
        <v>12.6162</v>
      </c>
      <c r="E468" s="25">
        <f>F468</f>
        <v>12.6162</v>
      </c>
      <c r="F468" s="25">
        <f>ROUND(12.6162,4)</f>
        <v>12.6162</v>
      </c>
      <c r="G468" s="24"/>
      <c r="H468" s="36"/>
    </row>
    <row r="469" spans="1:8" ht="12.75" customHeight="1">
      <c r="A469" s="22">
        <v>43448</v>
      </c>
      <c r="B469" s="22"/>
      <c r="C469" s="25">
        <f>ROUND(12.1975,4)</f>
        <v>12.1975</v>
      </c>
      <c r="D469" s="25">
        <f>F469</f>
        <v>12.7616</v>
      </c>
      <c r="E469" s="25">
        <f>F469</f>
        <v>12.7616</v>
      </c>
      <c r="F469" s="25">
        <f>ROUND(12.7616,4)</f>
        <v>12.7616</v>
      </c>
      <c r="G469" s="24"/>
      <c r="H469" s="36"/>
    </row>
    <row r="470" spans="1:8" ht="12.75" customHeight="1">
      <c r="A470" s="22">
        <v>43542</v>
      </c>
      <c r="B470" s="22"/>
      <c r="C470" s="25">
        <f>ROUND(12.1975,4)</f>
        <v>12.1975</v>
      </c>
      <c r="D470" s="25">
        <f>F470</f>
        <v>12.9215</v>
      </c>
      <c r="E470" s="25">
        <f>F470</f>
        <v>12.9215</v>
      </c>
      <c r="F470" s="25">
        <f>ROUND(12.9215,4)</f>
        <v>12.9215</v>
      </c>
      <c r="G470" s="24"/>
      <c r="H470" s="36"/>
    </row>
    <row r="471" spans="1:8" ht="12.75" customHeight="1">
      <c r="A471" s="22">
        <v>43630</v>
      </c>
      <c r="B471" s="22"/>
      <c r="C471" s="25">
        <f>ROUND(12.1975,4)</f>
        <v>12.1975</v>
      </c>
      <c r="D471" s="25">
        <f>F471</f>
        <v>13.0755</v>
      </c>
      <c r="E471" s="25">
        <f>F471</f>
        <v>13.0755</v>
      </c>
      <c r="F471" s="25">
        <f>ROUND(13.0755,4)</f>
        <v>13.0755</v>
      </c>
      <c r="G471" s="24"/>
      <c r="H471" s="36"/>
    </row>
    <row r="472" spans="1:8" ht="12.75" customHeight="1">
      <c r="A472" s="22">
        <v>43724</v>
      </c>
      <c r="B472" s="22"/>
      <c r="C472" s="25">
        <f>ROUND(12.1975,4)</f>
        <v>12.1975</v>
      </c>
      <c r="D472" s="25">
        <f>F472</f>
        <v>13.24</v>
      </c>
      <c r="E472" s="25">
        <f>F472</f>
        <v>13.24</v>
      </c>
      <c r="F472" s="25">
        <f>ROUND(13.24,4)</f>
        <v>13.24</v>
      </c>
      <c r="G472" s="24"/>
      <c r="H472" s="36"/>
    </row>
    <row r="473" spans="1:8" ht="12.75" customHeight="1">
      <c r="A473" s="22">
        <v>43812</v>
      </c>
      <c r="B473" s="22"/>
      <c r="C473" s="25">
        <f>ROUND(12.1975,4)</f>
        <v>12.1975</v>
      </c>
      <c r="D473" s="25">
        <f>F473</f>
        <v>13.394</v>
      </c>
      <c r="E473" s="25">
        <f>F473</f>
        <v>13.394</v>
      </c>
      <c r="F473" s="25">
        <f>ROUND(13.394,4)</f>
        <v>13.394</v>
      </c>
      <c r="G473" s="24"/>
      <c r="H473" s="36"/>
    </row>
    <row r="474" spans="1:8" ht="12.75" customHeight="1">
      <c r="A474" s="22">
        <v>43906</v>
      </c>
      <c r="B474" s="22"/>
      <c r="C474" s="25">
        <f>ROUND(12.1975,4)</f>
        <v>12.1975</v>
      </c>
      <c r="D474" s="25">
        <f>F474</f>
        <v>13.5732</v>
      </c>
      <c r="E474" s="25">
        <f>F474</f>
        <v>13.5732</v>
      </c>
      <c r="F474" s="25">
        <f>ROUND(13.5732,4)</f>
        <v>13.5732</v>
      </c>
      <c r="G474" s="24"/>
      <c r="H474" s="36"/>
    </row>
    <row r="475" spans="1:8" ht="12.75" customHeight="1">
      <c r="A475" s="22">
        <v>43994</v>
      </c>
      <c r="B475" s="22"/>
      <c r="C475" s="25">
        <f>ROUND(12.1975,4)</f>
        <v>12.1975</v>
      </c>
      <c r="D475" s="25">
        <f>F475</f>
        <v>13.7512</v>
      </c>
      <c r="E475" s="25">
        <f>F475</f>
        <v>13.7512</v>
      </c>
      <c r="F475" s="25">
        <f>ROUND(13.7512,4)</f>
        <v>13.7512</v>
      </c>
      <c r="G475" s="24"/>
      <c r="H475" s="36"/>
    </row>
    <row r="476" spans="1:8" ht="12.75" customHeight="1">
      <c r="A476" s="22">
        <v>44088</v>
      </c>
      <c r="B476" s="22"/>
      <c r="C476" s="25">
        <f>ROUND(12.1975,4)</f>
        <v>12.1975</v>
      </c>
      <c r="D476" s="25">
        <f>F476</f>
        <v>13.9413</v>
      </c>
      <c r="E476" s="25">
        <f>F476</f>
        <v>13.9413</v>
      </c>
      <c r="F476" s="25">
        <f>ROUND(13.9413,4)</f>
        <v>13.9413</v>
      </c>
      <c r="G476" s="24"/>
      <c r="H476" s="36"/>
    </row>
    <row r="477" spans="1:8" ht="12.75" customHeight="1">
      <c r="A477" s="22">
        <v>44179</v>
      </c>
      <c r="B477" s="22"/>
      <c r="C477" s="25">
        <f>ROUND(12.1975,4)</f>
        <v>12.1975</v>
      </c>
      <c r="D477" s="25">
        <f>F477</f>
        <v>14.1254</v>
      </c>
      <c r="E477" s="25">
        <f>F477</f>
        <v>14.1254</v>
      </c>
      <c r="F477" s="25">
        <f>ROUND(14.1254,4)</f>
        <v>14.1254</v>
      </c>
      <c r="G477" s="24"/>
      <c r="H477" s="36"/>
    </row>
    <row r="478" spans="1:8" ht="12.75" customHeight="1">
      <c r="A478" s="22">
        <v>44270</v>
      </c>
      <c r="B478" s="22"/>
      <c r="C478" s="25">
        <f>ROUND(12.1975,4)</f>
        <v>12.1975</v>
      </c>
      <c r="D478" s="25">
        <f>F478</f>
        <v>14.3094</v>
      </c>
      <c r="E478" s="25">
        <f>F478</f>
        <v>14.3094</v>
      </c>
      <c r="F478" s="25">
        <f>ROUND(14.3094,4)</f>
        <v>14.3094</v>
      </c>
      <c r="G478" s="24"/>
      <c r="H478" s="36"/>
    </row>
    <row r="479" spans="1:8" ht="12.75" customHeight="1">
      <c r="A479" s="22" t="s">
        <v>86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43178</v>
      </c>
      <c r="B480" s="22"/>
      <c r="C480" s="25">
        <f>ROUND(1.24782608695652,4)</f>
        <v>1.2478</v>
      </c>
      <c r="D480" s="25">
        <f>F480</f>
        <v>1.2354</v>
      </c>
      <c r="E480" s="25">
        <f>F480</f>
        <v>1.2354</v>
      </c>
      <c r="F480" s="25">
        <f>ROUND(1.2354,4)</f>
        <v>1.2354</v>
      </c>
      <c r="G480" s="24"/>
      <c r="H480" s="36"/>
    </row>
    <row r="481" spans="1:8" ht="12.75" customHeight="1">
      <c r="A481" s="22">
        <v>43269</v>
      </c>
      <c r="B481" s="22"/>
      <c r="C481" s="25">
        <f>ROUND(1.24782608695652,4)</f>
        <v>1.2478</v>
      </c>
      <c r="D481" s="25">
        <f>F481</f>
        <v>1.2152</v>
      </c>
      <c r="E481" s="25">
        <f>F481</f>
        <v>1.2152</v>
      </c>
      <c r="F481" s="25">
        <f>ROUND(1.2152,4)</f>
        <v>1.2152</v>
      </c>
      <c r="G481" s="24"/>
      <c r="H481" s="36"/>
    </row>
    <row r="482" spans="1:8" ht="12.75" customHeight="1">
      <c r="A482" s="22">
        <v>43360</v>
      </c>
      <c r="B482" s="22"/>
      <c r="C482" s="25">
        <f>ROUND(1.24782608695652,4)</f>
        <v>1.2478</v>
      </c>
      <c r="D482" s="25">
        <f>F482</f>
        <v>1.1967</v>
      </c>
      <c r="E482" s="25">
        <f>F482</f>
        <v>1.1967</v>
      </c>
      <c r="F482" s="25">
        <f>ROUND(1.1967,4)</f>
        <v>1.1967</v>
      </c>
      <c r="G482" s="24"/>
      <c r="H482" s="36"/>
    </row>
    <row r="483" spans="1:8" ht="12.75" customHeight="1">
      <c r="A483" s="22">
        <v>43448</v>
      </c>
      <c r="B483" s="22"/>
      <c r="C483" s="25">
        <f>ROUND(1.24782608695652,4)</f>
        <v>1.2478</v>
      </c>
      <c r="D483" s="25">
        <f>F483</f>
        <v>1.1785</v>
      </c>
      <c r="E483" s="25">
        <f>F483</f>
        <v>1.1785</v>
      </c>
      <c r="F483" s="25">
        <f>ROUND(1.1785,4)</f>
        <v>1.1785</v>
      </c>
      <c r="G483" s="24"/>
      <c r="H483" s="36"/>
    </row>
    <row r="484" spans="1:8" ht="12.75" customHeight="1">
      <c r="A484" s="22">
        <v>43542</v>
      </c>
      <c r="B484" s="22"/>
      <c r="C484" s="25">
        <f>ROUND(1.24782608695652,4)</f>
        <v>1.2478</v>
      </c>
      <c r="D484" s="25">
        <f>F484</f>
        <v>1.1599</v>
      </c>
      <c r="E484" s="25">
        <f>F484</f>
        <v>1.1599</v>
      </c>
      <c r="F484" s="25">
        <f>ROUND(1.1599,4)</f>
        <v>1.1599</v>
      </c>
      <c r="G484" s="24"/>
      <c r="H484" s="36"/>
    </row>
    <row r="485" spans="1:8" ht="12.75" customHeight="1">
      <c r="A485" s="22">
        <v>43630</v>
      </c>
      <c r="B485" s="22"/>
      <c r="C485" s="25">
        <f>ROUND(1.24782608695652,4)</f>
        <v>1.2478</v>
      </c>
      <c r="D485" s="25">
        <f>F485</f>
        <v>1.2164</v>
      </c>
      <c r="E485" s="25">
        <f>F485</f>
        <v>1.2164</v>
      </c>
      <c r="F485" s="25">
        <f>ROUND(1.2164,4)</f>
        <v>1.2164</v>
      </c>
      <c r="G485" s="24"/>
      <c r="H485" s="36"/>
    </row>
    <row r="486" spans="1:8" ht="12.75" customHeight="1">
      <c r="A486" s="22">
        <v>43724</v>
      </c>
      <c r="B486" s="22"/>
      <c r="C486" s="25">
        <f>ROUND(1.24782608695652,4)</f>
        <v>1.2478</v>
      </c>
      <c r="D486" s="25">
        <f>F486</f>
        <v>1.2269</v>
      </c>
      <c r="E486" s="25">
        <f>F486</f>
        <v>1.2269</v>
      </c>
      <c r="F486" s="25">
        <f>ROUND(1.2269,4)</f>
        <v>1.2269</v>
      </c>
      <c r="G486" s="24"/>
      <c r="H486" s="36"/>
    </row>
    <row r="487" spans="1:8" ht="12.75" customHeight="1">
      <c r="A487" s="22" t="s">
        <v>87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43132</v>
      </c>
      <c r="B488" s="22"/>
      <c r="C488" s="27">
        <f>ROUND(647.675,3)</f>
        <v>647.675</v>
      </c>
      <c r="D488" s="27">
        <f>F488</f>
        <v>649.48</v>
      </c>
      <c r="E488" s="27">
        <f>F488</f>
        <v>649.48</v>
      </c>
      <c r="F488" s="27">
        <f>ROUND(649.48,3)</f>
        <v>649.48</v>
      </c>
      <c r="G488" s="24"/>
      <c r="H488" s="36"/>
    </row>
    <row r="489" spans="1:8" ht="12.75" customHeight="1">
      <c r="A489" s="22">
        <v>43223</v>
      </c>
      <c r="B489" s="22"/>
      <c r="C489" s="27">
        <f>ROUND(647.675,3)</f>
        <v>647.675</v>
      </c>
      <c r="D489" s="27">
        <f>F489</f>
        <v>661.612</v>
      </c>
      <c r="E489" s="27">
        <f>F489</f>
        <v>661.612</v>
      </c>
      <c r="F489" s="27">
        <f>ROUND(661.612,3)</f>
        <v>661.612</v>
      </c>
      <c r="G489" s="24"/>
      <c r="H489" s="36"/>
    </row>
    <row r="490" spans="1:8" ht="12.75" customHeight="1">
      <c r="A490" s="22">
        <v>43314</v>
      </c>
      <c r="B490" s="22"/>
      <c r="C490" s="27">
        <f>ROUND(647.675,3)</f>
        <v>647.675</v>
      </c>
      <c r="D490" s="27">
        <f>F490</f>
        <v>673.986</v>
      </c>
      <c r="E490" s="27">
        <f>F490</f>
        <v>673.986</v>
      </c>
      <c r="F490" s="27">
        <f>ROUND(673.986,3)</f>
        <v>673.986</v>
      </c>
      <c r="G490" s="24"/>
      <c r="H490" s="36"/>
    </row>
    <row r="491" spans="1:8" ht="12.75" customHeight="1">
      <c r="A491" s="22">
        <v>43405</v>
      </c>
      <c r="B491" s="22"/>
      <c r="C491" s="27">
        <f>ROUND(647.675,3)</f>
        <v>647.675</v>
      </c>
      <c r="D491" s="27">
        <f>F491</f>
        <v>686.985</v>
      </c>
      <c r="E491" s="27">
        <f>F491</f>
        <v>686.985</v>
      </c>
      <c r="F491" s="27">
        <f>ROUND(686.985,3)</f>
        <v>686.985</v>
      </c>
      <c r="G491" s="24"/>
      <c r="H491" s="36"/>
    </row>
    <row r="492" spans="1:8" ht="12.75" customHeight="1">
      <c r="A492" s="22" t="s">
        <v>88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43132</v>
      </c>
      <c r="B493" s="22"/>
      <c r="C493" s="27">
        <f>ROUND(570.164,3)</f>
        <v>570.164</v>
      </c>
      <c r="D493" s="27">
        <f>F493</f>
        <v>571.753</v>
      </c>
      <c r="E493" s="27">
        <f>F493</f>
        <v>571.753</v>
      </c>
      <c r="F493" s="27">
        <f>ROUND(571.753,3)</f>
        <v>571.753</v>
      </c>
      <c r="G493" s="24"/>
      <c r="H493" s="36"/>
    </row>
    <row r="494" spans="1:8" ht="12.75" customHeight="1">
      <c r="A494" s="22">
        <v>43223</v>
      </c>
      <c r="B494" s="22"/>
      <c r="C494" s="27">
        <f>ROUND(570.164,3)</f>
        <v>570.164</v>
      </c>
      <c r="D494" s="27">
        <f>F494</f>
        <v>582.433</v>
      </c>
      <c r="E494" s="27">
        <f>F494</f>
        <v>582.433</v>
      </c>
      <c r="F494" s="27">
        <f>ROUND(582.433,3)</f>
        <v>582.433</v>
      </c>
      <c r="G494" s="24"/>
      <c r="H494" s="36"/>
    </row>
    <row r="495" spans="1:8" ht="12.75" customHeight="1">
      <c r="A495" s="22">
        <v>43314</v>
      </c>
      <c r="B495" s="22"/>
      <c r="C495" s="27">
        <f>ROUND(570.164,3)</f>
        <v>570.164</v>
      </c>
      <c r="D495" s="27">
        <f>F495</f>
        <v>593.326</v>
      </c>
      <c r="E495" s="27">
        <f>F495</f>
        <v>593.326</v>
      </c>
      <c r="F495" s="27">
        <f>ROUND(593.326,3)</f>
        <v>593.326</v>
      </c>
      <c r="G495" s="24"/>
      <c r="H495" s="36"/>
    </row>
    <row r="496" spans="1:8" ht="12.75" customHeight="1">
      <c r="A496" s="22">
        <v>43405</v>
      </c>
      <c r="B496" s="22"/>
      <c r="C496" s="27">
        <f>ROUND(570.164,3)</f>
        <v>570.164</v>
      </c>
      <c r="D496" s="27">
        <f>F496</f>
        <v>604.77</v>
      </c>
      <c r="E496" s="27">
        <f>F496</f>
        <v>604.77</v>
      </c>
      <c r="F496" s="27">
        <f>ROUND(604.77,3)</f>
        <v>604.77</v>
      </c>
      <c r="G496" s="24"/>
      <c r="H496" s="36"/>
    </row>
    <row r="497" spans="1:8" ht="12.75" customHeight="1">
      <c r="A497" s="22" t="s">
        <v>89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43132</v>
      </c>
      <c r="B498" s="22"/>
      <c r="C498" s="27">
        <f>ROUND(659.142,3)</f>
        <v>659.142</v>
      </c>
      <c r="D498" s="27">
        <f>F498</f>
        <v>660.979</v>
      </c>
      <c r="E498" s="27">
        <f>F498</f>
        <v>660.979</v>
      </c>
      <c r="F498" s="27">
        <f>ROUND(660.979,3)</f>
        <v>660.979</v>
      </c>
      <c r="G498" s="24"/>
      <c r="H498" s="36"/>
    </row>
    <row r="499" spans="1:8" ht="12.75" customHeight="1">
      <c r="A499" s="22">
        <v>43223</v>
      </c>
      <c r="B499" s="22"/>
      <c r="C499" s="27">
        <f>ROUND(659.142,3)</f>
        <v>659.142</v>
      </c>
      <c r="D499" s="27">
        <f>F499</f>
        <v>673.325</v>
      </c>
      <c r="E499" s="27">
        <f>F499</f>
        <v>673.325</v>
      </c>
      <c r="F499" s="27">
        <f>ROUND(673.325,3)</f>
        <v>673.325</v>
      </c>
      <c r="G499" s="24"/>
      <c r="H499" s="36"/>
    </row>
    <row r="500" spans="1:8" ht="12.75" customHeight="1">
      <c r="A500" s="22">
        <v>43314</v>
      </c>
      <c r="B500" s="22"/>
      <c r="C500" s="27">
        <f>ROUND(659.142,3)</f>
        <v>659.142</v>
      </c>
      <c r="D500" s="27">
        <f>F500</f>
        <v>685.918</v>
      </c>
      <c r="E500" s="27">
        <f>F500</f>
        <v>685.918</v>
      </c>
      <c r="F500" s="27">
        <f>ROUND(685.918,3)</f>
        <v>685.918</v>
      </c>
      <c r="G500" s="24"/>
      <c r="H500" s="36"/>
    </row>
    <row r="501" spans="1:8" ht="12.75" customHeight="1">
      <c r="A501" s="22">
        <v>43405</v>
      </c>
      <c r="B501" s="22"/>
      <c r="C501" s="27">
        <f>ROUND(659.142,3)</f>
        <v>659.142</v>
      </c>
      <c r="D501" s="27">
        <f>F501</f>
        <v>699.148</v>
      </c>
      <c r="E501" s="27">
        <f>F501</f>
        <v>699.148</v>
      </c>
      <c r="F501" s="27">
        <f>ROUND(699.148,3)</f>
        <v>699.148</v>
      </c>
      <c r="G501" s="24"/>
      <c r="H501" s="36"/>
    </row>
    <row r="502" spans="1:8" ht="12.75" customHeight="1">
      <c r="A502" s="22" t="s">
        <v>90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43132</v>
      </c>
      <c r="B503" s="22"/>
      <c r="C503" s="27">
        <f>ROUND(594.935,3)</f>
        <v>594.935</v>
      </c>
      <c r="D503" s="27">
        <f>F503</f>
        <v>596.593</v>
      </c>
      <c r="E503" s="27">
        <f>F503</f>
        <v>596.593</v>
      </c>
      <c r="F503" s="27">
        <f>ROUND(596.593,3)</f>
        <v>596.593</v>
      </c>
      <c r="G503" s="24"/>
      <c r="H503" s="36"/>
    </row>
    <row r="504" spans="1:8" ht="12.75" customHeight="1">
      <c r="A504" s="22">
        <v>43223</v>
      </c>
      <c r="B504" s="22"/>
      <c r="C504" s="27">
        <f>ROUND(594.935,3)</f>
        <v>594.935</v>
      </c>
      <c r="D504" s="27">
        <f>F504</f>
        <v>607.737</v>
      </c>
      <c r="E504" s="27">
        <f>F504</f>
        <v>607.737</v>
      </c>
      <c r="F504" s="27">
        <f>ROUND(607.737,3)</f>
        <v>607.737</v>
      </c>
      <c r="G504" s="24"/>
      <c r="H504" s="36"/>
    </row>
    <row r="505" spans="1:8" ht="12.75" customHeight="1">
      <c r="A505" s="22">
        <v>43314</v>
      </c>
      <c r="B505" s="22"/>
      <c r="C505" s="27">
        <f>ROUND(594.935,3)</f>
        <v>594.935</v>
      </c>
      <c r="D505" s="27">
        <f>F505</f>
        <v>619.103</v>
      </c>
      <c r="E505" s="27">
        <f>F505</f>
        <v>619.103</v>
      </c>
      <c r="F505" s="27">
        <f>ROUND(619.103,3)</f>
        <v>619.103</v>
      </c>
      <c r="G505" s="24"/>
      <c r="H505" s="36"/>
    </row>
    <row r="506" spans="1:8" ht="12.75" customHeight="1">
      <c r="A506" s="22">
        <v>43405</v>
      </c>
      <c r="B506" s="22"/>
      <c r="C506" s="27">
        <f>ROUND(594.935,3)</f>
        <v>594.935</v>
      </c>
      <c r="D506" s="27">
        <f>F506</f>
        <v>631.044</v>
      </c>
      <c r="E506" s="27">
        <f>F506</f>
        <v>631.044</v>
      </c>
      <c r="F506" s="27">
        <f>ROUND(631.044,3)</f>
        <v>631.044</v>
      </c>
      <c r="G506" s="24"/>
      <c r="H506" s="36"/>
    </row>
    <row r="507" spans="1:8" ht="12.75" customHeight="1">
      <c r="A507" s="22" t="s">
        <v>91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43132</v>
      </c>
      <c r="B508" s="22"/>
      <c r="C508" s="27">
        <f>ROUND(250.446468493876,3)</f>
        <v>250.446</v>
      </c>
      <c r="D508" s="27">
        <f>F508</f>
        <v>251.145</v>
      </c>
      <c r="E508" s="27">
        <f>F508</f>
        <v>251.145</v>
      </c>
      <c r="F508" s="27">
        <f>ROUND(251.145,3)</f>
        <v>251.145</v>
      </c>
      <c r="G508" s="24"/>
      <c r="H508" s="36"/>
    </row>
    <row r="509" spans="1:8" ht="12.75" customHeight="1">
      <c r="A509" s="22">
        <v>43223</v>
      </c>
      <c r="B509" s="22"/>
      <c r="C509" s="27">
        <f>ROUND(250.446468493876,3)</f>
        <v>250.446</v>
      </c>
      <c r="D509" s="27">
        <f>F509</f>
        <v>255.851</v>
      </c>
      <c r="E509" s="27">
        <f>F509</f>
        <v>255.851</v>
      </c>
      <c r="F509" s="27">
        <f>ROUND(255.851,3)</f>
        <v>255.851</v>
      </c>
      <c r="G509" s="24"/>
      <c r="H509" s="36"/>
    </row>
    <row r="510" spans="1:8" ht="12.75" customHeight="1">
      <c r="A510" s="22">
        <v>43314</v>
      </c>
      <c r="B510" s="22"/>
      <c r="C510" s="27">
        <f>ROUND(250.446468493876,3)</f>
        <v>250.446</v>
      </c>
      <c r="D510" s="27">
        <f>F510</f>
        <v>260.671</v>
      </c>
      <c r="E510" s="27">
        <f>F510</f>
        <v>260.671</v>
      </c>
      <c r="F510" s="27">
        <f>ROUND(260.671,3)</f>
        <v>260.671</v>
      </c>
      <c r="G510" s="24"/>
      <c r="H510" s="36"/>
    </row>
    <row r="511" spans="1:8" ht="12.75" customHeight="1">
      <c r="A511" s="22">
        <v>43405</v>
      </c>
      <c r="B511" s="22"/>
      <c r="C511" s="27">
        <f>ROUND(250.446468493876,3)</f>
        <v>250.446</v>
      </c>
      <c r="D511" s="27">
        <f>F511</f>
        <v>265.772</v>
      </c>
      <c r="E511" s="27">
        <f>F511</f>
        <v>265.772</v>
      </c>
      <c r="F511" s="27">
        <f>ROUND(265.772,3)</f>
        <v>265.772</v>
      </c>
      <c r="G511" s="24"/>
      <c r="H511" s="36"/>
    </row>
    <row r="512" spans="1:8" ht="12.75" customHeight="1">
      <c r="A512" s="22" t="s">
        <v>92</v>
      </c>
      <c r="B512" s="22"/>
      <c r="C512" s="23"/>
      <c r="D512" s="23"/>
      <c r="E512" s="23"/>
      <c r="F512" s="23"/>
      <c r="G512" s="24"/>
      <c r="H512" s="36"/>
    </row>
    <row r="513" spans="1:8" ht="12.75" customHeight="1">
      <c r="A513" s="22">
        <v>43132</v>
      </c>
      <c r="B513" s="22"/>
      <c r="C513" s="27">
        <f>ROUND(675.731,3)</f>
        <v>675.731</v>
      </c>
      <c r="D513" s="27">
        <f>F513</f>
        <v>724.173</v>
      </c>
      <c r="E513" s="27">
        <f>F513</f>
        <v>724.173</v>
      </c>
      <c r="F513" s="27">
        <f>ROUND(724.173,3)</f>
        <v>724.173</v>
      </c>
      <c r="G513" s="24"/>
      <c r="H513" s="36"/>
    </row>
    <row r="514" spans="1:8" ht="12.75" customHeight="1">
      <c r="A514" s="22" t="s">
        <v>93</v>
      </c>
      <c r="B514" s="22"/>
      <c r="C514" s="23"/>
      <c r="D514" s="23"/>
      <c r="E514" s="23"/>
      <c r="F514" s="23"/>
      <c r="G514" s="24"/>
      <c r="H514" s="36"/>
    </row>
    <row r="515" spans="1:8" ht="12.75" customHeight="1">
      <c r="A515" s="22">
        <v>43178</v>
      </c>
      <c r="B515" s="22"/>
      <c r="C515" s="24">
        <f>ROUND(22264.158785647,2)</f>
        <v>22264.16</v>
      </c>
      <c r="D515" s="24">
        <f>F515</f>
        <v>22491.99</v>
      </c>
      <c r="E515" s="24">
        <f>F515</f>
        <v>22491.99</v>
      </c>
      <c r="F515" s="24">
        <f>ROUND(22491.99,2)</f>
        <v>22491.99</v>
      </c>
      <c r="G515" s="24"/>
      <c r="H515" s="36"/>
    </row>
    <row r="516" spans="1:8" ht="12.75" customHeight="1">
      <c r="A516" s="22">
        <v>43269</v>
      </c>
      <c r="B516" s="22"/>
      <c r="C516" s="24">
        <f>ROUND(22264.158785647,2)</f>
        <v>22264.16</v>
      </c>
      <c r="D516" s="24">
        <f>F516</f>
        <v>22843.12</v>
      </c>
      <c r="E516" s="24">
        <f>F516</f>
        <v>22843.12</v>
      </c>
      <c r="F516" s="24">
        <f>ROUND(22843.12,2)</f>
        <v>22843.12</v>
      </c>
      <c r="G516" s="24"/>
      <c r="H516" s="36"/>
    </row>
    <row r="517" spans="1:8" ht="12.75" customHeight="1">
      <c r="A517" s="22">
        <v>43360</v>
      </c>
      <c r="B517" s="22"/>
      <c r="C517" s="24">
        <f>ROUND(22264.158785647,2)</f>
        <v>22264.16</v>
      </c>
      <c r="D517" s="24">
        <f>F517</f>
        <v>23196.21</v>
      </c>
      <c r="E517" s="24">
        <f>F517</f>
        <v>23196.21</v>
      </c>
      <c r="F517" s="24">
        <f>ROUND(23196.21,2)</f>
        <v>23196.21</v>
      </c>
      <c r="G517" s="24"/>
      <c r="H517" s="36"/>
    </row>
    <row r="518" spans="1:8" ht="12.75" customHeight="1">
      <c r="A518" s="22" t="s">
        <v>94</v>
      </c>
      <c r="B518" s="22"/>
      <c r="C518" s="23"/>
      <c r="D518" s="23"/>
      <c r="E518" s="23"/>
      <c r="F518" s="23"/>
      <c r="G518" s="24"/>
      <c r="H518" s="36"/>
    </row>
    <row r="519" spans="1:8" ht="12.75" customHeight="1">
      <c r="A519" s="22">
        <v>43152</v>
      </c>
      <c r="B519" s="22"/>
      <c r="C519" s="27">
        <f>ROUND(7.15,3)</f>
        <v>7.15</v>
      </c>
      <c r="D519" s="27">
        <f>ROUND(6.92,3)</f>
        <v>6.92</v>
      </c>
      <c r="E519" s="27">
        <f>ROUND(7.02,3)</f>
        <v>7.02</v>
      </c>
      <c r="F519" s="27">
        <f>ROUND(6.97,3)</f>
        <v>6.97</v>
      </c>
      <c r="G519" s="24"/>
      <c r="H519" s="36"/>
    </row>
    <row r="520" spans="1:8" ht="12.75" customHeight="1">
      <c r="A520" s="22">
        <v>43179</v>
      </c>
      <c r="B520" s="22"/>
      <c r="C520" s="27">
        <f>ROUND(7.15,3)</f>
        <v>7.15</v>
      </c>
      <c r="D520" s="27">
        <f>ROUND(6.82,3)</f>
        <v>6.82</v>
      </c>
      <c r="E520" s="27">
        <f>ROUND(6.92,3)</f>
        <v>6.92</v>
      </c>
      <c r="F520" s="27">
        <f>ROUND(6.87,3)</f>
        <v>6.87</v>
      </c>
      <c r="G520" s="24"/>
      <c r="H520" s="36"/>
    </row>
    <row r="521" spans="1:8" ht="12.75" customHeight="1">
      <c r="A521" s="22">
        <v>43208</v>
      </c>
      <c r="B521" s="22"/>
      <c r="C521" s="27">
        <f>ROUND(7.15,3)</f>
        <v>7.15</v>
      </c>
      <c r="D521" s="27">
        <f>ROUND(6.74,3)</f>
        <v>6.74</v>
      </c>
      <c r="E521" s="27">
        <f>ROUND(6.84,3)</f>
        <v>6.84</v>
      </c>
      <c r="F521" s="27">
        <f>ROUND(6.79,3)</f>
        <v>6.79</v>
      </c>
      <c r="G521" s="24"/>
      <c r="H521" s="36"/>
    </row>
    <row r="522" spans="1:8" ht="12.75" customHeight="1">
      <c r="A522" s="22">
        <v>43269</v>
      </c>
      <c r="B522" s="22"/>
      <c r="C522" s="27">
        <f>ROUND(7.15,3)</f>
        <v>7.15</v>
      </c>
      <c r="D522" s="27">
        <f>ROUND(7.51,3)</f>
        <v>7.51</v>
      </c>
      <c r="E522" s="27">
        <f>ROUND(7.41,3)</f>
        <v>7.41</v>
      </c>
      <c r="F522" s="27">
        <f>ROUND(7.46,3)</f>
        <v>7.46</v>
      </c>
      <c r="G522" s="24"/>
      <c r="H522" s="36"/>
    </row>
    <row r="523" spans="1:8" ht="12.75" customHeight="1">
      <c r="A523" s="22">
        <v>43271</v>
      </c>
      <c r="B523" s="22"/>
      <c r="C523" s="27">
        <f>ROUND(7.15,3)</f>
        <v>7.15</v>
      </c>
      <c r="D523" s="27">
        <f>ROUND(6.74,3)</f>
        <v>6.74</v>
      </c>
      <c r="E523" s="27">
        <f>ROUND(6.84,3)</f>
        <v>6.84</v>
      </c>
      <c r="F523" s="27">
        <f>ROUND(6.79,3)</f>
        <v>6.79</v>
      </c>
      <c r="G523" s="24"/>
      <c r="H523" s="36"/>
    </row>
    <row r="524" spans="1:8" ht="12.75" customHeight="1">
      <c r="A524" s="22">
        <v>43362</v>
      </c>
      <c r="B524" s="22"/>
      <c r="C524" s="27">
        <f>ROUND(7.15,3)</f>
        <v>7.15</v>
      </c>
      <c r="D524" s="27">
        <f>ROUND(6.8,3)</f>
        <v>6.8</v>
      </c>
      <c r="E524" s="27">
        <f>ROUND(6.9,3)</f>
        <v>6.9</v>
      </c>
      <c r="F524" s="27">
        <f>ROUND(6.85,3)</f>
        <v>6.85</v>
      </c>
      <c r="G524" s="24"/>
      <c r="H524" s="36"/>
    </row>
    <row r="525" spans="1:8" ht="12.75" customHeight="1">
      <c r="A525" s="22">
        <v>43453</v>
      </c>
      <c r="B525" s="22"/>
      <c r="C525" s="27">
        <f>ROUND(7.15,3)</f>
        <v>7.15</v>
      </c>
      <c r="D525" s="27">
        <f>ROUND(6.88,3)</f>
        <v>6.88</v>
      </c>
      <c r="E525" s="27">
        <f>ROUND(6.98,3)</f>
        <v>6.98</v>
      </c>
      <c r="F525" s="27">
        <f>ROUND(6.93,3)</f>
        <v>6.93</v>
      </c>
      <c r="G525" s="24"/>
      <c r="H525" s="36"/>
    </row>
    <row r="526" spans="1:8" ht="12.75" customHeight="1">
      <c r="A526" s="22">
        <v>43544</v>
      </c>
      <c r="B526" s="22"/>
      <c r="C526" s="27">
        <f>ROUND(7.15,3)</f>
        <v>7.15</v>
      </c>
      <c r="D526" s="27">
        <f>ROUND(6.98,3)</f>
        <v>6.98</v>
      </c>
      <c r="E526" s="27">
        <f>ROUND(7.08,3)</f>
        <v>7.08</v>
      </c>
      <c r="F526" s="27">
        <f>ROUND(7.03,3)</f>
        <v>7.03</v>
      </c>
      <c r="G526" s="24"/>
      <c r="H526" s="36"/>
    </row>
    <row r="527" spans="1:8" ht="12.75" customHeight="1">
      <c r="A527" s="22">
        <v>43635</v>
      </c>
      <c r="B527" s="22"/>
      <c r="C527" s="27">
        <f>ROUND(7.15,3)</f>
        <v>7.15</v>
      </c>
      <c r="D527" s="27">
        <f>ROUND(7.06,3)</f>
        <v>7.06</v>
      </c>
      <c r="E527" s="27">
        <f>ROUND(7.16,3)</f>
        <v>7.16</v>
      </c>
      <c r="F527" s="27">
        <f>ROUND(7.11,3)</f>
        <v>7.11</v>
      </c>
      <c r="G527" s="24"/>
      <c r="H527" s="36"/>
    </row>
    <row r="528" spans="1:8" ht="12.75" customHeight="1">
      <c r="A528" s="22">
        <v>43726</v>
      </c>
      <c r="B528" s="22"/>
      <c r="C528" s="27">
        <f>ROUND(7.15,3)</f>
        <v>7.15</v>
      </c>
      <c r="D528" s="27">
        <f>ROUND(7.06,3)</f>
        <v>7.06</v>
      </c>
      <c r="E528" s="27">
        <f>ROUND(7.16,3)</f>
        <v>7.16</v>
      </c>
      <c r="F528" s="27">
        <f>ROUND(7.11,3)</f>
        <v>7.11</v>
      </c>
      <c r="G528" s="24"/>
      <c r="H528" s="36"/>
    </row>
    <row r="529" spans="1:8" ht="12.75" customHeight="1">
      <c r="A529" s="22" t="s">
        <v>95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43132</v>
      </c>
      <c r="B530" s="22"/>
      <c r="C530" s="27">
        <f>ROUND(593.711,3)</f>
        <v>593.711</v>
      </c>
      <c r="D530" s="27">
        <f>F530</f>
        <v>595.366</v>
      </c>
      <c r="E530" s="27">
        <f>F530</f>
        <v>595.366</v>
      </c>
      <c r="F530" s="27">
        <f>ROUND(595.366,3)</f>
        <v>595.366</v>
      </c>
      <c r="G530" s="24"/>
      <c r="H530" s="36"/>
    </row>
    <row r="531" spans="1:8" ht="12.75" customHeight="1">
      <c r="A531" s="22">
        <v>43223</v>
      </c>
      <c r="B531" s="22"/>
      <c r="C531" s="27">
        <f>ROUND(593.711,3)</f>
        <v>593.711</v>
      </c>
      <c r="D531" s="27">
        <f>F531</f>
        <v>606.486</v>
      </c>
      <c r="E531" s="27">
        <f>F531</f>
        <v>606.486</v>
      </c>
      <c r="F531" s="27">
        <f>ROUND(606.486,3)</f>
        <v>606.486</v>
      </c>
      <c r="G531" s="24"/>
      <c r="H531" s="36"/>
    </row>
    <row r="532" spans="1:8" ht="12.75" customHeight="1">
      <c r="A532" s="22">
        <v>43314</v>
      </c>
      <c r="B532" s="22"/>
      <c r="C532" s="27">
        <f>ROUND(593.711,3)</f>
        <v>593.711</v>
      </c>
      <c r="D532" s="27">
        <f>F532</f>
        <v>617.829</v>
      </c>
      <c r="E532" s="27">
        <f>F532</f>
        <v>617.829</v>
      </c>
      <c r="F532" s="27">
        <f>ROUND(617.829,3)</f>
        <v>617.829</v>
      </c>
      <c r="G532" s="24"/>
      <c r="H532" s="36"/>
    </row>
    <row r="533" spans="1:8" ht="12.75" customHeight="1">
      <c r="A533" s="22">
        <v>43405</v>
      </c>
      <c r="B533" s="22"/>
      <c r="C533" s="27">
        <f>ROUND(593.711,3)</f>
        <v>593.711</v>
      </c>
      <c r="D533" s="27">
        <f>F533</f>
        <v>629.746</v>
      </c>
      <c r="E533" s="27">
        <f>F533</f>
        <v>629.746</v>
      </c>
      <c r="F533" s="27">
        <f>ROUND(629.746,3)</f>
        <v>629.746</v>
      </c>
      <c r="G533" s="24"/>
      <c r="H533" s="36"/>
    </row>
    <row r="534" spans="1:8" ht="12.75" customHeight="1">
      <c r="A534" s="22" t="s">
        <v>12</v>
      </c>
      <c r="B534" s="22"/>
      <c r="C534" s="23"/>
      <c r="D534" s="23"/>
      <c r="E534" s="23"/>
      <c r="F534" s="23"/>
      <c r="G534" s="24"/>
      <c r="H534" s="36"/>
    </row>
    <row r="535" spans="1:8" ht="12.75" customHeight="1">
      <c r="A535" s="22">
        <v>43546</v>
      </c>
      <c r="B535" s="22"/>
      <c r="C535" s="24">
        <f>ROUND(99.4161411964562,2)</f>
        <v>99.42</v>
      </c>
      <c r="D535" s="24">
        <f>F535</f>
        <v>99.42</v>
      </c>
      <c r="E535" s="24">
        <f>F535</f>
        <v>99.42</v>
      </c>
      <c r="F535" s="24">
        <f>ROUND(99.4161411964562,2)</f>
        <v>99.42</v>
      </c>
      <c r="G535" s="24"/>
      <c r="H535" s="36"/>
    </row>
    <row r="536" spans="1:8" ht="12.75" customHeight="1">
      <c r="A536" s="22" t="s">
        <v>13</v>
      </c>
      <c r="B536" s="22"/>
      <c r="C536" s="23"/>
      <c r="D536" s="23"/>
      <c r="E536" s="23"/>
      <c r="F536" s="23"/>
      <c r="G536" s="24"/>
      <c r="H536" s="36"/>
    </row>
    <row r="537" spans="1:8" ht="12.75" customHeight="1">
      <c r="A537" s="22">
        <v>43913</v>
      </c>
      <c r="B537" s="22"/>
      <c r="C537" s="24">
        <f>ROUND(98.5156577433908,2)</f>
        <v>98.52</v>
      </c>
      <c r="D537" s="24">
        <f>F537</f>
        <v>98.52</v>
      </c>
      <c r="E537" s="24">
        <f>F537</f>
        <v>98.52</v>
      </c>
      <c r="F537" s="24">
        <f>ROUND(98.5156577433908,2)</f>
        <v>98.52</v>
      </c>
      <c r="G537" s="24"/>
      <c r="H537" s="36"/>
    </row>
    <row r="538" spans="1:8" ht="12.75" customHeight="1">
      <c r="A538" s="22" t="s">
        <v>14</v>
      </c>
      <c r="B538" s="22"/>
      <c r="C538" s="23"/>
      <c r="D538" s="23"/>
      <c r="E538" s="23"/>
      <c r="F538" s="23"/>
      <c r="G538" s="24"/>
      <c r="H538" s="36"/>
    </row>
    <row r="539" spans="1:8" ht="12.75" customHeight="1">
      <c r="A539" s="22">
        <v>45007</v>
      </c>
      <c r="B539" s="22"/>
      <c r="C539" s="24">
        <f>ROUND(96.2740066383505,2)</f>
        <v>96.27</v>
      </c>
      <c r="D539" s="24">
        <f>F539</f>
        <v>96.27</v>
      </c>
      <c r="E539" s="24">
        <f>F539</f>
        <v>96.27</v>
      </c>
      <c r="F539" s="24">
        <f>ROUND(96.2740066383505,2)</f>
        <v>96.27</v>
      </c>
      <c r="G539" s="24"/>
      <c r="H539" s="36"/>
    </row>
    <row r="540" spans="1:8" ht="12.75" customHeight="1">
      <c r="A540" s="22" t="s">
        <v>15</v>
      </c>
      <c r="B540" s="22"/>
      <c r="C540" s="23"/>
      <c r="D540" s="23"/>
      <c r="E540" s="23"/>
      <c r="F540" s="23"/>
      <c r="G540" s="24"/>
      <c r="H540" s="36"/>
    </row>
    <row r="541" spans="1:8" ht="12.75" customHeight="1">
      <c r="A541" s="22">
        <v>46834</v>
      </c>
      <c r="B541" s="22"/>
      <c r="C541" s="24">
        <f>ROUND(95.9443128052738,2)</f>
        <v>95.94</v>
      </c>
      <c r="D541" s="24">
        <f>F541</f>
        <v>95.94</v>
      </c>
      <c r="E541" s="24">
        <f>F541</f>
        <v>95.94</v>
      </c>
      <c r="F541" s="24">
        <f>ROUND(95.9443128052738,2)</f>
        <v>95.94</v>
      </c>
      <c r="G541" s="24"/>
      <c r="H541" s="36"/>
    </row>
    <row r="542" spans="1:8" ht="12.75" customHeight="1">
      <c r="A542" s="22" t="s">
        <v>96</v>
      </c>
      <c r="B542" s="22"/>
      <c r="C542" s="23"/>
      <c r="D542" s="23"/>
      <c r="E542" s="23"/>
      <c r="F542" s="23"/>
      <c r="G542" s="24"/>
      <c r="H542" s="36"/>
    </row>
    <row r="543" spans="1:8" ht="12.75" customHeight="1">
      <c r="A543" s="22">
        <v>43174</v>
      </c>
      <c r="B543" s="22"/>
      <c r="C543" s="26">
        <f>ROUND(99.4161411964562,5)</f>
        <v>99.41614</v>
      </c>
      <c r="D543" s="26">
        <f>F543</f>
        <v>99.72453</v>
      </c>
      <c r="E543" s="26">
        <f>F543</f>
        <v>99.72453</v>
      </c>
      <c r="F543" s="26">
        <f>ROUND(99.7245334071696,5)</f>
        <v>99.72453</v>
      </c>
      <c r="G543" s="24"/>
      <c r="H543" s="36"/>
    </row>
    <row r="544" spans="1:8" ht="12.75" customHeight="1">
      <c r="A544" s="22" t="s">
        <v>97</v>
      </c>
      <c r="B544" s="22"/>
      <c r="C544" s="23"/>
      <c r="D544" s="23"/>
      <c r="E544" s="23"/>
      <c r="F544" s="23"/>
      <c r="G544" s="24"/>
      <c r="H544" s="36"/>
    </row>
    <row r="545" spans="1:8" ht="12.75" customHeight="1">
      <c r="A545" s="22">
        <v>43272</v>
      </c>
      <c r="B545" s="22"/>
      <c r="C545" s="26">
        <f>ROUND(99.4161411964562,5)</f>
        <v>99.41614</v>
      </c>
      <c r="D545" s="26">
        <f>F545</f>
        <v>99.89463</v>
      </c>
      <c r="E545" s="26">
        <f>F545</f>
        <v>99.89463</v>
      </c>
      <c r="F545" s="26">
        <f>ROUND(99.8946329277956,5)</f>
        <v>99.89463</v>
      </c>
      <c r="G545" s="24"/>
      <c r="H545" s="36"/>
    </row>
    <row r="546" spans="1:8" ht="12.75" customHeight="1">
      <c r="A546" s="22" t="s">
        <v>98</v>
      </c>
      <c r="B546" s="22"/>
      <c r="C546" s="23"/>
      <c r="D546" s="23"/>
      <c r="E546" s="23"/>
      <c r="F546" s="23"/>
      <c r="G546" s="24"/>
      <c r="H546" s="36"/>
    </row>
    <row r="547" spans="1:8" ht="12.75" customHeight="1">
      <c r="A547" s="22">
        <v>43363</v>
      </c>
      <c r="B547" s="22"/>
      <c r="C547" s="26">
        <f>ROUND(99.4161411964562,5)</f>
        <v>99.41614</v>
      </c>
      <c r="D547" s="26">
        <f>F547</f>
        <v>100.0192</v>
      </c>
      <c r="E547" s="26">
        <f>F547</f>
        <v>100.0192</v>
      </c>
      <c r="F547" s="26">
        <f>ROUND(100.019204495832,5)</f>
        <v>100.0192</v>
      </c>
      <c r="G547" s="24"/>
      <c r="H547" s="36"/>
    </row>
    <row r="548" spans="1:8" ht="12.75" customHeight="1">
      <c r="A548" s="22" t="s">
        <v>99</v>
      </c>
      <c r="B548" s="22"/>
      <c r="C548" s="23"/>
      <c r="D548" s="23"/>
      <c r="E548" s="23"/>
      <c r="F548" s="23"/>
      <c r="G548" s="24"/>
      <c r="H548" s="36"/>
    </row>
    <row r="549" spans="1:8" ht="12.75" customHeight="1">
      <c r="A549" s="22">
        <v>43175</v>
      </c>
      <c r="B549" s="22"/>
      <c r="C549" s="26">
        <f>ROUND(98.5156577433908,5)</f>
        <v>98.51566</v>
      </c>
      <c r="D549" s="26">
        <f>F549</f>
        <v>99.00742</v>
      </c>
      <c r="E549" s="26">
        <f>F549</f>
        <v>99.00742</v>
      </c>
      <c r="F549" s="26">
        <f>ROUND(99.0074220517038,5)</f>
        <v>99.00742</v>
      </c>
      <c r="G549" s="24"/>
      <c r="H549" s="36"/>
    </row>
    <row r="550" spans="1:8" ht="12.75" customHeight="1">
      <c r="A550" s="22" t="s">
        <v>100</v>
      </c>
      <c r="B550" s="22"/>
      <c r="C550" s="23"/>
      <c r="D550" s="23"/>
      <c r="E550" s="23"/>
      <c r="F550" s="23"/>
      <c r="G550" s="24"/>
      <c r="H550" s="36"/>
    </row>
    <row r="551" spans="1:8" ht="12.75" customHeight="1">
      <c r="A551" s="22">
        <v>43266</v>
      </c>
      <c r="B551" s="22"/>
      <c r="C551" s="26">
        <f>ROUND(98.5156577433908,5)</f>
        <v>98.51566</v>
      </c>
      <c r="D551" s="26">
        <f>F551</f>
        <v>98.58688</v>
      </c>
      <c r="E551" s="26">
        <f>F551</f>
        <v>98.58688</v>
      </c>
      <c r="F551" s="26">
        <f>ROUND(98.586879149934,5)</f>
        <v>98.58688</v>
      </c>
      <c r="G551" s="24"/>
      <c r="H551" s="36"/>
    </row>
    <row r="552" spans="1:8" ht="12.75" customHeight="1">
      <c r="A552" s="22" t="s">
        <v>101</v>
      </c>
      <c r="B552" s="22"/>
      <c r="C552" s="23"/>
      <c r="D552" s="23"/>
      <c r="E552" s="23"/>
      <c r="F552" s="23"/>
      <c r="G552" s="24"/>
      <c r="H552" s="36"/>
    </row>
    <row r="553" spans="1:8" ht="12.75" customHeight="1">
      <c r="A553" s="22">
        <v>43364</v>
      </c>
      <c r="B553" s="22"/>
      <c r="C553" s="26">
        <f>ROUND(98.5156577433908,5)</f>
        <v>98.51566</v>
      </c>
      <c r="D553" s="26">
        <f>F553</f>
        <v>98.48854</v>
      </c>
      <c r="E553" s="26">
        <f>F553</f>
        <v>98.48854</v>
      </c>
      <c r="F553" s="26">
        <f>ROUND(98.4885428922286,5)</f>
        <v>98.48854</v>
      </c>
      <c r="G553" s="24"/>
      <c r="H553" s="36"/>
    </row>
    <row r="554" spans="1:8" ht="12.75" customHeight="1">
      <c r="A554" s="22" t="s">
        <v>102</v>
      </c>
      <c r="B554" s="22"/>
      <c r="C554" s="23"/>
      <c r="D554" s="23"/>
      <c r="E554" s="23"/>
      <c r="F554" s="23"/>
      <c r="G554" s="24"/>
      <c r="H554" s="36"/>
    </row>
    <row r="555" spans="1:8" ht="12.75" customHeight="1">
      <c r="A555" s="22">
        <v>43455</v>
      </c>
      <c r="B555" s="22"/>
      <c r="C555" s="24">
        <f>ROUND(98.5156577433908,2)</f>
        <v>98.52</v>
      </c>
      <c r="D555" s="24">
        <f>F555</f>
        <v>98.82</v>
      </c>
      <c r="E555" s="24">
        <f>F555</f>
        <v>98.82</v>
      </c>
      <c r="F555" s="24">
        <f>ROUND(98.8222463494981,2)</f>
        <v>98.82</v>
      </c>
      <c r="G555" s="24"/>
      <c r="H555" s="36"/>
    </row>
    <row r="556" spans="1:8" ht="12.75" customHeight="1">
      <c r="A556" s="22" t="s">
        <v>103</v>
      </c>
      <c r="B556" s="22"/>
      <c r="C556" s="23"/>
      <c r="D556" s="23"/>
      <c r="E556" s="23"/>
      <c r="F556" s="23"/>
      <c r="G556" s="24"/>
      <c r="H556" s="36"/>
    </row>
    <row r="557" spans="1:8" ht="12.75" customHeight="1">
      <c r="A557" s="22">
        <v>43539</v>
      </c>
      <c r="B557" s="22"/>
      <c r="C557" s="26">
        <f>ROUND(98.5156577433908,5)</f>
        <v>98.51566</v>
      </c>
      <c r="D557" s="26">
        <f>F557</f>
        <v>99.17256</v>
      </c>
      <c r="E557" s="26">
        <f>F557</f>
        <v>99.17256</v>
      </c>
      <c r="F557" s="26">
        <f>ROUND(99.1725634797215,5)</f>
        <v>99.17256</v>
      </c>
      <c r="G557" s="24"/>
      <c r="H557" s="36"/>
    </row>
    <row r="558" spans="1:8" ht="12.75" customHeight="1">
      <c r="A558" s="22" t="s">
        <v>104</v>
      </c>
      <c r="B558" s="22"/>
      <c r="C558" s="23"/>
      <c r="D558" s="23"/>
      <c r="E558" s="23"/>
      <c r="F558" s="23"/>
      <c r="G558" s="24"/>
      <c r="H558" s="36"/>
    </row>
    <row r="559" spans="1:8" ht="12.75" customHeight="1">
      <c r="A559" s="22">
        <v>43637</v>
      </c>
      <c r="B559" s="22"/>
      <c r="C559" s="26">
        <f>ROUND(98.5156577433908,5)</f>
        <v>98.51566</v>
      </c>
      <c r="D559" s="26">
        <f>F559</f>
        <v>99.51004</v>
      </c>
      <c r="E559" s="26">
        <f>F559</f>
        <v>99.51004</v>
      </c>
      <c r="F559" s="26">
        <f>ROUND(99.5100385621318,5)</f>
        <v>99.51004</v>
      </c>
      <c r="G559" s="24"/>
      <c r="H559" s="36"/>
    </row>
    <row r="560" spans="1:8" ht="12.75" customHeight="1">
      <c r="A560" s="22" t="s">
        <v>105</v>
      </c>
      <c r="B560" s="22"/>
      <c r="C560" s="23"/>
      <c r="D560" s="23"/>
      <c r="E560" s="23"/>
      <c r="F560" s="23"/>
      <c r="G560" s="24"/>
      <c r="H560" s="36"/>
    </row>
    <row r="561" spans="1:8" ht="12.75" customHeight="1">
      <c r="A561" s="22">
        <v>43728</v>
      </c>
      <c r="B561" s="22"/>
      <c r="C561" s="26">
        <f>ROUND(98.5156577433908,5)</f>
        <v>98.51566</v>
      </c>
      <c r="D561" s="26">
        <f>F561</f>
        <v>99.87428</v>
      </c>
      <c r="E561" s="26">
        <f>F561</f>
        <v>99.87428</v>
      </c>
      <c r="F561" s="26">
        <f>ROUND(99.8742807907428,5)</f>
        <v>99.87428</v>
      </c>
      <c r="G561" s="24"/>
      <c r="H561" s="36"/>
    </row>
    <row r="562" spans="1:8" ht="12.75" customHeight="1">
      <c r="A562" s="22" t="s">
        <v>106</v>
      </c>
      <c r="B562" s="22"/>
      <c r="C562" s="23"/>
      <c r="D562" s="23"/>
      <c r="E562" s="23"/>
      <c r="F562" s="23"/>
      <c r="G562" s="24"/>
      <c r="H562" s="36"/>
    </row>
    <row r="563" spans="1:8" ht="12.75" customHeight="1">
      <c r="A563" s="22">
        <v>44182</v>
      </c>
      <c r="B563" s="22"/>
      <c r="C563" s="26">
        <f>ROUND(96.2740066383505,5)</f>
        <v>96.27401</v>
      </c>
      <c r="D563" s="26">
        <f>F563</f>
        <v>95.88953</v>
      </c>
      <c r="E563" s="26">
        <f>F563</f>
        <v>95.88953</v>
      </c>
      <c r="F563" s="26">
        <f>ROUND(95.8895273897495,5)</f>
        <v>95.88953</v>
      </c>
      <c r="G563" s="24"/>
      <c r="H563" s="36"/>
    </row>
    <row r="564" spans="1:8" ht="12.75" customHeight="1">
      <c r="A564" s="22" t="s">
        <v>107</v>
      </c>
      <c r="B564" s="22"/>
      <c r="C564" s="23"/>
      <c r="D564" s="23"/>
      <c r="E564" s="23"/>
      <c r="F564" s="23"/>
      <c r="G564" s="24"/>
      <c r="H564" s="36"/>
    </row>
    <row r="565" spans="1:8" ht="12.75" customHeight="1">
      <c r="A565" s="22">
        <v>44271</v>
      </c>
      <c r="B565" s="22"/>
      <c r="C565" s="26">
        <f>ROUND(96.2740066383505,5)</f>
        <v>96.27401</v>
      </c>
      <c r="D565" s="26">
        <f>F565</f>
        <v>95.07944</v>
      </c>
      <c r="E565" s="26">
        <f>F565</f>
        <v>95.07944</v>
      </c>
      <c r="F565" s="26">
        <f>ROUND(95.0794385134812,5)</f>
        <v>95.07944</v>
      </c>
      <c r="G565" s="24"/>
      <c r="H565" s="36"/>
    </row>
    <row r="566" spans="1:8" ht="12.75" customHeight="1">
      <c r="A566" s="22" t="s">
        <v>108</v>
      </c>
      <c r="B566" s="22"/>
      <c r="C566" s="23"/>
      <c r="D566" s="23"/>
      <c r="E566" s="23"/>
      <c r="F566" s="23"/>
      <c r="G566" s="24"/>
      <c r="H566" s="36"/>
    </row>
    <row r="567" spans="1:8" ht="12.75" customHeight="1">
      <c r="A567" s="22">
        <v>44362</v>
      </c>
      <c r="B567" s="22"/>
      <c r="C567" s="26">
        <f>ROUND(96.2740066383505,5)</f>
        <v>96.27401</v>
      </c>
      <c r="D567" s="26">
        <f>F567</f>
        <v>94.2364</v>
      </c>
      <c r="E567" s="26">
        <f>F567</f>
        <v>94.2364</v>
      </c>
      <c r="F567" s="26">
        <f>ROUND(94.2363975784889,5)</f>
        <v>94.2364</v>
      </c>
      <c r="G567" s="24"/>
      <c r="H567" s="36"/>
    </row>
    <row r="568" spans="1:8" ht="12.75" customHeight="1">
      <c r="A568" s="22" t="s">
        <v>109</v>
      </c>
      <c r="B568" s="22"/>
      <c r="C568" s="23"/>
      <c r="D568" s="23"/>
      <c r="E568" s="23"/>
      <c r="F568" s="23"/>
      <c r="G568" s="24"/>
      <c r="H568" s="36"/>
    </row>
    <row r="569" spans="1:8" ht="12.75" customHeight="1">
      <c r="A569" s="22">
        <v>44460</v>
      </c>
      <c r="B569" s="22"/>
      <c r="C569" s="26">
        <f>ROUND(96.2740066383505,5)</f>
        <v>96.27401</v>
      </c>
      <c r="D569" s="26">
        <f>F569</f>
        <v>94.36456</v>
      </c>
      <c r="E569" s="26">
        <f>F569</f>
        <v>94.36456</v>
      </c>
      <c r="F569" s="26">
        <f>ROUND(94.3645637657712,5)</f>
        <v>94.36456</v>
      </c>
      <c r="G569" s="24"/>
      <c r="H569" s="36"/>
    </row>
    <row r="570" spans="1:8" ht="12.75" customHeight="1">
      <c r="A570" s="22" t="s">
        <v>110</v>
      </c>
      <c r="B570" s="22"/>
      <c r="C570" s="23"/>
      <c r="D570" s="23"/>
      <c r="E570" s="23"/>
      <c r="F570" s="23"/>
      <c r="G570" s="24"/>
      <c r="H570" s="36"/>
    </row>
    <row r="571" spans="1:8" ht="12.75" customHeight="1">
      <c r="A571" s="22">
        <v>44551</v>
      </c>
      <c r="B571" s="22"/>
      <c r="C571" s="26">
        <f>ROUND(96.2740066383505,5)</f>
        <v>96.27401</v>
      </c>
      <c r="D571" s="26">
        <f>F571</f>
        <v>96.52474</v>
      </c>
      <c r="E571" s="26">
        <f>F571</f>
        <v>96.52474</v>
      </c>
      <c r="F571" s="26">
        <f>ROUND(96.524736780744,5)</f>
        <v>96.52474</v>
      </c>
      <c r="G571" s="24"/>
      <c r="H571" s="36"/>
    </row>
    <row r="572" spans="1:8" ht="12.75" customHeight="1">
      <c r="A572" s="22" t="s">
        <v>111</v>
      </c>
      <c r="B572" s="22"/>
      <c r="C572" s="23"/>
      <c r="D572" s="23"/>
      <c r="E572" s="23"/>
      <c r="F572" s="23"/>
      <c r="G572" s="24"/>
      <c r="H572" s="36"/>
    </row>
    <row r="573" spans="1:8" ht="12.75" customHeight="1">
      <c r="A573" s="22">
        <v>44635</v>
      </c>
      <c r="B573" s="22"/>
      <c r="C573" s="26">
        <f>ROUND(96.2740066383505,5)</f>
        <v>96.27401</v>
      </c>
      <c r="D573" s="26">
        <f>F573</f>
        <v>96.63559</v>
      </c>
      <c r="E573" s="26">
        <f>F573</f>
        <v>96.63559</v>
      </c>
      <c r="F573" s="26">
        <f>ROUND(96.6355890725947,5)</f>
        <v>96.63559</v>
      </c>
      <c r="G573" s="24"/>
      <c r="H573" s="36"/>
    </row>
    <row r="574" spans="1:8" ht="12.75" customHeight="1">
      <c r="A574" s="22" t="s">
        <v>112</v>
      </c>
      <c r="B574" s="22"/>
      <c r="C574" s="23"/>
      <c r="D574" s="23"/>
      <c r="E574" s="23"/>
      <c r="F574" s="23"/>
      <c r="G574" s="24"/>
      <c r="H574" s="36"/>
    </row>
    <row r="575" spans="1:8" ht="12.75" customHeight="1">
      <c r="A575" s="22">
        <v>44733</v>
      </c>
      <c r="B575" s="22"/>
      <c r="C575" s="26">
        <f>ROUND(96.2740066383505,5)</f>
        <v>96.27401</v>
      </c>
      <c r="D575" s="26">
        <f>F575</f>
        <v>97.79113</v>
      </c>
      <c r="E575" s="26">
        <f>F575</f>
        <v>97.79113</v>
      </c>
      <c r="F575" s="26">
        <f>ROUND(97.7911303229076,5)</f>
        <v>97.79113</v>
      </c>
      <c r="G575" s="24"/>
      <c r="H575" s="36"/>
    </row>
    <row r="576" spans="1:8" ht="12.75" customHeight="1">
      <c r="A576" s="22" t="s">
        <v>113</v>
      </c>
      <c r="B576" s="22"/>
      <c r="C576" s="23"/>
      <c r="D576" s="23"/>
      <c r="E576" s="23"/>
      <c r="F576" s="23"/>
      <c r="G576" s="24"/>
      <c r="H576" s="36"/>
    </row>
    <row r="577" spans="1:8" ht="12.75" customHeight="1">
      <c r="A577" s="22">
        <v>44824</v>
      </c>
      <c r="B577" s="22"/>
      <c r="C577" s="26">
        <f>ROUND(96.2740066383505,5)</f>
        <v>96.27401</v>
      </c>
      <c r="D577" s="26">
        <f>F577</f>
        <v>99.96786</v>
      </c>
      <c r="E577" s="26">
        <f>F577</f>
        <v>99.96786</v>
      </c>
      <c r="F577" s="26">
        <f>ROUND(99.9678585128599,5)</f>
        <v>99.96786</v>
      </c>
      <c r="G577" s="24"/>
      <c r="H577" s="36"/>
    </row>
    <row r="578" spans="1:8" ht="12.75" customHeight="1">
      <c r="A578" s="22" t="s">
        <v>114</v>
      </c>
      <c r="B578" s="22"/>
      <c r="C578" s="23"/>
      <c r="D578" s="23"/>
      <c r="E578" s="23"/>
      <c r="F578" s="23"/>
      <c r="G578" s="24"/>
      <c r="H578" s="36"/>
    </row>
    <row r="579" spans="1:8" ht="12.75" customHeight="1">
      <c r="A579" s="22">
        <v>46008</v>
      </c>
      <c r="B579" s="22"/>
      <c r="C579" s="26">
        <f>ROUND(95.9443128052738,5)</f>
        <v>95.94431</v>
      </c>
      <c r="D579" s="26">
        <f>F579</f>
        <v>94.35514</v>
      </c>
      <c r="E579" s="26">
        <f>F579</f>
        <v>94.35514</v>
      </c>
      <c r="F579" s="26">
        <f>ROUND(94.355136180405,5)</f>
        <v>94.35514</v>
      </c>
      <c r="G579" s="24"/>
      <c r="H579" s="36"/>
    </row>
    <row r="580" spans="1:8" ht="12.75" customHeight="1">
      <c r="A580" s="22" t="s">
        <v>115</v>
      </c>
      <c r="B580" s="22"/>
      <c r="C580" s="23"/>
      <c r="D580" s="23"/>
      <c r="E580" s="23"/>
      <c r="F580" s="23"/>
      <c r="G580" s="24"/>
      <c r="H580" s="36"/>
    </row>
    <row r="581" spans="1:8" ht="12.75" customHeight="1">
      <c r="A581" s="22">
        <v>46097</v>
      </c>
      <c r="B581" s="22"/>
      <c r="C581" s="26">
        <f>ROUND(95.9443128052738,5)</f>
        <v>95.94431</v>
      </c>
      <c r="D581" s="26">
        <f>F581</f>
        <v>91.34159</v>
      </c>
      <c r="E581" s="26">
        <f>F581</f>
        <v>91.34159</v>
      </c>
      <c r="F581" s="26">
        <f>ROUND(91.3415919592875,5)</f>
        <v>91.34159</v>
      </c>
      <c r="G581" s="24"/>
      <c r="H581" s="36"/>
    </row>
    <row r="582" spans="1:8" ht="12.75" customHeight="1">
      <c r="A582" s="22" t="s">
        <v>116</v>
      </c>
      <c r="B582" s="22"/>
      <c r="C582" s="23"/>
      <c r="D582" s="23"/>
      <c r="E582" s="23"/>
      <c r="F582" s="23"/>
      <c r="G582" s="24"/>
      <c r="H582" s="36"/>
    </row>
    <row r="583" spans="1:8" ht="12.75" customHeight="1">
      <c r="A583" s="22">
        <v>46188</v>
      </c>
      <c r="B583" s="22"/>
      <c r="C583" s="26">
        <f>ROUND(95.9443128052738,5)</f>
        <v>95.94431</v>
      </c>
      <c r="D583" s="26">
        <f>F583</f>
        <v>90.06401</v>
      </c>
      <c r="E583" s="26">
        <f>F583</f>
        <v>90.06401</v>
      </c>
      <c r="F583" s="26">
        <f>ROUND(90.0640083423319,5)</f>
        <v>90.06401</v>
      </c>
      <c r="G583" s="24"/>
      <c r="H583" s="36"/>
    </row>
    <row r="584" spans="1:8" ht="12.75" customHeight="1">
      <c r="A584" s="22" t="s">
        <v>117</v>
      </c>
      <c r="B584" s="22"/>
      <c r="C584" s="23"/>
      <c r="D584" s="23"/>
      <c r="E584" s="23"/>
      <c r="F584" s="23"/>
      <c r="G584" s="24"/>
      <c r="H584" s="36"/>
    </row>
    <row r="585" spans="1:8" ht="12.75" customHeight="1">
      <c r="A585" s="22">
        <v>46286</v>
      </c>
      <c r="B585" s="22"/>
      <c r="C585" s="26">
        <f>ROUND(95.9443128052738,5)</f>
        <v>95.94431</v>
      </c>
      <c r="D585" s="26">
        <f>F585</f>
        <v>92.20047</v>
      </c>
      <c r="E585" s="26">
        <f>F585</f>
        <v>92.20047</v>
      </c>
      <c r="F585" s="26">
        <f>ROUND(92.2004667811475,5)</f>
        <v>92.20047</v>
      </c>
      <c r="G585" s="24"/>
      <c r="H585" s="36"/>
    </row>
    <row r="586" spans="1:8" ht="12.75" customHeight="1">
      <c r="A586" s="22" t="s">
        <v>118</v>
      </c>
      <c r="B586" s="22"/>
      <c r="C586" s="23"/>
      <c r="D586" s="23"/>
      <c r="E586" s="23"/>
      <c r="F586" s="23"/>
      <c r="G586" s="24"/>
      <c r="H586" s="36"/>
    </row>
    <row r="587" spans="1:8" ht="12.75" customHeight="1">
      <c r="A587" s="22">
        <v>46377</v>
      </c>
      <c r="B587" s="22"/>
      <c r="C587" s="26">
        <f>ROUND(95.9443128052738,5)</f>
        <v>95.94431</v>
      </c>
      <c r="D587" s="26">
        <f>F587</f>
        <v>95.97841</v>
      </c>
      <c r="E587" s="26">
        <f>F587</f>
        <v>95.97841</v>
      </c>
      <c r="F587" s="26">
        <f>ROUND(95.9784108601486,5)</f>
        <v>95.97841</v>
      </c>
      <c r="G587" s="24"/>
      <c r="H587" s="36"/>
    </row>
    <row r="588" spans="1:8" ht="12.75" customHeight="1">
      <c r="A588" s="22" t="s">
        <v>119</v>
      </c>
      <c r="B588" s="22"/>
      <c r="C588" s="23"/>
      <c r="D588" s="23"/>
      <c r="E588" s="23"/>
      <c r="F588" s="23"/>
      <c r="G588" s="24"/>
      <c r="H588" s="36"/>
    </row>
    <row r="589" spans="1:8" ht="12.75" customHeight="1">
      <c r="A589" s="22">
        <v>46461</v>
      </c>
      <c r="B589" s="22"/>
      <c r="C589" s="26">
        <f>ROUND(95.9443128052738,5)</f>
        <v>95.94431</v>
      </c>
      <c r="D589" s="26">
        <f>F589</f>
        <v>94.54489</v>
      </c>
      <c r="E589" s="26">
        <f>F589</f>
        <v>94.54489</v>
      </c>
      <c r="F589" s="26">
        <f>ROUND(94.5448928056046,5)</f>
        <v>94.54489</v>
      </c>
      <c r="G589" s="24"/>
      <c r="H589" s="36"/>
    </row>
    <row r="590" spans="1:8" ht="12.75" customHeight="1">
      <c r="A590" s="22" t="s">
        <v>120</v>
      </c>
      <c r="B590" s="22"/>
      <c r="C590" s="23"/>
      <c r="D590" s="23"/>
      <c r="E590" s="23"/>
      <c r="F590" s="23"/>
      <c r="G590" s="24"/>
      <c r="H590" s="36"/>
    </row>
    <row r="591" spans="1:8" ht="12.75" customHeight="1">
      <c r="A591" s="22">
        <v>46559</v>
      </c>
      <c r="B591" s="22"/>
      <c r="C591" s="26">
        <f>ROUND(95.9443128052738,5)</f>
        <v>95.94431</v>
      </c>
      <c r="D591" s="26">
        <f>F591</f>
        <v>96.61811</v>
      </c>
      <c r="E591" s="26">
        <f>F591</f>
        <v>96.61811</v>
      </c>
      <c r="F591" s="26">
        <f>ROUND(96.6181149989584,5)</f>
        <v>96.61811</v>
      </c>
      <c r="G591" s="24"/>
      <c r="H591" s="36"/>
    </row>
    <row r="592" spans="1:8" ht="12.75" customHeight="1">
      <c r="A592" s="22" t="s">
        <v>121</v>
      </c>
      <c r="B592" s="22"/>
      <c r="C592" s="23"/>
      <c r="D592" s="23"/>
      <c r="E592" s="23"/>
      <c r="F592" s="23"/>
      <c r="G592" s="24"/>
      <c r="H592" s="36"/>
    </row>
    <row r="593" spans="1:8" ht="12.75" customHeight="1" thickBot="1">
      <c r="A593" s="32">
        <v>46650</v>
      </c>
      <c r="B593" s="32"/>
      <c r="C593" s="33">
        <f>ROUND(95.9443128052738,5)</f>
        <v>95.94431</v>
      </c>
      <c r="D593" s="33">
        <f>F593</f>
        <v>100.35807</v>
      </c>
      <c r="E593" s="33">
        <f>F593</f>
        <v>100.35807</v>
      </c>
      <c r="F593" s="33">
        <f>ROUND(100.358068767726,5)</f>
        <v>100.35807</v>
      </c>
      <c r="G593" s="34"/>
      <c r="H593" s="37"/>
    </row>
  </sheetData>
  <sheetProtection/>
  <mergeCells count="592">
    <mergeCell ref="A592:B592"/>
    <mergeCell ref="A593:B593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2018-01-18T16:01:21Z</dcterms:modified>
  <cp:category/>
  <cp:version/>
  <cp:contentType/>
  <cp:contentStatus/>
</cp:coreProperties>
</file>