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'Jerry'!$A$1:$H$591</definedName>
  </definedNames>
  <calcPr fullCalcOnLoad="1"/>
</workbook>
</file>

<file path=xl/sharedStrings.xml><?xml version="1.0" encoding="utf-8"?>
<sst xmlns="http://schemas.openxmlformats.org/spreadsheetml/2006/main" count="128" uniqueCount="124">
  <si>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</si>
  <si>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</si>
  <si>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</si>
  <si>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</si>
  <si>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</si>
  <si>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</si>
  <si>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</si>
  <si>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</si>
  <si>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</si>
  <si>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</si>
  <si>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</si>
  <si>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</si>
  <si>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</si>
  <si>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</si>
  <si>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</si>
  <si>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</si>
  <si>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</si>
  <si>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</si>
  <si>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</si>
  <si>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</si>
  <si>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</si>
  <si>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</si>
  <si>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</si>
  <si>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</si>
  <si>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</si>
  <si>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</si>
  <si>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</si>
  <si>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</si>
  <si>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</si>
  <si>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</si>
  <si>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</si>
  <si>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</si>
  <si>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</si>
  <si>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</si>
  <si>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</si>
  <si>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</si>
  <si>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</si>
  <si>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</si>
  <si>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</si>
  <si>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</si>
  <si>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</si>
  <si>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</si>
  <si>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</si>
  <si>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</si>
  <si>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</si>
  <si>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</si>
  <si>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</si>
  <si>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</si>
  <si>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</si>
  <si>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</si>
  <si>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</si>
  <si>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</si>
  <si>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</si>
  <si>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</si>
  <si>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</si>
  <si>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</si>
  <si>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</si>
  <si>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</si>
  <si>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</si>
  <si>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</si>
  <si>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</si>
  <si>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Barrier Up and In Call ZAUS  (CAHB)</t>
  </si>
  <si>
    <t>Barrier Up and In  Put ZAUS  (CAHC)</t>
  </si>
  <si>
    <t>Barrier Up and In Call ZAUS  (CAHE)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</si>
  <si>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</si>
  <si>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</si>
  <si>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</si>
  <si>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</si>
  <si>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</si>
  <si>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</si>
  <si>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</si>
  <si>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</si>
  <si>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</si>
  <si>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</si>
  <si>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</si>
  <si>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</si>
  <si>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</si>
  <si>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</si>
  <si>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</si>
  <si>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</si>
  <si>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</si>
  <si>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</si>
  <si>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</si>
  <si>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</si>
  <si>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</si>
  <si>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</si>
  <si>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</si>
  <si>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</si>
  <si>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</si>
  <si>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</si>
  <si>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</si>
  <si>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</si>
  <si>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</si>
  <si>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</si>
  <si>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</si>
  <si>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</si>
  <si>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</si>
  <si>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</si>
  <si>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7.5% Mar 2017-2018 (IS01)</t>
  </si>
  <si>
    <t>1Y Stnd 7.25% Jun 2017-2018 (IS01)</t>
  </si>
  <si>
    <t>1Y Stnd 7% Sep 2017-2018 (IS01)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</si>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</sst>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2" fontId="6" fillId="0" borderId="16" xfId="0" applyNumberFormat="1" applyFont="1" applyFill="1" applyBorder="1" applyAlignment="1" applyProtection="1">
      <alignment horizontal="center"/>
      <protection locked="0"/>
    </xf>
    <xf numFmtId="194" fontId="6" fillId="0" borderId="16" xfId="0" applyNumberFormat="1" applyFont="1" applyFill="1" applyBorder="1" applyAlignment="1" applyProtection="1">
      <alignment horizontal="center"/>
      <protection locked="0"/>
    </xf>
    <xf numFmtId="197" fontId="6" fillId="0" borderId="16" xfId="0" applyNumberFormat="1" applyFont="1" applyFill="1" applyBorder="1" applyAlignment="1" applyProtection="1">
      <alignment horizontal="center"/>
      <protection locked="0"/>
    </xf>
    <xf numFmtId="193" fontId="6" fillId="0" borderId="16" xfId="0" applyNumberFormat="1" applyFont="1" applyFill="1" applyBorder="1" applyAlignment="1" applyProtection="1">
      <alignment horizontal="center"/>
      <protection locked="0"/>
    </xf>
    <xf numFmtId="199" fontId="6" fillId="0" borderId="16" xfId="0" applyNumberFormat="1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197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16" xfId="0" applyNumberFormat="1" applyFont="1" applyFill="1" applyBorder="1" applyAlignment="1" applyProtection="1">
      <alignment horizontal="center"/>
      <protection locked="0"/>
    </xf>
    <xf numFmtId="201" fontId="6" fillId="0" borderId="18" xfId="0" applyNumberFormat="1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center"/>
      <protection locked="0"/>
    </xf>
    <xf numFmtId="0" fontId="6" fillId="0" borderId="23" xfId="0" applyFont="1" applyFill="1" applyBorder="1" applyAlignment="1" applyProtection="1">
      <alignment horizontal="center"/>
      <protection locked="0"/>
    </xf>
    <xf numFmtId="201" fontId="8" fillId="0" borderId="24" xfId="0" applyNumberFormat="1" applyFont="1" applyFill="1" applyBorder="1" applyAlignment="1" applyProtection="1">
      <alignment horizontal="center"/>
      <protection locked="0"/>
    </xf>
    <xf numFmtId="1" fontId="8" fillId="0" borderId="25" xfId="0" applyNumberFormat="1" applyFont="1" applyFill="1" applyBorder="1" applyAlignment="1" applyProtection="1">
      <alignment horizontal="center"/>
      <protection locked="0"/>
    </xf>
    <xf numFmtId="201" fontId="6" fillId="0" borderId="17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0"/>
  <sheetViews>
    <sheetView tabSelected="1" zoomScaleSheetLayoutView="75" zoomScalePageLayoutView="0" workbookViewId="0" topLeftCell="A241">
      <selection activeCell="F248" sqref="F248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35">
        <v>43161</v>
      </c>
      <c r="H1" s="35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36">
        <v>3</v>
      </c>
      <c r="H2" s="36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33" t="s">
        <v>2</v>
      </c>
      <c r="B4" s="34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37" t="s">
        <v>12</v>
      </c>
      <c r="B5" s="37"/>
      <c r="C5" s="24"/>
      <c r="D5" s="24"/>
      <c r="E5" s="24"/>
      <c r="F5" s="24"/>
      <c r="G5" s="25"/>
      <c r="H5" s="28"/>
    </row>
    <row r="6" spans="1:8" ht="12.75" customHeight="1">
      <c r="A6" s="31">
        <v>43174</v>
      </c>
      <c r="B6" s="31"/>
      <c r="C6" s="19">
        <f>ROUND(99.4475268903878,2)</f>
        <v>99.45</v>
      </c>
      <c r="D6" s="19">
        <f>F6</f>
        <v>99.72</v>
      </c>
      <c r="E6" s="19">
        <f>F6</f>
        <v>99.72</v>
      </c>
      <c r="F6" s="19">
        <f>ROUND(99.7244753057233,2)</f>
        <v>99.72</v>
      </c>
      <c r="G6" s="19"/>
      <c r="H6" s="29"/>
    </row>
    <row r="7" spans="1:8" ht="12.75" customHeight="1">
      <c r="A7" s="31">
        <v>43272</v>
      </c>
      <c r="B7" s="31"/>
      <c r="C7" s="19">
        <f>ROUND(99.4475268903878,2)</f>
        <v>99.45</v>
      </c>
      <c r="D7" s="19">
        <f>F7</f>
        <v>99.89</v>
      </c>
      <c r="E7" s="19">
        <f>F7</f>
        <v>99.89</v>
      </c>
      <c r="F7" s="19">
        <f>ROUND(99.8901291493608,2)</f>
        <v>99.89</v>
      </c>
      <c r="G7" s="19"/>
      <c r="H7" s="29"/>
    </row>
    <row r="8" spans="1:8" ht="12.75" customHeight="1">
      <c r="A8" s="31">
        <v>43363</v>
      </c>
      <c r="B8" s="31"/>
      <c r="C8" s="19">
        <f>ROUND(99.4475268903878,2)</f>
        <v>99.45</v>
      </c>
      <c r="D8" s="19">
        <f>F8</f>
        <v>100.02</v>
      </c>
      <c r="E8" s="19">
        <f>F8</f>
        <v>100.02</v>
      </c>
      <c r="F8" s="19">
        <f>ROUND(100.024300645537,2)</f>
        <v>100.02</v>
      </c>
      <c r="G8" s="19"/>
      <c r="H8" s="29"/>
    </row>
    <row r="9" spans="1:8" ht="12.75" customHeight="1">
      <c r="A9" s="31">
        <v>43454</v>
      </c>
      <c r="B9" s="31"/>
      <c r="C9" s="19">
        <f>ROUND(99.4475268903878,2)</f>
        <v>99.45</v>
      </c>
      <c r="D9" s="19">
        <f>F9</f>
        <v>100.45</v>
      </c>
      <c r="E9" s="19">
        <f>F9</f>
        <v>100.45</v>
      </c>
      <c r="F9" s="19">
        <f>ROUND(100.454121654367,2)</f>
        <v>100.45</v>
      </c>
      <c r="G9" s="19"/>
      <c r="H9" s="29"/>
    </row>
    <row r="10" spans="1:8" ht="12.75" customHeight="1">
      <c r="A10" s="31">
        <v>43546</v>
      </c>
      <c r="B10" s="31"/>
      <c r="C10" s="19">
        <f>ROUND(99.4475268903878,2)</f>
        <v>99.45</v>
      </c>
      <c r="D10" s="19">
        <f>F10</f>
        <v>99.45</v>
      </c>
      <c r="E10" s="19">
        <f>F10</f>
        <v>99.45</v>
      </c>
      <c r="F10" s="19">
        <f>ROUND(99.4475268903878,2)</f>
        <v>99.45</v>
      </c>
      <c r="G10" s="19"/>
      <c r="H10" s="29"/>
    </row>
    <row r="11" spans="1:8" ht="12.75" customHeight="1">
      <c r="A11" s="31" t="s">
        <v>13</v>
      </c>
      <c r="B11" s="31"/>
      <c r="C11" s="20"/>
      <c r="D11" s="20"/>
      <c r="E11" s="20"/>
      <c r="F11" s="20"/>
      <c r="G11" s="19"/>
      <c r="H11" s="29"/>
    </row>
    <row r="12" spans="1:8" ht="12.75" customHeight="1">
      <c r="A12" s="31">
        <v>43175</v>
      </c>
      <c r="B12" s="31"/>
      <c r="C12" s="19">
        <f aca="true" t="shared" si="0" ref="C12:C20">ROUND(98.4425689247282,2)</f>
        <v>98.44</v>
      </c>
      <c r="D12" s="19">
        <f aca="true" t="shared" si="1" ref="D12:D20">F12</f>
        <v>99.01</v>
      </c>
      <c r="E12" s="19">
        <f aca="true" t="shared" si="2" ref="E12:E20">F12</f>
        <v>99.01</v>
      </c>
      <c r="F12" s="19">
        <f>ROUND(99.0073239908607,2)</f>
        <v>99.01</v>
      </c>
      <c r="G12" s="19"/>
      <c r="H12" s="29"/>
    </row>
    <row r="13" spans="1:8" ht="12.75" customHeight="1">
      <c r="A13" s="31">
        <v>43266</v>
      </c>
      <c r="B13" s="31"/>
      <c r="C13" s="19">
        <f t="shared" si="0"/>
        <v>98.44</v>
      </c>
      <c r="D13" s="19">
        <f t="shared" si="1"/>
        <v>98.59</v>
      </c>
      <c r="E13" s="19">
        <f t="shared" si="2"/>
        <v>98.59</v>
      </c>
      <c r="F13" s="19">
        <f>ROUND(98.5876129539501,2)</f>
        <v>98.59</v>
      </c>
      <c r="G13" s="19"/>
      <c r="H13" s="29"/>
    </row>
    <row r="14" spans="1:8" ht="12.75" customHeight="1">
      <c r="A14" s="31">
        <v>43364</v>
      </c>
      <c r="B14" s="31"/>
      <c r="C14" s="19">
        <f t="shared" si="0"/>
        <v>98.44</v>
      </c>
      <c r="D14" s="19">
        <f t="shared" si="1"/>
        <v>98.49</v>
      </c>
      <c r="E14" s="19">
        <f t="shared" si="2"/>
        <v>98.49</v>
      </c>
      <c r="F14" s="19">
        <f>ROUND(98.4920664486576,2)</f>
        <v>98.49</v>
      </c>
      <c r="G14" s="19"/>
      <c r="H14" s="29"/>
    </row>
    <row r="15" spans="1:8" ht="12.75" customHeight="1">
      <c r="A15" s="31">
        <v>43455</v>
      </c>
      <c r="B15" s="31"/>
      <c r="C15" s="19">
        <f t="shared" si="0"/>
        <v>98.44</v>
      </c>
      <c r="D15" s="19">
        <f t="shared" si="1"/>
        <v>98.83</v>
      </c>
      <c r="E15" s="19">
        <f t="shared" si="2"/>
        <v>98.83</v>
      </c>
      <c r="F15" s="19">
        <f>ROUND(98.8322045283291,2)</f>
        <v>98.83</v>
      </c>
      <c r="G15" s="19"/>
      <c r="H15" s="29"/>
    </row>
    <row r="16" spans="1:8" ht="12.75" customHeight="1">
      <c r="A16" s="31">
        <v>43539</v>
      </c>
      <c r="B16" s="31"/>
      <c r="C16" s="19">
        <f t="shared" si="0"/>
        <v>98.44</v>
      </c>
      <c r="D16" s="19">
        <f t="shared" si="1"/>
        <v>99.2</v>
      </c>
      <c r="E16" s="19">
        <f t="shared" si="2"/>
        <v>99.2</v>
      </c>
      <c r="F16" s="19">
        <f>ROUND(99.2011513572309,2)</f>
        <v>99.2</v>
      </c>
      <c r="G16" s="19"/>
      <c r="H16" s="29"/>
    </row>
    <row r="17" spans="1:8" ht="12.75" customHeight="1">
      <c r="A17" s="31">
        <v>43637</v>
      </c>
      <c r="B17" s="31"/>
      <c r="C17" s="19">
        <f t="shared" si="0"/>
        <v>98.44</v>
      </c>
      <c r="D17" s="19">
        <f t="shared" si="1"/>
        <v>99.53</v>
      </c>
      <c r="E17" s="19">
        <f t="shared" si="2"/>
        <v>99.53</v>
      </c>
      <c r="F17" s="19">
        <f>ROUND(99.526992809924,2)</f>
        <v>99.53</v>
      </c>
      <c r="G17" s="19"/>
      <c r="H17" s="29"/>
    </row>
    <row r="18" spans="1:8" ht="12.75" customHeight="1">
      <c r="A18" s="31">
        <v>43728</v>
      </c>
      <c r="B18" s="31"/>
      <c r="C18" s="19">
        <f t="shared" si="0"/>
        <v>98.44</v>
      </c>
      <c r="D18" s="19">
        <f t="shared" si="1"/>
        <v>99.87</v>
      </c>
      <c r="E18" s="19">
        <f t="shared" si="2"/>
        <v>99.87</v>
      </c>
      <c r="F18" s="19">
        <f>ROUND(99.8700636317847,2)</f>
        <v>99.87</v>
      </c>
      <c r="G18" s="19"/>
      <c r="H18" s="29"/>
    </row>
    <row r="19" spans="1:8" ht="12.75" customHeight="1">
      <c r="A19" s="31">
        <v>43819</v>
      </c>
      <c r="B19" s="31"/>
      <c r="C19" s="19">
        <f t="shared" si="0"/>
        <v>98.44</v>
      </c>
      <c r="D19" s="19">
        <f t="shared" si="1"/>
        <v>100.76</v>
      </c>
      <c r="E19" s="19">
        <f t="shared" si="2"/>
        <v>100.76</v>
      </c>
      <c r="F19" s="19">
        <f>ROUND(100.758963188073,2)</f>
        <v>100.76</v>
      </c>
      <c r="G19" s="19"/>
      <c r="H19" s="29"/>
    </row>
    <row r="20" spans="1:8" ht="12.75" customHeight="1">
      <c r="A20" s="31">
        <v>43913</v>
      </c>
      <c r="B20" s="31"/>
      <c r="C20" s="19">
        <f t="shared" si="0"/>
        <v>98.44</v>
      </c>
      <c r="D20" s="19">
        <f t="shared" si="1"/>
        <v>98.44</v>
      </c>
      <c r="E20" s="19">
        <f t="shared" si="2"/>
        <v>98.44</v>
      </c>
      <c r="F20" s="19">
        <f>ROUND(98.4425689247282,2)</f>
        <v>98.44</v>
      </c>
      <c r="G20" s="19"/>
      <c r="H20" s="29"/>
    </row>
    <row r="21" spans="1:8" ht="12.75" customHeight="1">
      <c r="A21" s="31" t="s">
        <v>14</v>
      </c>
      <c r="B21" s="31"/>
      <c r="C21" s="20"/>
      <c r="D21" s="20"/>
      <c r="E21" s="20"/>
      <c r="F21" s="20"/>
      <c r="G21" s="19"/>
      <c r="H21" s="29"/>
    </row>
    <row r="22" spans="1:8" ht="12.75" customHeight="1">
      <c r="A22" s="31">
        <v>44182</v>
      </c>
      <c r="B22" s="31"/>
      <c r="C22" s="19">
        <f aca="true" t="shared" si="3" ref="C22:C31">ROUND(95.9643318480042,2)</f>
        <v>95.96</v>
      </c>
      <c r="D22" s="19">
        <f aca="true" t="shared" si="4" ref="D22:D31">F22</f>
        <v>95.8</v>
      </c>
      <c r="E22" s="19">
        <f aca="true" t="shared" si="5" ref="E22:E31">F22</f>
        <v>95.8</v>
      </c>
      <c r="F22" s="19">
        <f>ROUND(95.7982472180824,2)</f>
        <v>95.8</v>
      </c>
      <c r="G22" s="19"/>
      <c r="H22" s="29"/>
    </row>
    <row r="23" spans="1:8" ht="12.75" customHeight="1">
      <c r="A23" s="31">
        <v>44271</v>
      </c>
      <c r="B23" s="31"/>
      <c r="C23" s="19">
        <f t="shared" si="3"/>
        <v>95.96</v>
      </c>
      <c r="D23" s="19">
        <f t="shared" si="4"/>
        <v>94.98</v>
      </c>
      <c r="E23" s="19">
        <f t="shared" si="5"/>
        <v>94.98</v>
      </c>
      <c r="F23" s="19">
        <f>ROUND(94.9786673462634,2)</f>
        <v>94.98</v>
      </c>
      <c r="G23" s="19"/>
      <c r="H23" s="29"/>
    </row>
    <row r="24" spans="1:8" ht="12.75" customHeight="1">
      <c r="A24" s="31">
        <v>44362</v>
      </c>
      <c r="B24" s="31"/>
      <c r="C24" s="19">
        <f t="shared" si="3"/>
        <v>95.96</v>
      </c>
      <c r="D24" s="19">
        <f t="shared" si="4"/>
        <v>94.12</v>
      </c>
      <c r="E24" s="19">
        <f t="shared" si="5"/>
        <v>94.12</v>
      </c>
      <c r="F24" s="19">
        <f>ROUND(94.1203629152013,2)</f>
        <v>94.12</v>
      </c>
      <c r="G24" s="19"/>
      <c r="H24" s="29"/>
    </row>
    <row r="25" spans="1:8" ht="12.75" customHeight="1">
      <c r="A25" s="31">
        <v>44460</v>
      </c>
      <c r="B25" s="31"/>
      <c r="C25" s="19">
        <f t="shared" si="3"/>
        <v>95.96</v>
      </c>
      <c r="D25" s="19">
        <f t="shared" si="4"/>
        <v>94.23</v>
      </c>
      <c r="E25" s="19">
        <f t="shared" si="5"/>
        <v>94.23</v>
      </c>
      <c r="F25" s="19">
        <f>ROUND(94.2348670923118,2)</f>
        <v>94.23</v>
      </c>
      <c r="G25" s="19"/>
      <c r="H25" s="29"/>
    </row>
    <row r="26" spans="1:8" ht="12.75" customHeight="1">
      <c r="A26" s="31">
        <v>44551</v>
      </c>
      <c r="B26" s="31"/>
      <c r="C26" s="19">
        <f t="shared" si="3"/>
        <v>95.96</v>
      </c>
      <c r="D26" s="19">
        <f t="shared" si="4"/>
        <v>96.38</v>
      </c>
      <c r="E26" s="19">
        <f t="shared" si="5"/>
        <v>96.38</v>
      </c>
      <c r="F26" s="19">
        <f>ROUND(96.3760690108206,2)</f>
        <v>96.38</v>
      </c>
      <c r="G26" s="19"/>
      <c r="H26" s="29"/>
    </row>
    <row r="27" spans="1:8" ht="12.75" customHeight="1">
      <c r="A27" s="31">
        <v>44635</v>
      </c>
      <c r="B27" s="31"/>
      <c r="C27" s="19">
        <f t="shared" si="3"/>
        <v>95.96</v>
      </c>
      <c r="D27" s="19">
        <f t="shared" si="4"/>
        <v>96.46</v>
      </c>
      <c r="E27" s="19">
        <f t="shared" si="5"/>
        <v>96.46</v>
      </c>
      <c r="F27" s="19">
        <f>ROUND(96.4588124149899,2)</f>
        <v>96.46</v>
      </c>
      <c r="G27" s="19"/>
      <c r="H27" s="29"/>
    </row>
    <row r="28" spans="1:8" ht="12.75" customHeight="1">
      <c r="A28" s="31">
        <v>44733</v>
      </c>
      <c r="B28" s="31"/>
      <c r="C28" s="19">
        <f t="shared" si="3"/>
        <v>95.96</v>
      </c>
      <c r="D28" s="19">
        <f t="shared" si="4"/>
        <v>97.59</v>
      </c>
      <c r="E28" s="19">
        <f t="shared" si="5"/>
        <v>97.59</v>
      </c>
      <c r="F28" s="19">
        <f>ROUND(97.589637334619,2)</f>
        <v>97.59</v>
      </c>
      <c r="G28" s="19"/>
      <c r="H28" s="29"/>
    </row>
    <row r="29" spans="1:8" ht="12.75" customHeight="1">
      <c r="A29" s="31">
        <v>44824</v>
      </c>
      <c r="B29" s="31"/>
      <c r="C29" s="19">
        <f t="shared" si="3"/>
        <v>95.96</v>
      </c>
      <c r="D29" s="19">
        <f t="shared" si="4"/>
        <v>99.74</v>
      </c>
      <c r="E29" s="19">
        <f t="shared" si="5"/>
        <v>99.74</v>
      </c>
      <c r="F29" s="19">
        <f>ROUND(99.7367084547432,2)</f>
        <v>99.74</v>
      </c>
      <c r="G29" s="19"/>
      <c r="H29" s="29"/>
    </row>
    <row r="30" spans="1:8" ht="12.75" customHeight="1">
      <c r="A30" s="31">
        <v>44915</v>
      </c>
      <c r="B30" s="31"/>
      <c r="C30" s="19">
        <f t="shared" si="3"/>
        <v>95.96</v>
      </c>
      <c r="D30" s="19">
        <f t="shared" si="4"/>
        <v>100.93</v>
      </c>
      <c r="E30" s="19">
        <f t="shared" si="5"/>
        <v>100.93</v>
      </c>
      <c r="F30" s="19">
        <f>ROUND(100.93077145955,2)</f>
        <v>100.93</v>
      </c>
      <c r="G30" s="19"/>
      <c r="H30" s="29"/>
    </row>
    <row r="31" spans="1:8" ht="12.75" customHeight="1">
      <c r="A31" s="31">
        <v>45007</v>
      </c>
      <c r="B31" s="31"/>
      <c r="C31" s="19">
        <f t="shared" si="3"/>
        <v>95.96</v>
      </c>
      <c r="D31" s="19">
        <f t="shared" si="4"/>
        <v>95.96</v>
      </c>
      <c r="E31" s="19">
        <f t="shared" si="5"/>
        <v>95.96</v>
      </c>
      <c r="F31" s="19">
        <f>ROUND(95.9643318480042,2)</f>
        <v>95.96</v>
      </c>
      <c r="G31" s="19"/>
      <c r="H31" s="29"/>
    </row>
    <row r="32" spans="1:8" ht="12.75" customHeight="1">
      <c r="A32" s="31" t="s">
        <v>15</v>
      </c>
      <c r="B32" s="31"/>
      <c r="C32" s="20"/>
      <c r="D32" s="20"/>
      <c r="E32" s="20"/>
      <c r="F32" s="20"/>
      <c r="G32" s="19"/>
      <c r="H32" s="29"/>
    </row>
    <row r="33" spans="1:8" ht="12.75" customHeight="1">
      <c r="A33" s="31">
        <v>46008</v>
      </c>
      <c r="B33" s="31"/>
      <c r="C33" s="19">
        <f aca="true" t="shared" si="6" ref="C33:C42">ROUND(94.8523096371345,2)</f>
        <v>94.85</v>
      </c>
      <c r="D33" s="19">
        <f aca="true" t="shared" si="7" ref="D33:D42">F33</f>
        <v>93.6</v>
      </c>
      <c r="E33" s="19">
        <f aca="true" t="shared" si="8" ref="E33:E42">F33</f>
        <v>93.6</v>
      </c>
      <c r="F33" s="19">
        <f>ROUND(93.5997787875493,2)</f>
        <v>93.6</v>
      </c>
      <c r="G33" s="19"/>
      <c r="H33" s="29"/>
    </row>
    <row r="34" spans="1:8" ht="12.75" customHeight="1">
      <c r="A34" s="31">
        <v>46097</v>
      </c>
      <c r="B34" s="31"/>
      <c r="C34" s="19">
        <f t="shared" si="6"/>
        <v>94.85</v>
      </c>
      <c r="D34" s="19">
        <f t="shared" si="7"/>
        <v>90.54</v>
      </c>
      <c r="E34" s="19">
        <f t="shared" si="8"/>
        <v>90.54</v>
      </c>
      <c r="F34" s="19">
        <f>ROUND(90.5423066670402,2)</f>
        <v>90.54</v>
      </c>
      <c r="G34" s="19"/>
      <c r="H34" s="29"/>
    </row>
    <row r="35" spans="1:8" ht="12.75" customHeight="1">
      <c r="A35" s="31">
        <v>46188</v>
      </c>
      <c r="B35" s="31"/>
      <c r="C35" s="19">
        <f t="shared" si="6"/>
        <v>94.85</v>
      </c>
      <c r="D35" s="19">
        <f t="shared" si="7"/>
        <v>89.24</v>
      </c>
      <c r="E35" s="19">
        <f t="shared" si="8"/>
        <v>89.24</v>
      </c>
      <c r="F35" s="19">
        <f>ROUND(89.2387893373178,2)</f>
        <v>89.24</v>
      </c>
      <c r="G35" s="19"/>
      <c r="H35" s="29"/>
    </row>
    <row r="36" spans="1:8" ht="12.75" customHeight="1">
      <c r="A36" s="31">
        <v>46286</v>
      </c>
      <c r="B36" s="31"/>
      <c r="C36" s="19">
        <f t="shared" si="6"/>
        <v>94.85</v>
      </c>
      <c r="D36" s="19">
        <f t="shared" si="7"/>
        <v>91.37</v>
      </c>
      <c r="E36" s="19">
        <f t="shared" si="8"/>
        <v>91.37</v>
      </c>
      <c r="F36" s="19">
        <f>ROUND(91.3699272278362,2)</f>
        <v>91.37</v>
      </c>
      <c r="G36" s="19"/>
      <c r="H36" s="29"/>
    </row>
    <row r="37" spans="1:8" ht="12.75" customHeight="1">
      <c r="A37" s="31">
        <v>46377</v>
      </c>
      <c r="B37" s="31"/>
      <c r="C37" s="19">
        <f t="shared" si="6"/>
        <v>94.85</v>
      </c>
      <c r="D37" s="19">
        <f t="shared" si="7"/>
        <v>95.14</v>
      </c>
      <c r="E37" s="19">
        <f t="shared" si="8"/>
        <v>95.14</v>
      </c>
      <c r="F37" s="19">
        <f>ROUND(95.1401977226422,2)</f>
        <v>95.14</v>
      </c>
      <c r="G37" s="19"/>
      <c r="H37" s="29"/>
    </row>
    <row r="38" spans="1:8" ht="12.75" customHeight="1">
      <c r="A38" s="31">
        <v>46461</v>
      </c>
      <c r="B38" s="31"/>
      <c r="C38" s="19">
        <f t="shared" si="6"/>
        <v>94.85</v>
      </c>
      <c r="D38" s="19">
        <f t="shared" si="7"/>
        <v>93.66</v>
      </c>
      <c r="E38" s="19">
        <f t="shared" si="8"/>
        <v>93.66</v>
      </c>
      <c r="F38" s="19">
        <f>ROUND(93.6610401976306,2)</f>
        <v>93.66</v>
      </c>
      <c r="G38" s="19"/>
      <c r="H38" s="29"/>
    </row>
    <row r="39" spans="1:8" ht="12.75" customHeight="1">
      <c r="A39" s="31">
        <v>46559</v>
      </c>
      <c r="B39" s="31"/>
      <c r="C39" s="19">
        <f t="shared" si="6"/>
        <v>94.85</v>
      </c>
      <c r="D39" s="19">
        <f t="shared" si="7"/>
        <v>95.69</v>
      </c>
      <c r="E39" s="19">
        <f t="shared" si="8"/>
        <v>95.69</v>
      </c>
      <c r="F39" s="19">
        <f>ROUND(95.6898998281013,2)</f>
        <v>95.69</v>
      </c>
      <c r="G39" s="19"/>
      <c r="H39" s="29"/>
    </row>
    <row r="40" spans="1:8" ht="12.75" customHeight="1">
      <c r="A40" s="31">
        <v>46650</v>
      </c>
      <c r="B40" s="31"/>
      <c r="C40" s="19">
        <f t="shared" si="6"/>
        <v>94.85</v>
      </c>
      <c r="D40" s="19">
        <f t="shared" si="7"/>
        <v>99.39</v>
      </c>
      <c r="E40" s="19">
        <f t="shared" si="8"/>
        <v>99.39</v>
      </c>
      <c r="F40" s="19">
        <f>ROUND(99.3876076365978,2)</f>
        <v>99.39</v>
      </c>
      <c r="G40" s="19"/>
      <c r="H40" s="29"/>
    </row>
    <row r="41" spans="1:8" ht="12.75" customHeight="1">
      <c r="A41" s="31">
        <v>46741</v>
      </c>
      <c r="B41" s="31"/>
      <c r="C41" s="19">
        <f t="shared" si="6"/>
        <v>94.85</v>
      </c>
      <c r="D41" s="19">
        <f t="shared" si="7"/>
        <v>99.69</v>
      </c>
      <c r="E41" s="19">
        <f t="shared" si="8"/>
        <v>99.69</v>
      </c>
      <c r="F41" s="19">
        <f>ROUND(99.6930009265482,2)</f>
        <v>99.69</v>
      </c>
      <c r="G41" s="19"/>
      <c r="H41" s="29"/>
    </row>
    <row r="42" spans="1:8" ht="12.75" customHeight="1">
      <c r="A42" s="31">
        <v>46834</v>
      </c>
      <c r="B42" s="31"/>
      <c r="C42" s="19">
        <f t="shared" si="6"/>
        <v>94.85</v>
      </c>
      <c r="D42" s="19">
        <f t="shared" si="7"/>
        <v>94.85</v>
      </c>
      <c r="E42" s="19">
        <f t="shared" si="8"/>
        <v>94.85</v>
      </c>
      <c r="F42" s="19">
        <f>ROUND(94.8523096371345,2)</f>
        <v>94.85</v>
      </c>
      <c r="G42" s="19"/>
      <c r="H42" s="29"/>
    </row>
    <row r="43" spans="1:8" ht="12.75" customHeight="1">
      <c r="A43" s="31" t="s">
        <v>16</v>
      </c>
      <c r="B43" s="31"/>
      <c r="C43" s="20"/>
      <c r="D43" s="20"/>
      <c r="E43" s="20"/>
      <c r="F43" s="20"/>
      <c r="G43" s="19"/>
      <c r="H43" s="29"/>
    </row>
    <row r="44" spans="1:8" ht="12.75" customHeight="1">
      <c r="A44" s="31">
        <v>45688</v>
      </c>
      <c r="B44" s="31"/>
      <c r="C44" s="21">
        <f>ROUND(2.44,5)</f>
        <v>2.44</v>
      </c>
      <c r="D44" s="21">
        <f>F44</f>
        <v>2.44</v>
      </c>
      <c r="E44" s="21">
        <f>F44</f>
        <v>2.44</v>
      </c>
      <c r="F44" s="21">
        <f>ROUND(2.44,5)</f>
        <v>2.44</v>
      </c>
      <c r="G44" s="19"/>
      <c r="H44" s="29"/>
    </row>
    <row r="45" spans="1:8" ht="12.75" customHeight="1">
      <c r="A45" s="31" t="s">
        <v>17</v>
      </c>
      <c r="B45" s="31"/>
      <c r="C45" s="20"/>
      <c r="D45" s="20"/>
      <c r="E45" s="20"/>
      <c r="F45" s="20"/>
      <c r="G45" s="19"/>
      <c r="H45" s="29"/>
    </row>
    <row r="46" spans="1:8" ht="12.75" customHeight="1">
      <c r="A46" s="31">
        <v>50436</v>
      </c>
      <c r="B46" s="31"/>
      <c r="C46" s="21">
        <f>ROUND(2.81,5)</f>
        <v>2.81</v>
      </c>
      <c r="D46" s="21">
        <f>F46</f>
        <v>2.81</v>
      </c>
      <c r="E46" s="21">
        <f>F46</f>
        <v>2.81</v>
      </c>
      <c r="F46" s="21">
        <f>ROUND(2.81,5)</f>
        <v>2.81</v>
      </c>
      <c r="G46" s="19"/>
      <c r="H46" s="29"/>
    </row>
    <row r="47" spans="1:8" ht="12.75" customHeight="1">
      <c r="A47" s="31" t="s">
        <v>18</v>
      </c>
      <c r="B47" s="31"/>
      <c r="C47" s="18"/>
      <c r="D47" s="18"/>
      <c r="E47" s="18"/>
      <c r="F47" s="18"/>
      <c r="G47" s="19"/>
      <c r="H47" s="29"/>
    </row>
    <row r="48" spans="1:8" ht="12.75" customHeight="1">
      <c r="A48" s="31">
        <v>55153</v>
      </c>
      <c r="B48" s="31"/>
      <c r="C48" s="21">
        <f>ROUND(2.92,5)</f>
        <v>2.92</v>
      </c>
      <c r="D48" s="21">
        <f>F48</f>
        <v>2.92</v>
      </c>
      <c r="E48" s="21">
        <f>F48</f>
        <v>2.92</v>
      </c>
      <c r="F48" s="21">
        <f>ROUND(2.92,5)</f>
        <v>2.92</v>
      </c>
      <c r="G48" s="19"/>
      <c r="H48" s="29"/>
    </row>
    <row r="49" spans="1:8" ht="12.75" customHeight="1">
      <c r="A49" s="31" t="s">
        <v>19</v>
      </c>
      <c r="B49" s="31"/>
      <c r="C49" s="20"/>
      <c r="D49" s="20"/>
      <c r="E49" s="20"/>
      <c r="F49" s="20"/>
      <c r="G49" s="19"/>
      <c r="H49" s="29"/>
    </row>
    <row r="50" spans="1:8" ht="12.75" customHeight="1">
      <c r="A50" s="31">
        <v>46875</v>
      </c>
      <c r="B50" s="31"/>
      <c r="C50" s="21">
        <f>ROUND(3.27,5)</f>
        <v>3.27</v>
      </c>
      <c r="D50" s="21">
        <f>F50</f>
        <v>3.27</v>
      </c>
      <c r="E50" s="21">
        <f>F50</f>
        <v>3.27</v>
      </c>
      <c r="F50" s="21">
        <f>ROUND(3.27,5)</f>
        <v>3.27</v>
      </c>
      <c r="G50" s="19"/>
      <c r="H50" s="29"/>
    </row>
    <row r="51" spans="1:8" ht="12.75" customHeight="1">
      <c r="A51" s="31" t="s">
        <v>20</v>
      </c>
      <c r="B51" s="31"/>
      <c r="C51" s="20"/>
      <c r="D51" s="20"/>
      <c r="E51" s="20"/>
      <c r="F51" s="20"/>
      <c r="G51" s="19"/>
      <c r="H51" s="29"/>
    </row>
    <row r="52" spans="1:8" ht="12.75" customHeight="1">
      <c r="A52" s="31">
        <v>48837</v>
      </c>
      <c r="B52" s="31"/>
      <c r="C52" s="21">
        <f>ROUND(10.42,5)</f>
        <v>10.42</v>
      </c>
      <c r="D52" s="21">
        <f>F52</f>
        <v>10.42</v>
      </c>
      <c r="E52" s="21">
        <f>F52</f>
        <v>10.42</v>
      </c>
      <c r="F52" s="21">
        <f>ROUND(10.42,5)</f>
        <v>10.42</v>
      </c>
      <c r="G52" s="19"/>
      <c r="H52" s="29"/>
    </row>
    <row r="53" spans="1:8" ht="12.75" customHeight="1">
      <c r="A53" s="31" t="s">
        <v>21</v>
      </c>
      <c r="B53" s="31"/>
      <c r="C53" s="20"/>
      <c r="D53" s="20"/>
      <c r="E53" s="20"/>
      <c r="F53" s="20"/>
      <c r="G53" s="19"/>
      <c r="H53" s="29"/>
    </row>
    <row r="54" spans="1:8" ht="12.75" customHeight="1">
      <c r="A54" s="31">
        <v>44985</v>
      </c>
      <c r="B54" s="31"/>
      <c r="C54" s="21">
        <f>ROUND(7.52,5)</f>
        <v>7.52</v>
      </c>
      <c r="D54" s="21">
        <f>F54</f>
        <v>7.52</v>
      </c>
      <c r="E54" s="21">
        <f>F54</f>
        <v>7.52</v>
      </c>
      <c r="F54" s="21">
        <f>ROUND(7.52,5)</f>
        <v>7.52</v>
      </c>
      <c r="G54" s="19"/>
      <c r="H54" s="29"/>
    </row>
    <row r="55" spans="1:8" ht="12.75" customHeight="1">
      <c r="A55" s="31" t="s">
        <v>22</v>
      </c>
      <c r="B55" s="31"/>
      <c r="C55" s="20"/>
      <c r="D55" s="20"/>
      <c r="E55" s="20"/>
      <c r="F55" s="20"/>
      <c r="G55" s="19"/>
      <c r="H55" s="29"/>
    </row>
    <row r="56" spans="1:8" ht="12.75" customHeight="1">
      <c r="A56" s="31">
        <v>46377</v>
      </c>
      <c r="B56" s="31"/>
      <c r="C56" s="22">
        <f>ROUND(8.17,3)</f>
        <v>8.17</v>
      </c>
      <c r="D56" s="22">
        <f>F56</f>
        <v>8.17</v>
      </c>
      <c r="E56" s="22">
        <f>F56</f>
        <v>8.17</v>
      </c>
      <c r="F56" s="22">
        <f>ROUND(8.17,3)</f>
        <v>8.17</v>
      </c>
      <c r="G56" s="19"/>
      <c r="H56" s="29"/>
    </row>
    <row r="57" spans="1:8" ht="12.75" customHeight="1">
      <c r="A57" s="31" t="s">
        <v>23</v>
      </c>
      <c r="B57" s="31"/>
      <c r="C57" s="18"/>
      <c r="D57" s="18"/>
      <c r="E57" s="18"/>
      <c r="F57" s="18"/>
      <c r="G57" s="19"/>
      <c r="H57" s="29"/>
    </row>
    <row r="58" spans="1:8" ht="12.75" customHeight="1">
      <c r="A58" s="31">
        <v>45267</v>
      </c>
      <c r="B58" s="31"/>
      <c r="C58" s="22">
        <f>ROUND(2.15,3)</f>
        <v>2.15</v>
      </c>
      <c r="D58" s="22">
        <f>F58</f>
        <v>2.15</v>
      </c>
      <c r="E58" s="22">
        <f>F58</f>
        <v>2.15</v>
      </c>
      <c r="F58" s="22">
        <f>ROUND(2.15,3)</f>
        <v>2.15</v>
      </c>
      <c r="G58" s="19"/>
      <c r="H58" s="29"/>
    </row>
    <row r="59" spans="1:8" ht="12.75" customHeight="1">
      <c r="A59" s="31" t="s">
        <v>24</v>
      </c>
      <c r="B59" s="31"/>
      <c r="C59" s="20"/>
      <c r="D59" s="20"/>
      <c r="E59" s="20"/>
      <c r="F59" s="20"/>
      <c r="G59" s="19"/>
      <c r="H59" s="29"/>
    </row>
    <row r="60" spans="1:8" ht="12.75" customHeight="1">
      <c r="A60" s="31">
        <v>48920</v>
      </c>
      <c r="B60" s="31"/>
      <c r="C60" s="22">
        <f>ROUND(2.82,3)</f>
        <v>2.82</v>
      </c>
      <c r="D60" s="22">
        <f>F60</f>
        <v>2.82</v>
      </c>
      <c r="E60" s="22">
        <f>F60</f>
        <v>2.82</v>
      </c>
      <c r="F60" s="22">
        <f>ROUND(2.82,3)</f>
        <v>2.82</v>
      </c>
      <c r="G60" s="19"/>
      <c r="H60" s="29"/>
    </row>
    <row r="61" spans="1:8" ht="12.75" customHeight="1">
      <c r="A61" s="31" t="s">
        <v>25</v>
      </c>
      <c r="B61" s="31"/>
      <c r="C61" s="20"/>
      <c r="D61" s="20"/>
      <c r="E61" s="20"/>
      <c r="F61" s="20"/>
      <c r="G61" s="19"/>
      <c r="H61" s="29"/>
    </row>
    <row r="62" spans="1:8" ht="12.75" customHeight="1">
      <c r="A62" s="31">
        <v>43455</v>
      </c>
      <c r="B62" s="31"/>
      <c r="C62" s="22">
        <f>ROUND(6.52,3)</f>
        <v>6.52</v>
      </c>
      <c r="D62" s="22">
        <f>F62</f>
        <v>6.52</v>
      </c>
      <c r="E62" s="22">
        <f>F62</f>
        <v>6.52</v>
      </c>
      <c r="F62" s="22">
        <f>ROUND(6.52,3)</f>
        <v>6.52</v>
      </c>
      <c r="G62" s="19"/>
      <c r="H62" s="29"/>
    </row>
    <row r="63" spans="1:8" ht="12.75" customHeight="1">
      <c r="A63" s="31" t="s">
        <v>26</v>
      </c>
      <c r="B63" s="31"/>
      <c r="C63" s="20"/>
      <c r="D63" s="20"/>
      <c r="E63" s="20"/>
      <c r="F63" s="20"/>
      <c r="G63" s="19"/>
      <c r="H63" s="29"/>
    </row>
    <row r="64" spans="1:8" ht="12.75" customHeight="1">
      <c r="A64" s="31">
        <v>43845</v>
      </c>
      <c r="B64" s="31"/>
      <c r="C64" s="22">
        <f>ROUND(6.74,3)</f>
        <v>6.74</v>
      </c>
      <c r="D64" s="22">
        <f>F64</f>
        <v>6.74</v>
      </c>
      <c r="E64" s="22">
        <f>F64</f>
        <v>6.74</v>
      </c>
      <c r="F64" s="22">
        <f>ROUND(6.74,3)</f>
        <v>6.74</v>
      </c>
      <c r="G64" s="19"/>
      <c r="H64" s="29"/>
    </row>
    <row r="65" spans="1:8" ht="12.75" customHeight="1">
      <c r="A65" s="31" t="s">
        <v>27</v>
      </c>
      <c r="B65" s="31"/>
      <c r="C65" s="18"/>
      <c r="D65" s="18"/>
      <c r="E65" s="18"/>
      <c r="F65" s="18"/>
      <c r="G65" s="19"/>
      <c r="H65" s="29"/>
    </row>
    <row r="66" spans="1:8" ht="12.75" customHeight="1">
      <c r="A66" s="31">
        <v>44286</v>
      </c>
      <c r="B66" s="31"/>
      <c r="C66" s="22">
        <f>ROUND(7.07,3)</f>
        <v>7.07</v>
      </c>
      <c r="D66" s="22">
        <f>F66</f>
        <v>7.07</v>
      </c>
      <c r="E66" s="22">
        <f>F66</f>
        <v>7.07</v>
      </c>
      <c r="F66" s="22">
        <f>ROUND(7.07,3)</f>
        <v>7.07</v>
      </c>
      <c r="G66" s="19"/>
      <c r="H66" s="29"/>
    </row>
    <row r="67" spans="1:8" ht="12.75" customHeight="1">
      <c r="A67" s="31" t="s">
        <v>28</v>
      </c>
      <c r="B67" s="31"/>
      <c r="C67" s="20"/>
      <c r="D67" s="20"/>
      <c r="E67" s="20"/>
      <c r="F67" s="20"/>
      <c r="G67" s="19"/>
      <c r="H67" s="29"/>
    </row>
    <row r="68" spans="1:8" ht="12.75" customHeight="1">
      <c r="A68" s="31">
        <v>49765</v>
      </c>
      <c r="B68" s="31"/>
      <c r="C68" s="22">
        <f>ROUND(9.02,3)</f>
        <v>9.02</v>
      </c>
      <c r="D68" s="22">
        <f>F68</f>
        <v>9.02</v>
      </c>
      <c r="E68" s="22">
        <f>F68</f>
        <v>9.02</v>
      </c>
      <c r="F68" s="22">
        <f>ROUND(9.02,3)</f>
        <v>9.02</v>
      </c>
      <c r="G68" s="19"/>
      <c r="H68" s="29"/>
    </row>
    <row r="69" spans="1:8" ht="12.75" customHeight="1">
      <c r="A69" s="31" t="s">
        <v>29</v>
      </c>
      <c r="B69" s="31"/>
      <c r="C69" s="20"/>
      <c r="D69" s="20"/>
      <c r="E69" s="20"/>
      <c r="F69" s="20"/>
      <c r="G69" s="19"/>
      <c r="H69" s="29"/>
    </row>
    <row r="70" spans="1:8" ht="12.75" customHeight="1">
      <c r="A70" s="31">
        <v>46843</v>
      </c>
      <c r="B70" s="31"/>
      <c r="C70" s="22">
        <f>ROUND(2.55,3)</f>
        <v>2.55</v>
      </c>
      <c r="D70" s="22">
        <f>F70</f>
        <v>2.55</v>
      </c>
      <c r="E70" s="22">
        <f>F70</f>
        <v>2.55</v>
      </c>
      <c r="F70" s="22">
        <f>ROUND(2.55,3)</f>
        <v>2.55</v>
      </c>
      <c r="G70" s="19"/>
      <c r="H70" s="29"/>
    </row>
    <row r="71" spans="1:8" ht="12.75" customHeight="1">
      <c r="A71" s="31" t="s">
        <v>30</v>
      </c>
      <c r="B71" s="31"/>
      <c r="C71" s="18"/>
      <c r="D71" s="18"/>
      <c r="E71" s="18"/>
      <c r="F71" s="18"/>
      <c r="G71" s="19"/>
      <c r="H71" s="29"/>
    </row>
    <row r="72" spans="1:8" ht="12.75" customHeight="1">
      <c r="A72" s="31">
        <v>44592</v>
      </c>
      <c r="B72" s="31"/>
      <c r="C72" s="22">
        <f>ROUND(2,3)</f>
        <v>2</v>
      </c>
      <c r="D72" s="22">
        <f>F72</f>
        <v>2</v>
      </c>
      <c r="E72" s="22">
        <f>F72</f>
        <v>2</v>
      </c>
      <c r="F72" s="22">
        <f>ROUND(2,3)</f>
        <v>2</v>
      </c>
      <c r="G72" s="19"/>
      <c r="H72" s="29"/>
    </row>
    <row r="73" spans="1:8" ht="12.75" customHeight="1">
      <c r="A73" s="31" t="s">
        <v>31</v>
      </c>
      <c r="B73" s="31"/>
      <c r="C73" s="20"/>
      <c r="D73" s="20"/>
      <c r="E73" s="20"/>
      <c r="F73" s="20"/>
      <c r="G73" s="19"/>
      <c r="H73" s="29"/>
    </row>
    <row r="74" spans="1:8" ht="12.75" customHeight="1">
      <c r="A74" s="31">
        <v>47907</v>
      </c>
      <c r="B74" s="31"/>
      <c r="C74" s="22">
        <f>ROUND(8.725,3)</f>
        <v>8.725</v>
      </c>
      <c r="D74" s="22">
        <f>F74</f>
        <v>8.725</v>
      </c>
      <c r="E74" s="22">
        <f>F74</f>
        <v>8.725</v>
      </c>
      <c r="F74" s="22">
        <f>ROUND(8.725,3)</f>
        <v>8.725</v>
      </c>
      <c r="G74" s="19"/>
      <c r="H74" s="29"/>
    </row>
    <row r="75" spans="1:8" ht="12.75" customHeight="1">
      <c r="A75" s="31" t="s">
        <v>32</v>
      </c>
      <c r="B75" s="31"/>
      <c r="C75" s="20"/>
      <c r="D75" s="20"/>
      <c r="E75" s="20"/>
      <c r="F75" s="20"/>
      <c r="G75" s="19"/>
      <c r="H75" s="29"/>
    </row>
    <row r="76" spans="1:8" ht="12.75" customHeight="1">
      <c r="A76" s="31">
        <v>43223</v>
      </c>
      <c r="B76" s="31"/>
      <c r="C76" s="21">
        <f>ROUND(2.44,5)</f>
        <v>2.44</v>
      </c>
      <c r="D76" s="21">
        <f>F76</f>
        <v>132.51519</v>
      </c>
      <c r="E76" s="21">
        <f>F76</f>
        <v>132.51519</v>
      </c>
      <c r="F76" s="21">
        <f>ROUND(132.51519,5)</f>
        <v>132.51519</v>
      </c>
      <c r="G76" s="19"/>
      <c r="H76" s="29"/>
    </row>
    <row r="77" spans="1:8" ht="12.75" customHeight="1">
      <c r="A77" s="31">
        <v>43314</v>
      </c>
      <c r="B77" s="31"/>
      <c r="C77" s="21">
        <f>ROUND(2.44,5)</f>
        <v>2.44</v>
      </c>
      <c r="D77" s="21">
        <f>F77</f>
        <v>133.59308</v>
      </c>
      <c r="E77" s="21">
        <f>F77</f>
        <v>133.59308</v>
      </c>
      <c r="F77" s="21">
        <f>ROUND(133.59308,5)</f>
        <v>133.59308</v>
      </c>
      <c r="G77" s="19"/>
      <c r="H77" s="29"/>
    </row>
    <row r="78" spans="1:8" ht="12.75" customHeight="1">
      <c r="A78" s="31">
        <v>43405</v>
      </c>
      <c r="B78" s="31"/>
      <c r="C78" s="21">
        <f>ROUND(2.44,5)</f>
        <v>2.44</v>
      </c>
      <c r="D78" s="21">
        <f>F78</f>
        <v>136.12651</v>
      </c>
      <c r="E78" s="21">
        <f>F78</f>
        <v>136.12651</v>
      </c>
      <c r="F78" s="21">
        <f>ROUND(136.12651,5)</f>
        <v>136.12651</v>
      </c>
      <c r="G78" s="19"/>
      <c r="H78" s="29"/>
    </row>
    <row r="79" spans="1:8" ht="12.75" customHeight="1">
      <c r="A79" s="31">
        <v>43503</v>
      </c>
      <c r="B79" s="31"/>
      <c r="C79" s="21">
        <f>ROUND(2.44,5)</f>
        <v>2.44</v>
      </c>
      <c r="D79" s="21">
        <f>F79</f>
        <v>137.54446</v>
      </c>
      <c r="E79" s="21">
        <f>F79</f>
        <v>137.54446</v>
      </c>
      <c r="F79" s="21">
        <f>ROUND(137.54446,5)</f>
        <v>137.54446</v>
      </c>
      <c r="G79" s="19"/>
      <c r="H79" s="29"/>
    </row>
    <row r="80" spans="1:8" ht="12.75" customHeight="1">
      <c r="A80" s="31">
        <v>43587</v>
      </c>
      <c r="B80" s="31"/>
      <c r="C80" s="21">
        <f>ROUND(2.44,5)</f>
        <v>2.44</v>
      </c>
      <c r="D80" s="21">
        <f>F80</f>
        <v>139.8738</v>
      </c>
      <c r="E80" s="21">
        <f>F80</f>
        <v>139.8738</v>
      </c>
      <c r="F80" s="21">
        <f>ROUND(139.8738,5)</f>
        <v>139.8738</v>
      </c>
      <c r="G80" s="19"/>
      <c r="H80" s="29"/>
    </row>
    <row r="81" spans="1:8" ht="12.75" customHeight="1">
      <c r="A81" s="31" t="s">
        <v>33</v>
      </c>
      <c r="B81" s="31"/>
      <c r="C81" s="23"/>
      <c r="D81" s="23"/>
      <c r="E81" s="23"/>
      <c r="F81" s="23"/>
      <c r="G81" s="19"/>
      <c r="H81" s="29"/>
    </row>
    <row r="82" spans="1:8" ht="12.75" customHeight="1">
      <c r="A82" s="31">
        <v>43223</v>
      </c>
      <c r="B82" s="31"/>
      <c r="C82" s="21">
        <f>ROUND(99.89422,5)</f>
        <v>99.89422</v>
      </c>
      <c r="D82" s="21">
        <f>F82</f>
        <v>100.12488</v>
      </c>
      <c r="E82" s="21">
        <f>F82</f>
        <v>100.12488</v>
      </c>
      <c r="F82" s="21">
        <f>ROUND(100.12488,5)</f>
        <v>100.12488</v>
      </c>
      <c r="G82" s="19"/>
      <c r="H82" s="29"/>
    </row>
    <row r="83" spans="1:8" ht="12.75" customHeight="1">
      <c r="A83" s="31">
        <v>43314</v>
      </c>
      <c r="B83" s="31"/>
      <c r="C83" s="21">
        <f>ROUND(99.89422,5)</f>
        <v>99.89422</v>
      </c>
      <c r="D83" s="21">
        <f>F83</f>
        <v>101.98233</v>
      </c>
      <c r="E83" s="21">
        <f>F83</f>
        <v>101.98233</v>
      </c>
      <c r="F83" s="21">
        <f>ROUND(101.98233,5)</f>
        <v>101.98233</v>
      </c>
      <c r="G83" s="19"/>
      <c r="H83" s="29"/>
    </row>
    <row r="84" spans="1:8" ht="12.75" customHeight="1">
      <c r="A84" s="31">
        <v>43405</v>
      </c>
      <c r="B84" s="31"/>
      <c r="C84" s="21">
        <f>ROUND(99.89422,5)</f>
        <v>99.89422</v>
      </c>
      <c r="D84" s="21">
        <f>F84</f>
        <v>102.86974</v>
      </c>
      <c r="E84" s="21">
        <f>F84</f>
        <v>102.86974</v>
      </c>
      <c r="F84" s="21">
        <f>ROUND(102.86974,5)</f>
        <v>102.86974</v>
      </c>
      <c r="G84" s="19"/>
      <c r="H84" s="29"/>
    </row>
    <row r="85" spans="1:8" ht="12.75" customHeight="1">
      <c r="A85" s="31">
        <v>43503</v>
      </c>
      <c r="B85" s="31"/>
      <c r="C85" s="21">
        <f>ROUND(99.89422,5)</f>
        <v>99.89422</v>
      </c>
      <c r="D85" s="21">
        <f>F85</f>
        <v>105.00283</v>
      </c>
      <c r="E85" s="21">
        <f>F85</f>
        <v>105.00283</v>
      </c>
      <c r="F85" s="21">
        <f>ROUND(105.00283,5)</f>
        <v>105.00283</v>
      </c>
      <c r="G85" s="19"/>
      <c r="H85" s="29"/>
    </row>
    <row r="86" spans="1:8" ht="12.75" customHeight="1">
      <c r="A86" s="31">
        <v>43587</v>
      </c>
      <c r="B86" s="31"/>
      <c r="C86" s="21">
        <f>ROUND(99.89422,5)</f>
        <v>99.89422</v>
      </c>
      <c r="D86" s="21">
        <f>F86</f>
        <v>106.78182</v>
      </c>
      <c r="E86" s="21">
        <f>F86</f>
        <v>106.78182</v>
      </c>
      <c r="F86" s="21">
        <f>ROUND(106.78182,5)</f>
        <v>106.78182</v>
      </c>
      <c r="G86" s="19"/>
      <c r="H86" s="29"/>
    </row>
    <row r="87" spans="1:8" ht="12.75" customHeight="1">
      <c r="A87" s="31" t="s">
        <v>34</v>
      </c>
      <c r="B87" s="31"/>
      <c r="C87" s="20"/>
      <c r="D87" s="20"/>
      <c r="E87" s="20"/>
      <c r="F87" s="20"/>
      <c r="G87" s="19"/>
      <c r="H87" s="29"/>
    </row>
    <row r="88" spans="1:8" ht="12.75" customHeight="1">
      <c r="A88" s="31">
        <v>43223</v>
      </c>
      <c r="B88" s="31"/>
      <c r="C88" s="21">
        <f>ROUND(8.63,5)</f>
        <v>8.63</v>
      </c>
      <c r="D88" s="21">
        <f>F88</f>
        <v>8.65873</v>
      </c>
      <c r="E88" s="21">
        <f>F88</f>
        <v>8.65873</v>
      </c>
      <c r="F88" s="21">
        <f>ROUND(8.65873,5)</f>
        <v>8.65873</v>
      </c>
      <c r="G88" s="19"/>
      <c r="H88" s="29"/>
    </row>
    <row r="89" spans="1:8" ht="12.75" customHeight="1">
      <c r="A89" s="31">
        <v>43314</v>
      </c>
      <c r="B89" s="31"/>
      <c r="C89" s="21">
        <f>ROUND(8.63,5)</f>
        <v>8.63</v>
      </c>
      <c r="D89" s="21">
        <f>F89</f>
        <v>8.70076</v>
      </c>
      <c r="E89" s="21">
        <f>F89</f>
        <v>8.70076</v>
      </c>
      <c r="F89" s="21">
        <f>ROUND(8.70076,5)</f>
        <v>8.70076</v>
      </c>
      <c r="G89" s="19"/>
      <c r="H89" s="29"/>
    </row>
    <row r="90" spans="1:8" ht="12.75" customHeight="1">
      <c r="A90" s="31">
        <v>43405</v>
      </c>
      <c r="B90" s="31"/>
      <c r="C90" s="21">
        <f>ROUND(8.63,5)</f>
        <v>8.63</v>
      </c>
      <c r="D90" s="21">
        <f>F90</f>
        <v>8.73574</v>
      </c>
      <c r="E90" s="21">
        <f>F90</f>
        <v>8.73574</v>
      </c>
      <c r="F90" s="21">
        <f>ROUND(8.73574,5)</f>
        <v>8.73574</v>
      </c>
      <c r="G90" s="19"/>
      <c r="H90" s="29"/>
    </row>
    <row r="91" spans="1:8" ht="12.75" customHeight="1">
      <c r="A91" s="31">
        <v>43503</v>
      </c>
      <c r="B91" s="31"/>
      <c r="C91" s="21">
        <f>ROUND(8.63,5)</f>
        <v>8.63</v>
      </c>
      <c r="D91" s="21">
        <f>F91</f>
        <v>8.77447</v>
      </c>
      <c r="E91" s="21">
        <f>F91</f>
        <v>8.77447</v>
      </c>
      <c r="F91" s="21">
        <f>ROUND(8.77447,5)</f>
        <v>8.77447</v>
      </c>
      <c r="G91" s="19"/>
      <c r="H91" s="29"/>
    </row>
    <row r="92" spans="1:8" ht="12.75" customHeight="1">
      <c r="A92" s="31">
        <v>43587</v>
      </c>
      <c r="B92" s="31"/>
      <c r="C92" s="21">
        <f>ROUND(8.63,5)</f>
        <v>8.63</v>
      </c>
      <c r="D92" s="21">
        <f>F92</f>
        <v>8.81758</v>
      </c>
      <c r="E92" s="21">
        <f>F92</f>
        <v>8.81758</v>
      </c>
      <c r="F92" s="21">
        <f>ROUND(8.81758,5)</f>
        <v>8.81758</v>
      </c>
      <c r="G92" s="19"/>
      <c r="H92" s="29"/>
    </row>
    <row r="93" spans="1:8" ht="12.75" customHeight="1">
      <c r="A93" s="31" t="s">
        <v>35</v>
      </c>
      <c r="B93" s="31"/>
      <c r="C93" s="20"/>
      <c r="D93" s="20"/>
      <c r="E93" s="20"/>
      <c r="F93" s="20"/>
      <c r="G93" s="19"/>
      <c r="H93" s="29"/>
    </row>
    <row r="94" spans="1:8" ht="12.75" customHeight="1">
      <c r="A94" s="31">
        <v>43223</v>
      </c>
      <c r="B94" s="31"/>
      <c r="C94" s="21">
        <f>ROUND(8.84,5)</f>
        <v>8.84</v>
      </c>
      <c r="D94" s="21">
        <f>F94</f>
        <v>8.86934</v>
      </c>
      <c r="E94" s="21">
        <f>F94</f>
        <v>8.86934</v>
      </c>
      <c r="F94" s="21">
        <f>ROUND(8.86934,5)</f>
        <v>8.86934</v>
      </c>
      <c r="G94" s="19"/>
      <c r="H94" s="29"/>
    </row>
    <row r="95" spans="1:8" ht="12.75" customHeight="1">
      <c r="A95" s="31">
        <v>43314</v>
      </c>
      <c r="B95" s="31"/>
      <c r="C95" s="21">
        <f>ROUND(8.84,5)</f>
        <v>8.84</v>
      </c>
      <c r="D95" s="21">
        <f>F95</f>
        <v>8.91142</v>
      </c>
      <c r="E95" s="21">
        <f>F95</f>
        <v>8.91142</v>
      </c>
      <c r="F95" s="21">
        <f>ROUND(8.91142,5)</f>
        <v>8.91142</v>
      </c>
      <c r="G95" s="19"/>
      <c r="H95" s="29"/>
    </row>
    <row r="96" spans="1:8" ht="12.75" customHeight="1">
      <c r="A96" s="31">
        <v>43405</v>
      </c>
      <c r="B96" s="31"/>
      <c r="C96" s="21">
        <f>ROUND(8.84,5)</f>
        <v>8.84</v>
      </c>
      <c r="D96" s="21">
        <f>F96</f>
        <v>8.95262</v>
      </c>
      <c r="E96" s="21">
        <f>F96</f>
        <v>8.95262</v>
      </c>
      <c r="F96" s="21">
        <f>ROUND(8.95262,5)</f>
        <v>8.95262</v>
      </c>
      <c r="G96" s="19"/>
      <c r="H96" s="29"/>
    </row>
    <row r="97" spans="1:8" ht="12.75" customHeight="1">
      <c r="A97" s="31">
        <v>43503</v>
      </c>
      <c r="B97" s="31"/>
      <c r="C97" s="21">
        <f>ROUND(8.84,5)</f>
        <v>8.84</v>
      </c>
      <c r="D97" s="21">
        <f>F97</f>
        <v>8.99793</v>
      </c>
      <c r="E97" s="21">
        <f>F97</f>
        <v>8.99793</v>
      </c>
      <c r="F97" s="21">
        <f>ROUND(8.99793,5)</f>
        <v>8.99793</v>
      </c>
      <c r="G97" s="19"/>
      <c r="H97" s="29"/>
    </row>
    <row r="98" spans="1:8" ht="12.75" customHeight="1">
      <c r="A98" s="31">
        <v>43587</v>
      </c>
      <c r="B98" s="31"/>
      <c r="C98" s="21">
        <f>ROUND(8.84,5)</f>
        <v>8.84</v>
      </c>
      <c r="D98" s="21">
        <f>F98</f>
        <v>9.04208</v>
      </c>
      <c r="E98" s="21">
        <f>F98</f>
        <v>9.04208</v>
      </c>
      <c r="F98" s="21">
        <f>ROUND(9.04208,5)</f>
        <v>9.04208</v>
      </c>
      <c r="G98" s="19"/>
      <c r="H98" s="29"/>
    </row>
    <row r="99" spans="1:8" ht="12.75" customHeight="1">
      <c r="A99" s="31" t="s">
        <v>36</v>
      </c>
      <c r="B99" s="31"/>
      <c r="C99" s="20"/>
      <c r="D99" s="20"/>
      <c r="E99" s="20"/>
      <c r="F99" s="20"/>
      <c r="G99" s="19"/>
      <c r="H99" s="29"/>
    </row>
    <row r="100" spans="1:8" ht="12.75" customHeight="1">
      <c r="A100" s="31">
        <v>43223</v>
      </c>
      <c r="B100" s="31"/>
      <c r="C100" s="21">
        <f>ROUND(102.20842,5)</f>
        <v>102.20842</v>
      </c>
      <c r="D100" s="21">
        <f>F100</f>
        <v>103.48694</v>
      </c>
      <c r="E100" s="21">
        <f>F100</f>
        <v>103.48694</v>
      </c>
      <c r="F100" s="21">
        <f>ROUND(103.48694,5)</f>
        <v>103.48694</v>
      </c>
      <c r="G100" s="19"/>
      <c r="H100" s="29"/>
    </row>
    <row r="101" spans="1:8" ht="12.75" customHeight="1">
      <c r="A101" s="31">
        <v>43314</v>
      </c>
      <c r="B101" s="31"/>
      <c r="C101" s="21">
        <f>ROUND(102.20842,5)</f>
        <v>102.20842</v>
      </c>
      <c r="D101" s="21">
        <f>F101</f>
        <v>105.40667</v>
      </c>
      <c r="E101" s="21">
        <f>F101</f>
        <v>105.40667</v>
      </c>
      <c r="F101" s="21">
        <f>ROUND(105.40667,5)</f>
        <v>105.40667</v>
      </c>
      <c r="G101" s="19"/>
      <c r="H101" s="29"/>
    </row>
    <row r="102" spans="1:8" ht="12.75" customHeight="1">
      <c r="A102" s="31">
        <v>43405</v>
      </c>
      <c r="B102" s="31"/>
      <c r="C102" s="21">
        <f>ROUND(102.20842,5)</f>
        <v>102.20842</v>
      </c>
      <c r="D102" s="21">
        <f>F102</f>
        <v>106.28535</v>
      </c>
      <c r="E102" s="21">
        <f>F102</f>
        <v>106.28535</v>
      </c>
      <c r="F102" s="21">
        <f>ROUND(106.28535,5)</f>
        <v>106.28535</v>
      </c>
      <c r="G102" s="19"/>
      <c r="H102" s="29"/>
    </row>
    <row r="103" spans="1:8" ht="12.75" customHeight="1">
      <c r="A103" s="31">
        <v>43503</v>
      </c>
      <c r="B103" s="31"/>
      <c r="C103" s="21">
        <f>ROUND(102.20842,5)</f>
        <v>102.20842</v>
      </c>
      <c r="D103" s="21">
        <f>F103</f>
        <v>108.48929</v>
      </c>
      <c r="E103" s="21">
        <f>F103</f>
        <v>108.48929</v>
      </c>
      <c r="F103" s="21">
        <f>ROUND(108.48929,5)</f>
        <v>108.48929</v>
      </c>
      <c r="G103" s="19"/>
      <c r="H103" s="29"/>
    </row>
    <row r="104" spans="1:8" ht="12.75" customHeight="1">
      <c r="A104" s="31">
        <v>43587</v>
      </c>
      <c r="B104" s="31"/>
      <c r="C104" s="21">
        <f>ROUND(102.20842,5)</f>
        <v>102.20842</v>
      </c>
      <c r="D104" s="21">
        <f>F104</f>
        <v>110.28691</v>
      </c>
      <c r="E104" s="21">
        <f>F104</f>
        <v>110.28691</v>
      </c>
      <c r="F104" s="21">
        <f>ROUND(110.28691,5)</f>
        <v>110.28691</v>
      </c>
      <c r="G104" s="19"/>
      <c r="H104" s="29"/>
    </row>
    <row r="105" spans="1:8" ht="12.75" customHeight="1">
      <c r="A105" s="31" t="s">
        <v>37</v>
      </c>
      <c r="B105" s="31"/>
      <c r="C105" s="20"/>
      <c r="D105" s="20"/>
      <c r="E105" s="20"/>
      <c r="F105" s="20"/>
      <c r="G105" s="19"/>
      <c r="H105" s="29"/>
    </row>
    <row r="106" spans="1:8" ht="12.75" customHeight="1">
      <c r="A106" s="31">
        <v>43223</v>
      </c>
      <c r="B106" s="31"/>
      <c r="C106" s="21">
        <f>ROUND(9.115,5)</f>
        <v>9.115</v>
      </c>
      <c r="D106" s="21">
        <f>F106</f>
        <v>9.14763</v>
      </c>
      <c r="E106" s="21">
        <f>F106</f>
        <v>9.14763</v>
      </c>
      <c r="F106" s="21">
        <f>ROUND(9.14763,5)</f>
        <v>9.14763</v>
      </c>
      <c r="G106" s="19"/>
      <c r="H106" s="29"/>
    </row>
    <row r="107" spans="1:8" ht="12.75" customHeight="1">
      <c r="A107" s="31">
        <v>43314</v>
      </c>
      <c r="B107" s="31"/>
      <c r="C107" s="21">
        <f>ROUND(9.115,5)</f>
        <v>9.115</v>
      </c>
      <c r="D107" s="21">
        <f>F107</f>
        <v>9.19566</v>
      </c>
      <c r="E107" s="21">
        <f>F107</f>
        <v>9.19566</v>
      </c>
      <c r="F107" s="21">
        <f>ROUND(9.19566,5)</f>
        <v>9.19566</v>
      </c>
      <c r="G107" s="19"/>
      <c r="H107" s="29"/>
    </row>
    <row r="108" spans="1:8" ht="12.75" customHeight="1">
      <c r="A108" s="31">
        <v>43405</v>
      </c>
      <c r="B108" s="31"/>
      <c r="C108" s="21">
        <f>ROUND(9.115,5)</f>
        <v>9.115</v>
      </c>
      <c r="D108" s="21">
        <f>F108</f>
        <v>9.23751</v>
      </c>
      <c r="E108" s="21">
        <f>F108</f>
        <v>9.23751</v>
      </c>
      <c r="F108" s="21">
        <f>ROUND(9.23751,5)</f>
        <v>9.23751</v>
      </c>
      <c r="G108" s="19"/>
      <c r="H108" s="29"/>
    </row>
    <row r="109" spans="1:8" ht="12.75" customHeight="1">
      <c r="A109" s="31">
        <v>43503</v>
      </c>
      <c r="B109" s="31"/>
      <c r="C109" s="21">
        <f>ROUND(9.115,5)</f>
        <v>9.115</v>
      </c>
      <c r="D109" s="21">
        <f>F109</f>
        <v>9.28386</v>
      </c>
      <c r="E109" s="21">
        <f>F109</f>
        <v>9.28386</v>
      </c>
      <c r="F109" s="21">
        <f>ROUND(9.28386,5)</f>
        <v>9.28386</v>
      </c>
      <c r="G109" s="19"/>
      <c r="H109" s="29"/>
    </row>
    <row r="110" spans="1:8" ht="12.75" customHeight="1">
      <c r="A110" s="31">
        <v>43587</v>
      </c>
      <c r="B110" s="31"/>
      <c r="C110" s="21">
        <f>ROUND(9.115,5)</f>
        <v>9.115</v>
      </c>
      <c r="D110" s="21">
        <f>F110</f>
        <v>9.33156</v>
      </c>
      <c r="E110" s="21">
        <f>F110</f>
        <v>9.33156</v>
      </c>
      <c r="F110" s="21">
        <f>ROUND(9.33156,5)</f>
        <v>9.33156</v>
      </c>
      <c r="G110" s="19"/>
      <c r="H110" s="29"/>
    </row>
    <row r="111" spans="1:8" ht="12.75" customHeight="1">
      <c r="A111" s="31" t="s">
        <v>38</v>
      </c>
      <c r="B111" s="31"/>
      <c r="C111" s="20"/>
      <c r="D111" s="20"/>
      <c r="E111" s="20"/>
      <c r="F111" s="20"/>
      <c r="G111" s="19"/>
      <c r="H111" s="29"/>
    </row>
    <row r="112" spans="1:8" ht="12.75" customHeight="1">
      <c r="A112" s="31">
        <v>43223</v>
      </c>
      <c r="B112" s="31"/>
      <c r="C112" s="21">
        <f>ROUND(2.81,5)</f>
        <v>2.81</v>
      </c>
      <c r="D112" s="21">
        <f>F112</f>
        <v>124.77636</v>
      </c>
      <c r="E112" s="21">
        <f>F112</f>
        <v>124.77636</v>
      </c>
      <c r="F112" s="21">
        <f>ROUND(124.77636,5)</f>
        <v>124.77636</v>
      </c>
      <c r="G112" s="19"/>
      <c r="H112" s="29"/>
    </row>
    <row r="113" spans="1:8" ht="12.75" customHeight="1">
      <c r="A113" s="31">
        <v>43314</v>
      </c>
      <c r="B113" s="31"/>
      <c r="C113" s="21">
        <f>ROUND(2.81,5)</f>
        <v>2.81</v>
      </c>
      <c r="D113" s="21">
        <f>F113</f>
        <v>125.53799</v>
      </c>
      <c r="E113" s="21">
        <f>F113</f>
        <v>125.53799</v>
      </c>
      <c r="F113" s="21">
        <f>ROUND(125.53799,5)</f>
        <v>125.53799</v>
      </c>
      <c r="G113" s="19"/>
      <c r="H113" s="29"/>
    </row>
    <row r="114" spans="1:8" ht="12.75" customHeight="1">
      <c r="A114" s="31">
        <v>43405</v>
      </c>
      <c r="B114" s="31"/>
      <c r="C114" s="21">
        <f>ROUND(2.81,5)</f>
        <v>2.81</v>
      </c>
      <c r="D114" s="21">
        <f>F114</f>
        <v>127.9187</v>
      </c>
      <c r="E114" s="21">
        <f>F114</f>
        <v>127.9187</v>
      </c>
      <c r="F114" s="21">
        <f>ROUND(127.9187,5)</f>
        <v>127.9187</v>
      </c>
      <c r="G114" s="19"/>
      <c r="H114" s="29"/>
    </row>
    <row r="115" spans="1:8" ht="12.75" customHeight="1">
      <c r="A115" s="31">
        <v>43503</v>
      </c>
      <c r="B115" s="31"/>
      <c r="C115" s="21">
        <f>ROUND(2.81,5)</f>
        <v>2.81</v>
      </c>
      <c r="D115" s="21">
        <f>F115</f>
        <v>128.99083</v>
      </c>
      <c r="E115" s="21">
        <f>F115</f>
        <v>128.99083</v>
      </c>
      <c r="F115" s="21">
        <f>ROUND(128.99083,5)</f>
        <v>128.99083</v>
      </c>
      <c r="G115" s="19"/>
      <c r="H115" s="29"/>
    </row>
    <row r="116" spans="1:8" ht="12.75" customHeight="1">
      <c r="A116" s="31">
        <v>43587</v>
      </c>
      <c r="B116" s="31"/>
      <c r="C116" s="21">
        <f>ROUND(2.81,5)</f>
        <v>2.81</v>
      </c>
      <c r="D116" s="21">
        <f>F116</f>
        <v>131.17496</v>
      </c>
      <c r="E116" s="21">
        <f>F116</f>
        <v>131.17496</v>
      </c>
      <c r="F116" s="21">
        <f>ROUND(131.17496,5)</f>
        <v>131.17496</v>
      </c>
      <c r="G116" s="19"/>
      <c r="H116" s="29"/>
    </row>
    <row r="117" spans="1:8" ht="12.75" customHeight="1">
      <c r="A117" s="31" t="s">
        <v>39</v>
      </c>
      <c r="B117" s="31"/>
      <c r="C117" s="20"/>
      <c r="D117" s="20"/>
      <c r="E117" s="20"/>
      <c r="F117" s="20"/>
      <c r="G117" s="19"/>
      <c r="H117" s="29"/>
    </row>
    <row r="118" spans="1:8" ht="12.75" customHeight="1">
      <c r="A118" s="31">
        <v>43223</v>
      </c>
      <c r="B118" s="31"/>
      <c r="C118" s="21">
        <f>ROUND(9.165,5)</f>
        <v>9.165</v>
      </c>
      <c r="D118" s="21">
        <f>F118</f>
        <v>9.1973</v>
      </c>
      <c r="E118" s="21">
        <f>F118</f>
        <v>9.1973</v>
      </c>
      <c r="F118" s="21">
        <f>ROUND(9.1973,5)</f>
        <v>9.1973</v>
      </c>
      <c r="G118" s="19"/>
      <c r="H118" s="29"/>
    </row>
    <row r="119" spans="1:8" ht="12.75" customHeight="1">
      <c r="A119" s="31">
        <v>43314</v>
      </c>
      <c r="B119" s="31"/>
      <c r="C119" s="21">
        <f>ROUND(9.165,5)</f>
        <v>9.165</v>
      </c>
      <c r="D119" s="21">
        <f>F119</f>
        <v>9.24482</v>
      </c>
      <c r="E119" s="21">
        <f>F119</f>
        <v>9.24482</v>
      </c>
      <c r="F119" s="21">
        <f>ROUND(9.24482,5)</f>
        <v>9.24482</v>
      </c>
      <c r="G119" s="19"/>
      <c r="H119" s="29"/>
    </row>
    <row r="120" spans="1:8" ht="12.75" customHeight="1">
      <c r="A120" s="31">
        <v>43405</v>
      </c>
      <c r="B120" s="31"/>
      <c r="C120" s="21">
        <f>ROUND(9.165,5)</f>
        <v>9.165</v>
      </c>
      <c r="D120" s="21">
        <f>F120</f>
        <v>9.28628</v>
      </c>
      <c r="E120" s="21">
        <f>F120</f>
        <v>9.28628</v>
      </c>
      <c r="F120" s="21">
        <f>ROUND(9.28628,5)</f>
        <v>9.28628</v>
      </c>
      <c r="G120" s="19"/>
      <c r="H120" s="29"/>
    </row>
    <row r="121" spans="1:8" ht="12.75" customHeight="1">
      <c r="A121" s="31">
        <v>43503</v>
      </c>
      <c r="B121" s="31"/>
      <c r="C121" s="21">
        <f>ROUND(9.165,5)</f>
        <v>9.165</v>
      </c>
      <c r="D121" s="21">
        <f>F121</f>
        <v>9.33216</v>
      </c>
      <c r="E121" s="21">
        <f>F121</f>
        <v>9.33216</v>
      </c>
      <c r="F121" s="21">
        <f>ROUND(9.33216,5)</f>
        <v>9.33216</v>
      </c>
      <c r="G121" s="19"/>
      <c r="H121" s="29"/>
    </row>
    <row r="122" spans="1:8" ht="12.75" customHeight="1">
      <c r="A122" s="31">
        <v>43587</v>
      </c>
      <c r="B122" s="31"/>
      <c r="C122" s="21">
        <f>ROUND(9.165,5)</f>
        <v>9.165</v>
      </c>
      <c r="D122" s="21">
        <f>F122</f>
        <v>9.37906</v>
      </c>
      <c r="E122" s="21">
        <f>F122</f>
        <v>9.37906</v>
      </c>
      <c r="F122" s="21">
        <f>ROUND(9.37906,5)</f>
        <v>9.37906</v>
      </c>
      <c r="G122" s="19"/>
      <c r="H122" s="29"/>
    </row>
    <row r="123" spans="1:8" ht="12.75" customHeight="1">
      <c r="A123" s="31" t="s">
        <v>40</v>
      </c>
      <c r="B123" s="31"/>
      <c r="C123" s="18"/>
      <c r="D123" s="18"/>
      <c r="E123" s="18"/>
      <c r="F123" s="18"/>
      <c r="G123" s="19"/>
      <c r="H123" s="29"/>
    </row>
    <row r="124" spans="1:8" ht="12.75" customHeight="1">
      <c r="A124" s="31">
        <v>43223</v>
      </c>
      <c r="B124" s="31"/>
      <c r="C124" s="21">
        <f>ROUND(9.21,5)</f>
        <v>9.21</v>
      </c>
      <c r="D124" s="21">
        <f>F124</f>
        <v>9.2415</v>
      </c>
      <c r="E124" s="21">
        <f>F124</f>
        <v>9.2415</v>
      </c>
      <c r="F124" s="21">
        <f>ROUND(9.2415,5)</f>
        <v>9.2415</v>
      </c>
      <c r="G124" s="19"/>
      <c r="H124" s="29"/>
    </row>
    <row r="125" spans="1:8" ht="12.75" customHeight="1">
      <c r="A125" s="31">
        <v>43314</v>
      </c>
      <c r="B125" s="31"/>
      <c r="C125" s="21">
        <f>ROUND(9.21,5)</f>
        <v>9.21</v>
      </c>
      <c r="D125" s="21">
        <f>F125</f>
        <v>9.28781</v>
      </c>
      <c r="E125" s="21">
        <f>F125</f>
        <v>9.28781</v>
      </c>
      <c r="F125" s="21">
        <f>ROUND(9.28781,5)</f>
        <v>9.28781</v>
      </c>
      <c r="G125" s="19"/>
      <c r="H125" s="29"/>
    </row>
    <row r="126" spans="1:8" ht="12.75" customHeight="1">
      <c r="A126" s="31">
        <v>43405</v>
      </c>
      <c r="B126" s="31"/>
      <c r="C126" s="21">
        <f>ROUND(9.21,5)</f>
        <v>9.21</v>
      </c>
      <c r="D126" s="21">
        <f>F126</f>
        <v>9.32825</v>
      </c>
      <c r="E126" s="21">
        <f>F126</f>
        <v>9.32825</v>
      </c>
      <c r="F126" s="21">
        <f>ROUND(9.32825,5)</f>
        <v>9.32825</v>
      </c>
      <c r="G126" s="19"/>
      <c r="H126" s="29"/>
    </row>
    <row r="127" spans="1:8" ht="12.75" customHeight="1">
      <c r="A127" s="31">
        <v>43503</v>
      </c>
      <c r="B127" s="31"/>
      <c r="C127" s="21">
        <f>ROUND(9.21,5)</f>
        <v>9.21</v>
      </c>
      <c r="D127" s="21">
        <f>F127</f>
        <v>9.37293</v>
      </c>
      <c r="E127" s="21">
        <f>F127</f>
        <v>9.37293</v>
      </c>
      <c r="F127" s="21">
        <f>ROUND(9.37293,5)</f>
        <v>9.37293</v>
      </c>
      <c r="G127" s="19"/>
      <c r="H127" s="29"/>
    </row>
    <row r="128" spans="1:8" ht="12.75" customHeight="1">
      <c r="A128" s="31">
        <v>43587</v>
      </c>
      <c r="B128" s="31"/>
      <c r="C128" s="21">
        <f>ROUND(9.21,5)</f>
        <v>9.21</v>
      </c>
      <c r="D128" s="21">
        <f>F128</f>
        <v>9.41834</v>
      </c>
      <c r="E128" s="21">
        <f>F128</f>
        <v>9.41834</v>
      </c>
      <c r="F128" s="21">
        <f>ROUND(9.41834,5)</f>
        <v>9.41834</v>
      </c>
      <c r="G128" s="19"/>
      <c r="H128" s="29"/>
    </row>
    <row r="129" spans="1:8" ht="12.75" customHeight="1">
      <c r="A129" s="31" t="s">
        <v>41</v>
      </c>
      <c r="B129" s="31"/>
      <c r="C129" s="18"/>
      <c r="D129" s="18"/>
      <c r="E129" s="18"/>
      <c r="F129" s="18"/>
      <c r="G129" s="19"/>
      <c r="H129" s="29"/>
    </row>
    <row r="130" spans="1:8" ht="12.75" customHeight="1">
      <c r="A130" s="31">
        <v>43223</v>
      </c>
      <c r="B130" s="31"/>
      <c r="C130" s="21">
        <f>ROUND(117.40626,5)</f>
        <v>117.40626</v>
      </c>
      <c r="D130" s="21">
        <f>F130</f>
        <v>117.27395</v>
      </c>
      <c r="E130" s="21">
        <f>F130</f>
        <v>117.27395</v>
      </c>
      <c r="F130" s="21">
        <f>ROUND(117.27395,5)</f>
        <v>117.27395</v>
      </c>
      <c r="G130" s="19"/>
      <c r="H130" s="29"/>
    </row>
    <row r="131" spans="1:8" ht="12.75" customHeight="1">
      <c r="A131" s="31">
        <v>43314</v>
      </c>
      <c r="B131" s="31"/>
      <c r="C131" s="21">
        <f>ROUND(117.40626,5)</f>
        <v>117.40626</v>
      </c>
      <c r="D131" s="21">
        <f>F131</f>
        <v>119.44953</v>
      </c>
      <c r="E131" s="21">
        <f>F131</f>
        <v>119.44953</v>
      </c>
      <c r="F131" s="21">
        <f>ROUND(119.44953,5)</f>
        <v>119.44953</v>
      </c>
      <c r="G131" s="19"/>
      <c r="H131" s="29"/>
    </row>
    <row r="132" spans="1:8" ht="12.75" customHeight="1">
      <c r="A132" s="31">
        <v>43405</v>
      </c>
      <c r="B132" s="31"/>
      <c r="C132" s="21">
        <f>ROUND(117.40626,5)</f>
        <v>117.40626</v>
      </c>
      <c r="D132" s="21">
        <f>F132</f>
        <v>120.07031</v>
      </c>
      <c r="E132" s="21">
        <f>F132</f>
        <v>120.07031</v>
      </c>
      <c r="F132" s="21">
        <f>ROUND(120.07031,5)</f>
        <v>120.07031</v>
      </c>
      <c r="G132" s="19"/>
      <c r="H132" s="29"/>
    </row>
    <row r="133" spans="1:8" ht="12.75" customHeight="1">
      <c r="A133" s="31">
        <v>43503</v>
      </c>
      <c r="B133" s="31"/>
      <c r="C133" s="21">
        <f>ROUND(117.40626,5)</f>
        <v>117.40626</v>
      </c>
      <c r="D133" s="21">
        <f>F133</f>
        <v>122.5599</v>
      </c>
      <c r="E133" s="21">
        <f>F133</f>
        <v>122.5599</v>
      </c>
      <c r="F133" s="21">
        <f>ROUND(122.5599,5)</f>
        <v>122.5599</v>
      </c>
      <c r="G133" s="19"/>
      <c r="H133" s="29"/>
    </row>
    <row r="134" spans="1:8" ht="12.75" customHeight="1">
      <c r="A134" s="31">
        <v>43587</v>
      </c>
      <c r="B134" s="31"/>
      <c r="C134" s="21">
        <f>ROUND(117.40626,5)</f>
        <v>117.40626</v>
      </c>
      <c r="D134" s="21">
        <f>F134</f>
        <v>124.63609</v>
      </c>
      <c r="E134" s="21">
        <f>F134</f>
        <v>124.63609</v>
      </c>
      <c r="F134" s="21">
        <f>ROUND(124.63609,5)</f>
        <v>124.63609</v>
      </c>
      <c r="G134" s="19"/>
      <c r="H134" s="29"/>
    </row>
    <row r="135" spans="1:8" ht="12.75" customHeight="1">
      <c r="A135" s="31" t="s">
        <v>42</v>
      </c>
      <c r="B135" s="31"/>
      <c r="C135" s="18"/>
      <c r="D135" s="18"/>
      <c r="E135" s="18"/>
      <c r="F135" s="18"/>
      <c r="G135" s="19"/>
      <c r="H135" s="29"/>
    </row>
    <row r="136" spans="1:8" ht="12.75" customHeight="1">
      <c r="A136" s="31">
        <v>43223</v>
      </c>
      <c r="B136" s="31"/>
      <c r="C136" s="21">
        <f>ROUND(2.92,5)</f>
        <v>2.92</v>
      </c>
      <c r="D136" s="21">
        <f>F136</f>
        <v>124.52795</v>
      </c>
      <c r="E136" s="21">
        <f>F136</f>
        <v>124.52795</v>
      </c>
      <c r="F136" s="21">
        <f>ROUND(124.52795,5)</f>
        <v>124.52795</v>
      </c>
      <c r="G136" s="19"/>
      <c r="H136" s="29"/>
    </row>
    <row r="137" spans="1:8" ht="12.75" customHeight="1">
      <c r="A137" s="31">
        <v>43314</v>
      </c>
      <c r="B137" s="31"/>
      <c r="C137" s="21">
        <f>ROUND(2.92,5)</f>
        <v>2.92</v>
      </c>
      <c r="D137" s="21">
        <f>F137</f>
        <v>125.10528</v>
      </c>
      <c r="E137" s="21">
        <f>F137</f>
        <v>125.10528</v>
      </c>
      <c r="F137" s="21">
        <f>ROUND(125.10528,5)</f>
        <v>125.10528</v>
      </c>
      <c r="G137" s="19"/>
      <c r="H137" s="29"/>
    </row>
    <row r="138" spans="1:8" ht="12.75" customHeight="1">
      <c r="A138" s="31">
        <v>43405</v>
      </c>
      <c r="B138" s="31"/>
      <c r="C138" s="21">
        <f>ROUND(2.92,5)</f>
        <v>2.92</v>
      </c>
      <c r="D138" s="21">
        <f>F138</f>
        <v>127.47779</v>
      </c>
      <c r="E138" s="21">
        <f>F138</f>
        <v>127.47779</v>
      </c>
      <c r="F138" s="21">
        <f>ROUND(127.47779,5)</f>
        <v>127.47779</v>
      </c>
      <c r="G138" s="19"/>
      <c r="H138" s="29"/>
    </row>
    <row r="139" spans="1:8" ht="12.75" customHeight="1">
      <c r="A139" s="31">
        <v>43503</v>
      </c>
      <c r="B139" s="31"/>
      <c r="C139" s="21">
        <f>ROUND(2.92,5)</f>
        <v>2.92</v>
      </c>
      <c r="D139" s="21">
        <f>F139</f>
        <v>128.36043</v>
      </c>
      <c r="E139" s="21">
        <f>F139</f>
        <v>128.36043</v>
      </c>
      <c r="F139" s="21">
        <f>ROUND(128.36043,5)</f>
        <v>128.36043</v>
      </c>
      <c r="G139" s="19"/>
      <c r="H139" s="29"/>
    </row>
    <row r="140" spans="1:8" ht="12.75" customHeight="1">
      <c r="A140" s="31">
        <v>43587</v>
      </c>
      <c r="B140" s="31"/>
      <c r="C140" s="21">
        <f>ROUND(2.92,5)</f>
        <v>2.92</v>
      </c>
      <c r="D140" s="21">
        <f>F140</f>
        <v>130.5339</v>
      </c>
      <c r="E140" s="21">
        <f>F140</f>
        <v>130.5339</v>
      </c>
      <c r="F140" s="21">
        <f>ROUND(130.5339,5)</f>
        <v>130.5339</v>
      </c>
      <c r="G140" s="19"/>
      <c r="H140" s="29"/>
    </row>
    <row r="141" spans="1:8" ht="12.75" customHeight="1">
      <c r="A141" s="31" t="s">
        <v>43</v>
      </c>
      <c r="B141" s="31"/>
      <c r="C141" s="18"/>
      <c r="D141" s="18"/>
      <c r="E141" s="18"/>
      <c r="F141" s="18"/>
      <c r="G141" s="19"/>
      <c r="H141" s="29"/>
    </row>
    <row r="142" spans="1:8" ht="12.75" customHeight="1">
      <c r="A142" s="31">
        <v>43223</v>
      </c>
      <c r="B142" s="31"/>
      <c r="C142" s="21">
        <f>ROUND(3.27,5)</f>
        <v>3.27</v>
      </c>
      <c r="D142" s="21">
        <f>F142</f>
        <v>129.22844</v>
      </c>
      <c r="E142" s="21">
        <f>F142</f>
        <v>129.22844</v>
      </c>
      <c r="F142" s="21">
        <f>ROUND(129.22844,5)</f>
        <v>129.22844</v>
      </c>
      <c r="G142" s="19"/>
      <c r="H142" s="29"/>
    </row>
    <row r="143" spans="1:8" ht="12.75" customHeight="1">
      <c r="A143" s="31">
        <v>43314</v>
      </c>
      <c r="B143" s="31"/>
      <c r="C143" s="21">
        <f>ROUND(3.27,5)</f>
        <v>3.27</v>
      </c>
      <c r="D143" s="21">
        <f>F143</f>
        <v>131.62563</v>
      </c>
      <c r="E143" s="21">
        <f>F143</f>
        <v>131.62563</v>
      </c>
      <c r="F143" s="21">
        <f>ROUND(131.62563,5)</f>
        <v>131.62563</v>
      </c>
      <c r="G143" s="19"/>
      <c r="H143" s="29"/>
    </row>
    <row r="144" spans="1:8" ht="12.75" customHeight="1">
      <c r="A144" s="31">
        <v>43405</v>
      </c>
      <c r="B144" s="31"/>
      <c r="C144" s="21">
        <f>ROUND(3.27,5)</f>
        <v>3.27</v>
      </c>
      <c r="D144" s="21">
        <f>F144</f>
        <v>132.3192</v>
      </c>
      <c r="E144" s="21">
        <f>F144</f>
        <v>132.3192</v>
      </c>
      <c r="F144" s="21">
        <f>ROUND(132.3192,5)</f>
        <v>132.3192</v>
      </c>
      <c r="G144" s="19"/>
      <c r="H144" s="29"/>
    </row>
    <row r="145" spans="1:8" ht="12.75" customHeight="1">
      <c r="A145" s="31">
        <v>43503</v>
      </c>
      <c r="B145" s="31"/>
      <c r="C145" s="21">
        <f>ROUND(3.27,5)</f>
        <v>3.27</v>
      </c>
      <c r="D145" s="21">
        <f>F145</f>
        <v>135.06286</v>
      </c>
      <c r="E145" s="21">
        <f>F145</f>
        <v>135.06286</v>
      </c>
      <c r="F145" s="21">
        <f>ROUND(135.06286,5)</f>
        <v>135.06286</v>
      </c>
      <c r="G145" s="19"/>
      <c r="H145" s="29"/>
    </row>
    <row r="146" spans="1:8" ht="12.75" customHeight="1">
      <c r="A146" s="31">
        <v>43587</v>
      </c>
      <c r="B146" s="31"/>
      <c r="C146" s="21">
        <f>ROUND(3.27,5)</f>
        <v>3.27</v>
      </c>
      <c r="D146" s="21">
        <f>F146</f>
        <v>137.35051</v>
      </c>
      <c r="E146" s="21">
        <f>F146</f>
        <v>137.35051</v>
      </c>
      <c r="F146" s="21">
        <f>ROUND(137.35051,5)</f>
        <v>137.35051</v>
      </c>
      <c r="G146" s="19"/>
      <c r="H146" s="29"/>
    </row>
    <row r="147" spans="1:8" ht="12.75" customHeight="1">
      <c r="A147" s="31" t="s">
        <v>44</v>
      </c>
      <c r="B147" s="31"/>
      <c r="C147" s="18"/>
      <c r="D147" s="18"/>
      <c r="E147" s="18"/>
      <c r="F147" s="18"/>
      <c r="G147" s="19"/>
      <c r="H147" s="29"/>
    </row>
    <row r="148" spans="1:8" ht="12.75" customHeight="1">
      <c r="A148" s="31">
        <v>43223</v>
      </c>
      <c r="B148" s="31"/>
      <c r="C148" s="21">
        <f>ROUND(10.42,5)</f>
        <v>10.42</v>
      </c>
      <c r="D148" s="21">
        <f>F148</f>
        <v>10.47955</v>
      </c>
      <c r="E148" s="21">
        <f>F148</f>
        <v>10.47955</v>
      </c>
      <c r="F148" s="21">
        <f>ROUND(10.47955,5)</f>
        <v>10.47955</v>
      </c>
      <c r="G148" s="19"/>
      <c r="H148" s="29"/>
    </row>
    <row r="149" spans="1:8" ht="12.75" customHeight="1">
      <c r="A149" s="31">
        <v>43314</v>
      </c>
      <c r="B149" s="31"/>
      <c r="C149" s="21">
        <f>ROUND(10.42,5)</f>
        <v>10.42</v>
      </c>
      <c r="D149" s="21">
        <f>F149</f>
        <v>10.56906</v>
      </c>
      <c r="E149" s="21">
        <f>F149</f>
        <v>10.56906</v>
      </c>
      <c r="F149" s="21">
        <f>ROUND(10.56906,5)</f>
        <v>10.56906</v>
      </c>
      <c r="G149" s="19"/>
      <c r="H149" s="29"/>
    </row>
    <row r="150" spans="1:8" ht="12.75" customHeight="1">
      <c r="A150" s="31">
        <v>43405</v>
      </c>
      <c r="B150" s="31"/>
      <c r="C150" s="21">
        <f>ROUND(10.42,5)</f>
        <v>10.42</v>
      </c>
      <c r="D150" s="21">
        <f>F150</f>
        <v>10.66161</v>
      </c>
      <c r="E150" s="21">
        <f>F150</f>
        <v>10.66161</v>
      </c>
      <c r="F150" s="21">
        <f>ROUND(10.66161,5)</f>
        <v>10.66161</v>
      </c>
      <c r="G150" s="19"/>
      <c r="H150" s="29"/>
    </row>
    <row r="151" spans="1:8" ht="12.75" customHeight="1">
      <c r="A151" s="31">
        <v>43503</v>
      </c>
      <c r="B151" s="31"/>
      <c r="C151" s="21">
        <f>ROUND(10.42,5)</f>
        <v>10.42</v>
      </c>
      <c r="D151" s="21">
        <f>F151</f>
        <v>10.76681</v>
      </c>
      <c r="E151" s="21">
        <f>F151</f>
        <v>10.76681</v>
      </c>
      <c r="F151" s="21">
        <f>ROUND(10.76681,5)</f>
        <v>10.76681</v>
      </c>
      <c r="G151" s="19"/>
      <c r="H151" s="29"/>
    </row>
    <row r="152" spans="1:8" ht="12.75" customHeight="1">
      <c r="A152" s="31">
        <v>43587</v>
      </c>
      <c r="B152" s="31"/>
      <c r="C152" s="21">
        <f>ROUND(10.42,5)</f>
        <v>10.42</v>
      </c>
      <c r="D152" s="21">
        <f>F152</f>
        <v>10.86117</v>
      </c>
      <c r="E152" s="21">
        <f>F152</f>
        <v>10.86117</v>
      </c>
      <c r="F152" s="21">
        <f>ROUND(10.86117,5)</f>
        <v>10.86117</v>
      </c>
      <c r="G152" s="19"/>
      <c r="H152" s="29"/>
    </row>
    <row r="153" spans="1:8" ht="12.75" customHeight="1">
      <c r="A153" s="31" t="s">
        <v>45</v>
      </c>
      <c r="B153" s="31"/>
      <c r="C153" s="18"/>
      <c r="D153" s="18"/>
      <c r="E153" s="18"/>
      <c r="F153" s="18"/>
      <c r="G153" s="19"/>
      <c r="H153" s="29"/>
    </row>
    <row r="154" spans="1:8" ht="12.75" customHeight="1">
      <c r="A154" s="31">
        <v>43223</v>
      </c>
      <c r="B154" s="31"/>
      <c r="C154" s="21">
        <f>ROUND(10.555,5)</f>
        <v>10.555</v>
      </c>
      <c r="D154" s="21">
        <f>F154</f>
        <v>10.61474</v>
      </c>
      <c r="E154" s="21">
        <f>F154</f>
        <v>10.61474</v>
      </c>
      <c r="F154" s="21">
        <f>ROUND(10.61474,5)</f>
        <v>10.61474</v>
      </c>
      <c r="G154" s="19"/>
      <c r="H154" s="29"/>
    </row>
    <row r="155" spans="1:8" ht="12.75" customHeight="1">
      <c r="A155" s="31">
        <v>43314</v>
      </c>
      <c r="B155" s="31"/>
      <c r="C155" s="21">
        <f>ROUND(10.555,5)</f>
        <v>10.555</v>
      </c>
      <c r="D155" s="21">
        <f>F155</f>
        <v>10.70029</v>
      </c>
      <c r="E155" s="21">
        <f>F155</f>
        <v>10.70029</v>
      </c>
      <c r="F155" s="21">
        <f>ROUND(10.70029,5)</f>
        <v>10.70029</v>
      </c>
      <c r="G155" s="19"/>
      <c r="H155" s="29"/>
    </row>
    <row r="156" spans="1:8" ht="12.75" customHeight="1">
      <c r="A156" s="31">
        <v>43405</v>
      </c>
      <c r="B156" s="31"/>
      <c r="C156" s="21">
        <f>ROUND(10.555,5)</f>
        <v>10.555</v>
      </c>
      <c r="D156" s="21">
        <f>F156</f>
        <v>10.78761</v>
      </c>
      <c r="E156" s="21">
        <f>F156</f>
        <v>10.78761</v>
      </c>
      <c r="F156" s="21">
        <f>ROUND(10.78761,5)</f>
        <v>10.78761</v>
      </c>
      <c r="G156" s="19"/>
      <c r="H156" s="29"/>
    </row>
    <row r="157" spans="1:8" ht="12.75" customHeight="1">
      <c r="A157" s="31">
        <v>43503</v>
      </c>
      <c r="B157" s="31"/>
      <c r="C157" s="21">
        <f>ROUND(10.555,5)</f>
        <v>10.555</v>
      </c>
      <c r="D157" s="21">
        <f>F157</f>
        <v>10.88334</v>
      </c>
      <c r="E157" s="21">
        <f>F157</f>
        <v>10.88334</v>
      </c>
      <c r="F157" s="21">
        <f>ROUND(10.88334,5)</f>
        <v>10.88334</v>
      </c>
      <c r="G157" s="19"/>
      <c r="H157" s="29"/>
    </row>
    <row r="158" spans="1:8" ht="12.75" customHeight="1">
      <c r="A158" s="31">
        <v>43587</v>
      </c>
      <c r="B158" s="31"/>
      <c r="C158" s="21">
        <f>ROUND(10.555,5)</f>
        <v>10.555</v>
      </c>
      <c r="D158" s="21">
        <f>F158</f>
        <v>10.97343</v>
      </c>
      <c r="E158" s="21">
        <f>F158</f>
        <v>10.97343</v>
      </c>
      <c r="F158" s="21">
        <f>ROUND(10.97343,5)</f>
        <v>10.97343</v>
      </c>
      <c r="G158" s="19"/>
      <c r="H158" s="29"/>
    </row>
    <row r="159" spans="1:8" ht="12.75" customHeight="1">
      <c r="A159" s="31" t="s">
        <v>46</v>
      </c>
      <c r="B159" s="31"/>
      <c r="C159" s="18"/>
      <c r="D159" s="18"/>
      <c r="E159" s="18"/>
      <c r="F159" s="18"/>
      <c r="G159" s="19"/>
      <c r="H159" s="29"/>
    </row>
    <row r="160" spans="1:8" ht="12.75" customHeight="1">
      <c r="A160" s="31">
        <v>43223</v>
      </c>
      <c r="B160" s="31"/>
      <c r="C160" s="21">
        <f>ROUND(7.52,5)</f>
        <v>7.52</v>
      </c>
      <c r="D160" s="21">
        <f>F160</f>
        <v>7.52118</v>
      </c>
      <c r="E160" s="21">
        <f>F160</f>
        <v>7.52118</v>
      </c>
      <c r="F160" s="21">
        <f>ROUND(7.52118,5)</f>
        <v>7.52118</v>
      </c>
      <c r="G160" s="19"/>
      <c r="H160" s="29"/>
    </row>
    <row r="161" spans="1:8" ht="12.75" customHeight="1">
      <c r="A161" s="31">
        <v>43314</v>
      </c>
      <c r="B161" s="31"/>
      <c r="C161" s="21">
        <f>ROUND(7.52,5)</f>
        <v>7.52</v>
      </c>
      <c r="D161" s="21">
        <f>F161</f>
        <v>7.51905</v>
      </c>
      <c r="E161" s="21">
        <f>F161</f>
        <v>7.51905</v>
      </c>
      <c r="F161" s="21">
        <f>ROUND(7.51905,5)</f>
        <v>7.51905</v>
      </c>
      <c r="G161" s="19"/>
      <c r="H161" s="29"/>
    </row>
    <row r="162" spans="1:8" ht="12.75" customHeight="1">
      <c r="A162" s="31">
        <v>43405</v>
      </c>
      <c r="B162" s="31"/>
      <c r="C162" s="21">
        <f>ROUND(7.52,5)</f>
        <v>7.52</v>
      </c>
      <c r="D162" s="21">
        <f>F162</f>
        <v>7.51551</v>
      </c>
      <c r="E162" s="21">
        <f>F162</f>
        <v>7.51551</v>
      </c>
      <c r="F162" s="21">
        <f>ROUND(7.51551,5)</f>
        <v>7.51551</v>
      </c>
      <c r="G162" s="19"/>
      <c r="H162" s="29"/>
    </row>
    <row r="163" spans="1:8" ht="12.75" customHeight="1">
      <c r="A163" s="31">
        <v>43503</v>
      </c>
      <c r="B163" s="31"/>
      <c r="C163" s="21">
        <f>ROUND(7.52,5)</f>
        <v>7.52</v>
      </c>
      <c r="D163" s="21">
        <f>F163</f>
        <v>7.50935</v>
      </c>
      <c r="E163" s="21">
        <f>F163</f>
        <v>7.50935</v>
      </c>
      <c r="F163" s="21">
        <f>ROUND(7.50935,5)</f>
        <v>7.50935</v>
      </c>
      <c r="G163" s="19"/>
      <c r="H163" s="29"/>
    </row>
    <row r="164" spans="1:8" ht="12.75" customHeight="1">
      <c r="A164" s="31">
        <v>43587</v>
      </c>
      <c r="B164" s="31"/>
      <c r="C164" s="21">
        <f>ROUND(7.52,5)</f>
        <v>7.52</v>
      </c>
      <c r="D164" s="21">
        <f>F164</f>
        <v>7.50617</v>
      </c>
      <c r="E164" s="21">
        <f>F164</f>
        <v>7.50617</v>
      </c>
      <c r="F164" s="21">
        <f>ROUND(7.50617,5)</f>
        <v>7.50617</v>
      </c>
      <c r="G164" s="19"/>
      <c r="H164" s="29"/>
    </row>
    <row r="165" spans="1:8" ht="12.75" customHeight="1">
      <c r="A165" s="31" t="s">
        <v>47</v>
      </c>
      <c r="B165" s="31"/>
      <c r="C165" s="18"/>
      <c r="D165" s="18"/>
      <c r="E165" s="18"/>
      <c r="F165" s="18"/>
      <c r="G165" s="19"/>
      <c r="H165" s="29"/>
    </row>
    <row r="166" spans="1:8" ht="12.75" customHeight="1">
      <c r="A166" s="31">
        <v>43223</v>
      </c>
      <c r="B166" s="31"/>
      <c r="C166" s="21">
        <f>ROUND(9.02,5)</f>
        <v>9.02</v>
      </c>
      <c r="D166" s="21">
        <f>F166</f>
        <v>9.04925</v>
      </c>
      <c r="E166" s="21">
        <f>F166</f>
        <v>9.04925</v>
      </c>
      <c r="F166" s="21">
        <f>ROUND(9.04925,5)</f>
        <v>9.04925</v>
      </c>
      <c r="G166" s="19"/>
      <c r="H166" s="29"/>
    </row>
    <row r="167" spans="1:8" ht="12.75" customHeight="1">
      <c r="A167" s="31">
        <v>43314</v>
      </c>
      <c r="B167" s="31"/>
      <c r="C167" s="21">
        <f>ROUND(9.02,5)</f>
        <v>9.02</v>
      </c>
      <c r="D167" s="21">
        <f>F167</f>
        <v>9.09251</v>
      </c>
      <c r="E167" s="21">
        <f>F167</f>
        <v>9.09251</v>
      </c>
      <c r="F167" s="21">
        <f>ROUND(9.09251,5)</f>
        <v>9.09251</v>
      </c>
      <c r="G167" s="19"/>
      <c r="H167" s="29"/>
    </row>
    <row r="168" spans="1:8" ht="12.75" customHeight="1">
      <c r="A168" s="31">
        <v>43405</v>
      </c>
      <c r="B168" s="31"/>
      <c r="C168" s="21">
        <f>ROUND(9.02,5)</f>
        <v>9.02</v>
      </c>
      <c r="D168" s="21">
        <f>F168</f>
        <v>9.13699</v>
      </c>
      <c r="E168" s="21">
        <f>F168</f>
        <v>9.13699</v>
      </c>
      <c r="F168" s="21">
        <f>ROUND(9.13699,5)</f>
        <v>9.13699</v>
      </c>
      <c r="G168" s="19"/>
      <c r="H168" s="29"/>
    </row>
    <row r="169" spans="1:8" ht="12.75" customHeight="1">
      <c r="A169" s="31">
        <v>43503</v>
      </c>
      <c r="B169" s="31"/>
      <c r="C169" s="21">
        <f>ROUND(9.02,5)</f>
        <v>9.02</v>
      </c>
      <c r="D169" s="21">
        <f>F169</f>
        <v>9.18686</v>
      </c>
      <c r="E169" s="21">
        <f>F169</f>
        <v>9.18686</v>
      </c>
      <c r="F169" s="21">
        <f>ROUND(9.18686,5)</f>
        <v>9.18686</v>
      </c>
      <c r="G169" s="19"/>
      <c r="H169" s="29"/>
    </row>
    <row r="170" spans="1:8" ht="12.75" customHeight="1">
      <c r="A170" s="31">
        <v>43587</v>
      </c>
      <c r="B170" s="31"/>
      <c r="C170" s="21">
        <f>ROUND(9.02,5)</f>
        <v>9.02</v>
      </c>
      <c r="D170" s="21">
        <f>F170</f>
        <v>9.2312</v>
      </c>
      <c r="E170" s="21">
        <f>F170</f>
        <v>9.2312</v>
      </c>
      <c r="F170" s="21">
        <f>ROUND(9.2312,5)</f>
        <v>9.2312</v>
      </c>
      <c r="G170" s="19"/>
      <c r="H170" s="29"/>
    </row>
    <row r="171" spans="1:8" ht="12.75" customHeight="1">
      <c r="A171" s="31" t="s">
        <v>48</v>
      </c>
      <c r="B171" s="31"/>
      <c r="C171" s="18"/>
      <c r="D171" s="18"/>
      <c r="E171" s="18"/>
      <c r="F171" s="18"/>
      <c r="G171" s="19"/>
      <c r="H171" s="29"/>
    </row>
    <row r="172" spans="1:8" ht="12.75" customHeight="1">
      <c r="A172" s="31">
        <v>43223</v>
      </c>
      <c r="B172" s="31"/>
      <c r="C172" s="21">
        <f>ROUND(8.17,5)</f>
        <v>8.17</v>
      </c>
      <c r="D172" s="21">
        <f>F172</f>
        <v>8.19215</v>
      </c>
      <c r="E172" s="21">
        <f>F172</f>
        <v>8.19215</v>
      </c>
      <c r="F172" s="21">
        <f>ROUND(8.19215,5)</f>
        <v>8.19215</v>
      </c>
      <c r="G172" s="19"/>
      <c r="H172" s="29"/>
    </row>
    <row r="173" spans="1:8" ht="12.75" customHeight="1">
      <c r="A173" s="31">
        <v>43314</v>
      </c>
      <c r="B173" s="31"/>
      <c r="C173" s="21">
        <f>ROUND(8.17,5)</f>
        <v>8.17</v>
      </c>
      <c r="D173" s="21">
        <f>F173</f>
        <v>8.22264</v>
      </c>
      <c r="E173" s="21">
        <f>F173</f>
        <v>8.22264</v>
      </c>
      <c r="F173" s="21">
        <f>ROUND(8.22264,5)</f>
        <v>8.22264</v>
      </c>
      <c r="G173" s="19"/>
      <c r="H173" s="29"/>
    </row>
    <row r="174" spans="1:8" ht="12.75" customHeight="1">
      <c r="A174" s="31">
        <v>43405</v>
      </c>
      <c r="B174" s="31"/>
      <c r="C174" s="21">
        <f>ROUND(8.17,5)</f>
        <v>8.17</v>
      </c>
      <c r="D174" s="21">
        <f>F174</f>
        <v>8.24921</v>
      </c>
      <c r="E174" s="21">
        <f>F174</f>
        <v>8.24921</v>
      </c>
      <c r="F174" s="21">
        <f>ROUND(8.24921,5)</f>
        <v>8.24921</v>
      </c>
      <c r="G174" s="19"/>
      <c r="H174" s="29"/>
    </row>
    <row r="175" spans="1:8" ht="12.75" customHeight="1">
      <c r="A175" s="31">
        <v>43503</v>
      </c>
      <c r="B175" s="31"/>
      <c r="C175" s="21">
        <f>ROUND(8.17,5)</f>
        <v>8.17</v>
      </c>
      <c r="D175" s="21">
        <f>F175</f>
        <v>8.27834</v>
      </c>
      <c r="E175" s="21">
        <f>F175</f>
        <v>8.27834</v>
      </c>
      <c r="F175" s="21">
        <f>ROUND(8.27834,5)</f>
        <v>8.27834</v>
      </c>
      <c r="G175" s="19"/>
      <c r="H175" s="29"/>
    </row>
    <row r="176" spans="1:8" ht="12.75" customHeight="1">
      <c r="A176" s="31">
        <v>43587</v>
      </c>
      <c r="B176" s="31"/>
      <c r="C176" s="21">
        <f>ROUND(8.17,5)</f>
        <v>8.17</v>
      </c>
      <c r="D176" s="21">
        <f>F176</f>
        <v>8.31196</v>
      </c>
      <c r="E176" s="21">
        <f>F176</f>
        <v>8.31196</v>
      </c>
      <c r="F176" s="21">
        <f>ROUND(8.31196,5)</f>
        <v>8.31196</v>
      </c>
      <c r="G176" s="19"/>
      <c r="H176" s="29"/>
    </row>
    <row r="177" spans="1:8" ht="12.75" customHeight="1">
      <c r="A177" s="31" t="s">
        <v>49</v>
      </c>
      <c r="B177" s="31"/>
      <c r="C177" s="18"/>
      <c r="D177" s="18"/>
      <c r="E177" s="18"/>
      <c r="F177" s="18"/>
      <c r="G177" s="19"/>
      <c r="H177" s="29"/>
    </row>
    <row r="178" spans="1:8" ht="12.75" customHeight="1">
      <c r="A178" s="31">
        <v>43223</v>
      </c>
      <c r="B178" s="31"/>
      <c r="C178" s="21">
        <f>ROUND(2.15,5)</f>
        <v>2.15</v>
      </c>
      <c r="D178" s="21">
        <f>F178</f>
        <v>306.22524</v>
      </c>
      <c r="E178" s="21">
        <f>F178</f>
        <v>306.22524</v>
      </c>
      <c r="F178" s="21">
        <f>ROUND(306.22524,5)</f>
        <v>306.22524</v>
      </c>
      <c r="G178" s="19"/>
      <c r="H178" s="29"/>
    </row>
    <row r="179" spans="1:8" ht="12.75" customHeight="1">
      <c r="A179" s="31">
        <v>43314</v>
      </c>
      <c r="B179" s="31"/>
      <c r="C179" s="21">
        <f>ROUND(2.15,5)</f>
        <v>2.15</v>
      </c>
      <c r="D179" s="21">
        <f>F179</f>
        <v>304.70875</v>
      </c>
      <c r="E179" s="21">
        <f>F179</f>
        <v>304.70875</v>
      </c>
      <c r="F179" s="21">
        <f>ROUND(304.70875,5)</f>
        <v>304.70875</v>
      </c>
      <c r="G179" s="19"/>
      <c r="H179" s="29"/>
    </row>
    <row r="180" spans="1:8" ht="12.75" customHeight="1">
      <c r="A180" s="31">
        <v>43405</v>
      </c>
      <c r="B180" s="31"/>
      <c r="C180" s="21">
        <f>ROUND(2.15,5)</f>
        <v>2.15</v>
      </c>
      <c r="D180" s="21">
        <f>F180</f>
        <v>310.48719</v>
      </c>
      <c r="E180" s="21">
        <f>F180</f>
        <v>310.48719</v>
      </c>
      <c r="F180" s="21">
        <f>ROUND(310.48719,5)</f>
        <v>310.48719</v>
      </c>
      <c r="G180" s="19"/>
      <c r="H180" s="29"/>
    </row>
    <row r="181" spans="1:8" ht="12.75" customHeight="1">
      <c r="A181" s="31">
        <v>43503</v>
      </c>
      <c r="B181" s="31"/>
      <c r="C181" s="21">
        <f>ROUND(2.15,5)</f>
        <v>2.15</v>
      </c>
      <c r="D181" s="21">
        <f>F181</f>
        <v>309.60582</v>
      </c>
      <c r="E181" s="21">
        <f>F181</f>
        <v>309.60582</v>
      </c>
      <c r="F181" s="21">
        <f>ROUND(309.60582,5)</f>
        <v>309.60582</v>
      </c>
      <c r="G181" s="19"/>
      <c r="H181" s="29"/>
    </row>
    <row r="182" spans="1:8" ht="12.75" customHeight="1">
      <c r="A182" s="31">
        <v>43587</v>
      </c>
      <c r="B182" s="31"/>
      <c r="C182" s="21">
        <f>ROUND(2.15,5)</f>
        <v>2.15</v>
      </c>
      <c r="D182" s="21">
        <f>F182</f>
        <v>314.84583</v>
      </c>
      <c r="E182" s="21">
        <f>F182</f>
        <v>314.84583</v>
      </c>
      <c r="F182" s="21">
        <f>ROUND(314.84583,5)</f>
        <v>314.84583</v>
      </c>
      <c r="G182" s="19"/>
      <c r="H182" s="29"/>
    </row>
    <row r="183" spans="1:8" ht="12.75" customHeight="1">
      <c r="A183" s="31" t="s">
        <v>50</v>
      </c>
      <c r="B183" s="31"/>
      <c r="C183" s="18"/>
      <c r="D183" s="18"/>
      <c r="E183" s="18"/>
      <c r="F183" s="18"/>
      <c r="G183" s="19"/>
      <c r="H183" s="29"/>
    </row>
    <row r="184" spans="1:8" ht="12.75" customHeight="1">
      <c r="A184" s="31">
        <v>43223</v>
      </c>
      <c r="B184" s="31"/>
      <c r="C184" s="21">
        <f>ROUND(2.82,5)</f>
        <v>2.82</v>
      </c>
      <c r="D184" s="21">
        <f>F184</f>
        <v>236.33441</v>
      </c>
      <c r="E184" s="21">
        <f>F184</f>
        <v>236.33441</v>
      </c>
      <c r="F184" s="21">
        <f>ROUND(236.33441,5)</f>
        <v>236.33441</v>
      </c>
      <c r="G184" s="19"/>
      <c r="H184" s="29"/>
    </row>
    <row r="185" spans="1:8" ht="12.75" customHeight="1">
      <c r="A185" s="31">
        <v>43314</v>
      </c>
      <c r="B185" s="31"/>
      <c r="C185" s="21">
        <f>ROUND(2.82,5)</f>
        <v>2.82</v>
      </c>
      <c r="D185" s="21">
        <f>F185</f>
        <v>236.89565</v>
      </c>
      <c r="E185" s="21">
        <f>F185</f>
        <v>236.89565</v>
      </c>
      <c r="F185" s="21">
        <f>ROUND(236.89565,5)</f>
        <v>236.89565</v>
      </c>
      <c r="G185" s="19"/>
      <c r="H185" s="29"/>
    </row>
    <row r="186" spans="1:8" ht="12.75" customHeight="1">
      <c r="A186" s="31">
        <v>43405</v>
      </c>
      <c r="B186" s="31"/>
      <c r="C186" s="21">
        <f>ROUND(2.82,5)</f>
        <v>2.82</v>
      </c>
      <c r="D186" s="21">
        <f>F186</f>
        <v>241.38809</v>
      </c>
      <c r="E186" s="21">
        <f>F186</f>
        <v>241.38809</v>
      </c>
      <c r="F186" s="21">
        <f>ROUND(241.38809,5)</f>
        <v>241.38809</v>
      </c>
      <c r="G186" s="19"/>
      <c r="H186" s="29"/>
    </row>
    <row r="187" spans="1:8" ht="12.75" customHeight="1">
      <c r="A187" s="31">
        <v>43503</v>
      </c>
      <c r="B187" s="31"/>
      <c r="C187" s="21">
        <f>ROUND(2.82,5)</f>
        <v>2.82</v>
      </c>
      <c r="D187" s="21">
        <f>F187</f>
        <v>242.50577</v>
      </c>
      <c r="E187" s="21">
        <f>F187</f>
        <v>242.50577</v>
      </c>
      <c r="F187" s="21">
        <f>ROUND(242.50577,5)</f>
        <v>242.50577</v>
      </c>
      <c r="G187" s="19"/>
      <c r="H187" s="29"/>
    </row>
    <row r="188" spans="1:8" ht="12.75" customHeight="1">
      <c r="A188" s="31">
        <v>43587</v>
      </c>
      <c r="B188" s="31"/>
      <c r="C188" s="21">
        <f>ROUND(2.82,5)</f>
        <v>2.82</v>
      </c>
      <c r="D188" s="21">
        <f>F188</f>
        <v>246.61199</v>
      </c>
      <c r="E188" s="21">
        <f>F188</f>
        <v>246.61199</v>
      </c>
      <c r="F188" s="21">
        <f>ROUND(246.61199,5)</f>
        <v>246.61199</v>
      </c>
      <c r="G188" s="19"/>
      <c r="H188" s="29"/>
    </row>
    <row r="189" spans="1:8" ht="12.75" customHeight="1">
      <c r="A189" s="31" t="s">
        <v>51</v>
      </c>
      <c r="B189" s="31"/>
      <c r="C189" s="18"/>
      <c r="D189" s="18"/>
      <c r="E189" s="18"/>
      <c r="F189" s="18"/>
      <c r="G189" s="19"/>
      <c r="H189" s="29"/>
    </row>
    <row r="190" spans="1:8" ht="12.75" customHeight="1">
      <c r="A190" s="31">
        <v>43223</v>
      </c>
      <c r="B190" s="31"/>
      <c r="C190" s="21">
        <f>ROUND(0,5)</f>
        <v>0</v>
      </c>
      <c r="D190" s="21">
        <f>F190</f>
        <v>1.03146</v>
      </c>
      <c r="E190" s="21">
        <f>F190</f>
        <v>1.03146</v>
      </c>
      <c r="F190" s="21">
        <f>ROUND(1.03146,5)</f>
        <v>1.03146</v>
      </c>
      <c r="G190" s="19"/>
      <c r="H190" s="29"/>
    </row>
    <row r="191" spans="1:8" ht="12.75" customHeight="1">
      <c r="A191" s="31" t="s">
        <v>52</v>
      </c>
      <c r="B191" s="31"/>
      <c r="C191" s="18"/>
      <c r="D191" s="18"/>
      <c r="E191" s="18"/>
      <c r="F191" s="18"/>
      <c r="G191" s="19"/>
      <c r="H191" s="29"/>
    </row>
    <row r="192" spans="1:8" ht="12.75" customHeight="1">
      <c r="A192" s="31">
        <v>43223</v>
      </c>
      <c r="B192" s="31"/>
      <c r="C192" s="21">
        <f>ROUND(6.52,5)</f>
        <v>6.52</v>
      </c>
      <c r="D192" s="21">
        <f>F192</f>
        <v>6.26921</v>
      </c>
      <c r="E192" s="21">
        <f>F192</f>
        <v>6.26921</v>
      </c>
      <c r="F192" s="21">
        <f>ROUND(6.26921,5)</f>
        <v>6.26921</v>
      </c>
      <c r="G192" s="19"/>
      <c r="H192" s="29"/>
    </row>
    <row r="193" spans="1:8" ht="12.75" customHeight="1">
      <c r="A193" s="31">
        <v>43314</v>
      </c>
      <c r="B193" s="31"/>
      <c r="C193" s="21">
        <f>ROUND(6.52,5)</f>
        <v>6.52</v>
      </c>
      <c r="D193" s="21">
        <f>F193</f>
        <v>5.40468</v>
      </c>
      <c r="E193" s="21">
        <f>F193</f>
        <v>5.40468</v>
      </c>
      <c r="F193" s="21">
        <f>ROUND(5.40468,5)</f>
        <v>5.40468</v>
      </c>
      <c r="G193" s="19"/>
      <c r="H193" s="29"/>
    </row>
    <row r="194" spans="1:8" ht="12.75" customHeight="1">
      <c r="A194" s="31">
        <v>43405</v>
      </c>
      <c r="B194" s="31"/>
      <c r="C194" s="21">
        <f>ROUND(6.52,5)</f>
        <v>6.52</v>
      </c>
      <c r="D194" s="21">
        <f>F194</f>
        <v>0</v>
      </c>
      <c r="E194" s="21">
        <f>F194</f>
        <v>0</v>
      </c>
      <c r="F194" s="21">
        <f>ROUND(0,5)</f>
        <v>0</v>
      </c>
      <c r="G194" s="19"/>
      <c r="H194" s="29"/>
    </row>
    <row r="195" spans="1:8" ht="12.75" customHeight="1">
      <c r="A195" s="31">
        <v>43503</v>
      </c>
      <c r="B195" s="31"/>
      <c r="C195" s="21">
        <f>ROUND(6.52,5)</f>
        <v>6.52</v>
      </c>
      <c r="D195" s="21">
        <f>F195</f>
        <v>0</v>
      </c>
      <c r="E195" s="21">
        <f>F195</f>
        <v>0</v>
      </c>
      <c r="F195" s="21">
        <f>ROUND(0,5)</f>
        <v>0</v>
      </c>
      <c r="G195" s="19"/>
      <c r="H195" s="29"/>
    </row>
    <row r="196" spans="1:8" ht="12.75" customHeight="1">
      <c r="A196" s="31">
        <v>43587</v>
      </c>
      <c r="B196" s="31"/>
      <c r="C196" s="21">
        <f>ROUND(6.52,5)</f>
        <v>6.52</v>
      </c>
      <c r="D196" s="21">
        <f>F196</f>
        <v>0</v>
      </c>
      <c r="E196" s="21">
        <f>F196</f>
        <v>0</v>
      </c>
      <c r="F196" s="21">
        <f>ROUND(0,5)</f>
        <v>0</v>
      </c>
      <c r="G196" s="19"/>
      <c r="H196" s="29"/>
    </row>
    <row r="197" spans="1:8" ht="12.75" customHeight="1">
      <c r="A197" s="31" t="s">
        <v>53</v>
      </c>
      <c r="B197" s="31"/>
      <c r="C197" s="18"/>
      <c r="D197" s="18"/>
      <c r="E197" s="18"/>
      <c r="F197" s="18"/>
      <c r="G197" s="19"/>
      <c r="H197" s="29"/>
    </row>
    <row r="198" spans="1:8" ht="12.75" customHeight="1">
      <c r="A198" s="31">
        <v>43223</v>
      </c>
      <c r="B198" s="31"/>
      <c r="C198" s="21">
        <f>ROUND(6.74,5)</f>
        <v>6.74</v>
      </c>
      <c r="D198" s="21">
        <f>F198</f>
        <v>6.67239</v>
      </c>
      <c r="E198" s="21">
        <f>F198</f>
        <v>6.67239</v>
      </c>
      <c r="F198" s="21">
        <f>ROUND(6.67239,5)</f>
        <v>6.67239</v>
      </c>
      <c r="G198" s="19"/>
      <c r="H198" s="29"/>
    </row>
    <row r="199" spans="1:8" ht="12.75" customHeight="1">
      <c r="A199" s="31">
        <v>43314</v>
      </c>
      <c r="B199" s="31"/>
      <c r="C199" s="21">
        <f>ROUND(6.74,5)</f>
        <v>6.74</v>
      </c>
      <c r="D199" s="21">
        <f>F199</f>
        <v>6.52689</v>
      </c>
      <c r="E199" s="21">
        <f>F199</f>
        <v>6.52689</v>
      </c>
      <c r="F199" s="21">
        <f>ROUND(6.52689,5)</f>
        <v>6.52689</v>
      </c>
      <c r="G199" s="19"/>
      <c r="H199" s="29"/>
    </row>
    <row r="200" spans="1:8" ht="12.75" customHeight="1">
      <c r="A200" s="31">
        <v>43405</v>
      </c>
      <c r="B200" s="31"/>
      <c r="C200" s="21">
        <f>ROUND(6.74,5)</f>
        <v>6.74</v>
      </c>
      <c r="D200" s="21">
        <f>F200</f>
        <v>6.28066</v>
      </c>
      <c r="E200" s="21">
        <f>F200</f>
        <v>6.28066</v>
      </c>
      <c r="F200" s="21">
        <f>ROUND(6.28066,5)</f>
        <v>6.28066</v>
      </c>
      <c r="G200" s="19"/>
      <c r="H200" s="29"/>
    </row>
    <row r="201" spans="1:8" ht="12.75" customHeight="1">
      <c r="A201" s="31">
        <v>43503</v>
      </c>
      <c r="B201" s="31"/>
      <c r="C201" s="21">
        <f>ROUND(6.74,5)</f>
        <v>6.74</v>
      </c>
      <c r="D201" s="21">
        <f>F201</f>
        <v>5.85687</v>
      </c>
      <c r="E201" s="21">
        <f>F201</f>
        <v>5.85687</v>
      </c>
      <c r="F201" s="21">
        <f>ROUND(5.85687,5)</f>
        <v>5.85687</v>
      </c>
      <c r="G201" s="19"/>
      <c r="H201" s="29"/>
    </row>
    <row r="202" spans="1:8" ht="12.75" customHeight="1">
      <c r="A202" s="31">
        <v>43587</v>
      </c>
      <c r="B202" s="31"/>
      <c r="C202" s="21">
        <f>ROUND(6.74,5)</f>
        <v>6.74</v>
      </c>
      <c r="D202" s="21">
        <f>F202</f>
        <v>5.3085</v>
      </c>
      <c r="E202" s="21">
        <f>F202</f>
        <v>5.3085</v>
      </c>
      <c r="F202" s="21">
        <f>ROUND(5.3085,5)</f>
        <v>5.3085</v>
      </c>
      <c r="G202" s="19"/>
      <c r="H202" s="29"/>
    </row>
    <row r="203" spans="1:8" ht="12.75" customHeight="1">
      <c r="A203" s="31" t="s">
        <v>54</v>
      </c>
      <c r="B203" s="31"/>
      <c r="C203" s="18"/>
      <c r="D203" s="18"/>
      <c r="E203" s="18"/>
      <c r="F203" s="18"/>
      <c r="G203" s="19"/>
      <c r="H203" s="29"/>
    </row>
    <row r="204" spans="1:8" ht="12.75" customHeight="1">
      <c r="A204" s="31">
        <v>43223</v>
      </c>
      <c r="B204" s="31"/>
      <c r="C204" s="21">
        <f>ROUND(7.07,5)</f>
        <v>7.07</v>
      </c>
      <c r="D204" s="21">
        <f>F204</f>
        <v>7.04654</v>
      </c>
      <c r="E204" s="21">
        <f>F204</f>
        <v>7.04654</v>
      </c>
      <c r="F204" s="21">
        <f>ROUND(7.04654,5)</f>
        <v>7.04654</v>
      </c>
      <c r="G204" s="19"/>
      <c r="H204" s="29"/>
    </row>
    <row r="205" spans="1:8" ht="12.75" customHeight="1">
      <c r="A205" s="31">
        <v>43314</v>
      </c>
      <c r="B205" s="31"/>
      <c r="C205" s="21">
        <f>ROUND(7.07,5)</f>
        <v>7.07</v>
      </c>
      <c r="D205" s="21">
        <f>F205</f>
        <v>6.99862</v>
      </c>
      <c r="E205" s="21">
        <f>F205</f>
        <v>6.99862</v>
      </c>
      <c r="F205" s="21">
        <f>ROUND(6.99862,5)</f>
        <v>6.99862</v>
      </c>
      <c r="G205" s="19"/>
      <c r="H205" s="29"/>
    </row>
    <row r="206" spans="1:8" ht="12.75" customHeight="1">
      <c r="A206" s="31">
        <v>43405</v>
      </c>
      <c r="B206" s="31"/>
      <c r="C206" s="21">
        <f>ROUND(7.07,5)</f>
        <v>7.07</v>
      </c>
      <c r="D206" s="21">
        <f>F206</f>
        <v>6.92993</v>
      </c>
      <c r="E206" s="21">
        <f>F206</f>
        <v>6.92993</v>
      </c>
      <c r="F206" s="21">
        <f>ROUND(6.92993,5)</f>
        <v>6.92993</v>
      </c>
      <c r="G206" s="19"/>
      <c r="H206" s="29"/>
    </row>
    <row r="207" spans="1:8" ht="12.75" customHeight="1">
      <c r="A207" s="31">
        <v>43503</v>
      </c>
      <c r="B207" s="31"/>
      <c r="C207" s="21">
        <f>ROUND(7.07,5)</f>
        <v>7.07</v>
      </c>
      <c r="D207" s="21">
        <f>F207</f>
        <v>6.83367</v>
      </c>
      <c r="E207" s="21">
        <f>F207</f>
        <v>6.83367</v>
      </c>
      <c r="F207" s="21">
        <f>ROUND(6.83367,5)</f>
        <v>6.83367</v>
      </c>
      <c r="G207" s="19"/>
      <c r="H207" s="29"/>
    </row>
    <row r="208" spans="1:8" ht="12.75" customHeight="1">
      <c r="A208" s="31">
        <v>43587</v>
      </c>
      <c r="B208" s="31"/>
      <c r="C208" s="21">
        <f>ROUND(7.07,5)</f>
        <v>7.07</v>
      </c>
      <c r="D208" s="21">
        <f>F208</f>
        <v>6.74476</v>
      </c>
      <c r="E208" s="21">
        <f>F208</f>
        <v>6.74476</v>
      </c>
      <c r="F208" s="21">
        <f>ROUND(6.74476,5)</f>
        <v>6.74476</v>
      </c>
      <c r="G208" s="19"/>
      <c r="H208" s="29"/>
    </row>
    <row r="209" spans="1:8" ht="12.75" customHeight="1">
      <c r="A209" s="31" t="s">
        <v>55</v>
      </c>
      <c r="B209" s="31"/>
      <c r="C209" s="18"/>
      <c r="D209" s="18"/>
      <c r="E209" s="18"/>
      <c r="F209" s="18"/>
      <c r="G209" s="19"/>
      <c r="H209" s="29"/>
    </row>
    <row r="210" spans="1:8" ht="12.75" customHeight="1">
      <c r="A210" s="31">
        <v>43223</v>
      </c>
      <c r="B210" s="31"/>
      <c r="C210" s="21">
        <f>ROUND(9.02,5)</f>
        <v>9.02</v>
      </c>
      <c r="D210" s="21">
        <f>F210</f>
        <v>9.04793</v>
      </c>
      <c r="E210" s="21">
        <f>F210</f>
        <v>9.04793</v>
      </c>
      <c r="F210" s="21">
        <f>ROUND(9.04793,5)</f>
        <v>9.04793</v>
      </c>
      <c r="G210" s="19"/>
      <c r="H210" s="29"/>
    </row>
    <row r="211" spans="1:8" ht="12.75" customHeight="1">
      <c r="A211" s="31">
        <v>43314</v>
      </c>
      <c r="B211" s="31"/>
      <c r="C211" s="21">
        <f>ROUND(9.02,5)</f>
        <v>9.02</v>
      </c>
      <c r="D211" s="21">
        <f>F211</f>
        <v>9.08796</v>
      </c>
      <c r="E211" s="21">
        <f>F211</f>
        <v>9.08796</v>
      </c>
      <c r="F211" s="21">
        <f>ROUND(9.08796,5)</f>
        <v>9.08796</v>
      </c>
      <c r="G211" s="19"/>
      <c r="H211" s="29"/>
    </row>
    <row r="212" spans="1:8" ht="12.75" customHeight="1">
      <c r="A212" s="31">
        <v>43405</v>
      </c>
      <c r="B212" s="31"/>
      <c r="C212" s="21">
        <f>ROUND(9.02,5)</f>
        <v>9.02</v>
      </c>
      <c r="D212" s="21">
        <f>F212</f>
        <v>9.12713</v>
      </c>
      <c r="E212" s="21">
        <f>F212</f>
        <v>9.12713</v>
      </c>
      <c r="F212" s="21">
        <f>ROUND(9.12713,5)</f>
        <v>9.12713</v>
      </c>
      <c r="G212" s="19"/>
      <c r="H212" s="29"/>
    </row>
    <row r="213" spans="1:8" ht="12.75" customHeight="1">
      <c r="A213" s="31">
        <v>43503</v>
      </c>
      <c r="B213" s="31"/>
      <c r="C213" s="21">
        <f>ROUND(9.02,5)</f>
        <v>9.02</v>
      </c>
      <c r="D213" s="21">
        <f>F213</f>
        <v>9.16993</v>
      </c>
      <c r="E213" s="21">
        <f>F213</f>
        <v>9.16993</v>
      </c>
      <c r="F213" s="21">
        <f>ROUND(9.16993,5)</f>
        <v>9.16993</v>
      </c>
      <c r="G213" s="19"/>
      <c r="H213" s="29"/>
    </row>
    <row r="214" spans="1:8" ht="12.75" customHeight="1">
      <c r="A214" s="31">
        <v>43587</v>
      </c>
      <c r="B214" s="31"/>
      <c r="C214" s="21">
        <f>ROUND(9.02,5)</f>
        <v>9.02</v>
      </c>
      <c r="D214" s="21">
        <f>F214</f>
        <v>9.21087</v>
      </c>
      <c r="E214" s="21">
        <f>F214</f>
        <v>9.21087</v>
      </c>
      <c r="F214" s="21">
        <f>ROUND(9.21087,5)</f>
        <v>9.21087</v>
      </c>
      <c r="G214" s="19"/>
      <c r="H214" s="29"/>
    </row>
    <row r="215" spans="1:8" ht="12.75" customHeight="1">
      <c r="A215" s="31" t="s">
        <v>56</v>
      </c>
      <c r="B215" s="31"/>
      <c r="C215" s="18"/>
      <c r="D215" s="18"/>
      <c r="E215" s="18"/>
      <c r="F215" s="18"/>
      <c r="G215" s="19"/>
      <c r="H215" s="29"/>
    </row>
    <row r="216" spans="1:8" ht="12.75" customHeight="1">
      <c r="A216" s="31">
        <v>43223</v>
      </c>
      <c r="B216" s="31"/>
      <c r="C216" s="21">
        <f>ROUND(2.55,5)</f>
        <v>2.55</v>
      </c>
      <c r="D216" s="21">
        <f>F216</f>
        <v>187.39411</v>
      </c>
      <c r="E216" s="21">
        <f>F216</f>
        <v>187.39411</v>
      </c>
      <c r="F216" s="21">
        <f>ROUND(187.39411,5)</f>
        <v>187.39411</v>
      </c>
      <c r="G216" s="19"/>
      <c r="H216" s="29"/>
    </row>
    <row r="217" spans="1:8" ht="12.75" customHeight="1">
      <c r="A217" s="31">
        <v>43314</v>
      </c>
      <c r="B217" s="31"/>
      <c r="C217" s="21">
        <f>ROUND(2.55,5)</f>
        <v>2.55</v>
      </c>
      <c r="D217" s="21">
        <f>F217</f>
        <v>190.87043</v>
      </c>
      <c r="E217" s="21">
        <f>F217</f>
        <v>190.87043</v>
      </c>
      <c r="F217" s="21">
        <f>ROUND(190.87043,5)</f>
        <v>190.87043</v>
      </c>
      <c r="G217" s="19"/>
      <c r="H217" s="29"/>
    </row>
    <row r="218" spans="1:8" ht="12.75" customHeight="1">
      <c r="A218" s="31">
        <v>43405</v>
      </c>
      <c r="B218" s="31"/>
      <c r="C218" s="21">
        <f>ROUND(2.55,5)</f>
        <v>2.55</v>
      </c>
      <c r="D218" s="21">
        <f>F218</f>
        <v>191.99715</v>
      </c>
      <c r="E218" s="21">
        <f>F218</f>
        <v>191.99715</v>
      </c>
      <c r="F218" s="21">
        <f>ROUND(191.99715,5)</f>
        <v>191.99715</v>
      </c>
      <c r="G218" s="19"/>
      <c r="H218" s="29"/>
    </row>
    <row r="219" spans="1:8" ht="12.75" customHeight="1">
      <c r="A219" s="31">
        <v>43503</v>
      </c>
      <c r="B219" s="31"/>
      <c r="C219" s="21">
        <f>ROUND(2.55,5)</f>
        <v>2.55</v>
      </c>
      <c r="D219" s="21">
        <f>F219</f>
        <v>195.97833</v>
      </c>
      <c r="E219" s="21">
        <f>F219</f>
        <v>195.97833</v>
      </c>
      <c r="F219" s="21">
        <f>ROUND(195.97833,5)</f>
        <v>195.97833</v>
      </c>
      <c r="G219" s="19"/>
      <c r="H219" s="29"/>
    </row>
    <row r="220" spans="1:8" ht="12.75" customHeight="1">
      <c r="A220" s="31">
        <v>43587</v>
      </c>
      <c r="B220" s="31"/>
      <c r="C220" s="21">
        <f>ROUND(2.55,5)</f>
        <v>2.55</v>
      </c>
      <c r="D220" s="21">
        <f>F220</f>
        <v>199.29831</v>
      </c>
      <c r="E220" s="21">
        <f>F220</f>
        <v>199.29831</v>
      </c>
      <c r="F220" s="21">
        <f>ROUND(199.29831,5)</f>
        <v>199.29831</v>
      </c>
      <c r="G220" s="19"/>
      <c r="H220" s="29"/>
    </row>
    <row r="221" spans="1:8" ht="12.75" customHeight="1">
      <c r="A221" s="31" t="s">
        <v>57</v>
      </c>
      <c r="B221" s="31"/>
      <c r="C221" s="18"/>
      <c r="D221" s="18"/>
      <c r="E221" s="18"/>
      <c r="F221" s="18"/>
      <c r="G221" s="19"/>
      <c r="H221" s="29"/>
    </row>
    <row r="222" spans="1:8" ht="12.75" customHeight="1">
      <c r="A222" s="31">
        <v>43223</v>
      </c>
      <c r="B222" s="31"/>
      <c r="C222" s="21">
        <f>ROUND(2,5)</f>
        <v>2</v>
      </c>
      <c r="D222" s="21">
        <f>F222</f>
        <v>155.36932</v>
      </c>
      <c r="E222" s="21">
        <f>F222</f>
        <v>155.36932</v>
      </c>
      <c r="F222" s="21">
        <f>ROUND(155.36932,5)</f>
        <v>155.36932</v>
      </c>
      <c r="G222" s="19"/>
      <c r="H222" s="29"/>
    </row>
    <row r="223" spans="1:8" ht="12.75" customHeight="1">
      <c r="A223" s="31">
        <v>43314</v>
      </c>
      <c r="B223" s="31"/>
      <c r="C223" s="21">
        <f>ROUND(2,5)</f>
        <v>2</v>
      </c>
      <c r="D223" s="21">
        <f>F223</f>
        <v>156.14829</v>
      </c>
      <c r="E223" s="21">
        <f>F223</f>
        <v>156.14829</v>
      </c>
      <c r="F223" s="21">
        <f>ROUND(156.14829,5)</f>
        <v>156.14829</v>
      </c>
      <c r="G223" s="19"/>
      <c r="H223" s="29"/>
    </row>
    <row r="224" spans="1:8" ht="12.75" customHeight="1">
      <c r="A224" s="31">
        <v>43405</v>
      </c>
      <c r="B224" s="31"/>
      <c r="C224" s="21">
        <f>ROUND(2,5)</f>
        <v>2</v>
      </c>
      <c r="D224" s="21">
        <f>F224</f>
        <v>159.10945</v>
      </c>
      <c r="E224" s="21">
        <f>F224</f>
        <v>159.10945</v>
      </c>
      <c r="F224" s="21">
        <f>ROUND(159.10945,5)</f>
        <v>159.10945</v>
      </c>
      <c r="G224" s="19"/>
      <c r="H224" s="29"/>
    </row>
    <row r="225" spans="1:8" ht="12.75" customHeight="1">
      <c r="A225" s="31">
        <v>43503</v>
      </c>
      <c r="B225" s="31"/>
      <c r="C225" s="21">
        <f>ROUND(2,5)</f>
        <v>2</v>
      </c>
      <c r="D225" s="21">
        <f>F225</f>
        <v>160.26826</v>
      </c>
      <c r="E225" s="21">
        <f>F225</f>
        <v>160.26826</v>
      </c>
      <c r="F225" s="21">
        <f>ROUND(160.26826,5)</f>
        <v>160.26826</v>
      </c>
      <c r="G225" s="19"/>
      <c r="H225" s="29"/>
    </row>
    <row r="226" spans="1:8" ht="12.75" customHeight="1">
      <c r="A226" s="31">
        <v>43587</v>
      </c>
      <c r="B226" s="31"/>
      <c r="C226" s="21">
        <f>ROUND(2,5)</f>
        <v>2</v>
      </c>
      <c r="D226" s="21">
        <f>F226</f>
        <v>162.98175</v>
      </c>
      <c r="E226" s="21">
        <f>F226</f>
        <v>162.98175</v>
      </c>
      <c r="F226" s="21">
        <f>ROUND(162.98175,5)</f>
        <v>162.98175</v>
      </c>
      <c r="G226" s="19"/>
      <c r="H226" s="29"/>
    </row>
    <row r="227" spans="1:8" ht="12.75" customHeight="1">
      <c r="A227" s="31" t="s">
        <v>58</v>
      </c>
      <c r="B227" s="31"/>
      <c r="C227" s="18"/>
      <c r="D227" s="18"/>
      <c r="E227" s="18"/>
      <c r="F227" s="18"/>
      <c r="G227" s="19"/>
      <c r="H227" s="29"/>
    </row>
    <row r="228" spans="1:8" ht="12.75" customHeight="1">
      <c r="A228" s="31">
        <v>43223</v>
      </c>
      <c r="B228" s="31"/>
      <c r="C228" s="21">
        <f>ROUND(8.725,5)</f>
        <v>8.725</v>
      </c>
      <c r="D228" s="21">
        <f>F228</f>
        <v>8.75041</v>
      </c>
      <c r="E228" s="21">
        <f>F228</f>
        <v>8.75041</v>
      </c>
      <c r="F228" s="21">
        <f>ROUND(8.75041,5)</f>
        <v>8.75041</v>
      </c>
      <c r="G228" s="19"/>
      <c r="H228" s="29"/>
    </row>
    <row r="229" spans="1:8" ht="12.75" customHeight="1">
      <c r="A229" s="31">
        <v>43314</v>
      </c>
      <c r="B229" s="31"/>
      <c r="C229" s="21">
        <f>ROUND(8.725,5)</f>
        <v>8.725</v>
      </c>
      <c r="D229" s="21">
        <f>F229</f>
        <v>8.78773</v>
      </c>
      <c r="E229" s="21">
        <f>F229</f>
        <v>8.78773</v>
      </c>
      <c r="F229" s="21">
        <f>ROUND(8.78773,5)</f>
        <v>8.78773</v>
      </c>
      <c r="G229" s="19"/>
      <c r="H229" s="29"/>
    </row>
    <row r="230" spans="1:8" ht="12.75" customHeight="1">
      <c r="A230" s="31">
        <v>43405</v>
      </c>
      <c r="B230" s="31"/>
      <c r="C230" s="21">
        <f>ROUND(8.725,5)</f>
        <v>8.725</v>
      </c>
      <c r="D230" s="21">
        <f>F230</f>
        <v>8.82627</v>
      </c>
      <c r="E230" s="21">
        <f>F230</f>
        <v>8.82627</v>
      </c>
      <c r="F230" s="21">
        <f>ROUND(8.82627,5)</f>
        <v>8.82627</v>
      </c>
      <c r="G230" s="19"/>
      <c r="H230" s="29"/>
    </row>
    <row r="231" spans="1:8" ht="12.75" customHeight="1">
      <c r="A231" s="31">
        <v>43503</v>
      </c>
      <c r="B231" s="31"/>
      <c r="C231" s="21">
        <f>ROUND(8.725,5)</f>
        <v>8.725</v>
      </c>
      <c r="D231" s="21">
        <f>F231</f>
        <v>8.86955</v>
      </c>
      <c r="E231" s="21">
        <f>F231</f>
        <v>8.86955</v>
      </c>
      <c r="F231" s="21">
        <f>ROUND(8.86955,5)</f>
        <v>8.86955</v>
      </c>
      <c r="G231" s="19"/>
      <c r="H231" s="29"/>
    </row>
    <row r="232" spans="1:8" ht="12.75" customHeight="1">
      <c r="A232" s="31">
        <v>43587</v>
      </c>
      <c r="B232" s="31"/>
      <c r="C232" s="21">
        <f>ROUND(8.725,5)</f>
        <v>8.725</v>
      </c>
      <c r="D232" s="21">
        <f>F232</f>
        <v>8.90855</v>
      </c>
      <c r="E232" s="21">
        <f>F232</f>
        <v>8.90855</v>
      </c>
      <c r="F232" s="21">
        <f>ROUND(8.90855,5)</f>
        <v>8.90855</v>
      </c>
      <c r="G232" s="19"/>
      <c r="H232" s="29"/>
    </row>
    <row r="233" spans="1:8" ht="12.75" customHeight="1">
      <c r="A233" s="31" t="s">
        <v>59</v>
      </c>
      <c r="B233" s="31"/>
      <c r="C233" s="18"/>
      <c r="D233" s="18"/>
      <c r="E233" s="18"/>
      <c r="F233" s="18"/>
      <c r="G233" s="19"/>
      <c r="H233" s="29"/>
    </row>
    <row r="234" spans="1:8" ht="12.75" customHeight="1">
      <c r="A234" s="31">
        <v>43223</v>
      </c>
      <c r="B234" s="31"/>
      <c r="C234" s="21">
        <f>ROUND(9.145,5)</f>
        <v>9.145</v>
      </c>
      <c r="D234" s="21">
        <f>F234</f>
        <v>9.17184</v>
      </c>
      <c r="E234" s="21">
        <f>F234</f>
        <v>9.17184</v>
      </c>
      <c r="F234" s="21">
        <f>ROUND(9.17184,5)</f>
        <v>9.17184</v>
      </c>
      <c r="G234" s="19"/>
      <c r="H234" s="29"/>
    </row>
    <row r="235" spans="1:8" ht="12.75" customHeight="1">
      <c r="A235" s="31">
        <v>43314</v>
      </c>
      <c r="B235" s="31"/>
      <c r="C235" s="21">
        <f>ROUND(9.145,5)</f>
        <v>9.145</v>
      </c>
      <c r="D235" s="21">
        <f>F235</f>
        <v>9.21139</v>
      </c>
      <c r="E235" s="21">
        <f>F235</f>
        <v>9.21139</v>
      </c>
      <c r="F235" s="21">
        <f>ROUND(9.21139,5)</f>
        <v>9.21139</v>
      </c>
      <c r="G235" s="19"/>
      <c r="H235" s="29"/>
    </row>
    <row r="236" spans="1:8" ht="12.75" customHeight="1">
      <c r="A236" s="31">
        <v>43405</v>
      </c>
      <c r="B236" s="31"/>
      <c r="C236" s="21">
        <f>ROUND(9.145,5)</f>
        <v>9.145</v>
      </c>
      <c r="D236" s="21">
        <f>F236</f>
        <v>9.25179</v>
      </c>
      <c r="E236" s="21">
        <f>F236</f>
        <v>9.25179</v>
      </c>
      <c r="F236" s="21">
        <f>ROUND(9.25179,5)</f>
        <v>9.25179</v>
      </c>
      <c r="G236" s="19"/>
      <c r="H236" s="29"/>
    </row>
    <row r="237" spans="1:8" ht="12.75" customHeight="1">
      <c r="A237" s="31">
        <v>43503</v>
      </c>
      <c r="B237" s="31"/>
      <c r="C237" s="21">
        <f>ROUND(9.145,5)</f>
        <v>9.145</v>
      </c>
      <c r="D237" s="21">
        <f>F237</f>
        <v>9.29676</v>
      </c>
      <c r="E237" s="21">
        <f>F237</f>
        <v>9.29676</v>
      </c>
      <c r="F237" s="21">
        <f>ROUND(9.29676,5)</f>
        <v>9.29676</v>
      </c>
      <c r="G237" s="19"/>
      <c r="H237" s="29"/>
    </row>
    <row r="238" spans="1:8" ht="12.75" customHeight="1">
      <c r="A238" s="31">
        <v>43587</v>
      </c>
      <c r="B238" s="31"/>
      <c r="C238" s="21">
        <f>ROUND(9.145,5)</f>
        <v>9.145</v>
      </c>
      <c r="D238" s="21">
        <f>F238</f>
        <v>9.33635</v>
      </c>
      <c r="E238" s="21">
        <f>F238</f>
        <v>9.33635</v>
      </c>
      <c r="F238" s="21">
        <f>ROUND(9.33635,5)</f>
        <v>9.33635</v>
      </c>
      <c r="G238" s="19"/>
      <c r="H238" s="29"/>
    </row>
    <row r="239" spans="1:8" ht="12.75" customHeight="1">
      <c r="A239" s="31" t="s">
        <v>60</v>
      </c>
      <c r="B239" s="31"/>
      <c r="C239" s="18"/>
      <c r="D239" s="18"/>
      <c r="E239" s="18"/>
      <c r="F239" s="18"/>
      <c r="G239" s="19"/>
      <c r="H239" s="29"/>
    </row>
    <row r="240" spans="1:8" ht="12.75" customHeight="1">
      <c r="A240" s="31">
        <v>43223</v>
      </c>
      <c r="B240" s="31"/>
      <c r="C240" s="21">
        <f>ROUND(9.18,5)</f>
        <v>9.18</v>
      </c>
      <c r="D240" s="21">
        <f>F240</f>
        <v>9.20724</v>
      </c>
      <c r="E240" s="21">
        <f>F240</f>
        <v>9.20724</v>
      </c>
      <c r="F240" s="21">
        <f>ROUND(9.20724,5)</f>
        <v>9.20724</v>
      </c>
      <c r="G240" s="19"/>
      <c r="H240" s="29"/>
    </row>
    <row r="241" spans="1:8" ht="12.75" customHeight="1">
      <c r="A241" s="31">
        <v>43314</v>
      </c>
      <c r="B241" s="31"/>
      <c r="C241" s="21">
        <f>ROUND(9.18,5)</f>
        <v>9.18</v>
      </c>
      <c r="D241" s="21">
        <f>F241</f>
        <v>9.24741</v>
      </c>
      <c r="E241" s="21">
        <f>F241</f>
        <v>9.24741</v>
      </c>
      <c r="F241" s="21">
        <f>ROUND(9.24741,5)</f>
        <v>9.24741</v>
      </c>
      <c r="G241" s="19"/>
      <c r="H241" s="29"/>
    </row>
    <row r="242" spans="1:8" ht="12.75" customHeight="1">
      <c r="A242" s="31">
        <v>43405</v>
      </c>
      <c r="B242" s="31"/>
      <c r="C242" s="21">
        <f>ROUND(9.18,5)</f>
        <v>9.18</v>
      </c>
      <c r="D242" s="21">
        <f>F242</f>
        <v>9.28841</v>
      </c>
      <c r="E242" s="21">
        <f>F242</f>
        <v>9.28841</v>
      </c>
      <c r="F242" s="21">
        <f>ROUND(9.28841,5)</f>
        <v>9.28841</v>
      </c>
      <c r="G242" s="19"/>
      <c r="H242" s="29"/>
    </row>
    <row r="243" spans="1:8" ht="12.75" customHeight="1">
      <c r="A243" s="31">
        <v>43503</v>
      </c>
      <c r="B243" s="31"/>
      <c r="C243" s="21">
        <f>ROUND(9.18,5)</f>
        <v>9.18</v>
      </c>
      <c r="D243" s="21">
        <f>F243</f>
        <v>9.33404</v>
      </c>
      <c r="E243" s="21">
        <f>F243</f>
        <v>9.33404</v>
      </c>
      <c r="F243" s="21">
        <f>ROUND(9.33404,5)</f>
        <v>9.33404</v>
      </c>
      <c r="G243" s="19"/>
      <c r="H243" s="29"/>
    </row>
    <row r="244" spans="1:8" ht="12.75" customHeight="1">
      <c r="A244" s="31">
        <v>43587</v>
      </c>
      <c r="B244" s="31"/>
      <c r="C244" s="21">
        <f>ROUND(9.18,5)</f>
        <v>9.18</v>
      </c>
      <c r="D244" s="21">
        <f>F244</f>
        <v>9.37416</v>
      </c>
      <c r="E244" s="21">
        <f>F244</f>
        <v>9.37416</v>
      </c>
      <c r="F244" s="21">
        <f>ROUND(9.37416,5)</f>
        <v>9.37416</v>
      </c>
      <c r="G244" s="19"/>
      <c r="H244" s="29"/>
    </row>
    <row r="245" spans="1:8" ht="12.75" customHeight="1">
      <c r="A245" s="31" t="s">
        <v>61</v>
      </c>
      <c r="B245" s="31"/>
      <c r="C245" s="18"/>
      <c r="D245" s="18"/>
      <c r="E245" s="18"/>
      <c r="F245" s="18"/>
      <c r="G245" s="19"/>
      <c r="H245" s="29"/>
    </row>
    <row r="246" spans="1:8" ht="12.75" customHeight="1">
      <c r="A246" s="31">
        <v>43187</v>
      </c>
      <c r="B246" s="31"/>
      <c r="C246" s="20">
        <v>37.7912</v>
      </c>
      <c r="D246" s="19">
        <f>F246</f>
        <v>37.9923</v>
      </c>
      <c r="E246" s="19">
        <f>F246</f>
        <v>37.9923</v>
      </c>
      <c r="F246" s="20">
        <v>37.9923</v>
      </c>
      <c r="G246" s="19"/>
      <c r="H246" s="29"/>
    </row>
    <row r="247" spans="1:8" ht="12.75" customHeight="1">
      <c r="A247" s="31" t="s">
        <v>62</v>
      </c>
      <c r="B247" s="31"/>
      <c r="C247" s="18"/>
      <c r="D247" s="18"/>
      <c r="E247" s="18"/>
      <c r="F247" s="18"/>
      <c r="G247" s="19"/>
      <c r="H247" s="29"/>
    </row>
    <row r="248" spans="1:8" ht="12.75" customHeight="1">
      <c r="A248" s="31">
        <v>43187</v>
      </c>
      <c r="B248" s="31"/>
      <c r="C248" s="20">
        <v>19.1333</v>
      </c>
      <c r="D248" s="19">
        <f>F248</f>
        <v>19.2351</v>
      </c>
      <c r="E248" s="19">
        <f>F248</f>
        <v>19.2351</v>
      </c>
      <c r="F248" s="20">
        <v>19.2351</v>
      </c>
      <c r="G248" s="19"/>
      <c r="H248" s="29"/>
    </row>
    <row r="249" spans="1:8" ht="12.75" customHeight="1">
      <c r="A249" s="31" t="s">
        <v>63</v>
      </c>
      <c r="B249" s="31"/>
      <c r="C249" s="18"/>
      <c r="D249" s="18"/>
      <c r="E249" s="18"/>
      <c r="F249" s="18"/>
      <c r="G249" s="19"/>
      <c r="H249" s="29"/>
    </row>
    <row r="250" spans="1:8" ht="12.75" customHeight="1">
      <c r="A250" s="31">
        <v>43187</v>
      </c>
      <c r="B250" s="31"/>
      <c r="C250" s="20">
        <v>763.4625</v>
      </c>
      <c r="D250" s="19">
        <f>F250</f>
        <v>767.5253</v>
      </c>
      <c r="E250" s="19">
        <f>F250</f>
        <v>767.5253</v>
      </c>
      <c r="F250" s="20">
        <v>767.5253</v>
      </c>
      <c r="G250" s="19"/>
      <c r="H250" s="29"/>
    </row>
    <row r="251" spans="1:8" ht="12.75" customHeight="1">
      <c r="A251" s="31" t="s">
        <v>64</v>
      </c>
      <c r="B251" s="31"/>
      <c r="C251" s="18"/>
      <c r="D251" s="18"/>
      <c r="E251" s="18"/>
      <c r="F251" s="18"/>
      <c r="G251" s="19"/>
      <c r="H251" s="29"/>
    </row>
    <row r="252" spans="1:8" ht="12.75" customHeight="1">
      <c r="A252" s="31">
        <v>43174</v>
      </c>
      <c r="B252" s="31"/>
      <c r="C252" s="20">
        <f>ROUND(9.28956877875,4)</f>
        <v>9.2896</v>
      </c>
      <c r="D252" s="20">
        <f>F252</f>
        <v>9.3023</v>
      </c>
      <c r="E252" s="20">
        <f>F252</f>
        <v>9.3023</v>
      </c>
      <c r="F252" s="20">
        <f>ROUND(9.3023,4)</f>
        <v>9.3023</v>
      </c>
      <c r="G252" s="19"/>
      <c r="H252" s="29"/>
    </row>
    <row r="253" spans="1:8" ht="12.75" customHeight="1">
      <c r="A253" s="31">
        <v>43188</v>
      </c>
      <c r="B253" s="31"/>
      <c r="C253" s="20">
        <f>ROUND(9.28956877875,4)</f>
        <v>9.2896</v>
      </c>
      <c r="D253" s="20">
        <f>F253</f>
        <v>9.3222</v>
      </c>
      <c r="E253" s="20">
        <f>F253</f>
        <v>9.3222</v>
      </c>
      <c r="F253" s="20">
        <f>ROUND(9.3222,4)</f>
        <v>9.3222</v>
      </c>
      <c r="G253" s="19"/>
      <c r="H253" s="29"/>
    </row>
    <row r="254" spans="1:8" ht="12.75" customHeight="1">
      <c r="A254" s="31" t="s">
        <v>65</v>
      </c>
      <c r="B254" s="31"/>
      <c r="C254" s="18"/>
      <c r="D254" s="18"/>
      <c r="E254" s="18"/>
      <c r="F254" s="18"/>
      <c r="G254" s="19"/>
      <c r="H254" s="29"/>
    </row>
    <row r="255" spans="1:8" ht="12.75" customHeight="1">
      <c r="A255" s="31">
        <v>43174</v>
      </c>
      <c r="B255" s="31"/>
      <c r="C255" s="20">
        <f>ROUND(14.766528335,4)</f>
        <v>14.7665</v>
      </c>
      <c r="D255" s="20">
        <f>F255</f>
        <v>14.7946</v>
      </c>
      <c r="E255" s="20">
        <f>F255</f>
        <v>14.7946</v>
      </c>
      <c r="F255" s="20">
        <f>ROUND(14.7946,4)</f>
        <v>14.7946</v>
      </c>
      <c r="G255" s="19"/>
      <c r="H255" s="29"/>
    </row>
    <row r="256" spans="1:8" ht="12.75" customHeight="1">
      <c r="A256" s="31">
        <v>43188</v>
      </c>
      <c r="B256" s="31"/>
      <c r="C256" s="20">
        <f>ROUND(14.766528335,4)</f>
        <v>14.7665</v>
      </c>
      <c r="D256" s="20">
        <f>F256</f>
        <v>14.8411</v>
      </c>
      <c r="E256" s="20">
        <f>F256</f>
        <v>14.8411</v>
      </c>
      <c r="F256" s="20">
        <f>ROUND(14.8411,4)</f>
        <v>14.8411</v>
      </c>
      <c r="G256" s="19"/>
      <c r="H256" s="29"/>
    </row>
    <row r="257" spans="1:8" ht="12.75" customHeight="1">
      <c r="A257" s="31">
        <v>43201</v>
      </c>
      <c r="B257" s="31"/>
      <c r="C257" s="20">
        <f>ROUND(14.766528335,4)</f>
        <v>14.7665</v>
      </c>
      <c r="D257" s="20">
        <f>F257</f>
        <v>14.8895</v>
      </c>
      <c r="E257" s="20">
        <f>F257</f>
        <v>14.8895</v>
      </c>
      <c r="F257" s="20">
        <f>ROUND(14.8895,4)</f>
        <v>14.8895</v>
      </c>
      <c r="G257" s="19"/>
      <c r="H257" s="29"/>
    </row>
    <row r="258" spans="1:8" ht="12.75" customHeight="1">
      <c r="A258" s="31">
        <v>43220</v>
      </c>
      <c r="B258" s="31"/>
      <c r="C258" s="20">
        <f>ROUND(14.766528335,4)</f>
        <v>14.7665</v>
      </c>
      <c r="D258" s="20">
        <f>F258</f>
        <v>14.949</v>
      </c>
      <c r="E258" s="20">
        <f>F258</f>
        <v>14.949</v>
      </c>
      <c r="F258" s="20">
        <f>ROUND(14.949,4)</f>
        <v>14.949</v>
      </c>
      <c r="G258" s="19"/>
      <c r="H258" s="29"/>
    </row>
    <row r="259" spans="1:8" ht="12.75" customHeight="1">
      <c r="A259" s="31" t="s">
        <v>66</v>
      </c>
      <c r="B259" s="31"/>
      <c r="C259" s="18"/>
      <c r="D259" s="18"/>
      <c r="E259" s="18"/>
      <c r="F259" s="18"/>
      <c r="G259" s="19"/>
      <c r="H259" s="29"/>
    </row>
    <row r="260" spans="1:8" ht="12.75" customHeight="1">
      <c r="A260" s="31">
        <v>43174</v>
      </c>
      <c r="B260" s="31"/>
      <c r="C260" s="20">
        <f>ROUND(16.51472896125,4)</f>
        <v>16.5147</v>
      </c>
      <c r="D260" s="20">
        <f>F260</f>
        <v>16.5416</v>
      </c>
      <c r="E260" s="20">
        <f>F260</f>
        <v>16.5416</v>
      </c>
      <c r="F260" s="20">
        <f>ROUND(16.5416,4)</f>
        <v>16.5416</v>
      </c>
      <c r="G260" s="19"/>
      <c r="H260" s="29"/>
    </row>
    <row r="261" spans="1:8" ht="12.75" customHeight="1">
      <c r="A261" s="31">
        <v>43220</v>
      </c>
      <c r="B261" s="31"/>
      <c r="C261" s="20">
        <f>ROUND(16.51472896125,4)</f>
        <v>16.5147</v>
      </c>
      <c r="D261" s="20">
        <f>F261</f>
        <v>16.6913</v>
      </c>
      <c r="E261" s="20">
        <f>F261</f>
        <v>16.6913</v>
      </c>
      <c r="F261" s="20">
        <f>ROUND(16.6913,4)</f>
        <v>16.6913</v>
      </c>
      <c r="G261" s="19"/>
      <c r="H261" s="29"/>
    </row>
    <row r="262" spans="1:8" ht="12.75" customHeight="1">
      <c r="A262" s="31" t="s">
        <v>67</v>
      </c>
      <c r="B262" s="31"/>
      <c r="C262" s="18"/>
      <c r="D262" s="18"/>
      <c r="E262" s="18"/>
      <c r="F262" s="18"/>
      <c r="G262" s="19"/>
      <c r="H262" s="29"/>
    </row>
    <row r="263" spans="1:8" ht="12.75" customHeight="1">
      <c r="A263" s="31">
        <v>43161</v>
      </c>
      <c r="B263" s="31"/>
      <c r="C263" s="20">
        <f aca="true" t="shared" si="9" ref="C263:C302">ROUND(11.99575,4)</f>
        <v>11.9958</v>
      </c>
      <c r="D263" s="20">
        <f aca="true" t="shared" si="10" ref="D263:D302">F263</f>
        <v>11.9958</v>
      </c>
      <c r="E263" s="20">
        <f aca="true" t="shared" si="11" ref="E263:E302">F263</f>
        <v>11.9958</v>
      </c>
      <c r="F263" s="20">
        <f>ROUND(11.9958,4)</f>
        <v>11.9958</v>
      </c>
      <c r="G263" s="19"/>
      <c r="H263" s="29"/>
    </row>
    <row r="264" spans="1:8" ht="12.75" customHeight="1">
      <c r="A264" s="31">
        <v>43168</v>
      </c>
      <c r="B264" s="31"/>
      <c r="C264" s="20">
        <f t="shared" si="9"/>
        <v>11.9958</v>
      </c>
      <c r="D264" s="20">
        <f t="shared" si="10"/>
        <v>12.0018</v>
      </c>
      <c r="E264" s="20">
        <f t="shared" si="11"/>
        <v>12.0018</v>
      </c>
      <c r="F264" s="20">
        <f>ROUND(12.0018,4)</f>
        <v>12.0018</v>
      </c>
      <c r="G264" s="19"/>
      <c r="H264" s="29"/>
    </row>
    <row r="265" spans="1:8" ht="12.75" customHeight="1">
      <c r="A265" s="31">
        <v>43174</v>
      </c>
      <c r="B265" s="31"/>
      <c r="C265" s="20">
        <f t="shared" si="9"/>
        <v>11.9958</v>
      </c>
      <c r="D265" s="20">
        <f t="shared" si="10"/>
        <v>12.0121</v>
      </c>
      <c r="E265" s="20">
        <f t="shared" si="11"/>
        <v>12.0121</v>
      </c>
      <c r="F265" s="20">
        <f>ROUND(12.0121,4)</f>
        <v>12.0121</v>
      </c>
      <c r="G265" s="19"/>
      <c r="H265" s="29"/>
    </row>
    <row r="266" spans="1:8" ht="12.75" customHeight="1">
      <c r="A266" s="31">
        <v>43181</v>
      </c>
      <c r="B266" s="31"/>
      <c r="C266" s="20">
        <f t="shared" si="9"/>
        <v>11.9958</v>
      </c>
      <c r="D266" s="20">
        <f t="shared" si="10"/>
        <v>12.0248</v>
      </c>
      <c r="E266" s="20">
        <f t="shared" si="11"/>
        <v>12.0248</v>
      </c>
      <c r="F266" s="20">
        <f>ROUND(12.0248,4)</f>
        <v>12.0248</v>
      </c>
      <c r="G266" s="19"/>
      <c r="H266" s="29"/>
    </row>
    <row r="267" spans="1:8" ht="12.75" customHeight="1">
      <c r="A267" s="31">
        <v>43187</v>
      </c>
      <c r="B267" s="31"/>
      <c r="C267" s="20">
        <f t="shared" si="9"/>
        <v>11.9958</v>
      </c>
      <c r="D267" s="20">
        <f t="shared" si="10"/>
        <v>12.0356</v>
      </c>
      <c r="E267" s="20">
        <f t="shared" si="11"/>
        <v>12.0356</v>
      </c>
      <c r="F267" s="20">
        <f>ROUND(12.0356,4)</f>
        <v>12.0356</v>
      </c>
      <c r="G267" s="19"/>
      <c r="H267" s="29"/>
    </row>
    <row r="268" spans="1:8" ht="12.75" customHeight="1">
      <c r="A268" s="31">
        <v>43188</v>
      </c>
      <c r="B268" s="31"/>
      <c r="C268" s="20">
        <f t="shared" si="9"/>
        <v>11.9958</v>
      </c>
      <c r="D268" s="20">
        <f t="shared" si="10"/>
        <v>12.0374</v>
      </c>
      <c r="E268" s="20">
        <f t="shared" si="11"/>
        <v>12.0374</v>
      </c>
      <c r="F268" s="20">
        <f>ROUND(12.0374,4)</f>
        <v>12.0374</v>
      </c>
      <c r="G268" s="19"/>
      <c r="H268" s="29"/>
    </row>
    <row r="269" spans="1:8" ht="12.75" customHeight="1">
      <c r="A269" s="31">
        <v>43196</v>
      </c>
      <c r="B269" s="31"/>
      <c r="C269" s="20">
        <f t="shared" si="9"/>
        <v>11.9958</v>
      </c>
      <c r="D269" s="20">
        <f t="shared" si="10"/>
        <v>12.0519</v>
      </c>
      <c r="E269" s="20">
        <f t="shared" si="11"/>
        <v>12.0519</v>
      </c>
      <c r="F269" s="20">
        <f>ROUND(12.0519,4)</f>
        <v>12.0519</v>
      </c>
      <c r="G269" s="19"/>
      <c r="H269" s="29"/>
    </row>
    <row r="270" spans="1:8" ht="12.75" customHeight="1">
      <c r="A270" s="31">
        <v>43206</v>
      </c>
      <c r="B270" s="31"/>
      <c r="C270" s="20">
        <f t="shared" si="9"/>
        <v>11.9958</v>
      </c>
      <c r="D270" s="20">
        <f t="shared" si="10"/>
        <v>12.0687</v>
      </c>
      <c r="E270" s="20">
        <f t="shared" si="11"/>
        <v>12.0687</v>
      </c>
      <c r="F270" s="20">
        <f>ROUND(12.0687,4)</f>
        <v>12.0687</v>
      </c>
      <c r="G270" s="19"/>
      <c r="H270" s="29"/>
    </row>
    <row r="271" spans="1:8" ht="12.75" customHeight="1">
      <c r="A271" s="31">
        <v>43214</v>
      </c>
      <c r="B271" s="31"/>
      <c r="C271" s="20">
        <f t="shared" si="9"/>
        <v>11.9958</v>
      </c>
      <c r="D271" s="20">
        <f t="shared" si="10"/>
        <v>12.0822</v>
      </c>
      <c r="E271" s="20">
        <f t="shared" si="11"/>
        <v>12.0822</v>
      </c>
      <c r="F271" s="20">
        <f>ROUND(12.0822,4)</f>
        <v>12.0822</v>
      </c>
      <c r="G271" s="19"/>
      <c r="H271" s="29"/>
    </row>
    <row r="272" spans="1:8" ht="12.75" customHeight="1">
      <c r="A272" s="31">
        <v>43215</v>
      </c>
      <c r="B272" s="31"/>
      <c r="C272" s="20">
        <f t="shared" si="9"/>
        <v>11.9958</v>
      </c>
      <c r="D272" s="20">
        <f t="shared" si="10"/>
        <v>12.0838</v>
      </c>
      <c r="E272" s="20">
        <f t="shared" si="11"/>
        <v>12.0838</v>
      </c>
      <c r="F272" s="20">
        <f>ROUND(12.0838,4)</f>
        <v>12.0838</v>
      </c>
      <c r="G272" s="19"/>
      <c r="H272" s="29"/>
    </row>
    <row r="273" spans="1:8" ht="12.75" customHeight="1">
      <c r="A273" s="31">
        <v>43220</v>
      </c>
      <c r="B273" s="31"/>
      <c r="C273" s="20">
        <f t="shared" si="9"/>
        <v>11.9958</v>
      </c>
      <c r="D273" s="20">
        <f t="shared" si="10"/>
        <v>12.0923</v>
      </c>
      <c r="E273" s="20">
        <f t="shared" si="11"/>
        <v>12.0923</v>
      </c>
      <c r="F273" s="20">
        <f>ROUND(12.0923,4)</f>
        <v>12.0923</v>
      </c>
      <c r="G273" s="19"/>
      <c r="H273" s="29"/>
    </row>
    <row r="274" spans="1:8" ht="12.75" customHeight="1">
      <c r="A274" s="31">
        <v>43222</v>
      </c>
      <c r="B274" s="31"/>
      <c r="C274" s="20">
        <f t="shared" si="9"/>
        <v>11.9958</v>
      </c>
      <c r="D274" s="20">
        <f t="shared" si="10"/>
        <v>12.0956</v>
      </c>
      <c r="E274" s="20">
        <f t="shared" si="11"/>
        <v>12.0956</v>
      </c>
      <c r="F274" s="20">
        <f>ROUND(12.0956,4)</f>
        <v>12.0956</v>
      </c>
      <c r="G274" s="19"/>
      <c r="H274" s="29"/>
    </row>
    <row r="275" spans="1:8" ht="12.75" customHeight="1">
      <c r="A275" s="31">
        <v>43229</v>
      </c>
      <c r="B275" s="31"/>
      <c r="C275" s="20">
        <f t="shared" si="9"/>
        <v>11.9958</v>
      </c>
      <c r="D275" s="20">
        <f t="shared" si="10"/>
        <v>12.1073</v>
      </c>
      <c r="E275" s="20">
        <f t="shared" si="11"/>
        <v>12.1073</v>
      </c>
      <c r="F275" s="20">
        <f>ROUND(12.1073,4)</f>
        <v>12.1073</v>
      </c>
      <c r="G275" s="19"/>
      <c r="H275" s="29"/>
    </row>
    <row r="276" spans="1:8" ht="12.75" customHeight="1">
      <c r="A276" s="31">
        <v>43231</v>
      </c>
      <c r="B276" s="31"/>
      <c r="C276" s="20">
        <f t="shared" si="9"/>
        <v>11.9958</v>
      </c>
      <c r="D276" s="20">
        <f t="shared" si="10"/>
        <v>12.1105</v>
      </c>
      <c r="E276" s="20">
        <f t="shared" si="11"/>
        <v>12.1105</v>
      </c>
      <c r="F276" s="20">
        <f>ROUND(12.1105,4)</f>
        <v>12.1105</v>
      </c>
      <c r="G276" s="19"/>
      <c r="H276" s="29"/>
    </row>
    <row r="277" spans="1:8" ht="12.75" customHeight="1">
      <c r="A277" s="31">
        <v>43234</v>
      </c>
      <c r="B277" s="31"/>
      <c r="C277" s="20">
        <f t="shared" si="9"/>
        <v>11.9958</v>
      </c>
      <c r="D277" s="20">
        <f t="shared" si="10"/>
        <v>12.1154</v>
      </c>
      <c r="E277" s="20">
        <f t="shared" si="11"/>
        <v>12.1154</v>
      </c>
      <c r="F277" s="20">
        <f>ROUND(12.1154,4)</f>
        <v>12.1154</v>
      </c>
      <c r="G277" s="19"/>
      <c r="H277" s="29"/>
    </row>
    <row r="278" spans="1:8" ht="12.75" customHeight="1">
      <c r="A278" s="31">
        <v>43235</v>
      </c>
      <c r="B278" s="31"/>
      <c r="C278" s="20">
        <f t="shared" si="9"/>
        <v>11.9958</v>
      </c>
      <c r="D278" s="20">
        <f t="shared" si="10"/>
        <v>12.117</v>
      </c>
      <c r="E278" s="20">
        <f t="shared" si="11"/>
        <v>12.117</v>
      </c>
      <c r="F278" s="20">
        <f>ROUND(12.117,4)</f>
        <v>12.117</v>
      </c>
      <c r="G278" s="19"/>
      <c r="H278" s="29"/>
    </row>
    <row r="279" spans="1:8" ht="12.75" customHeight="1">
      <c r="A279" s="31">
        <v>43238</v>
      </c>
      <c r="B279" s="31"/>
      <c r="C279" s="20">
        <f t="shared" si="9"/>
        <v>11.9958</v>
      </c>
      <c r="D279" s="20">
        <f t="shared" si="10"/>
        <v>12.1219</v>
      </c>
      <c r="E279" s="20">
        <f t="shared" si="11"/>
        <v>12.1219</v>
      </c>
      <c r="F279" s="20">
        <f>ROUND(12.1219,4)</f>
        <v>12.1219</v>
      </c>
      <c r="G279" s="19"/>
      <c r="H279" s="29"/>
    </row>
    <row r="280" spans="1:8" ht="12.75" customHeight="1">
      <c r="A280" s="31">
        <v>43251</v>
      </c>
      <c r="B280" s="31"/>
      <c r="C280" s="20">
        <f t="shared" si="9"/>
        <v>11.9958</v>
      </c>
      <c r="D280" s="20">
        <f t="shared" si="10"/>
        <v>12.1429</v>
      </c>
      <c r="E280" s="20">
        <f t="shared" si="11"/>
        <v>12.1429</v>
      </c>
      <c r="F280" s="20">
        <f>ROUND(12.1429,4)</f>
        <v>12.1429</v>
      </c>
      <c r="G280" s="19"/>
      <c r="H280" s="29"/>
    </row>
    <row r="281" spans="1:8" ht="12.75" customHeight="1">
      <c r="A281" s="31">
        <v>43280</v>
      </c>
      <c r="B281" s="31"/>
      <c r="C281" s="20">
        <f t="shared" si="9"/>
        <v>11.9958</v>
      </c>
      <c r="D281" s="20">
        <f t="shared" si="10"/>
        <v>12.1896</v>
      </c>
      <c r="E281" s="20">
        <f t="shared" si="11"/>
        <v>12.1896</v>
      </c>
      <c r="F281" s="20">
        <f>ROUND(12.1896,4)</f>
        <v>12.1896</v>
      </c>
      <c r="G281" s="19"/>
      <c r="H281" s="29"/>
    </row>
    <row r="282" spans="1:8" ht="12.75" customHeight="1">
      <c r="A282" s="31">
        <v>43283</v>
      </c>
      <c r="B282" s="31"/>
      <c r="C282" s="20">
        <f t="shared" si="9"/>
        <v>11.9958</v>
      </c>
      <c r="D282" s="20">
        <f t="shared" si="10"/>
        <v>12.1945</v>
      </c>
      <c r="E282" s="20">
        <f t="shared" si="11"/>
        <v>12.1945</v>
      </c>
      <c r="F282" s="20">
        <f>ROUND(12.1945,4)</f>
        <v>12.1945</v>
      </c>
      <c r="G282" s="19"/>
      <c r="H282" s="29"/>
    </row>
    <row r="283" spans="1:8" ht="12.75" customHeight="1">
      <c r="A283" s="31">
        <v>43287</v>
      </c>
      <c r="B283" s="31"/>
      <c r="C283" s="20">
        <f t="shared" si="9"/>
        <v>11.9958</v>
      </c>
      <c r="D283" s="20">
        <f t="shared" si="10"/>
        <v>12.2009</v>
      </c>
      <c r="E283" s="20">
        <f t="shared" si="11"/>
        <v>12.2009</v>
      </c>
      <c r="F283" s="20">
        <f>ROUND(12.2009,4)</f>
        <v>12.2009</v>
      </c>
      <c r="G283" s="19"/>
      <c r="H283" s="29"/>
    </row>
    <row r="284" spans="1:8" ht="12.75" customHeight="1">
      <c r="A284" s="31">
        <v>43301</v>
      </c>
      <c r="B284" s="31"/>
      <c r="C284" s="20">
        <f t="shared" si="9"/>
        <v>11.9958</v>
      </c>
      <c r="D284" s="20">
        <f t="shared" si="10"/>
        <v>12.2234</v>
      </c>
      <c r="E284" s="20">
        <f t="shared" si="11"/>
        <v>12.2234</v>
      </c>
      <c r="F284" s="20">
        <f>ROUND(12.2234,4)</f>
        <v>12.2234</v>
      </c>
      <c r="G284" s="19"/>
      <c r="H284" s="29"/>
    </row>
    <row r="285" spans="1:8" ht="12.75" customHeight="1">
      <c r="A285" s="31">
        <v>43305</v>
      </c>
      <c r="B285" s="31"/>
      <c r="C285" s="20">
        <f t="shared" si="9"/>
        <v>11.9958</v>
      </c>
      <c r="D285" s="20">
        <f t="shared" si="10"/>
        <v>12.2299</v>
      </c>
      <c r="E285" s="20">
        <f t="shared" si="11"/>
        <v>12.2299</v>
      </c>
      <c r="F285" s="20">
        <f>ROUND(12.2299,4)</f>
        <v>12.2299</v>
      </c>
      <c r="G285" s="19"/>
      <c r="H285" s="29"/>
    </row>
    <row r="286" spans="1:8" ht="12.75" customHeight="1">
      <c r="A286" s="31">
        <v>43306</v>
      </c>
      <c r="B286" s="31"/>
      <c r="C286" s="20">
        <f t="shared" si="9"/>
        <v>11.9958</v>
      </c>
      <c r="D286" s="20">
        <f t="shared" si="10"/>
        <v>12.2315</v>
      </c>
      <c r="E286" s="20">
        <f t="shared" si="11"/>
        <v>12.2315</v>
      </c>
      <c r="F286" s="20">
        <f>ROUND(12.2315,4)</f>
        <v>12.2315</v>
      </c>
      <c r="G286" s="19"/>
      <c r="H286" s="29"/>
    </row>
    <row r="287" spans="1:8" ht="12.75" customHeight="1">
      <c r="A287" s="31">
        <v>43312</v>
      </c>
      <c r="B287" s="31"/>
      <c r="C287" s="20">
        <f t="shared" si="9"/>
        <v>11.9958</v>
      </c>
      <c r="D287" s="20">
        <f t="shared" si="10"/>
        <v>12.2411</v>
      </c>
      <c r="E287" s="20">
        <f t="shared" si="11"/>
        <v>12.2411</v>
      </c>
      <c r="F287" s="20">
        <f>ROUND(12.2411,4)</f>
        <v>12.2411</v>
      </c>
      <c r="G287" s="19"/>
      <c r="H287" s="29"/>
    </row>
    <row r="288" spans="1:8" ht="12.75" customHeight="1">
      <c r="A288" s="31">
        <v>43319</v>
      </c>
      <c r="B288" s="31"/>
      <c r="C288" s="20">
        <f t="shared" si="9"/>
        <v>11.9958</v>
      </c>
      <c r="D288" s="20">
        <f t="shared" si="10"/>
        <v>12.2524</v>
      </c>
      <c r="E288" s="20">
        <f t="shared" si="11"/>
        <v>12.2524</v>
      </c>
      <c r="F288" s="20">
        <f>ROUND(12.2524,4)</f>
        <v>12.2524</v>
      </c>
      <c r="G288" s="19"/>
      <c r="H288" s="29"/>
    </row>
    <row r="289" spans="1:8" ht="12.75" customHeight="1">
      <c r="A289" s="31">
        <v>43325</v>
      </c>
      <c r="B289" s="31"/>
      <c r="C289" s="20">
        <f t="shared" si="9"/>
        <v>11.9958</v>
      </c>
      <c r="D289" s="20">
        <f t="shared" si="10"/>
        <v>12.262</v>
      </c>
      <c r="E289" s="20">
        <f t="shared" si="11"/>
        <v>12.262</v>
      </c>
      <c r="F289" s="20">
        <f>ROUND(12.262,4)</f>
        <v>12.262</v>
      </c>
      <c r="G289" s="19"/>
      <c r="H289" s="29"/>
    </row>
    <row r="290" spans="1:8" ht="12.75" customHeight="1">
      <c r="A290" s="31">
        <v>43343</v>
      </c>
      <c r="B290" s="31"/>
      <c r="C290" s="20">
        <f t="shared" si="9"/>
        <v>11.9958</v>
      </c>
      <c r="D290" s="20">
        <f t="shared" si="10"/>
        <v>12.291</v>
      </c>
      <c r="E290" s="20">
        <f t="shared" si="11"/>
        <v>12.291</v>
      </c>
      <c r="F290" s="20">
        <f>ROUND(12.291,4)</f>
        <v>12.291</v>
      </c>
      <c r="G290" s="19"/>
      <c r="H290" s="29"/>
    </row>
    <row r="291" spans="1:8" ht="12.75" customHeight="1">
      <c r="A291" s="31">
        <v>43371</v>
      </c>
      <c r="B291" s="31"/>
      <c r="C291" s="20">
        <f t="shared" si="9"/>
        <v>11.9958</v>
      </c>
      <c r="D291" s="20">
        <f t="shared" si="10"/>
        <v>12.3359</v>
      </c>
      <c r="E291" s="20">
        <f t="shared" si="11"/>
        <v>12.3359</v>
      </c>
      <c r="F291" s="20">
        <f>ROUND(12.3359,4)</f>
        <v>12.3359</v>
      </c>
      <c r="G291" s="19"/>
      <c r="H291" s="29"/>
    </row>
    <row r="292" spans="1:8" ht="12.75" customHeight="1">
      <c r="A292" s="31">
        <v>43398</v>
      </c>
      <c r="B292" s="31"/>
      <c r="C292" s="20">
        <f t="shared" si="9"/>
        <v>11.9958</v>
      </c>
      <c r="D292" s="20">
        <f t="shared" si="10"/>
        <v>12.3791</v>
      </c>
      <c r="E292" s="20">
        <f t="shared" si="11"/>
        <v>12.3791</v>
      </c>
      <c r="F292" s="20">
        <f>ROUND(12.3791,4)</f>
        <v>12.3791</v>
      </c>
      <c r="G292" s="19"/>
      <c r="H292" s="29"/>
    </row>
    <row r="293" spans="1:8" ht="12.75" customHeight="1">
      <c r="A293" s="31">
        <v>43402</v>
      </c>
      <c r="B293" s="31"/>
      <c r="C293" s="20">
        <f t="shared" si="9"/>
        <v>11.9958</v>
      </c>
      <c r="D293" s="20">
        <f t="shared" si="10"/>
        <v>12.3855</v>
      </c>
      <c r="E293" s="20">
        <f t="shared" si="11"/>
        <v>12.3855</v>
      </c>
      <c r="F293" s="20">
        <f>ROUND(12.3855,4)</f>
        <v>12.3855</v>
      </c>
      <c r="G293" s="19"/>
      <c r="H293" s="29"/>
    </row>
    <row r="294" spans="1:8" ht="12.75" customHeight="1">
      <c r="A294" s="31">
        <v>43404</v>
      </c>
      <c r="B294" s="31"/>
      <c r="C294" s="20">
        <f t="shared" si="9"/>
        <v>11.9958</v>
      </c>
      <c r="D294" s="20">
        <f t="shared" si="10"/>
        <v>12.3887</v>
      </c>
      <c r="E294" s="20">
        <f t="shared" si="11"/>
        <v>12.3887</v>
      </c>
      <c r="F294" s="20">
        <f>ROUND(12.3887,4)</f>
        <v>12.3887</v>
      </c>
      <c r="G294" s="19"/>
      <c r="H294" s="29"/>
    </row>
    <row r="295" spans="1:8" ht="12.75" customHeight="1">
      <c r="A295" s="31">
        <v>43409</v>
      </c>
      <c r="B295" s="31"/>
      <c r="C295" s="20">
        <f t="shared" si="9"/>
        <v>11.9958</v>
      </c>
      <c r="D295" s="20">
        <f t="shared" si="10"/>
        <v>12.3967</v>
      </c>
      <c r="E295" s="20">
        <f t="shared" si="11"/>
        <v>12.3967</v>
      </c>
      <c r="F295" s="20">
        <f>ROUND(12.3967,4)</f>
        <v>12.3967</v>
      </c>
      <c r="G295" s="19"/>
      <c r="H295" s="29"/>
    </row>
    <row r="296" spans="1:8" ht="12.75" customHeight="1">
      <c r="A296" s="31">
        <v>43417</v>
      </c>
      <c r="B296" s="31"/>
      <c r="C296" s="20">
        <f t="shared" si="9"/>
        <v>11.9958</v>
      </c>
      <c r="D296" s="20">
        <f t="shared" si="10"/>
        <v>12.4095</v>
      </c>
      <c r="E296" s="20">
        <f t="shared" si="11"/>
        <v>12.4095</v>
      </c>
      <c r="F296" s="20">
        <f>ROUND(12.4095,4)</f>
        <v>12.4095</v>
      </c>
      <c r="G296" s="19"/>
      <c r="H296" s="29"/>
    </row>
    <row r="297" spans="1:8" ht="12.75" customHeight="1">
      <c r="A297" s="31">
        <v>43420</v>
      </c>
      <c r="B297" s="31"/>
      <c r="C297" s="20">
        <f t="shared" si="9"/>
        <v>11.9958</v>
      </c>
      <c r="D297" s="20">
        <f t="shared" si="10"/>
        <v>12.4143</v>
      </c>
      <c r="E297" s="20">
        <f t="shared" si="11"/>
        <v>12.4143</v>
      </c>
      <c r="F297" s="20">
        <f>ROUND(12.4143,4)</f>
        <v>12.4143</v>
      </c>
      <c r="G297" s="19"/>
      <c r="H297" s="29"/>
    </row>
    <row r="298" spans="1:8" ht="12.75" customHeight="1">
      <c r="A298" s="31">
        <v>43434</v>
      </c>
      <c r="B298" s="31"/>
      <c r="C298" s="20">
        <f t="shared" si="9"/>
        <v>11.9958</v>
      </c>
      <c r="D298" s="20">
        <f t="shared" si="10"/>
        <v>12.4367</v>
      </c>
      <c r="E298" s="20">
        <f t="shared" si="11"/>
        <v>12.4367</v>
      </c>
      <c r="F298" s="20">
        <f>ROUND(12.4367,4)</f>
        <v>12.4367</v>
      </c>
      <c r="G298" s="19"/>
      <c r="H298" s="29"/>
    </row>
    <row r="299" spans="1:8" ht="12.75" customHeight="1">
      <c r="A299" s="31">
        <v>43445</v>
      </c>
      <c r="B299" s="31"/>
      <c r="C299" s="20">
        <f t="shared" si="9"/>
        <v>11.9958</v>
      </c>
      <c r="D299" s="20">
        <f t="shared" si="10"/>
        <v>12.454</v>
      </c>
      <c r="E299" s="20">
        <f t="shared" si="11"/>
        <v>12.454</v>
      </c>
      <c r="F299" s="20">
        <f>ROUND(12.454,4)</f>
        <v>12.454</v>
      </c>
      <c r="G299" s="19"/>
      <c r="H299" s="29"/>
    </row>
    <row r="300" spans="1:8" ht="12.75" customHeight="1">
      <c r="A300" s="31">
        <v>43465</v>
      </c>
      <c r="B300" s="31"/>
      <c r="C300" s="20">
        <f t="shared" si="9"/>
        <v>11.9958</v>
      </c>
      <c r="D300" s="20">
        <f t="shared" si="10"/>
        <v>12.485</v>
      </c>
      <c r="E300" s="20">
        <f t="shared" si="11"/>
        <v>12.485</v>
      </c>
      <c r="F300" s="20">
        <f>ROUND(12.485,4)</f>
        <v>12.485</v>
      </c>
      <c r="G300" s="19"/>
      <c r="H300" s="29"/>
    </row>
    <row r="301" spans="1:8" ht="12.75" customHeight="1">
      <c r="A301" s="31">
        <v>43509</v>
      </c>
      <c r="B301" s="31"/>
      <c r="C301" s="20">
        <f t="shared" si="9"/>
        <v>11.9958</v>
      </c>
      <c r="D301" s="20">
        <f t="shared" si="10"/>
        <v>12.553</v>
      </c>
      <c r="E301" s="20">
        <f t="shared" si="11"/>
        <v>12.553</v>
      </c>
      <c r="F301" s="20">
        <f>ROUND(12.553,4)</f>
        <v>12.553</v>
      </c>
      <c r="G301" s="19"/>
      <c r="H301" s="29"/>
    </row>
    <row r="302" spans="1:8" ht="12.75" customHeight="1">
      <c r="A302" s="31">
        <v>44040</v>
      </c>
      <c r="B302" s="31"/>
      <c r="C302" s="20">
        <f t="shared" si="9"/>
        <v>11.9958</v>
      </c>
      <c r="D302" s="20">
        <f t="shared" si="10"/>
        <v>13.4205</v>
      </c>
      <c r="E302" s="20">
        <f t="shared" si="11"/>
        <v>13.4205</v>
      </c>
      <c r="F302" s="20">
        <f>ROUND(13.4205,4)</f>
        <v>13.4205</v>
      </c>
      <c r="G302" s="19"/>
      <c r="H302" s="29"/>
    </row>
    <row r="303" spans="1:8" ht="12.75" customHeight="1">
      <c r="A303" s="31" t="s">
        <v>68</v>
      </c>
      <c r="B303" s="31"/>
      <c r="C303" s="18"/>
      <c r="D303" s="18"/>
      <c r="E303" s="18"/>
      <c r="F303" s="18"/>
      <c r="G303" s="19"/>
      <c r="H303" s="29"/>
    </row>
    <row r="304" spans="1:8" ht="12.75" customHeight="1">
      <c r="A304" s="31">
        <v>43178</v>
      </c>
      <c r="B304" s="31"/>
      <c r="C304" s="20">
        <f>ROUND(1.23098,4)</f>
        <v>1.231</v>
      </c>
      <c r="D304" s="20">
        <f>F304</f>
        <v>1.2319</v>
      </c>
      <c r="E304" s="20">
        <f>F304</f>
        <v>1.2319</v>
      </c>
      <c r="F304" s="20">
        <f>ROUND(1.2319,4)</f>
        <v>1.2319</v>
      </c>
      <c r="G304" s="19"/>
      <c r="H304" s="29"/>
    </row>
    <row r="305" spans="1:8" ht="12.75" customHeight="1">
      <c r="A305" s="31">
        <v>43269</v>
      </c>
      <c r="B305" s="31"/>
      <c r="C305" s="20">
        <f>ROUND(1.23098,4)</f>
        <v>1.231</v>
      </c>
      <c r="D305" s="20">
        <f>F305</f>
        <v>1.2407</v>
      </c>
      <c r="E305" s="20">
        <f>F305</f>
        <v>1.2407</v>
      </c>
      <c r="F305" s="20">
        <f>ROUND(1.2407,4)</f>
        <v>1.2407</v>
      </c>
      <c r="G305" s="19"/>
      <c r="H305" s="29"/>
    </row>
    <row r="306" spans="1:8" ht="12.75" customHeight="1">
      <c r="A306" s="31">
        <v>43360</v>
      </c>
      <c r="B306" s="31"/>
      <c r="C306" s="20">
        <f>ROUND(1.23098,4)</f>
        <v>1.231</v>
      </c>
      <c r="D306" s="20">
        <f>F306</f>
        <v>1.2495</v>
      </c>
      <c r="E306" s="20">
        <f>F306</f>
        <v>1.2495</v>
      </c>
      <c r="F306" s="20">
        <f>ROUND(1.2495,4)</f>
        <v>1.2495</v>
      </c>
      <c r="G306" s="19"/>
      <c r="H306" s="29"/>
    </row>
    <row r="307" spans="1:8" ht="12.75" customHeight="1">
      <c r="A307" s="31">
        <v>43448</v>
      </c>
      <c r="B307" s="31"/>
      <c r="C307" s="20">
        <f>ROUND(1.23098,4)</f>
        <v>1.231</v>
      </c>
      <c r="D307" s="20">
        <f>F307</f>
        <v>1.2585</v>
      </c>
      <c r="E307" s="20">
        <f>F307</f>
        <v>1.2585</v>
      </c>
      <c r="F307" s="20">
        <f>ROUND(1.2585,4)</f>
        <v>1.2585</v>
      </c>
      <c r="G307" s="19"/>
      <c r="H307" s="29"/>
    </row>
    <row r="308" spans="1:8" ht="12.75" customHeight="1">
      <c r="A308" s="31" t="s">
        <v>69</v>
      </c>
      <c r="B308" s="31"/>
      <c r="C308" s="18"/>
      <c r="D308" s="18"/>
      <c r="E308" s="18"/>
      <c r="F308" s="18"/>
      <c r="G308" s="19"/>
      <c r="H308" s="29"/>
    </row>
    <row r="309" spans="1:8" ht="12.75" customHeight="1">
      <c r="A309" s="31">
        <v>43178</v>
      </c>
      <c r="B309" s="31"/>
      <c r="C309" s="20">
        <f>ROUND(1.376715,4)</f>
        <v>1.3767</v>
      </c>
      <c r="D309" s="20">
        <f>F309</f>
        <v>1.3773</v>
      </c>
      <c r="E309" s="20">
        <f>F309</f>
        <v>1.3773</v>
      </c>
      <c r="F309" s="20">
        <f>ROUND(1.3773,4)</f>
        <v>1.3773</v>
      </c>
      <c r="G309" s="19"/>
      <c r="H309" s="29"/>
    </row>
    <row r="310" spans="1:8" ht="12.75" customHeight="1">
      <c r="A310" s="31">
        <v>43269</v>
      </c>
      <c r="B310" s="31"/>
      <c r="C310" s="20">
        <f>ROUND(1.376715,4)</f>
        <v>1.3767</v>
      </c>
      <c r="D310" s="20">
        <f>F310</f>
        <v>1.3831</v>
      </c>
      <c r="E310" s="20">
        <f>F310</f>
        <v>1.3831</v>
      </c>
      <c r="F310" s="20">
        <f>ROUND(1.3831,4)</f>
        <v>1.3831</v>
      </c>
      <c r="G310" s="19"/>
      <c r="H310" s="29"/>
    </row>
    <row r="311" spans="1:8" ht="12.75" customHeight="1">
      <c r="A311" s="31">
        <v>43360</v>
      </c>
      <c r="B311" s="31"/>
      <c r="C311" s="20">
        <f>ROUND(1.376715,4)</f>
        <v>1.3767</v>
      </c>
      <c r="D311" s="20">
        <f>F311</f>
        <v>1.3884</v>
      </c>
      <c r="E311" s="20">
        <f>F311</f>
        <v>1.3884</v>
      </c>
      <c r="F311" s="20">
        <f>ROUND(1.3884,4)</f>
        <v>1.3884</v>
      </c>
      <c r="G311" s="19"/>
      <c r="H311" s="29"/>
    </row>
    <row r="312" spans="1:8" ht="12.75" customHeight="1">
      <c r="A312" s="31">
        <v>43448</v>
      </c>
      <c r="B312" s="31"/>
      <c r="C312" s="20">
        <f>ROUND(1.376715,4)</f>
        <v>1.3767</v>
      </c>
      <c r="D312" s="20">
        <f>F312</f>
        <v>1.3937</v>
      </c>
      <c r="E312" s="20">
        <f>F312</f>
        <v>1.3937</v>
      </c>
      <c r="F312" s="20">
        <f>ROUND(1.3937,4)</f>
        <v>1.3937</v>
      </c>
      <c r="G312" s="19"/>
      <c r="H312" s="29"/>
    </row>
    <row r="313" spans="1:8" ht="12.75" customHeight="1">
      <c r="A313" s="31" t="s">
        <v>70</v>
      </c>
      <c r="B313" s="31"/>
      <c r="C313" s="18"/>
      <c r="D313" s="18"/>
      <c r="E313" s="18"/>
      <c r="F313" s="18"/>
      <c r="G313" s="19"/>
      <c r="H313" s="29"/>
    </row>
    <row r="314" spans="1:8" ht="12.75" customHeight="1">
      <c r="A314" s="31">
        <v>43178</v>
      </c>
      <c r="B314" s="31"/>
      <c r="C314" s="20">
        <f>ROUND(8.78469457933018,4)</f>
        <v>8.7847</v>
      </c>
      <c r="D314" s="20">
        <f>F314</f>
        <v>8.7618</v>
      </c>
      <c r="E314" s="20">
        <f>F314</f>
        <v>8.7618</v>
      </c>
      <c r="F314" s="20">
        <f>ROUND(8.7618,4)</f>
        <v>8.7618</v>
      </c>
      <c r="G314" s="19"/>
      <c r="H314" s="29"/>
    </row>
    <row r="315" spans="1:8" ht="12.75" customHeight="1">
      <c r="A315" s="31">
        <v>43269</v>
      </c>
      <c r="B315" s="31"/>
      <c r="C315" s="20">
        <f>ROUND(8.78469457933018,4)</f>
        <v>8.7847</v>
      </c>
      <c r="D315" s="20">
        <f>F315</f>
        <v>8.5958</v>
      </c>
      <c r="E315" s="20">
        <f>F315</f>
        <v>8.5958</v>
      </c>
      <c r="F315" s="20">
        <f>ROUND(8.5958,4)</f>
        <v>8.5958</v>
      </c>
      <c r="G315" s="19"/>
      <c r="H315" s="29"/>
    </row>
    <row r="316" spans="1:8" ht="12.75" customHeight="1">
      <c r="A316" s="31">
        <v>43360</v>
      </c>
      <c r="B316" s="31"/>
      <c r="C316" s="20">
        <f>ROUND(8.78469457933018,4)</f>
        <v>8.7847</v>
      </c>
      <c r="D316" s="20">
        <f>F316</f>
        <v>8.4373</v>
      </c>
      <c r="E316" s="20">
        <f>F316</f>
        <v>8.4373</v>
      </c>
      <c r="F316" s="20">
        <f>ROUND(8.4373,4)</f>
        <v>8.4373</v>
      </c>
      <c r="G316" s="19"/>
      <c r="H316" s="29"/>
    </row>
    <row r="317" spans="1:8" ht="12.75" customHeight="1">
      <c r="A317" s="31" t="s">
        <v>71</v>
      </c>
      <c r="B317" s="31"/>
      <c r="C317" s="18"/>
      <c r="D317" s="18"/>
      <c r="E317" s="18"/>
      <c r="F317" s="18"/>
      <c r="G317" s="19"/>
      <c r="H317" s="29"/>
    </row>
    <row r="318" spans="1:8" ht="12.75" customHeight="1">
      <c r="A318" s="31">
        <v>43178</v>
      </c>
      <c r="B318" s="31"/>
      <c r="C318" s="20">
        <f aca="true" t="shared" si="12" ref="C318:C325">ROUND(9.28956877875,4)</f>
        <v>9.2896</v>
      </c>
      <c r="D318" s="20">
        <f aca="true" t="shared" si="13" ref="D318:D325">F318</f>
        <v>9.308</v>
      </c>
      <c r="E318" s="20">
        <f aca="true" t="shared" si="14" ref="E318:E325">F318</f>
        <v>9.308</v>
      </c>
      <c r="F318" s="20">
        <f>ROUND(9.308,4)</f>
        <v>9.308</v>
      </c>
      <c r="G318" s="19"/>
      <c r="H318" s="29"/>
    </row>
    <row r="319" spans="1:8" ht="12.75" customHeight="1">
      <c r="A319" s="31">
        <v>43269</v>
      </c>
      <c r="B319" s="31"/>
      <c r="C319" s="20">
        <f t="shared" si="12"/>
        <v>9.2896</v>
      </c>
      <c r="D319" s="20">
        <f t="shared" si="13"/>
        <v>9.4292</v>
      </c>
      <c r="E319" s="20">
        <f t="shared" si="14"/>
        <v>9.4292</v>
      </c>
      <c r="F319" s="20">
        <f>ROUND(9.4292,4)</f>
        <v>9.4292</v>
      </c>
      <c r="G319" s="19"/>
      <c r="H319" s="29"/>
    </row>
    <row r="320" spans="1:8" ht="12.75" customHeight="1">
      <c r="A320" s="31">
        <v>43360</v>
      </c>
      <c r="B320" s="31"/>
      <c r="C320" s="20">
        <f t="shared" si="12"/>
        <v>9.2896</v>
      </c>
      <c r="D320" s="20">
        <f t="shared" si="13"/>
        <v>9.5486</v>
      </c>
      <c r="E320" s="20">
        <f t="shared" si="14"/>
        <v>9.5486</v>
      </c>
      <c r="F320" s="20">
        <f>ROUND(9.5486,4)</f>
        <v>9.5486</v>
      </c>
      <c r="G320" s="19"/>
      <c r="H320" s="29"/>
    </row>
    <row r="321" spans="1:8" ht="12.75" customHeight="1">
      <c r="A321" s="31">
        <v>43448</v>
      </c>
      <c r="B321" s="31"/>
      <c r="C321" s="20">
        <f t="shared" si="12"/>
        <v>9.2896</v>
      </c>
      <c r="D321" s="20">
        <f t="shared" si="13"/>
        <v>9.665</v>
      </c>
      <c r="E321" s="20">
        <f t="shared" si="14"/>
        <v>9.665</v>
      </c>
      <c r="F321" s="20">
        <f>ROUND(9.665,4)</f>
        <v>9.665</v>
      </c>
      <c r="G321" s="19"/>
      <c r="H321" s="29"/>
    </row>
    <row r="322" spans="1:8" ht="12.75" customHeight="1">
      <c r="A322" s="31">
        <v>43542</v>
      </c>
      <c r="B322" s="31"/>
      <c r="C322" s="20">
        <f t="shared" si="12"/>
        <v>9.2896</v>
      </c>
      <c r="D322" s="20">
        <f t="shared" si="13"/>
        <v>9.7855</v>
      </c>
      <c r="E322" s="20">
        <f t="shared" si="14"/>
        <v>9.7855</v>
      </c>
      <c r="F322" s="20">
        <f>ROUND(9.7855,4)</f>
        <v>9.7855</v>
      </c>
      <c r="G322" s="19"/>
      <c r="H322" s="29"/>
    </row>
    <row r="323" spans="1:8" ht="12.75" customHeight="1">
      <c r="A323" s="31">
        <v>43630</v>
      </c>
      <c r="B323" s="31"/>
      <c r="C323" s="20">
        <f t="shared" si="12"/>
        <v>9.2896</v>
      </c>
      <c r="D323" s="20">
        <f t="shared" si="13"/>
        <v>9.8977</v>
      </c>
      <c r="E323" s="20">
        <f t="shared" si="14"/>
        <v>9.8977</v>
      </c>
      <c r="F323" s="20">
        <f>ROUND(9.8977,4)</f>
        <v>9.8977</v>
      </c>
      <c r="G323" s="19"/>
      <c r="H323" s="29"/>
    </row>
    <row r="324" spans="1:8" ht="12.75" customHeight="1">
      <c r="A324" s="31">
        <v>43724</v>
      </c>
      <c r="B324" s="31"/>
      <c r="C324" s="20">
        <f t="shared" si="12"/>
        <v>9.2896</v>
      </c>
      <c r="D324" s="20">
        <f t="shared" si="13"/>
        <v>10.0178</v>
      </c>
      <c r="E324" s="20">
        <f t="shared" si="14"/>
        <v>10.0178</v>
      </c>
      <c r="F324" s="20">
        <f>ROUND(10.0178,4)</f>
        <v>10.0178</v>
      </c>
      <c r="G324" s="19"/>
      <c r="H324" s="29"/>
    </row>
    <row r="325" spans="1:8" ht="12.75" customHeight="1">
      <c r="A325" s="31">
        <v>43812</v>
      </c>
      <c r="B325" s="31"/>
      <c r="C325" s="20">
        <f t="shared" si="12"/>
        <v>9.2896</v>
      </c>
      <c r="D325" s="20">
        <f t="shared" si="13"/>
        <v>10.1285</v>
      </c>
      <c r="E325" s="20">
        <f t="shared" si="14"/>
        <v>10.1285</v>
      </c>
      <c r="F325" s="20">
        <f>ROUND(10.1285,4)</f>
        <v>10.1285</v>
      </c>
      <c r="G325" s="19"/>
      <c r="H325" s="29"/>
    </row>
    <row r="326" spans="1:8" ht="12.75" customHeight="1">
      <c r="A326" s="31" t="s">
        <v>72</v>
      </c>
      <c r="B326" s="31"/>
      <c r="C326" s="18"/>
      <c r="D326" s="18"/>
      <c r="E326" s="18"/>
      <c r="F326" s="18"/>
      <c r="G326" s="19"/>
      <c r="H326" s="29"/>
    </row>
    <row r="327" spans="1:8" ht="12.75" customHeight="1">
      <c r="A327" s="31">
        <v>43178</v>
      </c>
      <c r="B327" s="31"/>
      <c r="C327" s="20">
        <f>ROUND(3.26583812038877,4)</f>
        <v>3.2658</v>
      </c>
      <c r="D327" s="20">
        <f>F327</f>
        <v>3.5062</v>
      </c>
      <c r="E327" s="20">
        <f>F327</f>
        <v>3.5062</v>
      </c>
      <c r="F327" s="20">
        <f>ROUND(3.5062,4)</f>
        <v>3.5062</v>
      </c>
      <c r="G327" s="19"/>
      <c r="H327" s="29"/>
    </row>
    <row r="328" spans="1:8" ht="12.75" customHeight="1">
      <c r="A328" s="31">
        <v>43269</v>
      </c>
      <c r="B328" s="31"/>
      <c r="C328" s="20">
        <f>ROUND(3.26583812038877,4)</f>
        <v>3.2658</v>
      </c>
      <c r="D328" s="20">
        <f>F328</f>
        <v>3.5423</v>
      </c>
      <c r="E328" s="20">
        <f>F328</f>
        <v>3.5423</v>
      </c>
      <c r="F328" s="20">
        <f>ROUND(3.5423,4)</f>
        <v>3.5423</v>
      </c>
      <c r="G328" s="19"/>
      <c r="H328" s="29"/>
    </row>
    <row r="329" spans="1:8" ht="12.75" customHeight="1">
      <c r="A329" s="31">
        <v>43360</v>
      </c>
      <c r="B329" s="31"/>
      <c r="C329" s="20">
        <f>ROUND(3.26583812038877,4)</f>
        <v>3.2658</v>
      </c>
      <c r="D329" s="20">
        <f>F329</f>
        <v>3.5822</v>
      </c>
      <c r="E329" s="20">
        <f>F329</f>
        <v>3.5822</v>
      </c>
      <c r="F329" s="20">
        <f>ROUND(3.5822,4)</f>
        <v>3.5822</v>
      </c>
      <c r="G329" s="19"/>
      <c r="H329" s="29"/>
    </row>
    <row r="330" spans="1:8" ht="12.75" customHeight="1">
      <c r="A330" s="31" t="s">
        <v>73</v>
      </c>
      <c r="B330" s="31"/>
      <c r="C330" s="18"/>
      <c r="D330" s="18"/>
      <c r="E330" s="18"/>
      <c r="F330" s="18"/>
      <c r="G330" s="19"/>
      <c r="H330" s="29"/>
    </row>
    <row r="331" spans="1:8" ht="12.75" customHeight="1">
      <c r="A331" s="31">
        <v>43178</v>
      </c>
      <c r="B331" s="31"/>
      <c r="C331" s="20">
        <f aca="true" t="shared" si="15" ref="C331:C338">ROUND(1.2481577875,4)</f>
        <v>1.2482</v>
      </c>
      <c r="D331" s="20">
        <f aca="true" t="shared" si="16" ref="D331:D338">F331</f>
        <v>1.2498</v>
      </c>
      <c r="E331" s="20">
        <f aca="true" t="shared" si="17" ref="E331:E338">F331</f>
        <v>1.2498</v>
      </c>
      <c r="F331" s="20">
        <f>ROUND(1.2498,4)</f>
        <v>1.2498</v>
      </c>
      <c r="G331" s="19"/>
      <c r="H331" s="29"/>
    </row>
    <row r="332" spans="1:8" ht="12.75" customHeight="1">
      <c r="A332" s="31">
        <v>43269</v>
      </c>
      <c r="B332" s="31"/>
      <c r="C332" s="20">
        <f t="shared" si="15"/>
        <v>1.2482</v>
      </c>
      <c r="D332" s="20">
        <f t="shared" si="16"/>
        <v>1.2575</v>
      </c>
      <c r="E332" s="20">
        <f t="shared" si="17"/>
        <v>1.2575</v>
      </c>
      <c r="F332" s="20">
        <f>ROUND(1.2575,4)</f>
        <v>1.2575</v>
      </c>
      <c r="G332" s="19"/>
      <c r="H332" s="29"/>
    </row>
    <row r="333" spans="1:8" ht="12.75" customHeight="1">
      <c r="A333" s="31">
        <v>43360</v>
      </c>
      <c r="B333" s="31"/>
      <c r="C333" s="20">
        <f t="shared" si="15"/>
        <v>1.2482</v>
      </c>
      <c r="D333" s="20">
        <f t="shared" si="16"/>
        <v>1.2647</v>
      </c>
      <c r="E333" s="20">
        <f t="shared" si="17"/>
        <v>1.2647</v>
      </c>
      <c r="F333" s="20">
        <f>ROUND(1.2647,4)</f>
        <v>1.2647</v>
      </c>
      <c r="G333" s="19"/>
      <c r="H333" s="29"/>
    </row>
    <row r="334" spans="1:8" ht="12.75" customHeight="1">
      <c r="A334" s="31">
        <v>43448</v>
      </c>
      <c r="B334" s="31"/>
      <c r="C334" s="20">
        <f t="shared" si="15"/>
        <v>1.2482</v>
      </c>
      <c r="D334" s="20">
        <f t="shared" si="16"/>
        <v>1.2702</v>
      </c>
      <c r="E334" s="20">
        <f t="shared" si="17"/>
        <v>1.2702</v>
      </c>
      <c r="F334" s="20">
        <f>ROUND(1.2702,4)</f>
        <v>1.2702</v>
      </c>
      <c r="G334" s="19"/>
      <c r="H334" s="29"/>
    </row>
    <row r="335" spans="1:8" ht="12.75" customHeight="1">
      <c r="A335" s="31">
        <v>43542</v>
      </c>
      <c r="B335" s="31"/>
      <c r="C335" s="20">
        <f t="shared" si="15"/>
        <v>1.2482</v>
      </c>
      <c r="D335" s="20">
        <f t="shared" si="16"/>
        <v>1.3181</v>
      </c>
      <c r="E335" s="20">
        <f t="shared" si="17"/>
        <v>1.3181</v>
      </c>
      <c r="F335" s="20">
        <f>ROUND(1.3181,4)</f>
        <v>1.3181</v>
      </c>
      <c r="G335" s="19"/>
      <c r="H335" s="29"/>
    </row>
    <row r="336" spans="1:8" ht="12.75" customHeight="1">
      <c r="A336" s="31">
        <v>43630</v>
      </c>
      <c r="B336" s="31"/>
      <c r="C336" s="20">
        <f t="shared" si="15"/>
        <v>1.2482</v>
      </c>
      <c r="D336" s="20">
        <f t="shared" si="16"/>
        <v>1.345</v>
      </c>
      <c r="E336" s="20">
        <f t="shared" si="17"/>
        <v>1.345</v>
      </c>
      <c r="F336" s="20">
        <f>ROUND(1.345,4)</f>
        <v>1.345</v>
      </c>
      <c r="G336" s="19"/>
      <c r="H336" s="29"/>
    </row>
    <row r="337" spans="1:8" ht="12.75" customHeight="1">
      <c r="A337" s="31">
        <v>43724</v>
      </c>
      <c r="B337" s="31"/>
      <c r="C337" s="20">
        <f t="shared" si="15"/>
        <v>1.2482</v>
      </c>
      <c r="D337" s="20">
        <f t="shared" si="16"/>
        <v>1.3556</v>
      </c>
      <c r="E337" s="20">
        <f t="shared" si="17"/>
        <v>1.3556</v>
      </c>
      <c r="F337" s="20">
        <f>ROUND(1.3556,4)</f>
        <v>1.3556</v>
      </c>
      <c r="G337" s="19"/>
      <c r="H337" s="29"/>
    </row>
    <row r="338" spans="1:8" ht="12.75" customHeight="1">
      <c r="A338" s="31">
        <v>43812</v>
      </c>
      <c r="B338" s="31"/>
      <c r="C338" s="20">
        <f t="shared" si="15"/>
        <v>1.2482</v>
      </c>
      <c r="D338" s="20">
        <f t="shared" si="16"/>
        <v>1.3676</v>
      </c>
      <c r="E338" s="20">
        <f t="shared" si="17"/>
        <v>1.3676</v>
      </c>
      <c r="F338" s="20">
        <f>ROUND(1.3676,4)</f>
        <v>1.3676</v>
      </c>
      <c r="G338" s="19"/>
      <c r="H338" s="29"/>
    </row>
    <row r="339" spans="1:8" ht="12.75" customHeight="1">
      <c r="A339" s="31" t="s">
        <v>74</v>
      </c>
      <c r="B339" s="31"/>
      <c r="C339" s="18"/>
      <c r="D339" s="18"/>
      <c r="E339" s="18"/>
      <c r="F339" s="18"/>
      <c r="G339" s="19"/>
      <c r="H339" s="29"/>
    </row>
    <row r="340" spans="1:8" ht="12.75" customHeight="1">
      <c r="A340" s="31">
        <v>43178</v>
      </c>
      <c r="B340" s="31"/>
      <c r="C340" s="20">
        <f aca="true" t="shared" si="18" ref="C340:C347">ROUND(9.30992867620238,4)</f>
        <v>9.3099</v>
      </c>
      <c r="D340" s="20">
        <f aca="true" t="shared" si="19" ref="D340:D347">F340</f>
        <v>9.3296</v>
      </c>
      <c r="E340" s="20">
        <f aca="true" t="shared" si="20" ref="E340:E347">F340</f>
        <v>9.3296</v>
      </c>
      <c r="F340" s="20">
        <f>ROUND(9.3296,4)</f>
        <v>9.3296</v>
      </c>
      <c r="G340" s="19"/>
      <c r="H340" s="29"/>
    </row>
    <row r="341" spans="1:8" ht="12.75" customHeight="1">
      <c r="A341" s="31">
        <v>43269</v>
      </c>
      <c r="B341" s="31"/>
      <c r="C341" s="20">
        <f t="shared" si="18"/>
        <v>9.3099</v>
      </c>
      <c r="D341" s="20">
        <f t="shared" si="19"/>
        <v>9.4658</v>
      </c>
      <c r="E341" s="20">
        <f t="shared" si="20"/>
        <v>9.4658</v>
      </c>
      <c r="F341" s="20">
        <f>ROUND(9.4658,4)</f>
        <v>9.4658</v>
      </c>
      <c r="G341" s="19"/>
      <c r="H341" s="29"/>
    </row>
    <row r="342" spans="1:8" ht="12.75" customHeight="1">
      <c r="A342" s="31">
        <v>43360</v>
      </c>
      <c r="B342" s="31"/>
      <c r="C342" s="20">
        <f t="shared" si="18"/>
        <v>9.3099</v>
      </c>
      <c r="D342" s="20">
        <f t="shared" si="19"/>
        <v>9.5942</v>
      </c>
      <c r="E342" s="20">
        <f t="shared" si="20"/>
        <v>9.5942</v>
      </c>
      <c r="F342" s="20">
        <f>ROUND(9.5942,4)</f>
        <v>9.5942</v>
      </c>
      <c r="G342" s="19"/>
      <c r="H342" s="29"/>
    </row>
    <row r="343" spans="1:8" ht="12.75" customHeight="1">
      <c r="A343" s="31">
        <v>43448</v>
      </c>
      <c r="B343" s="31"/>
      <c r="C343" s="20">
        <f t="shared" si="18"/>
        <v>9.3099</v>
      </c>
      <c r="D343" s="20">
        <f t="shared" si="19"/>
        <v>9.608</v>
      </c>
      <c r="E343" s="20">
        <f t="shared" si="20"/>
        <v>9.608</v>
      </c>
      <c r="F343" s="20">
        <f>ROUND(9.608,4)</f>
        <v>9.608</v>
      </c>
      <c r="G343" s="19"/>
      <c r="H343" s="29"/>
    </row>
    <row r="344" spans="1:8" ht="12.75" customHeight="1">
      <c r="A344" s="31">
        <v>43542</v>
      </c>
      <c r="B344" s="31"/>
      <c r="C344" s="20">
        <f t="shared" si="18"/>
        <v>9.3099</v>
      </c>
      <c r="D344" s="20">
        <f t="shared" si="19"/>
        <v>9.7308</v>
      </c>
      <c r="E344" s="20">
        <f t="shared" si="20"/>
        <v>9.7308</v>
      </c>
      <c r="F344" s="20">
        <f>ROUND(9.7308,4)</f>
        <v>9.7308</v>
      </c>
      <c r="G344" s="19"/>
      <c r="H344" s="29"/>
    </row>
    <row r="345" spans="1:8" ht="12.75" customHeight="1">
      <c r="A345" s="31">
        <v>43630</v>
      </c>
      <c r="B345" s="31"/>
      <c r="C345" s="20">
        <f t="shared" si="18"/>
        <v>9.3099</v>
      </c>
      <c r="D345" s="20">
        <f t="shared" si="19"/>
        <v>9.8565</v>
      </c>
      <c r="E345" s="20">
        <f t="shared" si="20"/>
        <v>9.8565</v>
      </c>
      <c r="F345" s="20">
        <f>ROUND(9.8565,4)</f>
        <v>9.8565</v>
      </c>
      <c r="G345" s="19"/>
      <c r="H345" s="29"/>
    </row>
    <row r="346" spans="1:8" ht="12.75" customHeight="1">
      <c r="A346" s="31">
        <v>43724</v>
      </c>
      <c r="B346" s="31"/>
      <c r="C346" s="20">
        <f t="shared" si="18"/>
        <v>9.3099</v>
      </c>
      <c r="D346" s="20">
        <f t="shared" si="19"/>
        <v>9.974</v>
      </c>
      <c r="E346" s="20">
        <f t="shared" si="20"/>
        <v>9.974</v>
      </c>
      <c r="F346" s="20">
        <f>ROUND(9.974,4)</f>
        <v>9.974</v>
      </c>
      <c r="G346" s="19"/>
      <c r="H346" s="29"/>
    </row>
    <row r="347" spans="1:8" ht="12.75" customHeight="1">
      <c r="A347" s="31">
        <v>43812</v>
      </c>
      <c r="B347" s="31"/>
      <c r="C347" s="20">
        <f t="shared" si="18"/>
        <v>9.3099</v>
      </c>
      <c r="D347" s="20">
        <f t="shared" si="19"/>
        <v>10.0982</v>
      </c>
      <c r="E347" s="20">
        <f t="shared" si="20"/>
        <v>10.0982</v>
      </c>
      <c r="F347" s="20">
        <f>ROUND(10.0982,4)</f>
        <v>10.0982</v>
      </c>
      <c r="G347" s="19"/>
      <c r="H347" s="29"/>
    </row>
    <row r="348" spans="1:8" ht="12.75" customHeight="1">
      <c r="A348" s="31" t="s">
        <v>75</v>
      </c>
      <c r="B348" s="31"/>
      <c r="C348" s="18"/>
      <c r="D348" s="18"/>
      <c r="E348" s="18"/>
      <c r="F348" s="18"/>
      <c r="G348" s="19"/>
      <c r="H348" s="29"/>
    </row>
    <row r="349" spans="1:8" ht="12.75" customHeight="1">
      <c r="A349" s="31">
        <v>43178</v>
      </c>
      <c r="B349" s="31"/>
      <c r="C349" s="20">
        <f aca="true" t="shared" si="21" ref="C349:C356">ROUND(1.89335261435901,4)</f>
        <v>1.8934</v>
      </c>
      <c r="D349" s="20">
        <f aca="true" t="shared" si="22" ref="D349:D356">F349</f>
        <v>1.8924</v>
      </c>
      <c r="E349" s="20">
        <f aca="true" t="shared" si="23" ref="E349:E356">F349</f>
        <v>1.8924</v>
      </c>
      <c r="F349" s="20">
        <f>ROUND(1.8924,4)</f>
        <v>1.8924</v>
      </c>
      <c r="G349" s="19"/>
      <c r="H349" s="29"/>
    </row>
    <row r="350" spans="1:8" ht="12.75" customHeight="1">
      <c r="A350" s="31">
        <v>43269</v>
      </c>
      <c r="B350" s="31"/>
      <c r="C350" s="20">
        <f t="shared" si="21"/>
        <v>1.8934</v>
      </c>
      <c r="D350" s="20">
        <f t="shared" si="22"/>
        <v>1.9064</v>
      </c>
      <c r="E350" s="20">
        <f t="shared" si="23"/>
        <v>1.9064</v>
      </c>
      <c r="F350" s="20">
        <f>ROUND(1.9064,4)</f>
        <v>1.9064</v>
      </c>
      <c r="G350" s="19"/>
      <c r="H350" s="29"/>
    </row>
    <row r="351" spans="1:8" ht="12.75" customHeight="1">
      <c r="A351" s="31">
        <v>43360</v>
      </c>
      <c r="B351" s="31"/>
      <c r="C351" s="20">
        <f t="shared" si="21"/>
        <v>1.8934</v>
      </c>
      <c r="D351" s="20">
        <f t="shared" si="22"/>
        <v>1.9204</v>
      </c>
      <c r="E351" s="20">
        <f t="shared" si="23"/>
        <v>1.9204</v>
      </c>
      <c r="F351" s="20">
        <f>ROUND(1.9204,4)</f>
        <v>1.9204</v>
      </c>
      <c r="G351" s="19"/>
      <c r="H351" s="29"/>
    </row>
    <row r="352" spans="1:8" ht="12.75" customHeight="1">
      <c r="A352" s="31">
        <v>43448</v>
      </c>
      <c r="B352" s="31"/>
      <c r="C352" s="20">
        <f t="shared" si="21"/>
        <v>1.8934</v>
      </c>
      <c r="D352" s="20">
        <f t="shared" si="22"/>
        <v>1.9343</v>
      </c>
      <c r="E352" s="20">
        <f t="shared" si="23"/>
        <v>1.9343</v>
      </c>
      <c r="F352" s="20">
        <f>ROUND(1.9343,4)</f>
        <v>1.9343</v>
      </c>
      <c r="G352" s="19"/>
      <c r="H352" s="29"/>
    </row>
    <row r="353" spans="1:8" ht="12.75" customHeight="1">
      <c r="A353" s="31">
        <v>43542</v>
      </c>
      <c r="B353" s="31"/>
      <c r="C353" s="20">
        <f t="shared" si="21"/>
        <v>1.8934</v>
      </c>
      <c r="D353" s="20">
        <f t="shared" si="22"/>
        <v>1.9484</v>
      </c>
      <c r="E353" s="20">
        <f t="shared" si="23"/>
        <v>1.9484</v>
      </c>
      <c r="F353" s="20">
        <f>ROUND(1.9484,4)</f>
        <v>1.9484</v>
      </c>
      <c r="G353" s="19"/>
      <c r="H353" s="29"/>
    </row>
    <row r="354" spans="1:8" ht="12.75" customHeight="1">
      <c r="A354" s="31">
        <v>43630</v>
      </c>
      <c r="B354" s="31"/>
      <c r="C354" s="20">
        <f t="shared" si="21"/>
        <v>1.8934</v>
      </c>
      <c r="D354" s="20">
        <f t="shared" si="22"/>
        <v>1.9611</v>
      </c>
      <c r="E354" s="20">
        <f t="shared" si="23"/>
        <v>1.9611</v>
      </c>
      <c r="F354" s="20">
        <f>ROUND(1.9611,4)</f>
        <v>1.9611</v>
      </c>
      <c r="G354" s="19"/>
      <c r="H354" s="29"/>
    </row>
    <row r="355" spans="1:8" ht="12.75" customHeight="1">
      <c r="A355" s="31">
        <v>43724</v>
      </c>
      <c r="B355" s="31"/>
      <c r="C355" s="20">
        <f t="shared" si="21"/>
        <v>1.8934</v>
      </c>
      <c r="D355" s="20">
        <f t="shared" si="22"/>
        <v>1.9745</v>
      </c>
      <c r="E355" s="20">
        <f t="shared" si="23"/>
        <v>1.9745</v>
      </c>
      <c r="F355" s="20">
        <f>ROUND(1.9745,4)</f>
        <v>1.9745</v>
      </c>
      <c r="G355" s="19"/>
      <c r="H355" s="29"/>
    </row>
    <row r="356" spans="1:8" ht="12.75" customHeight="1">
      <c r="A356" s="31">
        <v>43812</v>
      </c>
      <c r="B356" s="31"/>
      <c r="C356" s="20">
        <f t="shared" si="21"/>
        <v>1.8934</v>
      </c>
      <c r="D356" s="20">
        <f t="shared" si="22"/>
        <v>1.987</v>
      </c>
      <c r="E356" s="20">
        <f t="shared" si="23"/>
        <v>1.987</v>
      </c>
      <c r="F356" s="20">
        <f>ROUND(1.987,4)</f>
        <v>1.987</v>
      </c>
      <c r="G356" s="19"/>
      <c r="H356" s="29"/>
    </row>
    <row r="357" spans="1:8" ht="12.75" customHeight="1">
      <c r="A357" s="31" t="s">
        <v>76</v>
      </c>
      <c r="B357" s="31"/>
      <c r="C357" s="18"/>
      <c r="D357" s="18"/>
      <c r="E357" s="18"/>
      <c r="F357" s="18"/>
      <c r="G357" s="19"/>
      <c r="H357" s="29"/>
    </row>
    <row r="358" spans="1:8" ht="12.75" customHeight="1">
      <c r="A358" s="31">
        <v>43178</v>
      </c>
      <c r="B358" s="31"/>
      <c r="C358" s="20">
        <f aca="true" t="shared" si="24" ref="C358:C365">ROUND(1.98257689132538,4)</f>
        <v>1.9826</v>
      </c>
      <c r="D358" s="20">
        <f aca="true" t="shared" si="25" ref="D358:D365">F358</f>
        <v>2.0076</v>
      </c>
      <c r="E358" s="20">
        <f aca="true" t="shared" si="26" ref="E358:E365">F358</f>
        <v>2.0076</v>
      </c>
      <c r="F358" s="20">
        <f>ROUND(2.0076,4)</f>
        <v>2.0076</v>
      </c>
      <c r="G358" s="19"/>
      <c r="H358" s="29"/>
    </row>
    <row r="359" spans="1:8" ht="12.75" customHeight="1">
      <c r="A359" s="31">
        <v>43269</v>
      </c>
      <c r="B359" s="31"/>
      <c r="C359" s="20">
        <f t="shared" si="24"/>
        <v>1.9826</v>
      </c>
      <c r="D359" s="20">
        <f t="shared" si="25"/>
        <v>2.0485</v>
      </c>
      <c r="E359" s="20">
        <f t="shared" si="26"/>
        <v>2.0485</v>
      </c>
      <c r="F359" s="20">
        <f>ROUND(2.0485,4)</f>
        <v>2.0485</v>
      </c>
      <c r="G359" s="19"/>
      <c r="H359" s="29"/>
    </row>
    <row r="360" spans="1:8" ht="12.75" customHeight="1">
      <c r="A360" s="31">
        <v>43360</v>
      </c>
      <c r="B360" s="31"/>
      <c r="C360" s="20">
        <f t="shared" si="24"/>
        <v>1.9826</v>
      </c>
      <c r="D360" s="20">
        <f t="shared" si="25"/>
        <v>2.0899</v>
      </c>
      <c r="E360" s="20">
        <f t="shared" si="26"/>
        <v>2.0899</v>
      </c>
      <c r="F360" s="20">
        <f>ROUND(2.0899,4)</f>
        <v>2.0899</v>
      </c>
      <c r="G360" s="19"/>
      <c r="H360" s="29"/>
    </row>
    <row r="361" spans="1:8" ht="12.75" customHeight="1">
      <c r="A361" s="31">
        <v>43448</v>
      </c>
      <c r="B361" s="31"/>
      <c r="C361" s="20">
        <f t="shared" si="24"/>
        <v>1.9826</v>
      </c>
      <c r="D361" s="20">
        <f t="shared" si="25"/>
        <v>2.1258</v>
      </c>
      <c r="E361" s="20">
        <f t="shared" si="26"/>
        <v>2.1258</v>
      </c>
      <c r="F361" s="20">
        <f>ROUND(2.1258,4)</f>
        <v>2.1258</v>
      </c>
      <c r="G361" s="19"/>
      <c r="H361" s="29"/>
    </row>
    <row r="362" spans="1:8" ht="12.75" customHeight="1">
      <c r="A362" s="31">
        <v>43542</v>
      </c>
      <c r="B362" s="31"/>
      <c r="C362" s="20">
        <f t="shared" si="24"/>
        <v>1.9826</v>
      </c>
      <c r="D362" s="20">
        <f t="shared" si="25"/>
        <v>2.2366</v>
      </c>
      <c r="E362" s="20">
        <f t="shared" si="26"/>
        <v>2.2366</v>
      </c>
      <c r="F362" s="20">
        <f>ROUND(2.2366,4)</f>
        <v>2.2366</v>
      </c>
      <c r="G362" s="19"/>
      <c r="H362" s="29"/>
    </row>
    <row r="363" spans="1:8" ht="12.75" customHeight="1">
      <c r="A363" s="31">
        <v>43630</v>
      </c>
      <c r="B363" s="31"/>
      <c r="C363" s="20">
        <f t="shared" si="24"/>
        <v>1.9826</v>
      </c>
      <c r="D363" s="20">
        <f t="shared" si="25"/>
        <v>2.2888</v>
      </c>
      <c r="E363" s="20">
        <f t="shared" si="26"/>
        <v>2.2888</v>
      </c>
      <c r="F363" s="20">
        <f>ROUND(2.2888,4)</f>
        <v>2.2888</v>
      </c>
      <c r="G363" s="19"/>
      <c r="H363" s="29"/>
    </row>
    <row r="364" spans="1:8" ht="12.75" customHeight="1">
      <c r="A364" s="31">
        <v>43724</v>
      </c>
      <c r="B364" s="31"/>
      <c r="C364" s="20">
        <f t="shared" si="24"/>
        <v>1.9826</v>
      </c>
      <c r="D364" s="20">
        <f t="shared" si="25"/>
        <v>2.3488</v>
      </c>
      <c r="E364" s="20">
        <f t="shared" si="26"/>
        <v>2.3488</v>
      </c>
      <c r="F364" s="20">
        <f>ROUND(2.3488,4)</f>
        <v>2.3488</v>
      </c>
      <c r="G364" s="19"/>
      <c r="H364" s="29"/>
    </row>
    <row r="365" spans="1:8" ht="12.75" customHeight="1">
      <c r="A365" s="31">
        <v>43812</v>
      </c>
      <c r="B365" s="31"/>
      <c r="C365" s="20">
        <f t="shared" si="24"/>
        <v>1.9826</v>
      </c>
      <c r="D365" s="20">
        <f t="shared" si="25"/>
        <v>2.4105</v>
      </c>
      <c r="E365" s="20">
        <f t="shared" si="26"/>
        <v>2.4105</v>
      </c>
      <c r="F365" s="20">
        <f>ROUND(2.4105,4)</f>
        <v>2.4105</v>
      </c>
      <c r="G365" s="19"/>
      <c r="H365" s="29"/>
    </row>
    <row r="366" spans="1:8" ht="12.75" customHeight="1">
      <c r="A366" s="31" t="s">
        <v>77</v>
      </c>
      <c r="B366" s="31"/>
      <c r="C366" s="18"/>
      <c r="D366" s="18"/>
      <c r="E366" s="18"/>
      <c r="F366" s="18"/>
      <c r="G366" s="19"/>
      <c r="H366" s="29"/>
    </row>
    <row r="367" spans="1:8" ht="12.75" customHeight="1">
      <c r="A367" s="31">
        <v>43178</v>
      </c>
      <c r="B367" s="31"/>
      <c r="C367" s="20">
        <f aca="true" t="shared" si="27" ref="C367:C374">ROUND(14.766528335,4)</f>
        <v>14.7665</v>
      </c>
      <c r="D367" s="20">
        <f aca="true" t="shared" si="28" ref="D367:D374">F367</f>
        <v>14.8072</v>
      </c>
      <c r="E367" s="20">
        <f aca="true" t="shared" si="29" ref="E367:E374">F367</f>
        <v>14.8072</v>
      </c>
      <c r="F367" s="20">
        <f>ROUND(14.8072,4)</f>
        <v>14.8072</v>
      </c>
      <c r="G367" s="19"/>
      <c r="H367" s="29"/>
    </row>
    <row r="368" spans="1:8" ht="12.75" customHeight="1">
      <c r="A368" s="31">
        <v>43269</v>
      </c>
      <c r="B368" s="31"/>
      <c r="C368" s="20">
        <f t="shared" si="27"/>
        <v>14.7665</v>
      </c>
      <c r="D368" s="20">
        <f t="shared" si="28"/>
        <v>15.1014</v>
      </c>
      <c r="E368" s="20">
        <f t="shared" si="29"/>
        <v>15.1014</v>
      </c>
      <c r="F368" s="20">
        <f>ROUND(15.1014,4)</f>
        <v>15.1014</v>
      </c>
      <c r="G368" s="19"/>
      <c r="H368" s="29"/>
    </row>
    <row r="369" spans="1:8" ht="12.75" customHeight="1">
      <c r="A369" s="31">
        <v>43360</v>
      </c>
      <c r="B369" s="31"/>
      <c r="C369" s="20">
        <f t="shared" si="27"/>
        <v>14.7665</v>
      </c>
      <c r="D369" s="20">
        <f t="shared" si="28"/>
        <v>15.3917</v>
      </c>
      <c r="E369" s="20">
        <f t="shared" si="29"/>
        <v>15.3917</v>
      </c>
      <c r="F369" s="20">
        <f>ROUND(15.3917,4)</f>
        <v>15.3917</v>
      </c>
      <c r="G369" s="19"/>
      <c r="H369" s="29"/>
    </row>
    <row r="370" spans="1:8" ht="12.75" customHeight="1">
      <c r="A370" s="31">
        <v>43448</v>
      </c>
      <c r="B370" s="31"/>
      <c r="C370" s="20">
        <f t="shared" si="27"/>
        <v>14.7665</v>
      </c>
      <c r="D370" s="20">
        <f t="shared" si="28"/>
        <v>15.6797</v>
      </c>
      <c r="E370" s="20">
        <f t="shared" si="29"/>
        <v>15.6797</v>
      </c>
      <c r="F370" s="20">
        <f>ROUND(15.6797,4)</f>
        <v>15.6797</v>
      </c>
      <c r="G370" s="19"/>
      <c r="H370" s="29"/>
    </row>
    <row r="371" spans="1:8" ht="12.75" customHeight="1">
      <c r="A371" s="31">
        <v>43542</v>
      </c>
      <c r="B371" s="31"/>
      <c r="C371" s="20">
        <f t="shared" si="27"/>
        <v>14.7665</v>
      </c>
      <c r="D371" s="20">
        <f t="shared" si="28"/>
        <v>15.9835</v>
      </c>
      <c r="E371" s="20">
        <f t="shared" si="29"/>
        <v>15.9835</v>
      </c>
      <c r="F371" s="20">
        <f>ROUND(15.9835,4)</f>
        <v>15.9835</v>
      </c>
      <c r="G371" s="19"/>
      <c r="H371" s="29"/>
    </row>
    <row r="372" spans="1:8" ht="12.75" customHeight="1">
      <c r="A372" s="31">
        <v>43630</v>
      </c>
      <c r="B372" s="31"/>
      <c r="C372" s="20">
        <f t="shared" si="27"/>
        <v>14.7665</v>
      </c>
      <c r="D372" s="20">
        <f t="shared" si="28"/>
        <v>16.2235</v>
      </c>
      <c r="E372" s="20">
        <f t="shared" si="29"/>
        <v>16.2235</v>
      </c>
      <c r="F372" s="20">
        <f>ROUND(16.2235,4)</f>
        <v>16.2235</v>
      </c>
      <c r="G372" s="19"/>
      <c r="H372" s="29"/>
    </row>
    <row r="373" spans="1:8" ht="12.75" customHeight="1">
      <c r="A373" s="31">
        <v>43724</v>
      </c>
      <c r="B373" s="31"/>
      <c r="C373" s="20">
        <f t="shared" si="27"/>
        <v>14.7665</v>
      </c>
      <c r="D373" s="20">
        <f t="shared" si="28"/>
        <v>16.6002</v>
      </c>
      <c r="E373" s="20">
        <f t="shared" si="29"/>
        <v>16.6002</v>
      </c>
      <c r="F373" s="20">
        <f>ROUND(16.6002,4)</f>
        <v>16.6002</v>
      </c>
      <c r="G373" s="19"/>
      <c r="H373" s="29"/>
    </row>
    <row r="374" spans="1:8" ht="12.75" customHeight="1">
      <c r="A374" s="31">
        <v>43812</v>
      </c>
      <c r="B374" s="31"/>
      <c r="C374" s="20">
        <f t="shared" si="27"/>
        <v>14.7665</v>
      </c>
      <c r="D374" s="20">
        <f t="shared" si="28"/>
        <v>16.9567</v>
      </c>
      <c r="E374" s="20">
        <f t="shared" si="29"/>
        <v>16.9567</v>
      </c>
      <c r="F374" s="20">
        <f>ROUND(16.9567,4)</f>
        <v>16.9567</v>
      </c>
      <c r="G374" s="19"/>
      <c r="H374" s="29"/>
    </row>
    <row r="375" spans="1:8" ht="12.75" customHeight="1">
      <c r="A375" s="31" t="s">
        <v>78</v>
      </c>
      <c r="B375" s="31"/>
      <c r="C375" s="18"/>
      <c r="D375" s="18"/>
      <c r="E375" s="18"/>
      <c r="F375" s="18"/>
      <c r="G375" s="19"/>
      <c r="H375" s="29"/>
    </row>
    <row r="376" spans="1:8" ht="12.75" customHeight="1">
      <c r="A376" s="31">
        <v>43178</v>
      </c>
      <c r="B376" s="31"/>
      <c r="C376" s="20">
        <f aca="true" t="shared" si="30" ref="C376:C383">ROUND(12.8120026914738,4)</f>
        <v>12.812</v>
      </c>
      <c r="D376" s="20">
        <f aca="true" t="shared" si="31" ref="D376:D383">F376</f>
        <v>12.8491</v>
      </c>
      <c r="E376" s="20">
        <f aca="true" t="shared" si="32" ref="E376:E383">F376</f>
        <v>12.8491</v>
      </c>
      <c r="F376" s="20">
        <f>ROUND(12.8491,4)</f>
        <v>12.8491</v>
      </c>
      <c r="G376" s="19"/>
      <c r="H376" s="29"/>
    </row>
    <row r="377" spans="1:8" ht="12.75" customHeight="1">
      <c r="A377" s="31">
        <v>43269</v>
      </c>
      <c r="B377" s="31"/>
      <c r="C377" s="20">
        <f t="shared" si="30"/>
        <v>12.812</v>
      </c>
      <c r="D377" s="20">
        <f t="shared" si="31"/>
        <v>13.118</v>
      </c>
      <c r="E377" s="20">
        <f t="shared" si="32"/>
        <v>13.118</v>
      </c>
      <c r="F377" s="20">
        <f>ROUND(13.118,4)</f>
        <v>13.118</v>
      </c>
      <c r="G377" s="19"/>
      <c r="H377" s="29"/>
    </row>
    <row r="378" spans="1:8" ht="12.75" customHeight="1">
      <c r="A378" s="31">
        <v>43360</v>
      </c>
      <c r="B378" s="31"/>
      <c r="C378" s="20">
        <f t="shared" si="30"/>
        <v>12.812</v>
      </c>
      <c r="D378" s="20">
        <f t="shared" si="31"/>
        <v>13.3838</v>
      </c>
      <c r="E378" s="20">
        <f t="shared" si="32"/>
        <v>13.3838</v>
      </c>
      <c r="F378" s="20">
        <f>ROUND(13.3838,4)</f>
        <v>13.3838</v>
      </c>
      <c r="G378" s="19"/>
      <c r="H378" s="29"/>
    </row>
    <row r="379" spans="1:8" ht="12.75" customHeight="1">
      <c r="A379" s="31">
        <v>43448</v>
      </c>
      <c r="B379" s="31"/>
      <c r="C379" s="20">
        <f t="shared" si="30"/>
        <v>12.812</v>
      </c>
      <c r="D379" s="20">
        <f t="shared" si="31"/>
        <v>13.6487</v>
      </c>
      <c r="E379" s="20">
        <f t="shared" si="32"/>
        <v>13.6487</v>
      </c>
      <c r="F379" s="20">
        <f>ROUND(13.6487,4)</f>
        <v>13.6487</v>
      </c>
      <c r="G379" s="19"/>
      <c r="H379" s="29"/>
    </row>
    <row r="380" spans="1:8" ht="12.75" customHeight="1">
      <c r="A380" s="31">
        <v>43542</v>
      </c>
      <c r="B380" s="31"/>
      <c r="C380" s="20">
        <f t="shared" si="30"/>
        <v>12.812</v>
      </c>
      <c r="D380" s="20">
        <f t="shared" si="31"/>
        <v>13.9279</v>
      </c>
      <c r="E380" s="20">
        <f t="shared" si="32"/>
        <v>13.9279</v>
      </c>
      <c r="F380" s="20">
        <f>ROUND(13.9279,4)</f>
        <v>13.9279</v>
      </c>
      <c r="G380" s="19"/>
      <c r="H380" s="29"/>
    </row>
    <row r="381" spans="1:8" ht="12.75" customHeight="1">
      <c r="A381" s="31">
        <v>43630</v>
      </c>
      <c r="B381" s="31"/>
      <c r="C381" s="20">
        <f t="shared" si="30"/>
        <v>12.812</v>
      </c>
      <c r="D381" s="20">
        <f t="shared" si="31"/>
        <v>14.4379</v>
      </c>
      <c r="E381" s="20">
        <f t="shared" si="32"/>
        <v>14.4379</v>
      </c>
      <c r="F381" s="20">
        <f>ROUND(14.4379,4)</f>
        <v>14.4379</v>
      </c>
      <c r="G381" s="19"/>
      <c r="H381" s="29"/>
    </row>
    <row r="382" spans="1:8" ht="12.75" customHeight="1">
      <c r="A382" s="31">
        <v>43724</v>
      </c>
      <c r="B382" s="31"/>
      <c r="C382" s="20">
        <f t="shared" si="30"/>
        <v>12.812</v>
      </c>
      <c r="D382" s="20">
        <f t="shared" si="31"/>
        <v>14.6651</v>
      </c>
      <c r="E382" s="20">
        <f t="shared" si="32"/>
        <v>14.6651</v>
      </c>
      <c r="F382" s="20">
        <f>ROUND(14.6651,4)</f>
        <v>14.6651</v>
      </c>
      <c r="G382" s="19"/>
      <c r="H382" s="29"/>
    </row>
    <row r="383" spans="1:8" ht="12.75" customHeight="1">
      <c r="A383" s="31">
        <v>43812</v>
      </c>
      <c r="B383" s="31"/>
      <c r="C383" s="20">
        <f t="shared" si="30"/>
        <v>12.812</v>
      </c>
      <c r="D383" s="20">
        <f t="shared" si="31"/>
        <v>14.9191</v>
      </c>
      <c r="E383" s="20">
        <f t="shared" si="32"/>
        <v>14.9191</v>
      </c>
      <c r="F383" s="20">
        <f>ROUND(14.9191,4)</f>
        <v>14.9191</v>
      </c>
      <c r="G383" s="19"/>
      <c r="H383" s="29"/>
    </row>
    <row r="384" spans="1:8" ht="12.75" customHeight="1">
      <c r="A384" s="31" t="s">
        <v>79</v>
      </c>
      <c r="B384" s="31"/>
      <c r="C384" s="18"/>
      <c r="D384" s="18"/>
      <c r="E384" s="18"/>
      <c r="F384" s="18"/>
      <c r="G384" s="19"/>
      <c r="H384" s="29"/>
    </row>
    <row r="385" spans="1:8" ht="12.75" customHeight="1">
      <c r="A385" s="31">
        <v>43178</v>
      </c>
      <c r="B385" s="31"/>
      <c r="C385" s="20">
        <f aca="true" t="shared" si="33" ref="C385:C392">ROUND(16.51472896125,4)</f>
        <v>16.5147</v>
      </c>
      <c r="D385" s="20">
        <f aca="true" t="shared" si="34" ref="D385:D392">F385</f>
        <v>16.5538</v>
      </c>
      <c r="E385" s="20">
        <f aca="true" t="shared" si="35" ref="E385:E392">F385</f>
        <v>16.5538</v>
      </c>
      <c r="F385" s="20">
        <f>ROUND(16.5538,4)</f>
        <v>16.5538</v>
      </c>
      <c r="G385" s="19"/>
      <c r="H385" s="29"/>
    </row>
    <row r="386" spans="1:8" ht="12.75" customHeight="1">
      <c r="A386" s="31">
        <v>43269</v>
      </c>
      <c r="B386" s="31"/>
      <c r="C386" s="20">
        <f t="shared" si="33"/>
        <v>16.5147</v>
      </c>
      <c r="D386" s="20">
        <f t="shared" si="34"/>
        <v>16.8346</v>
      </c>
      <c r="E386" s="20">
        <f t="shared" si="35"/>
        <v>16.8346</v>
      </c>
      <c r="F386" s="20">
        <f>ROUND(16.8346,4)</f>
        <v>16.8346</v>
      </c>
      <c r="G386" s="19"/>
      <c r="H386" s="29"/>
    </row>
    <row r="387" spans="1:8" ht="12.75" customHeight="1">
      <c r="A387" s="31">
        <v>43360</v>
      </c>
      <c r="B387" s="31"/>
      <c r="C387" s="20">
        <f t="shared" si="33"/>
        <v>16.5147</v>
      </c>
      <c r="D387" s="20">
        <f t="shared" si="34"/>
        <v>17.1027</v>
      </c>
      <c r="E387" s="20">
        <f t="shared" si="35"/>
        <v>17.1027</v>
      </c>
      <c r="F387" s="20">
        <f>ROUND(17.1027,4)</f>
        <v>17.1027</v>
      </c>
      <c r="G387" s="19"/>
      <c r="H387" s="29"/>
    </row>
    <row r="388" spans="1:8" ht="12.75" customHeight="1">
      <c r="A388" s="31">
        <v>43448</v>
      </c>
      <c r="B388" s="31"/>
      <c r="C388" s="20">
        <f t="shared" si="33"/>
        <v>16.5147</v>
      </c>
      <c r="D388" s="20">
        <f t="shared" si="34"/>
        <v>17.3643</v>
      </c>
      <c r="E388" s="20">
        <f t="shared" si="35"/>
        <v>17.3643</v>
      </c>
      <c r="F388" s="20">
        <f>ROUND(17.3643,4)</f>
        <v>17.3643</v>
      </c>
      <c r="G388" s="19"/>
      <c r="H388" s="29"/>
    </row>
    <row r="389" spans="1:8" ht="12.75" customHeight="1">
      <c r="A389" s="31">
        <v>43542</v>
      </c>
      <c r="B389" s="31"/>
      <c r="C389" s="20">
        <f t="shared" si="33"/>
        <v>16.5147</v>
      </c>
      <c r="D389" s="20">
        <f t="shared" si="34"/>
        <v>17.642</v>
      </c>
      <c r="E389" s="20">
        <f t="shared" si="35"/>
        <v>17.642</v>
      </c>
      <c r="F389" s="20">
        <f>ROUND(17.642,4)</f>
        <v>17.642</v>
      </c>
      <c r="G389" s="19"/>
      <c r="H389" s="29"/>
    </row>
    <row r="390" spans="1:8" ht="12.75" customHeight="1">
      <c r="A390" s="31">
        <v>43630</v>
      </c>
      <c r="B390" s="31"/>
      <c r="C390" s="20">
        <f t="shared" si="33"/>
        <v>16.5147</v>
      </c>
      <c r="D390" s="20">
        <f t="shared" si="34"/>
        <v>17.8994</v>
      </c>
      <c r="E390" s="20">
        <f t="shared" si="35"/>
        <v>17.8994</v>
      </c>
      <c r="F390" s="20">
        <f>ROUND(17.8994,4)</f>
        <v>17.8994</v>
      </c>
      <c r="G390" s="19"/>
      <c r="H390" s="29"/>
    </row>
    <row r="391" spans="1:8" ht="12.75" customHeight="1">
      <c r="A391" s="31">
        <v>43724</v>
      </c>
      <c r="B391" s="31"/>
      <c r="C391" s="20">
        <f t="shared" si="33"/>
        <v>16.5147</v>
      </c>
      <c r="D391" s="20">
        <f t="shared" si="34"/>
        <v>17.9755</v>
      </c>
      <c r="E391" s="20">
        <f t="shared" si="35"/>
        <v>17.9755</v>
      </c>
      <c r="F391" s="20">
        <f>ROUND(17.9755,4)</f>
        <v>17.9755</v>
      </c>
      <c r="G391" s="19"/>
      <c r="H391" s="29"/>
    </row>
    <row r="392" spans="1:8" ht="12.75" customHeight="1">
      <c r="A392" s="31">
        <v>43812</v>
      </c>
      <c r="B392" s="31"/>
      <c r="C392" s="20">
        <f t="shared" si="33"/>
        <v>16.5147</v>
      </c>
      <c r="D392" s="20">
        <f t="shared" si="34"/>
        <v>18.4351</v>
      </c>
      <c r="E392" s="20">
        <f t="shared" si="35"/>
        <v>18.4351</v>
      </c>
      <c r="F392" s="20">
        <f>ROUND(18.4351,4)</f>
        <v>18.4351</v>
      </c>
      <c r="G392" s="19"/>
      <c r="H392" s="29"/>
    </row>
    <row r="393" spans="1:8" ht="12.75" customHeight="1">
      <c r="A393" s="31" t="s">
        <v>80</v>
      </c>
      <c r="B393" s="31"/>
      <c r="C393" s="18"/>
      <c r="D393" s="18"/>
      <c r="E393" s="18"/>
      <c r="F393" s="18"/>
      <c r="G393" s="19"/>
      <c r="H393" s="29"/>
    </row>
    <row r="394" spans="1:8" ht="12.75" customHeight="1">
      <c r="A394" s="31">
        <v>43178</v>
      </c>
      <c r="B394" s="31"/>
      <c r="C394" s="20">
        <f aca="true" t="shared" si="36" ref="C394:C401">ROUND(1.53208687966813,4)</f>
        <v>1.5321</v>
      </c>
      <c r="D394" s="20">
        <f aca="true" t="shared" si="37" ref="D394:D401">F394</f>
        <v>1.5358</v>
      </c>
      <c r="E394" s="20">
        <f aca="true" t="shared" si="38" ref="E394:E401">F394</f>
        <v>1.5358</v>
      </c>
      <c r="F394" s="20">
        <f>ROUND(1.5358,4)</f>
        <v>1.5358</v>
      </c>
      <c r="G394" s="19"/>
      <c r="H394" s="29"/>
    </row>
    <row r="395" spans="1:8" ht="12.75" customHeight="1">
      <c r="A395" s="31">
        <v>43269</v>
      </c>
      <c r="B395" s="31"/>
      <c r="C395" s="20">
        <f t="shared" si="36"/>
        <v>1.5321</v>
      </c>
      <c r="D395" s="20">
        <f t="shared" si="37"/>
        <v>1.5592</v>
      </c>
      <c r="E395" s="20">
        <f t="shared" si="38"/>
        <v>1.5592</v>
      </c>
      <c r="F395" s="20">
        <f>ROUND(1.5592,4)</f>
        <v>1.5592</v>
      </c>
      <c r="G395" s="19"/>
      <c r="H395" s="29"/>
    </row>
    <row r="396" spans="1:8" ht="12.75" customHeight="1">
      <c r="A396" s="31">
        <v>43360</v>
      </c>
      <c r="B396" s="31"/>
      <c r="C396" s="20">
        <f t="shared" si="36"/>
        <v>1.5321</v>
      </c>
      <c r="D396" s="20">
        <f t="shared" si="37"/>
        <v>1.5807</v>
      </c>
      <c r="E396" s="20">
        <f t="shared" si="38"/>
        <v>1.5807</v>
      </c>
      <c r="F396" s="20">
        <f>ROUND(1.5807,4)</f>
        <v>1.5807</v>
      </c>
      <c r="G396" s="19"/>
      <c r="H396" s="29"/>
    </row>
    <row r="397" spans="1:8" ht="12.75" customHeight="1">
      <c r="A397" s="31">
        <v>43448</v>
      </c>
      <c r="B397" s="31"/>
      <c r="C397" s="20">
        <f t="shared" si="36"/>
        <v>1.5321</v>
      </c>
      <c r="D397" s="20">
        <f t="shared" si="37"/>
        <v>1.6008</v>
      </c>
      <c r="E397" s="20">
        <f t="shared" si="38"/>
        <v>1.6008</v>
      </c>
      <c r="F397" s="20">
        <f>ROUND(1.6008,4)</f>
        <v>1.6008</v>
      </c>
      <c r="G397" s="19"/>
      <c r="H397" s="29"/>
    </row>
    <row r="398" spans="1:8" ht="12.75" customHeight="1">
      <c r="A398" s="31">
        <v>43542</v>
      </c>
      <c r="B398" s="31"/>
      <c r="C398" s="20">
        <f t="shared" si="36"/>
        <v>1.5321</v>
      </c>
      <c r="D398" s="20">
        <f t="shared" si="37"/>
        <v>1.6736</v>
      </c>
      <c r="E398" s="20">
        <f t="shared" si="38"/>
        <v>1.6736</v>
      </c>
      <c r="F398" s="20">
        <f>ROUND(1.6736,4)</f>
        <v>1.6736</v>
      </c>
      <c r="G398" s="19"/>
      <c r="H398" s="29"/>
    </row>
    <row r="399" spans="1:8" ht="12.75" customHeight="1">
      <c r="A399" s="31">
        <v>43630</v>
      </c>
      <c r="B399" s="31"/>
      <c r="C399" s="20">
        <f t="shared" si="36"/>
        <v>1.5321</v>
      </c>
      <c r="D399" s="20">
        <f t="shared" si="37"/>
        <v>1.6944</v>
      </c>
      <c r="E399" s="20">
        <f t="shared" si="38"/>
        <v>1.6944</v>
      </c>
      <c r="F399" s="20">
        <f>ROUND(1.6944,4)</f>
        <v>1.6944</v>
      </c>
      <c r="G399" s="19"/>
      <c r="H399" s="29"/>
    </row>
    <row r="400" spans="1:8" ht="12.75" customHeight="1">
      <c r="A400" s="31">
        <v>43724</v>
      </c>
      <c r="B400" s="31"/>
      <c r="C400" s="20">
        <f t="shared" si="36"/>
        <v>1.5321</v>
      </c>
      <c r="D400" s="20">
        <f t="shared" si="37"/>
        <v>1.7188</v>
      </c>
      <c r="E400" s="20">
        <f t="shared" si="38"/>
        <v>1.7188</v>
      </c>
      <c r="F400" s="20">
        <f>ROUND(1.7188,4)</f>
        <v>1.7188</v>
      </c>
      <c r="G400" s="19"/>
      <c r="H400" s="29"/>
    </row>
    <row r="401" spans="1:8" ht="12.75" customHeight="1">
      <c r="A401" s="31">
        <v>43812</v>
      </c>
      <c r="B401" s="31"/>
      <c r="C401" s="20">
        <f t="shared" si="36"/>
        <v>1.5321</v>
      </c>
      <c r="D401" s="20">
        <f t="shared" si="37"/>
        <v>1.7446</v>
      </c>
      <c r="E401" s="20">
        <f t="shared" si="38"/>
        <v>1.7446</v>
      </c>
      <c r="F401" s="20">
        <f>ROUND(1.7446,4)</f>
        <v>1.7446</v>
      </c>
      <c r="G401" s="19"/>
      <c r="H401" s="29"/>
    </row>
    <row r="402" spans="1:8" ht="12.75" customHeight="1">
      <c r="A402" s="31" t="s">
        <v>81</v>
      </c>
      <c r="B402" s="31"/>
      <c r="C402" s="18"/>
      <c r="D402" s="18"/>
      <c r="E402" s="18"/>
      <c r="F402" s="18"/>
      <c r="G402" s="19"/>
      <c r="H402" s="29"/>
    </row>
    <row r="403" spans="1:8" ht="12.75" customHeight="1">
      <c r="A403" s="31">
        <v>43178</v>
      </c>
      <c r="B403" s="31"/>
      <c r="C403" s="23">
        <f aca="true" t="shared" si="39" ref="C403:C410">ROUND(0.113834350297498,6)</f>
        <v>0.113834</v>
      </c>
      <c r="D403" s="23">
        <f aca="true" t="shared" si="40" ref="D403:D410">F403</f>
        <v>0.114132</v>
      </c>
      <c r="E403" s="23">
        <f aca="true" t="shared" si="41" ref="E403:E410">F403</f>
        <v>0.114132</v>
      </c>
      <c r="F403" s="23">
        <f>ROUND(0.114132,6)</f>
        <v>0.114132</v>
      </c>
      <c r="G403" s="19"/>
      <c r="H403" s="29"/>
    </row>
    <row r="404" spans="1:8" ht="12.75" customHeight="1">
      <c r="A404" s="31">
        <v>43269</v>
      </c>
      <c r="B404" s="31"/>
      <c r="C404" s="23">
        <f t="shared" si="39"/>
        <v>0.113834</v>
      </c>
      <c r="D404" s="23">
        <f t="shared" si="40"/>
        <v>0.116336</v>
      </c>
      <c r="E404" s="23">
        <f t="shared" si="41"/>
        <v>0.116336</v>
      </c>
      <c r="F404" s="23">
        <f>ROUND(0.116336,6)</f>
        <v>0.116336</v>
      </c>
      <c r="G404" s="19"/>
      <c r="H404" s="29"/>
    </row>
    <row r="405" spans="1:8" ht="12.75" customHeight="1">
      <c r="A405" s="31">
        <v>43360</v>
      </c>
      <c r="B405" s="31"/>
      <c r="C405" s="23">
        <f t="shared" si="39"/>
        <v>0.113834</v>
      </c>
      <c r="D405" s="23">
        <f t="shared" si="40"/>
        <v>0.118521</v>
      </c>
      <c r="E405" s="23">
        <f t="shared" si="41"/>
        <v>0.118521</v>
      </c>
      <c r="F405" s="23">
        <f>ROUND(0.118521,6)</f>
        <v>0.118521</v>
      </c>
      <c r="G405" s="19"/>
      <c r="H405" s="29"/>
    </row>
    <row r="406" spans="1:8" ht="12.75" customHeight="1">
      <c r="A406" s="31">
        <v>43448</v>
      </c>
      <c r="B406" s="31"/>
      <c r="C406" s="23">
        <f t="shared" si="39"/>
        <v>0.113834</v>
      </c>
      <c r="D406" s="23">
        <f t="shared" si="40"/>
        <v>0.120691</v>
      </c>
      <c r="E406" s="23">
        <f t="shared" si="41"/>
        <v>0.120691</v>
      </c>
      <c r="F406" s="23">
        <f>ROUND(0.120691,6)</f>
        <v>0.120691</v>
      </c>
      <c r="G406" s="19"/>
      <c r="H406" s="29"/>
    </row>
    <row r="407" spans="1:8" ht="12.75" customHeight="1">
      <c r="A407" s="31">
        <v>43542</v>
      </c>
      <c r="B407" s="31"/>
      <c r="C407" s="23">
        <f t="shared" si="39"/>
        <v>0.113834</v>
      </c>
      <c r="D407" s="23">
        <f t="shared" si="40"/>
        <v>0.123083</v>
      </c>
      <c r="E407" s="23">
        <f t="shared" si="41"/>
        <v>0.123083</v>
      </c>
      <c r="F407" s="23">
        <f>ROUND(0.123083,6)</f>
        <v>0.123083</v>
      </c>
      <c r="G407" s="19"/>
      <c r="H407" s="29"/>
    </row>
    <row r="408" spans="1:8" ht="12.75" customHeight="1">
      <c r="A408" s="31">
        <v>43630</v>
      </c>
      <c r="B408" s="31"/>
      <c r="C408" s="23">
        <f t="shared" si="39"/>
        <v>0.113834</v>
      </c>
      <c r="D408" s="23">
        <f t="shared" si="40"/>
        <v>0.127968</v>
      </c>
      <c r="E408" s="23">
        <f t="shared" si="41"/>
        <v>0.127968</v>
      </c>
      <c r="F408" s="23">
        <f>ROUND(0.127968,6)</f>
        <v>0.127968</v>
      </c>
      <c r="G408" s="19"/>
      <c r="H408" s="29"/>
    </row>
    <row r="409" spans="1:8" ht="12.75" customHeight="1">
      <c r="A409" s="31">
        <v>43724</v>
      </c>
      <c r="B409" s="31"/>
      <c r="C409" s="23">
        <f t="shared" si="39"/>
        <v>0.113834</v>
      </c>
      <c r="D409" s="23">
        <f t="shared" si="40"/>
        <v>0.130342</v>
      </c>
      <c r="E409" s="23">
        <f t="shared" si="41"/>
        <v>0.130342</v>
      </c>
      <c r="F409" s="23">
        <f>ROUND(0.130342,6)</f>
        <v>0.130342</v>
      </c>
      <c r="G409" s="19"/>
      <c r="H409" s="29"/>
    </row>
    <row r="410" spans="1:8" ht="12.75" customHeight="1">
      <c r="A410" s="31">
        <v>43812</v>
      </c>
      <c r="B410" s="31"/>
      <c r="C410" s="23">
        <f t="shared" si="39"/>
        <v>0.113834</v>
      </c>
      <c r="D410" s="23">
        <f t="shared" si="40"/>
        <v>0.132061</v>
      </c>
      <c r="E410" s="23">
        <f t="shared" si="41"/>
        <v>0.132061</v>
      </c>
      <c r="F410" s="23">
        <f>ROUND(0.132061,6)</f>
        <v>0.132061</v>
      </c>
      <c r="G410" s="19"/>
      <c r="H410" s="29"/>
    </row>
    <row r="411" spans="1:8" ht="12.75" customHeight="1">
      <c r="A411" s="31" t="s">
        <v>82</v>
      </c>
      <c r="B411" s="31"/>
      <c r="C411" s="18"/>
      <c r="D411" s="18"/>
      <c r="E411" s="18"/>
      <c r="F411" s="18"/>
      <c r="G411" s="19"/>
      <c r="H411" s="29"/>
    </row>
    <row r="412" spans="1:8" ht="12.75" customHeight="1">
      <c r="A412" s="31">
        <v>43178</v>
      </c>
      <c r="B412" s="31"/>
      <c r="C412" s="20">
        <f aca="true" t="shared" si="42" ref="C412:C418">ROUND(0.118418065153011,4)</f>
        <v>0.1184</v>
      </c>
      <c r="D412" s="20">
        <f aca="true" t="shared" si="43" ref="D412:D418">F412</f>
        <v>0.1184</v>
      </c>
      <c r="E412" s="20">
        <f aca="true" t="shared" si="44" ref="E412:E418">F412</f>
        <v>0.1184</v>
      </c>
      <c r="F412" s="20">
        <f>ROUND(0.1184,4)</f>
        <v>0.1184</v>
      </c>
      <c r="G412" s="19"/>
      <c r="H412" s="29"/>
    </row>
    <row r="413" spans="1:8" ht="12.75" customHeight="1">
      <c r="A413" s="31">
        <v>43269</v>
      </c>
      <c r="B413" s="31"/>
      <c r="C413" s="20">
        <f t="shared" si="42"/>
        <v>0.1184</v>
      </c>
      <c r="D413" s="20">
        <f t="shared" si="43"/>
        <v>0.118</v>
      </c>
      <c r="E413" s="20">
        <f t="shared" si="44"/>
        <v>0.118</v>
      </c>
      <c r="F413" s="20">
        <f>ROUND(0.118,4)</f>
        <v>0.118</v>
      </c>
      <c r="G413" s="19"/>
      <c r="H413" s="29"/>
    </row>
    <row r="414" spans="1:8" ht="12.75" customHeight="1">
      <c r="A414" s="31">
        <v>43360</v>
      </c>
      <c r="B414" s="31"/>
      <c r="C414" s="20">
        <f t="shared" si="42"/>
        <v>0.1184</v>
      </c>
      <c r="D414" s="20">
        <f t="shared" si="43"/>
        <v>0.1176</v>
      </c>
      <c r="E414" s="20">
        <f t="shared" si="44"/>
        <v>0.1176</v>
      </c>
      <c r="F414" s="20">
        <f>ROUND(0.1176,4)</f>
        <v>0.1176</v>
      </c>
      <c r="G414" s="19"/>
      <c r="H414" s="29"/>
    </row>
    <row r="415" spans="1:8" ht="12.75" customHeight="1">
      <c r="A415" s="31">
        <v>43448</v>
      </c>
      <c r="B415" s="31"/>
      <c r="C415" s="20">
        <f t="shared" si="42"/>
        <v>0.1184</v>
      </c>
      <c r="D415" s="20">
        <f t="shared" si="43"/>
        <v>0.1168</v>
      </c>
      <c r="E415" s="20">
        <f t="shared" si="44"/>
        <v>0.1168</v>
      </c>
      <c r="F415" s="20">
        <f>ROUND(0.1168,4)</f>
        <v>0.1168</v>
      </c>
      <c r="G415" s="19"/>
      <c r="H415" s="29"/>
    </row>
    <row r="416" spans="1:8" ht="12.75" customHeight="1">
      <c r="A416" s="31">
        <v>43542</v>
      </c>
      <c r="B416" s="31"/>
      <c r="C416" s="20">
        <f t="shared" si="42"/>
        <v>0.1184</v>
      </c>
      <c r="D416" s="20">
        <f t="shared" si="43"/>
        <v>0.1147</v>
      </c>
      <c r="E416" s="20">
        <f t="shared" si="44"/>
        <v>0.1147</v>
      </c>
      <c r="F416" s="20">
        <f>ROUND(0.1147,4)</f>
        <v>0.1147</v>
      </c>
      <c r="G416" s="19"/>
      <c r="H416" s="29"/>
    </row>
    <row r="417" spans="1:8" ht="12.75" customHeight="1">
      <c r="A417" s="31">
        <v>43630</v>
      </c>
      <c r="B417" s="31"/>
      <c r="C417" s="20">
        <f t="shared" si="42"/>
        <v>0.1184</v>
      </c>
      <c r="D417" s="20">
        <f t="shared" si="43"/>
        <v>0.1129</v>
      </c>
      <c r="E417" s="20">
        <f t="shared" si="44"/>
        <v>0.1129</v>
      </c>
      <c r="F417" s="20">
        <f>ROUND(0.1129,4)</f>
        <v>0.1129</v>
      </c>
      <c r="G417" s="19"/>
      <c r="H417" s="29"/>
    </row>
    <row r="418" spans="1:8" ht="12.75" customHeight="1">
      <c r="A418" s="31">
        <v>43724</v>
      </c>
      <c r="B418" s="31"/>
      <c r="C418" s="20">
        <f t="shared" si="42"/>
        <v>0.1184</v>
      </c>
      <c r="D418" s="20">
        <f t="shared" si="43"/>
        <v>0.1191</v>
      </c>
      <c r="E418" s="20">
        <f t="shared" si="44"/>
        <v>0.1191</v>
      </c>
      <c r="F418" s="20">
        <f>ROUND(0.1191,4)</f>
        <v>0.1191</v>
      </c>
      <c r="G418" s="19"/>
      <c r="H418" s="29"/>
    </row>
    <row r="419" spans="1:8" ht="12.75" customHeight="1">
      <c r="A419" s="31" t="s">
        <v>83</v>
      </c>
      <c r="B419" s="31"/>
      <c r="C419" s="18"/>
      <c r="D419" s="18"/>
      <c r="E419" s="18"/>
      <c r="F419" s="18"/>
      <c r="G419" s="19"/>
      <c r="H419" s="29"/>
    </row>
    <row r="420" spans="1:8" ht="12.75" customHeight="1">
      <c r="A420" s="31">
        <v>43178</v>
      </c>
      <c r="B420" s="31"/>
      <c r="C420" s="20">
        <f aca="true" t="shared" si="45" ref="C420:C426">ROUND(1.53335983577011,4)</f>
        <v>1.5334</v>
      </c>
      <c r="D420" s="20">
        <f aca="true" t="shared" si="46" ref="D420:D426">F420</f>
        <v>1.5436</v>
      </c>
      <c r="E420" s="20">
        <f aca="true" t="shared" si="47" ref="E420:E426">F420</f>
        <v>1.5436</v>
      </c>
      <c r="F420" s="20">
        <f>ROUND(1.5436,4)</f>
        <v>1.5436</v>
      </c>
      <c r="G420" s="19"/>
      <c r="H420" s="29"/>
    </row>
    <row r="421" spans="1:8" ht="12.75" customHeight="1">
      <c r="A421" s="31">
        <v>43269</v>
      </c>
      <c r="B421" s="31"/>
      <c r="C421" s="20">
        <f t="shared" si="45"/>
        <v>1.5334</v>
      </c>
      <c r="D421" s="20">
        <f t="shared" si="46"/>
        <v>1.5687</v>
      </c>
      <c r="E421" s="20">
        <f t="shared" si="47"/>
        <v>1.5687</v>
      </c>
      <c r="F421" s="20">
        <f>ROUND(1.5687,4)</f>
        <v>1.5687</v>
      </c>
      <c r="G421" s="19"/>
      <c r="H421" s="29"/>
    </row>
    <row r="422" spans="1:8" ht="12.75" customHeight="1">
      <c r="A422" s="31">
        <v>43360</v>
      </c>
      <c r="B422" s="31"/>
      <c r="C422" s="20">
        <f t="shared" si="45"/>
        <v>1.5334</v>
      </c>
      <c r="D422" s="20">
        <f t="shared" si="46"/>
        <v>1.5936</v>
      </c>
      <c r="E422" s="20">
        <f t="shared" si="47"/>
        <v>1.5936</v>
      </c>
      <c r="F422" s="20">
        <f>ROUND(1.5936,4)</f>
        <v>1.5936</v>
      </c>
      <c r="G422" s="19"/>
      <c r="H422" s="29"/>
    </row>
    <row r="423" spans="1:8" ht="12.75" customHeight="1">
      <c r="A423" s="31">
        <v>43448</v>
      </c>
      <c r="B423" s="31"/>
      <c r="C423" s="20">
        <f t="shared" si="45"/>
        <v>1.5334</v>
      </c>
      <c r="D423" s="20">
        <f t="shared" si="46"/>
        <v>1.6155</v>
      </c>
      <c r="E423" s="20">
        <f t="shared" si="47"/>
        <v>1.6155</v>
      </c>
      <c r="F423" s="20">
        <f>ROUND(1.6155,4)</f>
        <v>1.6155</v>
      </c>
      <c r="G423" s="19"/>
      <c r="H423" s="29"/>
    </row>
    <row r="424" spans="1:8" ht="12.75" customHeight="1">
      <c r="A424" s="31">
        <v>43630</v>
      </c>
      <c r="B424" s="31"/>
      <c r="C424" s="20">
        <f t="shared" si="45"/>
        <v>1.5334</v>
      </c>
      <c r="D424" s="20">
        <f t="shared" si="46"/>
        <v>1.6652</v>
      </c>
      <c r="E424" s="20">
        <f t="shared" si="47"/>
        <v>1.6652</v>
      </c>
      <c r="F424" s="20">
        <v>1.6652</v>
      </c>
      <c r="G424" s="19"/>
      <c r="H424" s="29"/>
    </row>
    <row r="425" spans="1:8" ht="12.75" customHeight="1">
      <c r="A425" s="31">
        <v>43724</v>
      </c>
      <c r="B425" s="31"/>
      <c r="C425" s="20">
        <f t="shared" si="45"/>
        <v>1.5334</v>
      </c>
      <c r="D425" s="20">
        <f t="shared" si="46"/>
        <v>1.6929</v>
      </c>
      <c r="E425" s="20">
        <f t="shared" si="47"/>
        <v>1.6929</v>
      </c>
      <c r="F425" s="20">
        <v>1.6929</v>
      </c>
      <c r="G425" s="19"/>
      <c r="H425" s="29"/>
    </row>
    <row r="426" spans="1:8" ht="12.75" customHeight="1">
      <c r="A426" s="31">
        <v>43812</v>
      </c>
      <c r="B426" s="31"/>
      <c r="C426" s="20">
        <f t="shared" si="45"/>
        <v>1.5334</v>
      </c>
      <c r="D426" s="20">
        <f t="shared" si="46"/>
        <v>1.7191</v>
      </c>
      <c r="E426" s="20">
        <f t="shared" si="47"/>
        <v>1.7191</v>
      </c>
      <c r="F426" s="20">
        <f>ROUND(1.7191,4)</f>
        <v>1.7191</v>
      </c>
      <c r="G426" s="19"/>
      <c r="H426" s="29"/>
    </row>
    <row r="427" spans="1:8" ht="12.75" customHeight="1">
      <c r="A427" s="31" t="s">
        <v>84</v>
      </c>
      <c r="B427" s="31"/>
      <c r="C427" s="18"/>
      <c r="D427" s="18"/>
      <c r="E427" s="18"/>
      <c r="F427" s="18"/>
      <c r="G427" s="19"/>
      <c r="H427" s="29"/>
    </row>
    <row r="428" spans="1:8" ht="12.75" customHeight="1">
      <c r="A428" s="31">
        <v>43178</v>
      </c>
      <c r="B428" s="31"/>
      <c r="C428" s="20">
        <f aca="true" t="shared" si="48" ref="C428:C435">ROUND(8.68438319125,4)</f>
        <v>8.6844</v>
      </c>
      <c r="D428" s="20">
        <f aca="true" t="shared" si="49" ref="D428:D435">F428</f>
        <v>8.6999</v>
      </c>
      <c r="E428" s="20">
        <f aca="true" t="shared" si="50" ref="E428:E435">F428</f>
        <v>8.6999</v>
      </c>
      <c r="F428" s="20">
        <f>ROUND(8.6999,4)</f>
        <v>8.6999</v>
      </c>
      <c r="G428" s="19"/>
      <c r="H428" s="29"/>
    </row>
    <row r="429" spans="1:8" ht="12.75" customHeight="1">
      <c r="A429" s="31">
        <v>43269</v>
      </c>
      <c r="B429" s="31"/>
      <c r="C429" s="20">
        <f t="shared" si="48"/>
        <v>8.6844</v>
      </c>
      <c r="D429" s="20">
        <f t="shared" si="49"/>
        <v>8.8065</v>
      </c>
      <c r="E429" s="20">
        <f t="shared" si="50"/>
        <v>8.8065</v>
      </c>
      <c r="F429" s="20">
        <f>ROUND(8.8065,4)</f>
        <v>8.8065</v>
      </c>
      <c r="G429" s="19"/>
      <c r="H429" s="29"/>
    </row>
    <row r="430" spans="1:8" ht="12.75" customHeight="1">
      <c r="A430" s="31">
        <v>43360</v>
      </c>
      <c r="B430" s="31"/>
      <c r="C430" s="20">
        <f t="shared" si="48"/>
        <v>8.6844</v>
      </c>
      <c r="D430" s="20">
        <f t="shared" si="49"/>
        <v>8.9126</v>
      </c>
      <c r="E430" s="20">
        <f t="shared" si="50"/>
        <v>8.9126</v>
      </c>
      <c r="F430" s="20">
        <f>ROUND(8.9126,4)</f>
        <v>8.9126</v>
      </c>
      <c r="G430" s="19"/>
      <c r="H430" s="29"/>
    </row>
    <row r="431" spans="1:8" ht="12.75" customHeight="1">
      <c r="A431" s="31">
        <v>43448</v>
      </c>
      <c r="B431" s="31"/>
      <c r="C431" s="20">
        <f t="shared" si="48"/>
        <v>8.6844</v>
      </c>
      <c r="D431" s="20">
        <f t="shared" si="49"/>
        <v>9.0159</v>
      </c>
      <c r="E431" s="20">
        <f t="shared" si="50"/>
        <v>9.0159</v>
      </c>
      <c r="F431" s="20">
        <f>ROUND(9.0159,4)</f>
        <v>9.0159</v>
      </c>
      <c r="G431" s="19"/>
      <c r="H431" s="29"/>
    </row>
    <row r="432" spans="1:8" ht="12.75" customHeight="1">
      <c r="A432" s="31">
        <v>43542</v>
      </c>
      <c r="B432" s="31"/>
      <c r="C432" s="20">
        <f t="shared" si="48"/>
        <v>8.6844</v>
      </c>
      <c r="D432" s="20">
        <f t="shared" si="49"/>
        <v>9.4179</v>
      </c>
      <c r="E432" s="20">
        <f t="shared" si="50"/>
        <v>9.4179</v>
      </c>
      <c r="F432" s="20">
        <f>ROUND(9.4179,4)</f>
        <v>9.4179</v>
      </c>
      <c r="G432" s="19"/>
      <c r="H432" s="29"/>
    </row>
    <row r="433" spans="1:8" ht="12.75" customHeight="1">
      <c r="A433" s="31">
        <v>43630</v>
      </c>
      <c r="B433" s="31"/>
      <c r="C433" s="20">
        <f t="shared" si="48"/>
        <v>8.6844</v>
      </c>
      <c r="D433" s="20">
        <f t="shared" si="49"/>
        <v>9.5262</v>
      </c>
      <c r="E433" s="20">
        <f t="shared" si="50"/>
        <v>9.5262</v>
      </c>
      <c r="F433" s="20">
        <f>ROUND(9.5262,4)</f>
        <v>9.5262</v>
      </c>
      <c r="G433" s="19"/>
      <c r="H433" s="29"/>
    </row>
    <row r="434" spans="1:8" ht="12.75" customHeight="1">
      <c r="A434" s="31">
        <v>43724</v>
      </c>
      <c r="B434" s="31"/>
      <c r="C434" s="20">
        <f t="shared" si="48"/>
        <v>8.6844</v>
      </c>
      <c r="D434" s="20">
        <f t="shared" si="49"/>
        <v>9.6534</v>
      </c>
      <c r="E434" s="20">
        <f t="shared" si="50"/>
        <v>9.6534</v>
      </c>
      <c r="F434" s="20">
        <f>ROUND(9.6534,4)</f>
        <v>9.6534</v>
      </c>
      <c r="G434" s="19"/>
      <c r="H434" s="29"/>
    </row>
    <row r="435" spans="1:8" ht="12.75" customHeight="1">
      <c r="A435" s="31">
        <v>43812</v>
      </c>
      <c r="B435" s="31"/>
      <c r="C435" s="20">
        <f t="shared" si="48"/>
        <v>8.6844</v>
      </c>
      <c r="D435" s="20">
        <f t="shared" si="49"/>
        <v>9.7891</v>
      </c>
      <c r="E435" s="20">
        <f t="shared" si="50"/>
        <v>9.7891</v>
      </c>
      <c r="F435" s="20">
        <f>ROUND(9.7891,4)</f>
        <v>9.7891</v>
      </c>
      <c r="G435" s="19"/>
      <c r="H435" s="29"/>
    </row>
    <row r="436" spans="1:8" ht="12.75" customHeight="1">
      <c r="A436" s="31" t="s">
        <v>85</v>
      </c>
      <c r="B436" s="31"/>
      <c r="C436" s="18"/>
      <c r="D436" s="18"/>
      <c r="E436" s="18"/>
      <c r="F436" s="18"/>
      <c r="G436" s="19"/>
      <c r="H436" s="29"/>
    </row>
    <row r="437" spans="1:8" ht="12.75" customHeight="1">
      <c r="A437" s="31">
        <v>43178</v>
      </c>
      <c r="B437" s="31"/>
      <c r="C437" s="20">
        <f aca="true" t="shared" si="51" ref="C437:C444">ROUND(9.07346055806425,4)</f>
        <v>9.0735</v>
      </c>
      <c r="D437" s="20">
        <f aca="true" t="shared" si="52" ref="D437:D444">F437</f>
        <v>9.093</v>
      </c>
      <c r="E437" s="20">
        <f aca="true" t="shared" si="53" ref="E437:E444">F437</f>
        <v>9.093</v>
      </c>
      <c r="F437" s="20">
        <f>ROUND(9.093,4)</f>
        <v>9.093</v>
      </c>
      <c r="G437" s="19"/>
      <c r="H437" s="29"/>
    </row>
    <row r="438" spans="1:8" ht="12.75" customHeight="1">
      <c r="A438" s="31">
        <v>43269</v>
      </c>
      <c r="B438" s="31"/>
      <c r="C438" s="20">
        <f t="shared" si="51"/>
        <v>9.0735</v>
      </c>
      <c r="D438" s="20">
        <f t="shared" si="52"/>
        <v>9.2263</v>
      </c>
      <c r="E438" s="20">
        <f t="shared" si="53"/>
        <v>9.2263</v>
      </c>
      <c r="F438" s="20">
        <f>ROUND(9.2263,4)</f>
        <v>9.2263</v>
      </c>
      <c r="G438" s="19"/>
      <c r="H438" s="29"/>
    </row>
    <row r="439" spans="1:8" ht="12.75" customHeight="1">
      <c r="A439" s="31">
        <v>43360</v>
      </c>
      <c r="B439" s="31"/>
      <c r="C439" s="20">
        <f t="shared" si="51"/>
        <v>9.0735</v>
      </c>
      <c r="D439" s="20">
        <f t="shared" si="52"/>
        <v>9.3586</v>
      </c>
      <c r="E439" s="20">
        <f t="shared" si="53"/>
        <v>9.3586</v>
      </c>
      <c r="F439" s="20">
        <f>ROUND(9.3586,4)</f>
        <v>9.3586</v>
      </c>
      <c r="G439" s="19"/>
      <c r="H439" s="29"/>
    </row>
    <row r="440" spans="1:8" ht="12.75" customHeight="1">
      <c r="A440" s="31">
        <v>43448</v>
      </c>
      <c r="B440" s="31"/>
      <c r="C440" s="20">
        <f t="shared" si="51"/>
        <v>9.0735</v>
      </c>
      <c r="D440" s="20">
        <f t="shared" si="52"/>
        <v>9.485</v>
      </c>
      <c r="E440" s="20">
        <f t="shared" si="53"/>
        <v>9.485</v>
      </c>
      <c r="F440" s="20">
        <f>ROUND(9.485,4)</f>
        <v>9.485</v>
      </c>
      <c r="G440" s="19"/>
      <c r="H440" s="29"/>
    </row>
    <row r="441" spans="1:8" ht="12.75" customHeight="1">
      <c r="A441" s="31">
        <v>43542</v>
      </c>
      <c r="B441" s="31"/>
      <c r="C441" s="20">
        <f t="shared" si="51"/>
        <v>9.0735</v>
      </c>
      <c r="D441" s="20">
        <f t="shared" si="52"/>
        <v>9.9273</v>
      </c>
      <c r="E441" s="20">
        <f t="shared" si="53"/>
        <v>9.9273</v>
      </c>
      <c r="F441" s="20">
        <f>ROUND(9.9273,4)</f>
        <v>9.9273</v>
      </c>
      <c r="G441" s="19"/>
      <c r="H441" s="29"/>
    </row>
    <row r="442" spans="1:8" ht="12.75" customHeight="1">
      <c r="A442" s="31">
        <v>43630</v>
      </c>
      <c r="B442" s="31"/>
      <c r="C442" s="20">
        <f t="shared" si="51"/>
        <v>9.0735</v>
      </c>
      <c r="D442" s="20">
        <f t="shared" si="52"/>
        <v>10.0564</v>
      </c>
      <c r="E442" s="20">
        <f t="shared" si="53"/>
        <v>10.0564</v>
      </c>
      <c r="F442" s="20">
        <f>ROUND(10.0564,4)</f>
        <v>10.0564</v>
      </c>
      <c r="G442" s="19"/>
      <c r="H442" s="29"/>
    </row>
    <row r="443" spans="1:8" ht="12.75" customHeight="1">
      <c r="A443" s="31">
        <v>43724</v>
      </c>
      <c r="B443" s="31"/>
      <c r="C443" s="20">
        <f t="shared" si="51"/>
        <v>9.0735</v>
      </c>
      <c r="D443" s="20">
        <f t="shared" si="52"/>
        <v>10.2069</v>
      </c>
      <c r="E443" s="20">
        <f t="shared" si="53"/>
        <v>10.2069</v>
      </c>
      <c r="F443" s="20">
        <f>ROUND(10.2069,4)</f>
        <v>10.2069</v>
      </c>
      <c r="G443" s="19"/>
      <c r="H443" s="29"/>
    </row>
    <row r="444" spans="1:8" ht="12.75" customHeight="1">
      <c r="A444" s="31">
        <v>43812</v>
      </c>
      <c r="B444" s="31"/>
      <c r="C444" s="20">
        <f t="shared" si="51"/>
        <v>9.0735</v>
      </c>
      <c r="D444" s="20">
        <f t="shared" si="52"/>
        <v>10.366</v>
      </c>
      <c r="E444" s="20">
        <f t="shared" si="53"/>
        <v>10.366</v>
      </c>
      <c r="F444" s="20">
        <f>ROUND(10.366,4)</f>
        <v>10.366</v>
      </c>
      <c r="G444" s="19"/>
      <c r="H444" s="29"/>
    </row>
    <row r="445" spans="1:8" ht="12.75" customHeight="1">
      <c r="A445" s="31" t="s">
        <v>86</v>
      </c>
      <c r="B445" s="31"/>
      <c r="C445" s="18"/>
      <c r="D445" s="18"/>
      <c r="E445" s="18"/>
      <c r="F445" s="18"/>
      <c r="G445" s="19"/>
      <c r="H445" s="29"/>
    </row>
    <row r="446" spans="1:8" ht="12.75" customHeight="1">
      <c r="A446" s="31">
        <v>43178</v>
      </c>
      <c r="B446" s="31"/>
      <c r="C446" s="20">
        <f aca="true" t="shared" si="54" ref="C446:C453">ROUND(3.14126425689981,4)</f>
        <v>3.1413</v>
      </c>
      <c r="D446" s="20">
        <f aca="true" t="shared" si="55" ref="D446:D453">F446</f>
        <v>3.1353</v>
      </c>
      <c r="E446" s="20">
        <f aca="true" t="shared" si="56" ref="E446:E453">F446</f>
        <v>3.1353</v>
      </c>
      <c r="F446" s="20">
        <f>ROUND(3.1353,4)</f>
        <v>3.1353</v>
      </c>
      <c r="G446" s="19"/>
      <c r="H446" s="29"/>
    </row>
    <row r="447" spans="1:8" ht="12.75" customHeight="1">
      <c r="A447" s="31">
        <v>43269</v>
      </c>
      <c r="B447" s="31"/>
      <c r="C447" s="20">
        <f t="shared" si="54"/>
        <v>3.1413</v>
      </c>
      <c r="D447" s="20">
        <f t="shared" si="55"/>
        <v>3.093</v>
      </c>
      <c r="E447" s="20">
        <f t="shared" si="56"/>
        <v>3.093</v>
      </c>
      <c r="F447" s="20">
        <f>ROUND(3.093,4)</f>
        <v>3.093</v>
      </c>
      <c r="G447" s="19"/>
      <c r="H447" s="29"/>
    </row>
    <row r="448" spans="1:8" ht="12.75" customHeight="1">
      <c r="A448" s="31">
        <v>43360</v>
      </c>
      <c r="B448" s="31"/>
      <c r="C448" s="20">
        <f t="shared" si="54"/>
        <v>3.1413</v>
      </c>
      <c r="D448" s="20">
        <f t="shared" si="55"/>
        <v>3.0505</v>
      </c>
      <c r="E448" s="20">
        <f t="shared" si="56"/>
        <v>3.0505</v>
      </c>
      <c r="F448" s="20">
        <f>ROUND(3.0505,4)</f>
        <v>3.0505</v>
      </c>
      <c r="G448" s="19"/>
      <c r="H448" s="29"/>
    </row>
    <row r="449" spans="1:8" ht="12.75" customHeight="1">
      <c r="A449" s="31">
        <v>43448</v>
      </c>
      <c r="B449" s="31"/>
      <c r="C449" s="20">
        <f t="shared" si="54"/>
        <v>3.1413</v>
      </c>
      <c r="D449" s="20">
        <f t="shared" si="55"/>
        <v>3.0069</v>
      </c>
      <c r="E449" s="20">
        <f t="shared" si="56"/>
        <v>3.0069</v>
      </c>
      <c r="F449" s="20">
        <f>ROUND(3.0069,4)</f>
        <v>3.0069</v>
      </c>
      <c r="G449" s="19"/>
      <c r="H449" s="29"/>
    </row>
    <row r="450" spans="1:8" ht="12.75" customHeight="1">
      <c r="A450" s="31">
        <v>43542</v>
      </c>
      <c r="B450" s="31"/>
      <c r="C450" s="20">
        <f t="shared" si="54"/>
        <v>3.1413</v>
      </c>
      <c r="D450" s="20">
        <f t="shared" si="55"/>
        <v>3.0564</v>
      </c>
      <c r="E450" s="20">
        <f t="shared" si="56"/>
        <v>3.0564</v>
      </c>
      <c r="F450" s="20">
        <f>ROUND(3.0564,4)</f>
        <v>3.0564</v>
      </c>
      <c r="G450" s="19"/>
      <c r="H450" s="29"/>
    </row>
    <row r="451" spans="1:8" ht="12.75" customHeight="1">
      <c r="A451" s="31">
        <v>43630</v>
      </c>
      <c r="B451" s="31"/>
      <c r="C451" s="20">
        <f t="shared" si="54"/>
        <v>3.1413</v>
      </c>
      <c r="D451" s="20">
        <f t="shared" si="55"/>
        <v>3.0152</v>
      </c>
      <c r="E451" s="20">
        <f t="shared" si="56"/>
        <v>3.0152</v>
      </c>
      <c r="F451" s="20">
        <f>ROUND(3.0152,4)</f>
        <v>3.0152</v>
      </c>
      <c r="G451" s="19"/>
      <c r="H451" s="29"/>
    </row>
    <row r="452" spans="1:8" ht="12.75" customHeight="1">
      <c r="A452" s="31">
        <v>43724</v>
      </c>
      <c r="B452" s="31"/>
      <c r="C452" s="20">
        <f t="shared" si="54"/>
        <v>3.1413</v>
      </c>
      <c r="D452" s="20">
        <f t="shared" si="55"/>
        <v>2.9769</v>
      </c>
      <c r="E452" s="20">
        <f t="shared" si="56"/>
        <v>2.9769</v>
      </c>
      <c r="F452" s="20">
        <f>ROUND(2.9769,4)</f>
        <v>2.9769</v>
      </c>
      <c r="G452" s="19"/>
      <c r="H452" s="29"/>
    </row>
    <row r="453" spans="1:8" ht="12.75" customHeight="1">
      <c r="A453" s="31">
        <v>43812</v>
      </c>
      <c r="B453" s="31"/>
      <c r="C453" s="20">
        <f t="shared" si="54"/>
        <v>3.1413</v>
      </c>
      <c r="D453" s="20">
        <f t="shared" si="55"/>
        <v>2.9477</v>
      </c>
      <c r="E453" s="20">
        <f t="shared" si="56"/>
        <v>2.9477</v>
      </c>
      <c r="F453" s="20">
        <f>ROUND(2.9477,4)</f>
        <v>2.9477</v>
      </c>
      <c r="G453" s="19"/>
      <c r="H453" s="29"/>
    </row>
    <row r="454" spans="1:8" ht="12.75" customHeight="1">
      <c r="A454" s="31" t="s">
        <v>87</v>
      </c>
      <c r="B454" s="31"/>
      <c r="C454" s="18"/>
      <c r="D454" s="18"/>
      <c r="E454" s="18"/>
      <c r="F454" s="18"/>
      <c r="G454" s="19"/>
      <c r="H454" s="29"/>
    </row>
    <row r="455" spans="1:8" ht="12.75" customHeight="1">
      <c r="A455" s="31">
        <v>43178</v>
      </c>
      <c r="B455" s="31"/>
      <c r="C455" s="20">
        <f aca="true" t="shared" si="57" ref="C455:C461">ROUND(11.99575,4)</f>
        <v>11.9958</v>
      </c>
      <c r="D455" s="20">
        <f aca="true" t="shared" si="58" ref="D455:D461">F455</f>
        <v>12.0194</v>
      </c>
      <c r="E455" s="20">
        <f aca="true" t="shared" si="59" ref="E455:E461">F455</f>
        <v>12.0194</v>
      </c>
      <c r="F455" s="20">
        <f>ROUND(12.0194,4)</f>
        <v>12.0194</v>
      </c>
      <c r="G455" s="19"/>
      <c r="H455" s="29"/>
    </row>
    <row r="456" spans="1:8" ht="12.75" customHeight="1">
      <c r="A456" s="31">
        <v>43269</v>
      </c>
      <c r="B456" s="31"/>
      <c r="C456" s="20">
        <f t="shared" si="57"/>
        <v>11.9958</v>
      </c>
      <c r="D456" s="20">
        <f t="shared" si="58"/>
        <v>12.1719</v>
      </c>
      <c r="E456" s="20">
        <f t="shared" si="59"/>
        <v>12.1719</v>
      </c>
      <c r="F456" s="20">
        <f>ROUND(12.1719,4)</f>
        <v>12.1719</v>
      </c>
      <c r="G456" s="19"/>
      <c r="H456" s="29"/>
    </row>
    <row r="457" spans="1:8" ht="12.75" customHeight="1">
      <c r="A457" s="31">
        <v>43360</v>
      </c>
      <c r="B457" s="31"/>
      <c r="C457" s="20">
        <f t="shared" si="57"/>
        <v>11.9958</v>
      </c>
      <c r="D457" s="20">
        <f t="shared" si="58"/>
        <v>12.3183</v>
      </c>
      <c r="E457" s="20">
        <f t="shared" si="59"/>
        <v>12.3183</v>
      </c>
      <c r="F457" s="20">
        <f>ROUND(12.3183,4)</f>
        <v>12.3183</v>
      </c>
      <c r="G457" s="19"/>
      <c r="H457" s="29"/>
    </row>
    <row r="458" spans="1:8" ht="12.75" customHeight="1">
      <c r="A458" s="31">
        <v>43448</v>
      </c>
      <c r="B458" s="31"/>
      <c r="C458" s="20">
        <f t="shared" si="57"/>
        <v>11.9958</v>
      </c>
      <c r="D458" s="20">
        <f t="shared" si="58"/>
        <v>12.4587</v>
      </c>
      <c r="E458" s="20">
        <f t="shared" si="59"/>
        <v>12.4587</v>
      </c>
      <c r="F458" s="20">
        <f>ROUND(12.4587,4)</f>
        <v>12.4587</v>
      </c>
      <c r="G458" s="19"/>
      <c r="H458" s="29"/>
    </row>
    <row r="459" spans="1:8" ht="12.75" customHeight="1">
      <c r="A459" s="31">
        <v>43630</v>
      </c>
      <c r="B459" s="31"/>
      <c r="C459" s="20">
        <f t="shared" si="57"/>
        <v>11.9958</v>
      </c>
      <c r="D459" s="20">
        <f t="shared" si="58"/>
        <v>12.7365</v>
      </c>
      <c r="E459" s="20">
        <f t="shared" si="59"/>
        <v>12.7365</v>
      </c>
      <c r="F459" s="20">
        <v>12.7365</v>
      </c>
      <c r="G459" s="19"/>
      <c r="H459" s="29"/>
    </row>
    <row r="460" spans="1:8" ht="12.75" customHeight="1">
      <c r="A460" s="31">
        <v>43724</v>
      </c>
      <c r="B460" s="31"/>
      <c r="C460" s="20">
        <f t="shared" si="57"/>
        <v>11.9958</v>
      </c>
      <c r="D460" s="20">
        <f t="shared" si="58"/>
        <v>12.8785</v>
      </c>
      <c r="E460" s="20">
        <f t="shared" si="59"/>
        <v>12.8785</v>
      </c>
      <c r="F460" s="20">
        <v>12.8785</v>
      </c>
      <c r="G460" s="19"/>
      <c r="H460" s="29"/>
    </row>
    <row r="461" spans="1:8" ht="12.75" customHeight="1">
      <c r="A461" s="31">
        <v>43812</v>
      </c>
      <c r="B461" s="31"/>
      <c r="C461" s="20">
        <f t="shared" si="57"/>
        <v>11.9958</v>
      </c>
      <c r="D461" s="20">
        <f t="shared" si="58"/>
        <v>13.0114</v>
      </c>
      <c r="E461" s="20">
        <f t="shared" si="59"/>
        <v>13.0114</v>
      </c>
      <c r="F461" s="20">
        <v>13.0114</v>
      </c>
      <c r="G461" s="19"/>
      <c r="H461" s="29"/>
    </row>
    <row r="462" spans="1:8" ht="12.75" customHeight="1">
      <c r="A462" s="31" t="s">
        <v>88</v>
      </c>
      <c r="B462" s="31"/>
      <c r="C462" s="18"/>
      <c r="D462" s="18"/>
      <c r="E462" s="18"/>
      <c r="F462" s="18"/>
      <c r="G462" s="19"/>
      <c r="H462" s="29"/>
    </row>
    <row r="463" spans="1:8" ht="12.75" customHeight="1">
      <c r="A463" s="31">
        <v>43178</v>
      </c>
      <c r="B463" s="31"/>
      <c r="C463" s="20">
        <f aca="true" t="shared" si="60" ref="C463:C475">ROUND(11.99575,4)</f>
        <v>11.9958</v>
      </c>
      <c r="D463" s="20">
        <f aca="true" t="shared" si="61" ref="D463:D475">F463</f>
        <v>12.0194</v>
      </c>
      <c r="E463" s="20">
        <f aca="true" t="shared" si="62" ref="E463:E475">F463</f>
        <v>12.0194</v>
      </c>
      <c r="F463" s="20">
        <f>ROUND(12.0194,4)</f>
        <v>12.0194</v>
      </c>
      <c r="G463" s="19"/>
      <c r="H463" s="29"/>
    </row>
    <row r="464" spans="1:8" ht="12.75" customHeight="1">
      <c r="A464" s="31">
        <v>43269</v>
      </c>
      <c r="B464" s="31"/>
      <c r="C464" s="20">
        <f t="shared" si="60"/>
        <v>11.9958</v>
      </c>
      <c r="D464" s="20">
        <f t="shared" si="61"/>
        <v>12.1719</v>
      </c>
      <c r="E464" s="20">
        <f t="shared" si="62"/>
        <v>12.1719</v>
      </c>
      <c r="F464" s="20">
        <f>ROUND(12.1719,4)</f>
        <v>12.1719</v>
      </c>
      <c r="G464" s="19"/>
      <c r="H464" s="29"/>
    </row>
    <row r="465" spans="1:8" ht="12.75" customHeight="1">
      <c r="A465" s="31">
        <v>43360</v>
      </c>
      <c r="B465" s="31"/>
      <c r="C465" s="20">
        <f t="shared" si="60"/>
        <v>11.9958</v>
      </c>
      <c r="D465" s="20">
        <f t="shared" si="61"/>
        <v>12.3183</v>
      </c>
      <c r="E465" s="20">
        <f t="shared" si="62"/>
        <v>12.3183</v>
      </c>
      <c r="F465" s="20">
        <f>ROUND(12.3183,4)</f>
        <v>12.3183</v>
      </c>
      <c r="G465" s="19"/>
      <c r="H465" s="29"/>
    </row>
    <row r="466" spans="1:8" ht="12.75" customHeight="1">
      <c r="A466" s="31">
        <v>43448</v>
      </c>
      <c r="B466" s="31"/>
      <c r="C466" s="20">
        <f t="shared" si="60"/>
        <v>11.9958</v>
      </c>
      <c r="D466" s="20">
        <f t="shared" si="61"/>
        <v>12.4587</v>
      </c>
      <c r="E466" s="20">
        <f t="shared" si="62"/>
        <v>12.4587</v>
      </c>
      <c r="F466" s="20">
        <f>ROUND(12.4587,4)</f>
        <v>12.4587</v>
      </c>
      <c r="G466" s="19"/>
      <c r="H466" s="29"/>
    </row>
    <row r="467" spans="1:8" ht="12.75" customHeight="1">
      <c r="A467" s="31">
        <v>43542</v>
      </c>
      <c r="B467" s="31"/>
      <c r="C467" s="20">
        <f t="shared" si="60"/>
        <v>11.9958</v>
      </c>
      <c r="D467" s="20">
        <f t="shared" si="61"/>
        <v>12.6036</v>
      </c>
      <c r="E467" s="20">
        <f t="shared" si="62"/>
        <v>12.6036</v>
      </c>
      <c r="F467" s="20">
        <f>ROUND(12.6036,4)</f>
        <v>12.6036</v>
      </c>
      <c r="G467" s="19"/>
      <c r="H467" s="29"/>
    </row>
    <row r="468" spans="1:8" ht="12.75" customHeight="1">
      <c r="A468" s="31">
        <v>43630</v>
      </c>
      <c r="B468" s="31"/>
      <c r="C468" s="20">
        <f t="shared" si="60"/>
        <v>11.9958</v>
      </c>
      <c r="D468" s="20">
        <f t="shared" si="61"/>
        <v>12.7365</v>
      </c>
      <c r="E468" s="20">
        <f t="shared" si="62"/>
        <v>12.7365</v>
      </c>
      <c r="F468" s="20">
        <f>ROUND(12.7365,4)</f>
        <v>12.7365</v>
      </c>
      <c r="G468" s="19"/>
      <c r="H468" s="29"/>
    </row>
    <row r="469" spans="1:8" ht="12.75" customHeight="1">
      <c r="A469" s="31">
        <v>43724</v>
      </c>
      <c r="B469" s="31"/>
      <c r="C469" s="20">
        <f t="shared" si="60"/>
        <v>11.9958</v>
      </c>
      <c r="D469" s="20">
        <f t="shared" si="61"/>
        <v>12.8785</v>
      </c>
      <c r="E469" s="20">
        <f t="shared" si="62"/>
        <v>12.8785</v>
      </c>
      <c r="F469" s="20">
        <f>ROUND(12.8785,4)</f>
        <v>12.8785</v>
      </c>
      <c r="G469" s="19"/>
      <c r="H469" s="29"/>
    </row>
    <row r="470" spans="1:8" ht="12.75" customHeight="1">
      <c r="A470" s="31">
        <v>43812</v>
      </c>
      <c r="B470" s="31"/>
      <c r="C470" s="20">
        <f t="shared" si="60"/>
        <v>11.9958</v>
      </c>
      <c r="D470" s="20">
        <f t="shared" si="61"/>
        <v>13.0114</v>
      </c>
      <c r="E470" s="20">
        <f t="shared" si="62"/>
        <v>13.0114</v>
      </c>
      <c r="F470" s="20">
        <f>ROUND(13.0114,4)</f>
        <v>13.0114</v>
      </c>
      <c r="G470" s="19"/>
      <c r="H470" s="29"/>
    </row>
    <row r="471" spans="1:8" ht="12.75" customHeight="1">
      <c r="A471" s="31">
        <v>43906</v>
      </c>
      <c r="B471" s="31"/>
      <c r="C471" s="20">
        <f t="shared" si="60"/>
        <v>11.9958</v>
      </c>
      <c r="D471" s="20">
        <f t="shared" si="61"/>
        <v>13.1579</v>
      </c>
      <c r="E471" s="20">
        <f t="shared" si="62"/>
        <v>13.1579</v>
      </c>
      <c r="F471" s="20">
        <f>ROUND(13.1579,4)</f>
        <v>13.1579</v>
      </c>
      <c r="G471" s="19"/>
      <c r="H471" s="29"/>
    </row>
    <row r="472" spans="1:8" ht="12.75" customHeight="1">
      <c r="A472" s="31">
        <v>43994</v>
      </c>
      <c r="B472" s="31"/>
      <c r="C472" s="20">
        <f t="shared" si="60"/>
        <v>11.9958</v>
      </c>
      <c r="D472" s="20">
        <f t="shared" si="61"/>
        <v>13.3303</v>
      </c>
      <c r="E472" s="20">
        <f t="shared" si="62"/>
        <v>13.3303</v>
      </c>
      <c r="F472" s="20">
        <f>ROUND(13.3303,4)</f>
        <v>13.3303</v>
      </c>
      <c r="G472" s="19"/>
      <c r="H472" s="29"/>
    </row>
    <row r="473" spans="1:8" ht="12.75" customHeight="1">
      <c r="A473" s="31">
        <v>44088</v>
      </c>
      <c r="B473" s="31"/>
      <c r="C473" s="20">
        <f t="shared" si="60"/>
        <v>11.9958</v>
      </c>
      <c r="D473" s="20">
        <f t="shared" si="61"/>
        <v>13.5146</v>
      </c>
      <c r="E473" s="20">
        <f t="shared" si="62"/>
        <v>13.5146</v>
      </c>
      <c r="F473" s="20">
        <f>ROUND(13.5146,4)</f>
        <v>13.5146</v>
      </c>
      <c r="G473" s="19"/>
      <c r="H473" s="29"/>
    </row>
    <row r="474" spans="1:8" ht="12.75" customHeight="1">
      <c r="A474" s="31">
        <v>44179</v>
      </c>
      <c r="B474" s="31"/>
      <c r="C474" s="20">
        <f t="shared" si="60"/>
        <v>11.9958</v>
      </c>
      <c r="D474" s="20">
        <f t="shared" si="61"/>
        <v>13.693</v>
      </c>
      <c r="E474" s="20">
        <f t="shared" si="62"/>
        <v>13.693</v>
      </c>
      <c r="F474" s="20">
        <f>ROUND(13.693,4)</f>
        <v>13.693</v>
      </c>
      <c r="G474" s="19"/>
      <c r="H474" s="29"/>
    </row>
    <row r="475" spans="1:8" ht="12.75" customHeight="1">
      <c r="A475" s="31">
        <v>44270</v>
      </c>
      <c r="B475" s="31"/>
      <c r="C475" s="20">
        <f t="shared" si="60"/>
        <v>11.9958</v>
      </c>
      <c r="D475" s="20">
        <f t="shared" si="61"/>
        <v>13.8713</v>
      </c>
      <c r="E475" s="20">
        <f t="shared" si="62"/>
        <v>13.8713</v>
      </c>
      <c r="F475" s="20">
        <f>ROUND(13.8713,4)</f>
        <v>13.8713</v>
      </c>
      <c r="G475" s="19"/>
      <c r="H475" s="29"/>
    </row>
    <row r="476" spans="1:8" ht="12.75" customHeight="1">
      <c r="A476" s="31" t="s">
        <v>89</v>
      </c>
      <c r="B476" s="31"/>
      <c r="C476" s="18"/>
      <c r="D476" s="18"/>
      <c r="E476" s="18"/>
      <c r="F476" s="18"/>
      <c r="G476" s="19"/>
      <c r="H476" s="29"/>
    </row>
    <row r="477" spans="1:8" ht="12.75" customHeight="1">
      <c r="A477" s="31">
        <v>43178</v>
      </c>
      <c r="B477" s="31"/>
      <c r="C477" s="20">
        <f aca="true" t="shared" si="63" ref="C477:C483">ROUND(1.23045953431121,4)</f>
        <v>1.2305</v>
      </c>
      <c r="D477" s="20">
        <f aca="true" t="shared" si="64" ref="D477:D483">F477</f>
        <v>1.228</v>
      </c>
      <c r="E477" s="20">
        <f aca="true" t="shared" si="65" ref="E477:E483">F477</f>
        <v>1.228</v>
      </c>
      <c r="F477" s="20">
        <f>ROUND(1.228,4)</f>
        <v>1.228</v>
      </c>
      <c r="G477" s="19"/>
      <c r="H477" s="29"/>
    </row>
    <row r="478" spans="1:8" ht="12.75" customHeight="1">
      <c r="A478" s="31">
        <v>43269</v>
      </c>
      <c r="B478" s="31"/>
      <c r="C478" s="20">
        <f t="shared" si="63"/>
        <v>1.2305</v>
      </c>
      <c r="D478" s="20">
        <f t="shared" si="64"/>
        <v>1.2108</v>
      </c>
      <c r="E478" s="20">
        <f t="shared" si="65"/>
        <v>1.2108</v>
      </c>
      <c r="F478" s="20">
        <f>ROUND(1.2108,4)</f>
        <v>1.2108</v>
      </c>
      <c r="G478" s="19"/>
      <c r="H478" s="29"/>
    </row>
    <row r="479" spans="1:8" ht="12.75" customHeight="1">
      <c r="A479" s="31">
        <v>43360</v>
      </c>
      <c r="B479" s="31"/>
      <c r="C479" s="20">
        <f t="shared" si="63"/>
        <v>1.2305</v>
      </c>
      <c r="D479" s="20">
        <f t="shared" si="64"/>
        <v>1.1927</v>
      </c>
      <c r="E479" s="20">
        <f t="shared" si="65"/>
        <v>1.1927</v>
      </c>
      <c r="F479" s="20">
        <f>ROUND(1.1927,4)</f>
        <v>1.1927</v>
      </c>
      <c r="G479" s="19"/>
      <c r="H479" s="29"/>
    </row>
    <row r="480" spans="1:8" ht="12.75" customHeight="1">
      <c r="A480" s="31">
        <v>43448</v>
      </c>
      <c r="B480" s="31"/>
      <c r="C480" s="20">
        <f t="shared" si="63"/>
        <v>1.2305</v>
      </c>
      <c r="D480" s="20">
        <f t="shared" si="64"/>
        <v>1.1725</v>
      </c>
      <c r="E480" s="20">
        <f t="shared" si="65"/>
        <v>1.1725</v>
      </c>
      <c r="F480" s="20">
        <f>ROUND(1.1725,4)</f>
        <v>1.1725</v>
      </c>
      <c r="G480" s="19"/>
      <c r="H480" s="29"/>
    </row>
    <row r="481" spans="1:8" ht="12.75" customHeight="1">
      <c r="A481" s="31">
        <v>43542</v>
      </c>
      <c r="B481" s="31"/>
      <c r="C481" s="20">
        <f t="shared" si="63"/>
        <v>1.2305</v>
      </c>
      <c r="D481" s="20">
        <f t="shared" si="64"/>
        <v>1.1559</v>
      </c>
      <c r="E481" s="20">
        <f t="shared" si="65"/>
        <v>1.1559</v>
      </c>
      <c r="F481" s="20">
        <f>ROUND(1.1559,4)</f>
        <v>1.1559</v>
      </c>
      <c r="G481" s="19"/>
      <c r="H481" s="29"/>
    </row>
    <row r="482" spans="1:8" ht="12.75" customHeight="1">
      <c r="A482" s="31">
        <v>43630</v>
      </c>
      <c r="B482" s="31"/>
      <c r="C482" s="20">
        <f t="shared" si="63"/>
        <v>1.2305</v>
      </c>
      <c r="D482" s="20">
        <f t="shared" si="64"/>
        <v>1.2164</v>
      </c>
      <c r="E482" s="20">
        <f t="shared" si="65"/>
        <v>1.2164</v>
      </c>
      <c r="F482" s="20">
        <f>ROUND(1.2164,4)</f>
        <v>1.2164</v>
      </c>
      <c r="G482" s="19"/>
      <c r="H482" s="29"/>
    </row>
    <row r="483" spans="1:8" ht="12.75" customHeight="1">
      <c r="A483" s="31">
        <v>43724</v>
      </c>
      <c r="B483" s="31"/>
      <c r="C483" s="20">
        <f t="shared" si="63"/>
        <v>1.2305</v>
      </c>
      <c r="D483" s="20">
        <f t="shared" si="64"/>
        <v>1.2269</v>
      </c>
      <c r="E483" s="20">
        <f t="shared" si="65"/>
        <v>1.2269</v>
      </c>
      <c r="F483" s="20">
        <f>ROUND(1.2269,4)</f>
        <v>1.2269</v>
      </c>
      <c r="G483" s="19"/>
      <c r="H483" s="29"/>
    </row>
    <row r="484" spans="1:8" ht="12.75" customHeight="1">
      <c r="A484" s="31" t="s">
        <v>90</v>
      </c>
      <c r="B484" s="31"/>
      <c r="C484" s="18"/>
      <c r="D484" s="18"/>
      <c r="E484" s="18"/>
      <c r="F484" s="18"/>
      <c r="G484" s="19"/>
      <c r="H484" s="29"/>
    </row>
    <row r="485" spans="1:8" ht="12.75" customHeight="1">
      <c r="A485" s="31">
        <v>43223</v>
      </c>
      <c r="B485" s="31"/>
      <c r="C485" s="22">
        <f>ROUND(679.135,3)</f>
        <v>679.135</v>
      </c>
      <c r="D485" s="22">
        <f>F485</f>
        <v>687.602</v>
      </c>
      <c r="E485" s="22">
        <f>F485</f>
        <v>687.602</v>
      </c>
      <c r="F485" s="22">
        <f>ROUND(687.602,3)</f>
        <v>687.602</v>
      </c>
      <c r="G485" s="19"/>
      <c r="H485" s="29"/>
    </row>
    <row r="486" spans="1:8" ht="12.75" customHeight="1">
      <c r="A486" s="31">
        <v>43314</v>
      </c>
      <c r="B486" s="31"/>
      <c r="C486" s="22">
        <f>ROUND(679.135,3)</f>
        <v>679.135</v>
      </c>
      <c r="D486" s="22">
        <f>F486</f>
        <v>700.326</v>
      </c>
      <c r="E486" s="22">
        <f>F486</f>
        <v>700.326</v>
      </c>
      <c r="F486" s="22">
        <f>ROUND(700.326,3)</f>
        <v>700.326</v>
      </c>
      <c r="G486" s="19"/>
      <c r="H486" s="29"/>
    </row>
    <row r="487" spans="1:8" ht="12.75" customHeight="1">
      <c r="A487" s="31">
        <v>43405</v>
      </c>
      <c r="B487" s="31"/>
      <c r="C487" s="22">
        <f>ROUND(679.135,3)</f>
        <v>679.135</v>
      </c>
      <c r="D487" s="22">
        <f>F487</f>
        <v>713.475</v>
      </c>
      <c r="E487" s="22">
        <f>F487</f>
        <v>713.475</v>
      </c>
      <c r="F487" s="22">
        <f>ROUND(713.475,3)</f>
        <v>713.475</v>
      </c>
      <c r="G487" s="19"/>
      <c r="H487" s="29"/>
    </row>
    <row r="488" spans="1:8" ht="12.75" customHeight="1">
      <c r="A488" s="31">
        <v>43503</v>
      </c>
      <c r="B488" s="31"/>
      <c r="C488" s="22">
        <f>ROUND(679.135,3)</f>
        <v>679.135</v>
      </c>
      <c r="D488" s="22">
        <f>F488</f>
        <v>728.022</v>
      </c>
      <c r="E488" s="22">
        <f>F488</f>
        <v>728.022</v>
      </c>
      <c r="F488" s="22">
        <f>ROUND(728.022,3)</f>
        <v>728.022</v>
      </c>
      <c r="G488" s="19"/>
      <c r="H488" s="29"/>
    </row>
    <row r="489" spans="1:8" ht="12.75" customHeight="1">
      <c r="A489" s="31" t="s">
        <v>91</v>
      </c>
      <c r="B489" s="31"/>
      <c r="C489" s="18"/>
      <c r="D489" s="18"/>
      <c r="E489" s="18"/>
      <c r="F489" s="18"/>
      <c r="G489" s="19"/>
      <c r="H489" s="29"/>
    </row>
    <row r="490" spans="1:8" ht="12.75" customHeight="1">
      <c r="A490" s="31">
        <v>43223</v>
      </c>
      <c r="B490" s="31"/>
      <c r="C490" s="22">
        <f>ROUND(581.218,3)</f>
        <v>581.218</v>
      </c>
      <c r="D490" s="22">
        <f>F490</f>
        <v>588.465</v>
      </c>
      <c r="E490" s="22">
        <f>F490</f>
        <v>588.465</v>
      </c>
      <c r="F490" s="22">
        <f>ROUND(588.465,3)</f>
        <v>588.465</v>
      </c>
      <c r="G490" s="19"/>
      <c r="H490" s="29"/>
    </row>
    <row r="491" spans="1:8" ht="12.75" customHeight="1">
      <c r="A491" s="31">
        <v>43314</v>
      </c>
      <c r="B491" s="31"/>
      <c r="C491" s="22">
        <f>ROUND(581.218,3)</f>
        <v>581.218</v>
      </c>
      <c r="D491" s="22">
        <f>F491</f>
        <v>599.354</v>
      </c>
      <c r="E491" s="22">
        <f>F491</f>
        <v>599.354</v>
      </c>
      <c r="F491" s="22">
        <f>ROUND(599.354,3)</f>
        <v>599.354</v>
      </c>
      <c r="G491" s="19"/>
      <c r="H491" s="29"/>
    </row>
    <row r="492" spans="1:8" ht="12.75" customHeight="1">
      <c r="A492" s="31">
        <v>43405</v>
      </c>
      <c r="B492" s="31"/>
      <c r="C492" s="22">
        <f>ROUND(581.218,3)</f>
        <v>581.218</v>
      </c>
      <c r="D492" s="22">
        <f>F492</f>
        <v>610.607</v>
      </c>
      <c r="E492" s="22">
        <f>F492</f>
        <v>610.607</v>
      </c>
      <c r="F492" s="22">
        <f>ROUND(610.607,3)</f>
        <v>610.607</v>
      </c>
      <c r="G492" s="19"/>
      <c r="H492" s="29"/>
    </row>
    <row r="493" spans="1:8" ht="12.75" customHeight="1">
      <c r="A493" s="31">
        <v>43503</v>
      </c>
      <c r="B493" s="31"/>
      <c r="C493" s="22">
        <f>ROUND(581.218,3)</f>
        <v>581.218</v>
      </c>
      <c r="D493" s="22">
        <f>F493</f>
        <v>623.056</v>
      </c>
      <c r="E493" s="22">
        <f>F493</f>
        <v>623.056</v>
      </c>
      <c r="F493" s="22">
        <f>ROUND(623.056,3)</f>
        <v>623.056</v>
      </c>
      <c r="G493" s="19"/>
      <c r="H493" s="29"/>
    </row>
    <row r="494" spans="1:8" ht="12.75" customHeight="1">
      <c r="A494" s="31" t="s">
        <v>92</v>
      </c>
      <c r="B494" s="31"/>
      <c r="C494" s="18"/>
      <c r="D494" s="18"/>
      <c r="E494" s="18"/>
      <c r="F494" s="18"/>
      <c r="G494" s="19"/>
      <c r="H494" s="29"/>
    </row>
    <row r="495" spans="1:8" ht="12.75" customHeight="1">
      <c r="A495" s="31">
        <v>43223</v>
      </c>
      <c r="B495" s="31"/>
      <c r="C495" s="22">
        <f>ROUND(679.615,3)</f>
        <v>679.615</v>
      </c>
      <c r="D495" s="22">
        <f>F495</f>
        <v>688.088</v>
      </c>
      <c r="E495" s="22">
        <f>F495</f>
        <v>688.088</v>
      </c>
      <c r="F495" s="22">
        <f>ROUND(688.088,3)</f>
        <v>688.088</v>
      </c>
      <c r="G495" s="19"/>
      <c r="H495" s="29"/>
    </row>
    <row r="496" spans="1:8" ht="12.75" customHeight="1">
      <c r="A496" s="31">
        <v>43314</v>
      </c>
      <c r="B496" s="31"/>
      <c r="C496" s="22">
        <f>ROUND(679.615,3)</f>
        <v>679.615</v>
      </c>
      <c r="D496" s="22">
        <f>F496</f>
        <v>700.821</v>
      </c>
      <c r="E496" s="22">
        <f>F496</f>
        <v>700.821</v>
      </c>
      <c r="F496" s="22">
        <f>ROUND(700.821,3)</f>
        <v>700.821</v>
      </c>
      <c r="G496" s="19"/>
      <c r="H496" s="29"/>
    </row>
    <row r="497" spans="1:8" ht="12.75" customHeight="1">
      <c r="A497" s="31">
        <v>43405</v>
      </c>
      <c r="B497" s="31"/>
      <c r="C497" s="22">
        <f>ROUND(679.615,3)</f>
        <v>679.615</v>
      </c>
      <c r="D497" s="22">
        <f>F497</f>
        <v>713.98</v>
      </c>
      <c r="E497" s="22">
        <f>F497</f>
        <v>713.98</v>
      </c>
      <c r="F497" s="22">
        <f>ROUND(713.98,3)</f>
        <v>713.98</v>
      </c>
      <c r="G497" s="19"/>
      <c r="H497" s="29"/>
    </row>
    <row r="498" spans="1:8" ht="12.75" customHeight="1">
      <c r="A498" s="31">
        <v>43503</v>
      </c>
      <c r="B498" s="31"/>
      <c r="C498" s="22">
        <f>ROUND(679.615,3)</f>
        <v>679.615</v>
      </c>
      <c r="D498" s="22">
        <f>F498</f>
        <v>728.536</v>
      </c>
      <c r="E498" s="22">
        <f>F498</f>
        <v>728.536</v>
      </c>
      <c r="F498" s="22">
        <f>ROUND(728.536,3)</f>
        <v>728.536</v>
      </c>
      <c r="G498" s="19"/>
      <c r="H498" s="29"/>
    </row>
    <row r="499" spans="1:8" ht="12.75" customHeight="1">
      <c r="A499" s="31" t="s">
        <v>93</v>
      </c>
      <c r="B499" s="31"/>
      <c r="C499" s="18"/>
      <c r="D499" s="18"/>
      <c r="E499" s="18"/>
      <c r="F499" s="18"/>
      <c r="G499" s="19"/>
      <c r="H499" s="29"/>
    </row>
    <row r="500" spans="1:8" ht="12.75" customHeight="1">
      <c r="A500" s="31">
        <v>43223</v>
      </c>
      <c r="B500" s="31"/>
      <c r="C500" s="22">
        <f>ROUND(618.471,3)</f>
        <v>618.471</v>
      </c>
      <c r="D500" s="22">
        <f>F500</f>
        <v>626.182</v>
      </c>
      <c r="E500" s="22">
        <f>F500</f>
        <v>626.182</v>
      </c>
      <c r="F500" s="22">
        <f>ROUND(626.182,3)</f>
        <v>626.182</v>
      </c>
      <c r="G500" s="19"/>
      <c r="H500" s="29"/>
    </row>
    <row r="501" spans="1:8" ht="12.75" customHeight="1">
      <c r="A501" s="31">
        <v>43314</v>
      </c>
      <c r="B501" s="31"/>
      <c r="C501" s="22">
        <f>ROUND(618.471,3)</f>
        <v>618.471</v>
      </c>
      <c r="D501" s="22">
        <f>F501</f>
        <v>637.77</v>
      </c>
      <c r="E501" s="22">
        <f>F501</f>
        <v>637.77</v>
      </c>
      <c r="F501" s="22">
        <f>ROUND(637.77,3)</f>
        <v>637.77</v>
      </c>
      <c r="G501" s="19"/>
      <c r="H501" s="29"/>
    </row>
    <row r="502" spans="1:8" ht="12.75" customHeight="1">
      <c r="A502" s="31">
        <v>43405</v>
      </c>
      <c r="B502" s="31"/>
      <c r="C502" s="22">
        <f>ROUND(618.471,3)</f>
        <v>618.471</v>
      </c>
      <c r="D502" s="22">
        <f>F502</f>
        <v>649.744</v>
      </c>
      <c r="E502" s="22">
        <f>F502</f>
        <v>649.744</v>
      </c>
      <c r="F502" s="22">
        <f>ROUND(649.744,3)</f>
        <v>649.744</v>
      </c>
      <c r="G502" s="19"/>
      <c r="H502" s="29"/>
    </row>
    <row r="503" spans="1:8" ht="12.75" customHeight="1">
      <c r="A503" s="31">
        <v>43503</v>
      </c>
      <c r="B503" s="31"/>
      <c r="C503" s="22">
        <f>ROUND(618.471,3)</f>
        <v>618.471</v>
      </c>
      <c r="D503" s="22">
        <f>F503</f>
        <v>662.991</v>
      </c>
      <c r="E503" s="22">
        <f>F503</f>
        <v>662.991</v>
      </c>
      <c r="F503" s="22">
        <f>ROUND(662.991,3)</f>
        <v>662.991</v>
      </c>
      <c r="G503" s="19"/>
      <c r="H503" s="29"/>
    </row>
    <row r="504" spans="1:8" ht="12.75" customHeight="1">
      <c r="A504" s="31" t="s">
        <v>94</v>
      </c>
      <c r="B504" s="31"/>
      <c r="C504" s="18"/>
      <c r="D504" s="18"/>
      <c r="E504" s="18"/>
      <c r="F504" s="18"/>
      <c r="G504" s="19"/>
      <c r="H504" s="29"/>
    </row>
    <row r="505" spans="1:8" ht="12.75" customHeight="1">
      <c r="A505" s="31">
        <v>43223</v>
      </c>
      <c r="B505" s="31"/>
      <c r="C505" s="22">
        <f>ROUND(248.852705468416,3)</f>
        <v>248.853</v>
      </c>
      <c r="D505" s="22">
        <f>F505</f>
        <v>251.966</v>
      </c>
      <c r="E505" s="22">
        <f>F505</f>
        <v>251.966</v>
      </c>
      <c r="F505" s="22">
        <f>ROUND(251.966,3)</f>
        <v>251.966</v>
      </c>
      <c r="G505" s="19"/>
      <c r="H505" s="29"/>
    </row>
    <row r="506" spans="1:8" ht="12.75" customHeight="1">
      <c r="A506" s="31">
        <v>43314</v>
      </c>
      <c r="B506" s="31"/>
      <c r="C506" s="22">
        <f>ROUND(248.852705468416,3)</f>
        <v>248.853</v>
      </c>
      <c r="D506" s="22">
        <f>F506</f>
        <v>256.64</v>
      </c>
      <c r="E506" s="22">
        <f>F506</f>
        <v>256.64</v>
      </c>
      <c r="F506" s="22">
        <f>ROUND(256.64,3)</f>
        <v>256.64</v>
      </c>
      <c r="G506" s="19"/>
      <c r="H506" s="29"/>
    </row>
    <row r="507" spans="1:8" ht="12.75" customHeight="1">
      <c r="A507" s="31">
        <v>43405</v>
      </c>
      <c r="B507" s="31"/>
      <c r="C507" s="22">
        <f>ROUND(248.852705468416,3)</f>
        <v>248.853</v>
      </c>
      <c r="D507" s="22">
        <f>F507</f>
        <v>261.507</v>
      </c>
      <c r="E507" s="22">
        <f>F507</f>
        <v>261.507</v>
      </c>
      <c r="F507" s="22">
        <f>ROUND(261.507,3)</f>
        <v>261.507</v>
      </c>
      <c r="G507" s="19"/>
      <c r="H507" s="29"/>
    </row>
    <row r="508" spans="1:8" ht="12.75" customHeight="1">
      <c r="A508" s="31">
        <v>43503</v>
      </c>
      <c r="B508" s="31"/>
      <c r="C508" s="22">
        <f>ROUND(248.852705468416,3)</f>
        <v>248.853</v>
      </c>
      <c r="D508" s="22">
        <f>F508</f>
        <v>266.929</v>
      </c>
      <c r="E508" s="22">
        <f>F508</f>
        <v>266.929</v>
      </c>
      <c r="F508" s="22">
        <f>ROUND(266.929,3)</f>
        <v>266.929</v>
      </c>
      <c r="G508" s="19"/>
      <c r="H508" s="29"/>
    </row>
    <row r="509" spans="1:8" ht="12.75" customHeight="1">
      <c r="A509" s="31" t="s">
        <v>95</v>
      </c>
      <c r="B509" s="31"/>
      <c r="C509" s="18"/>
      <c r="D509" s="18"/>
      <c r="E509" s="18"/>
      <c r="F509" s="18"/>
      <c r="G509" s="19"/>
      <c r="H509" s="29"/>
    </row>
    <row r="510" spans="1:8" ht="12.75" customHeight="1">
      <c r="A510" s="31">
        <v>43178</v>
      </c>
      <c r="B510" s="31"/>
      <c r="C510" s="19">
        <f>ROUND(22113.4590471843,2)</f>
        <v>22113.46</v>
      </c>
      <c r="D510" s="19">
        <f>F510</f>
        <v>22160.58</v>
      </c>
      <c r="E510" s="19">
        <f>F510</f>
        <v>22160.58</v>
      </c>
      <c r="F510" s="19">
        <f>ROUND(22160.58,2)</f>
        <v>22160.58</v>
      </c>
      <c r="G510" s="19"/>
      <c r="H510" s="29"/>
    </row>
    <row r="511" spans="1:8" ht="12.75" customHeight="1">
      <c r="A511" s="31">
        <v>43269</v>
      </c>
      <c r="B511" s="31"/>
      <c r="C511" s="19">
        <f>ROUND(22113.4590471843,2)</f>
        <v>22113.46</v>
      </c>
      <c r="D511" s="19">
        <f>F511</f>
        <v>22507.68</v>
      </c>
      <c r="E511" s="19">
        <f>F511</f>
        <v>22507.68</v>
      </c>
      <c r="F511" s="19">
        <f>ROUND(22507.68,2)</f>
        <v>22507.68</v>
      </c>
      <c r="G511" s="19"/>
      <c r="H511" s="29"/>
    </row>
    <row r="512" spans="1:8" ht="12.75" customHeight="1">
      <c r="A512" s="31">
        <v>43360</v>
      </c>
      <c r="B512" s="31"/>
      <c r="C512" s="19">
        <f>ROUND(22113.4590471843,2)</f>
        <v>22113.46</v>
      </c>
      <c r="D512" s="19">
        <f>F512</f>
        <v>22849.24</v>
      </c>
      <c r="E512" s="19">
        <f>F512</f>
        <v>22849.24</v>
      </c>
      <c r="F512" s="19">
        <f>ROUND(22849.24,2)</f>
        <v>22849.24</v>
      </c>
      <c r="G512" s="19"/>
      <c r="H512" s="29"/>
    </row>
    <row r="513" spans="1:8" ht="12.75" customHeight="1">
      <c r="A513" s="31" t="s">
        <v>96</v>
      </c>
      <c r="B513" s="31"/>
      <c r="C513" s="18"/>
      <c r="D513" s="18"/>
      <c r="E513" s="18"/>
      <c r="F513" s="18"/>
      <c r="G513" s="19"/>
      <c r="H513" s="29"/>
    </row>
    <row r="514" spans="1:8" ht="12.75" customHeight="1">
      <c r="A514" s="31">
        <v>43179</v>
      </c>
      <c r="B514" s="31"/>
      <c r="C514" s="22">
        <f aca="true" t="shared" si="66" ref="C514:C525">ROUND(7.125,3)</f>
        <v>7.125</v>
      </c>
      <c r="D514" s="22">
        <f>ROUND(6.92,3)</f>
        <v>6.92</v>
      </c>
      <c r="E514" s="22">
        <f>ROUND(7.02,3)</f>
        <v>7.02</v>
      </c>
      <c r="F514" s="22">
        <f>ROUND(6.97,3)</f>
        <v>6.97</v>
      </c>
      <c r="G514" s="19"/>
      <c r="H514" s="29"/>
    </row>
    <row r="515" spans="1:8" ht="12.75" customHeight="1">
      <c r="A515" s="31">
        <v>43208</v>
      </c>
      <c r="B515" s="31"/>
      <c r="C515" s="22">
        <f t="shared" si="66"/>
        <v>7.125</v>
      </c>
      <c r="D515" s="22">
        <f>ROUND(6.88,3)</f>
        <v>6.88</v>
      </c>
      <c r="E515" s="22">
        <f>ROUND(6.98,3)</f>
        <v>6.98</v>
      </c>
      <c r="F515" s="22">
        <f>ROUND(6.93,3)</f>
        <v>6.93</v>
      </c>
      <c r="G515" s="19"/>
      <c r="H515" s="29"/>
    </row>
    <row r="516" spans="1:8" ht="12.75" customHeight="1">
      <c r="A516" s="31">
        <v>43236</v>
      </c>
      <c r="B516" s="31"/>
      <c r="C516" s="22">
        <f t="shared" si="66"/>
        <v>7.125</v>
      </c>
      <c r="D516" s="22">
        <f>ROUND(6.83,3)</f>
        <v>6.83</v>
      </c>
      <c r="E516" s="22">
        <f>ROUND(6.93,3)</f>
        <v>6.93</v>
      </c>
      <c r="F516" s="22">
        <f>ROUND(6.88,3)</f>
        <v>6.88</v>
      </c>
      <c r="G516" s="19"/>
      <c r="H516" s="29"/>
    </row>
    <row r="517" spans="1:8" ht="12.75" customHeight="1">
      <c r="A517" s="31">
        <v>43269</v>
      </c>
      <c r="B517" s="31"/>
      <c r="C517" s="22">
        <f t="shared" si="66"/>
        <v>7.125</v>
      </c>
      <c r="D517" s="22">
        <f>ROUND(7.51,3)</f>
        <v>7.51</v>
      </c>
      <c r="E517" s="22">
        <f>ROUND(7.41,3)</f>
        <v>7.41</v>
      </c>
      <c r="F517" s="22">
        <f>ROUND(7.46,3)</f>
        <v>7.46</v>
      </c>
      <c r="G517" s="19"/>
      <c r="H517" s="29"/>
    </row>
    <row r="518" spans="1:8" ht="12.75" customHeight="1">
      <c r="A518" s="31">
        <v>43271</v>
      </c>
      <c r="B518" s="31"/>
      <c r="C518" s="22">
        <f t="shared" si="66"/>
        <v>7.125</v>
      </c>
      <c r="D518" s="22">
        <f>ROUND(6.83,3)</f>
        <v>6.83</v>
      </c>
      <c r="E518" s="22">
        <f>ROUND(6.93,3)</f>
        <v>6.93</v>
      </c>
      <c r="F518" s="22">
        <f>ROUND(6.88,3)</f>
        <v>6.88</v>
      </c>
      <c r="G518" s="19"/>
      <c r="H518" s="29"/>
    </row>
    <row r="519" spans="1:8" ht="12.75" customHeight="1">
      <c r="A519" s="31">
        <v>43299</v>
      </c>
      <c r="B519" s="31"/>
      <c r="C519" s="22">
        <f t="shared" si="66"/>
        <v>7.125</v>
      </c>
      <c r="D519" s="22">
        <f>ROUND(6.73,3)</f>
        <v>6.73</v>
      </c>
      <c r="E519" s="22">
        <f>ROUND(6.83,3)</f>
        <v>6.83</v>
      </c>
      <c r="F519" s="22">
        <f>ROUND(6.78,3)</f>
        <v>6.78</v>
      </c>
      <c r="G519" s="19"/>
      <c r="H519" s="29"/>
    </row>
    <row r="520" spans="1:8" ht="12.75" customHeight="1">
      <c r="A520" s="31">
        <v>43362</v>
      </c>
      <c r="B520" s="31"/>
      <c r="C520" s="22">
        <f t="shared" si="66"/>
        <v>7.125</v>
      </c>
      <c r="D520" s="22">
        <f>ROUND(6.71,3)</f>
        <v>6.71</v>
      </c>
      <c r="E520" s="22">
        <f>ROUND(6.81,3)</f>
        <v>6.81</v>
      </c>
      <c r="F520" s="22">
        <f>ROUND(6.76,3)</f>
        <v>6.76</v>
      </c>
      <c r="G520" s="19"/>
      <c r="H520" s="29"/>
    </row>
    <row r="521" spans="1:8" ht="12.75" customHeight="1">
      <c r="A521" s="31">
        <v>43453</v>
      </c>
      <c r="B521" s="31"/>
      <c r="C521" s="22">
        <f t="shared" si="66"/>
        <v>7.125</v>
      </c>
      <c r="D521" s="22">
        <f>ROUND(6.74,3)</f>
        <v>6.74</v>
      </c>
      <c r="E521" s="22">
        <f>ROUND(6.84,3)</f>
        <v>6.84</v>
      </c>
      <c r="F521" s="22">
        <f>ROUND(6.79,3)</f>
        <v>6.79</v>
      </c>
      <c r="G521" s="19"/>
      <c r="H521" s="29"/>
    </row>
    <row r="522" spans="1:8" ht="12.75" customHeight="1">
      <c r="A522" s="31">
        <v>43544</v>
      </c>
      <c r="B522" s="31"/>
      <c r="C522" s="22">
        <f t="shared" si="66"/>
        <v>7.125</v>
      </c>
      <c r="D522" s="22">
        <f>ROUND(6.79,3)</f>
        <v>6.79</v>
      </c>
      <c r="E522" s="22">
        <f>ROUND(6.89,3)</f>
        <v>6.89</v>
      </c>
      <c r="F522" s="22">
        <f>ROUND(6.84,3)</f>
        <v>6.84</v>
      </c>
      <c r="G522" s="19"/>
      <c r="H522" s="29"/>
    </row>
    <row r="523" spans="1:8" ht="12.75" customHeight="1">
      <c r="A523" s="31">
        <v>43635</v>
      </c>
      <c r="B523" s="31"/>
      <c r="C523" s="22">
        <f t="shared" si="66"/>
        <v>7.125</v>
      </c>
      <c r="D523" s="22">
        <f>ROUND(6.85,3)</f>
        <v>6.85</v>
      </c>
      <c r="E523" s="22">
        <f>ROUND(6.95,3)</f>
        <v>6.95</v>
      </c>
      <c r="F523" s="22">
        <f>ROUND(6.9,3)</f>
        <v>6.9</v>
      </c>
      <c r="G523" s="19"/>
      <c r="H523" s="29"/>
    </row>
    <row r="524" spans="1:8" ht="12.75" customHeight="1">
      <c r="A524" s="31">
        <v>43726</v>
      </c>
      <c r="B524" s="31"/>
      <c r="C524" s="22">
        <f t="shared" si="66"/>
        <v>7.125</v>
      </c>
      <c r="D524" s="22">
        <f>ROUND(6.97,3)</f>
        <v>6.97</v>
      </c>
      <c r="E524" s="22">
        <f>ROUND(6.87,3)</f>
        <v>6.87</v>
      </c>
      <c r="F524" s="22">
        <f>ROUND(6.92,3)</f>
        <v>6.92</v>
      </c>
      <c r="G524" s="19"/>
      <c r="H524" s="29"/>
    </row>
    <row r="525" spans="1:8" ht="12.75" customHeight="1">
      <c r="A525" s="31">
        <v>43817</v>
      </c>
      <c r="B525" s="31"/>
      <c r="C525" s="22">
        <f t="shared" si="66"/>
        <v>7.125</v>
      </c>
      <c r="D525" s="22">
        <f>ROUND(7.05,3)</f>
        <v>7.05</v>
      </c>
      <c r="E525" s="22">
        <f>ROUND(6.95,3)</f>
        <v>6.95</v>
      </c>
      <c r="F525" s="22">
        <f>ROUND(7,3)</f>
        <v>7</v>
      </c>
      <c r="G525" s="19"/>
      <c r="H525" s="29"/>
    </row>
    <row r="526" spans="1:8" ht="12.75" customHeight="1">
      <c r="A526" s="31" t="s">
        <v>97</v>
      </c>
      <c r="B526" s="31"/>
      <c r="C526" s="18"/>
      <c r="D526" s="18"/>
      <c r="E526" s="18"/>
      <c r="F526" s="18"/>
      <c r="G526" s="19"/>
      <c r="H526" s="29"/>
    </row>
    <row r="527" spans="1:8" ht="12.75" customHeight="1">
      <c r="A527" s="31">
        <v>43223</v>
      </c>
      <c r="B527" s="31"/>
      <c r="C527" s="22">
        <f>ROUND(616.226,3)</f>
        <v>616.226</v>
      </c>
      <c r="D527" s="22">
        <f>F527</f>
        <v>623.909</v>
      </c>
      <c r="E527" s="22">
        <f>F527</f>
        <v>623.909</v>
      </c>
      <c r="F527" s="22">
        <f>ROUND(623.909,3)</f>
        <v>623.909</v>
      </c>
      <c r="G527" s="19"/>
      <c r="H527" s="29"/>
    </row>
    <row r="528" spans="1:8" ht="12.75" customHeight="1">
      <c r="A528" s="31">
        <v>43314</v>
      </c>
      <c r="B528" s="31"/>
      <c r="C528" s="22">
        <f>ROUND(616.226,3)</f>
        <v>616.226</v>
      </c>
      <c r="D528" s="22">
        <f>F528</f>
        <v>635.454</v>
      </c>
      <c r="E528" s="22">
        <f>F528</f>
        <v>635.454</v>
      </c>
      <c r="F528" s="22">
        <f>ROUND(635.454,3)</f>
        <v>635.454</v>
      </c>
      <c r="G528" s="19"/>
      <c r="H528" s="29"/>
    </row>
    <row r="529" spans="1:8" ht="12.75" customHeight="1">
      <c r="A529" s="31">
        <v>43405</v>
      </c>
      <c r="B529" s="31"/>
      <c r="C529" s="22">
        <f>ROUND(616.226,3)</f>
        <v>616.226</v>
      </c>
      <c r="D529" s="22">
        <f>F529</f>
        <v>647.385</v>
      </c>
      <c r="E529" s="22">
        <f>F529</f>
        <v>647.385</v>
      </c>
      <c r="F529" s="22">
        <f>ROUND(647.385,3)</f>
        <v>647.385</v>
      </c>
      <c r="G529" s="19"/>
      <c r="H529" s="29"/>
    </row>
    <row r="530" spans="1:8" ht="12.75" customHeight="1">
      <c r="A530" s="31">
        <v>43503</v>
      </c>
      <c r="B530" s="31"/>
      <c r="C530" s="22">
        <f>ROUND(616.226,3)</f>
        <v>616.226</v>
      </c>
      <c r="D530" s="22">
        <f>F530</f>
        <v>660.584</v>
      </c>
      <c r="E530" s="22">
        <f>F530</f>
        <v>660.584</v>
      </c>
      <c r="F530" s="22">
        <f>ROUND(660.584,3)</f>
        <v>660.584</v>
      </c>
      <c r="G530" s="19"/>
      <c r="H530" s="29"/>
    </row>
    <row r="531" spans="1:8" ht="12.75" customHeight="1">
      <c r="A531" s="31" t="s">
        <v>12</v>
      </c>
      <c r="B531" s="31"/>
      <c r="C531" s="18"/>
      <c r="D531" s="18"/>
      <c r="E531" s="18"/>
      <c r="F531" s="18"/>
      <c r="G531" s="19"/>
      <c r="H531" s="29"/>
    </row>
    <row r="532" spans="1:8" ht="12.75" customHeight="1">
      <c r="A532" s="31">
        <v>43546</v>
      </c>
      <c r="B532" s="31"/>
      <c r="C532" s="19">
        <f>ROUND(99.4475268903878,2)</f>
        <v>99.45</v>
      </c>
      <c r="D532" s="19">
        <f>F532</f>
        <v>99.45</v>
      </c>
      <c r="E532" s="19">
        <f>F532</f>
        <v>99.45</v>
      </c>
      <c r="F532" s="19">
        <f>ROUND(99.4475268903878,2)</f>
        <v>99.45</v>
      </c>
      <c r="G532" s="19"/>
      <c r="H532" s="29"/>
    </row>
    <row r="533" spans="1:8" ht="12.75" customHeight="1">
      <c r="A533" s="31" t="s">
        <v>13</v>
      </c>
      <c r="B533" s="31"/>
      <c r="C533" s="18"/>
      <c r="D533" s="18"/>
      <c r="E533" s="18"/>
      <c r="F533" s="18"/>
      <c r="G533" s="19"/>
      <c r="H533" s="29"/>
    </row>
    <row r="534" spans="1:8" ht="12.75" customHeight="1">
      <c r="A534" s="31">
        <v>43913</v>
      </c>
      <c r="B534" s="31"/>
      <c r="C534" s="19">
        <f>ROUND(98.4425689247282,2)</f>
        <v>98.44</v>
      </c>
      <c r="D534" s="19">
        <f>F534</f>
        <v>98.44</v>
      </c>
      <c r="E534" s="19">
        <f>F534</f>
        <v>98.44</v>
      </c>
      <c r="F534" s="19">
        <f>ROUND(98.4425689247282,2)</f>
        <v>98.44</v>
      </c>
      <c r="G534" s="19"/>
      <c r="H534" s="29"/>
    </row>
    <row r="535" spans="1:8" ht="12.75" customHeight="1">
      <c r="A535" s="31" t="s">
        <v>14</v>
      </c>
      <c r="B535" s="31"/>
      <c r="C535" s="18"/>
      <c r="D535" s="18"/>
      <c r="E535" s="18"/>
      <c r="F535" s="18"/>
      <c r="G535" s="19"/>
      <c r="H535" s="29"/>
    </row>
    <row r="536" spans="1:8" ht="12.75" customHeight="1">
      <c r="A536" s="31">
        <v>45007</v>
      </c>
      <c r="B536" s="31"/>
      <c r="C536" s="19">
        <f>ROUND(95.9643318480042,2)</f>
        <v>95.96</v>
      </c>
      <c r="D536" s="19">
        <f>F536</f>
        <v>95.96</v>
      </c>
      <c r="E536" s="19">
        <f>F536</f>
        <v>95.96</v>
      </c>
      <c r="F536" s="19">
        <f>ROUND(95.9643318480042,2)</f>
        <v>95.96</v>
      </c>
      <c r="G536" s="19"/>
      <c r="H536" s="29"/>
    </row>
    <row r="537" spans="1:8" ht="12.75" customHeight="1">
      <c r="A537" s="31" t="s">
        <v>15</v>
      </c>
      <c r="B537" s="31"/>
      <c r="C537" s="18"/>
      <c r="D537" s="18"/>
      <c r="E537" s="18"/>
      <c r="F537" s="18"/>
      <c r="G537" s="19"/>
      <c r="H537" s="29"/>
    </row>
    <row r="538" spans="1:8" ht="12.75" customHeight="1">
      <c r="A538" s="31">
        <v>46834</v>
      </c>
      <c r="B538" s="31"/>
      <c r="C538" s="19">
        <f>ROUND(94.8523096371345,2)</f>
        <v>94.85</v>
      </c>
      <c r="D538" s="19">
        <f>F538</f>
        <v>94.85</v>
      </c>
      <c r="E538" s="19">
        <f>F538</f>
        <v>94.85</v>
      </c>
      <c r="F538" s="19">
        <f>ROUND(94.8523096371345,2)</f>
        <v>94.85</v>
      </c>
      <c r="G538" s="19"/>
      <c r="H538" s="29"/>
    </row>
    <row r="539" spans="1:8" ht="12.75" customHeight="1">
      <c r="A539" s="31" t="s">
        <v>98</v>
      </c>
      <c r="B539" s="31"/>
      <c r="C539" s="18"/>
      <c r="D539" s="18"/>
      <c r="E539" s="18"/>
      <c r="F539" s="18"/>
      <c r="G539" s="19"/>
      <c r="H539" s="29"/>
    </row>
    <row r="540" spans="1:8" ht="12.75" customHeight="1">
      <c r="A540" s="31">
        <v>43174</v>
      </c>
      <c r="B540" s="31"/>
      <c r="C540" s="21">
        <f>ROUND(99.4475268903878,5)</f>
        <v>99.44753</v>
      </c>
      <c r="D540" s="21">
        <f>F540</f>
        <v>99.72448</v>
      </c>
      <c r="E540" s="21">
        <f>F540</f>
        <v>99.72448</v>
      </c>
      <c r="F540" s="21">
        <f>ROUND(99.7244753057233,5)</f>
        <v>99.72448</v>
      </c>
      <c r="G540" s="19"/>
      <c r="H540" s="29"/>
    </row>
    <row r="541" spans="1:8" ht="12.75" customHeight="1">
      <c r="A541" s="31" t="s">
        <v>99</v>
      </c>
      <c r="B541" s="31"/>
      <c r="C541" s="18"/>
      <c r="D541" s="18"/>
      <c r="E541" s="18"/>
      <c r="F541" s="18"/>
      <c r="G541" s="19"/>
      <c r="H541" s="29"/>
    </row>
    <row r="542" spans="1:8" ht="12.75" customHeight="1">
      <c r="A542" s="31">
        <v>43272</v>
      </c>
      <c r="B542" s="31"/>
      <c r="C542" s="21">
        <f>ROUND(99.4475268903878,5)</f>
        <v>99.44753</v>
      </c>
      <c r="D542" s="21">
        <f>F542</f>
        <v>99.89013</v>
      </c>
      <c r="E542" s="21">
        <f>F542</f>
        <v>99.89013</v>
      </c>
      <c r="F542" s="21">
        <f>ROUND(99.8901291493608,5)</f>
        <v>99.89013</v>
      </c>
      <c r="G542" s="19"/>
      <c r="H542" s="29"/>
    </row>
    <row r="543" spans="1:8" ht="12.75" customHeight="1">
      <c r="A543" s="31" t="s">
        <v>100</v>
      </c>
      <c r="B543" s="31"/>
      <c r="C543" s="18"/>
      <c r="D543" s="18"/>
      <c r="E543" s="18"/>
      <c r="F543" s="18"/>
      <c r="G543" s="19"/>
      <c r="H543" s="29"/>
    </row>
    <row r="544" spans="1:8" ht="12.75" customHeight="1">
      <c r="A544" s="31">
        <v>43363</v>
      </c>
      <c r="B544" s="31"/>
      <c r="C544" s="21">
        <f>ROUND(99.4475268903878,5)</f>
        <v>99.44753</v>
      </c>
      <c r="D544" s="21">
        <f>F544</f>
        <v>100.0243</v>
      </c>
      <c r="E544" s="21">
        <f>F544</f>
        <v>100.0243</v>
      </c>
      <c r="F544" s="21">
        <f>ROUND(100.024300645537,5)</f>
        <v>100.0243</v>
      </c>
      <c r="G544" s="19"/>
      <c r="H544" s="29"/>
    </row>
    <row r="545" spans="1:8" ht="12.75" customHeight="1">
      <c r="A545" s="31" t="s">
        <v>101</v>
      </c>
      <c r="B545" s="31"/>
      <c r="C545" s="18"/>
      <c r="D545" s="18"/>
      <c r="E545" s="18"/>
      <c r="F545" s="18"/>
      <c r="G545" s="19"/>
      <c r="H545" s="29"/>
    </row>
    <row r="546" spans="1:8" ht="12.75" customHeight="1">
      <c r="A546" s="31">
        <v>43175</v>
      </c>
      <c r="B546" s="31"/>
      <c r="C546" s="21">
        <f>ROUND(98.4425689247282,5)</f>
        <v>98.44257</v>
      </c>
      <c r="D546" s="21">
        <f>F546</f>
        <v>99.00732</v>
      </c>
      <c r="E546" s="21">
        <f>F546</f>
        <v>99.00732</v>
      </c>
      <c r="F546" s="21">
        <f>ROUND(99.0073239908607,5)</f>
        <v>99.00732</v>
      </c>
      <c r="G546" s="19"/>
      <c r="H546" s="29"/>
    </row>
    <row r="547" spans="1:8" ht="12.75" customHeight="1">
      <c r="A547" s="31" t="s">
        <v>102</v>
      </c>
      <c r="B547" s="31"/>
      <c r="C547" s="18"/>
      <c r="D547" s="18"/>
      <c r="E547" s="18"/>
      <c r="F547" s="18"/>
      <c r="G547" s="19"/>
      <c r="H547" s="29"/>
    </row>
    <row r="548" spans="1:8" ht="12.75" customHeight="1">
      <c r="A548" s="31">
        <v>43266</v>
      </c>
      <c r="B548" s="31"/>
      <c r="C548" s="21">
        <f>ROUND(98.4425689247282,5)</f>
        <v>98.44257</v>
      </c>
      <c r="D548" s="21">
        <f>F548</f>
        <v>98.58761</v>
      </c>
      <c r="E548" s="21">
        <f>F548</f>
        <v>98.58761</v>
      </c>
      <c r="F548" s="21">
        <f>ROUND(98.5876129539501,5)</f>
        <v>98.58761</v>
      </c>
      <c r="G548" s="19"/>
      <c r="H548" s="29"/>
    </row>
    <row r="549" spans="1:8" ht="12.75" customHeight="1">
      <c r="A549" s="31" t="s">
        <v>103</v>
      </c>
      <c r="B549" s="31"/>
      <c r="C549" s="18"/>
      <c r="D549" s="18"/>
      <c r="E549" s="18"/>
      <c r="F549" s="18"/>
      <c r="G549" s="19"/>
      <c r="H549" s="29"/>
    </row>
    <row r="550" spans="1:8" ht="12.75" customHeight="1">
      <c r="A550" s="31">
        <v>43364</v>
      </c>
      <c r="B550" s="31"/>
      <c r="C550" s="21">
        <f>ROUND(98.4425689247282,5)</f>
        <v>98.44257</v>
      </c>
      <c r="D550" s="21">
        <f>F550</f>
        <v>98.49207</v>
      </c>
      <c r="E550" s="21">
        <f>F550</f>
        <v>98.49207</v>
      </c>
      <c r="F550" s="21">
        <f>ROUND(98.4920664486576,5)</f>
        <v>98.49207</v>
      </c>
      <c r="G550" s="19"/>
      <c r="H550" s="29"/>
    </row>
    <row r="551" spans="1:8" ht="12.75" customHeight="1">
      <c r="A551" s="31" t="s">
        <v>104</v>
      </c>
      <c r="B551" s="31"/>
      <c r="C551" s="18"/>
      <c r="D551" s="18"/>
      <c r="E551" s="18"/>
      <c r="F551" s="18"/>
      <c r="G551" s="19"/>
      <c r="H551" s="29"/>
    </row>
    <row r="552" spans="1:8" ht="12.75" customHeight="1">
      <c r="A552" s="31">
        <v>43455</v>
      </c>
      <c r="B552" s="31"/>
      <c r="C552" s="19">
        <f>ROUND(98.4425689247282,2)</f>
        <v>98.44</v>
      </c>
      <c r="D552" s="19">
        <f>F552</f>
        <v>98.83</v>
      </c>
      <c r="E552" s="19">
        <f>F552</f>
        <v>98.83</v>
      </c>
      <c r="F552" s="19">
        <f>ROUND(98.8322045283291,2)</f>
        <v>98.83</v>
      </c>
      <c r="G552" s="19"/>
      <c r="H552" s="29"/>
    </row>
    <row r="553" spans="1:8" ht="12.75" customHeight="1">
      <c r="A553" s="31" t="s">
        <v>105</v>
      </c>
      <c r="B553" s="31"/>
      <c r="C553" s="18"/>
      <c r="D553" s="18"/>
      <c r="E553" s="18"/>
      <c r="F553" s="18"/>
      <c r="G553" s="19"/>
      <c r="H553" s="29"/>
    </row>
    <row r="554" spans="1:8" ht="12.75" customHeight="1">
      <c r="A554" s="31">
        <v>43539</v>
      </c>
      <c r="B554" s="31"/>
      <c r="C554" s="21">
        <f>ROUND(98.4425689247282,5)</f>
        <v>98.44257</v>
      </c>
      <c r="D554" s="21">
        <f>F554</f>
        <v>99.20115</v>
      </c>
      <c r="E554" s="21">
        <f>F554</f>
        <v>99.20115</v>
      </c>
      <c r="F554" s="21">
        <f>ROUND(99.2011513572309,5)</f>
        <v>99.20115</v>
      </c>
      <c r="G554" s="19"/>
      <c r="H554" s="29"/>
    </row>
    <row r="555" spans="1:8" ht="12.75" customHeight="1">
      <c r="A555" s="31" t="s">
        <v>106</v>
      </c>
      <c r="B555" s="31"/>
      <c r="C555" s="18"/>
      <c r="D555" s="18"/>
      <c r="E555" s="18"/>
      <c r="F555" s="18"/>
      <c r="G555" s="19"/>
      <c r="H555" s="29"/>
    </row>
    <row r="556" spans="1:8" ht="12.75" customHeight="1">
      <c r="A556" s="31">
        <v>43637</v>
      </c>
      <c r="B556" s="31"/>
      <c r="C556" s="21">
        <f>ROUND(98.4425689247282,5)</f>
        <v>98.44257</v>
      </c>
      <c r="D556" s="21">
        <f>F556</f>
        <v>99.52699</v>
      </c>
      <c r="E556" s="21">
        <f>F556</f>
        <v>99.52699</v>
      </c>
      <c r="F556" s="21">
        <f>ROUND(99.526992809924,5)</f>
        <v>99.52699</v>
      </c>
      <c r="G556" s="19"/>
      <c r="H556" s="29"/>
    </row>
    <row r="557" spans="1:8" ht="12.75" customHeight="1">
      <c r="A557" s="31" t="s">
        <v>107</v>
      </c>
      <c r="B557" s="31"/>
      <c r="C557" s="18"/>
      <c r="D557" s="18"/>
      <c r="E557" s="18"/>
      <c r="F557" s="18"/>
      <c r="G557" s="19"/>
      <c r="H557" s="29"/>
    </row>
    <row r="558" spans="1:8" ht="12.75" customHeight="1">
      <c r="A558" s="31">
        <v>43728</v>
      </c>
      <c r="B558" s="31"/>
      <c r="C558" s="21">
        <f>ROUND(98.4425689247282,5)</f>
        <v>98.44257</v>
      </c>
      <c r="D558" s="21">
        <f>F558</f>
        <v>99.87006</v>
      </c>
      <c r="E558" s="21">
        <f>F558</f>
        <v>99.87006</v>
      </c>
      <c r="F558" s="21">
        <f>ROUND(99.8700636317847,5)</f>
        <v>99.87006</v>
      </c>
      <c r="G558" s="19"/>
      <c r="H558" s="29"/>
    </row>
    <row r="559" spans="1:8" ht="12.75" customHeight="1">
      <c r="A559" s="31" t="s">
        <v>108</v>
      </c>
      <c r="B559" s="31"/>
      <c r="C559" s="18"/>
      <c r="D559" s="18"/>
      <c r="E559" s="18"/>
      <c r="F559" s="18"/>
      <c r="G559" s="19"/>
      <c r="H559" s="29"/>
    </row>
    <row r="560" spans="1:8" ht="12.75" customHeight="1">
      <c r="A560" s="31">
        <v>44182</v>
      </c>
      <c r="B560" s="31"/>
      <c r="C560" s="21">
        <f>ROUND(95.9643318480042,5)</f>
        <v>95.96433</v>
      </c>
      <c r="D560" s="21">
        <f>F560</f>
        <v>95.79825</v>
      </c>
      <c r="E560" s="21">
        <f>F560</f>
        <v>95.79825</v>
      </c>
      <c r="F560" s="21">
        <f>ROUND(95.7982472180824,5)</f>
        <v>95.79825</v>
      </c>
      <c r="G560" s="19"/>
      <c r="H560" s="29"/>
    </row>
    <row r="561" spans="1:8" ht="12.75" customHeight="1">
      <c r="A561" s="31" t="s">
        <v>109</v>
      </c>
      <c r="B561" s="31"/>
      <c r="C561" s="18"/>
      <c r="D561" s="18"/>
      <c r="E561" s="18"/>
      <c r="F561" s="18"/>
      <c r="G561" s="19"/>
      <c r="H561" s="29"/>
    </row>
    <row r="562" spans="1:8" ht="12.75" customHeight="1">
      <c r="A562" s="31">
        <v>44271</v>
      </c>
      <c r="B562" s="31"/>
      <c r="C562" s="21">
        <f>ROUND(95.9643318480042,5)</f>
        <v>95.96433</v>
      </c>
      <c r="D562" s="21">
        <f>F562</f>
        <v>94.97867</v>
      </c>
      <c r="E562" s="21">
        <f>F562</f>
        <v>94.97867</v>
      </c>
      <c r="F562" s="21">
        <f>ROUND(94.9786673462634,5)</f>
        <v>94.97867</v>
      </c>
      <c r="G562" s="19"/>
      <c r="H562" s="29"/>
    </row>
    <row r="563" spans="1:8" ht="12.75" customHeight="1">
      <c r="A563" s="31" t="s">
        <v>110</v>
      </c>
      <c r="B563" s="31"/>
      <c r="C563" s="18"/>
      <c r="D563" s="18"/>
      <c r="E563" s="18"/>
      <c r="F563" s="18"/>
      <c r="G563" s="19"/>
      <c r="H563" s="29"/>
    </row>
    <row r="564" spans="1:8" ht="12.75" customHeight="1">
      <c r="A564" s="31">
        <v>44362</v>
      </c>
      <c r="B564" s="31"/>
      <c r="C564" s="21">
        <f>ROUND(95.9643318480042,5)</f>
        <v>95.96433</v>
      </c>
      <c r="D564" s="21">
        <f>F564</f>
        <v>94.12036</v>
      </c>
      <c r="E564" s="21">
        <f>F564</f>
        <v>94.12036</v>
      </c>
      <c r="F564" s="21">
        <f>ROUND(94.1203629152013,5)</f>
        <v>94.12036</v>
      </c>
      <c r="G564" s="19"/>
      <c r="H564" s="29"/>
    </row>
    <row r="565" spans="1:8" ht="12.75" customHeight="1">
      <c r="A565" s="31" t="s">
        <v>111</v>
      </c>
      <c r="B565" s="31"/>
      <c r="C565" s="18"/>
      <c r="D565" s="18"/>
      <c r="E565" s="18"/>
      <c r="F565" s="18"/>
      <c r="G565" s="19"/>
      <c r="H565" s="29"/>
    </row>
    <row r="566" spans="1:8" ht="12.75" customHeight="1">
      <c r="A566" s="31">
        <v>44460</v>
      </c>
      <c r="B566" s="31"/>
      <c r="C566" s="21">
        <f>ROUND(95.9643318480042,5)</f>
        <v>95.96433</v>
      </c>
      <c r="D566" s="21">
        <f>F566</f>
        <v>94.23487</v>
      </c>
      <c r="E566" s="21">
        <f>F566</f>
        <v>94.23487</v>
      </c>
      <c r="F566" s="21">
        <f>ROUND(94.2348670923118,5)</f>
        <v>94.23487</v>
      </c>
      <c r="G566" s="19"/>
      <c r="H566" s="29"/>
    </row>
    <row r="567" spans="1:8" ht="12.75" customHeight="1">
      <c r="A567" s="31" t="s">
        <v>112</v>
      </c>
      <c r="B567" s="31"/>
      <c r="C567" s="18"/>
      <c r="D567" s="18"/>
      <c r="E567" s="18"/>
      <c r="F567" s="18"/>
      <c r="G567" s="19"/>
      <c r="H567" s="29"/>
    </row>
    <row r="568" spans="1:8" ht="12.75" customHeight="1">
      <c r="A568" s="31">
        <v>44551</v>
      </c>
      <c r="B568" s="31"/>
      <c r="C568" s="21">
        <f>ROUND(95.9643318480042,5)</f>
        <v>95.96433</v>
      </c>
      <c r="D568" s="21">
        <f>F568</f>
        <v>96.37607</v>
      </c>
      <c r="E568" s="21">
        <f>F568</f>
        <v>96.37607</v>
      </c>
      <c r="F568" s="21">
        <f>ROUND(96.3760690108206,5)</f>
        <v>96.37607</v>
      </c>
      <c r="G568" s="19"/>
      <c r="H568" s="29"/>
    </row>
    <row r="569" spans="1:8" ht="12.75" customHeight="1">
      <c r="A569" s="31" t="s">
        <v>113</v>
      </c>
      <c r="B569" s="31"/>
      <c r="C569" s="18"/>
      <c r="D569" s="18"/>
      <c r="E569" s="18"/>
      <c r="F569" s="18"/>
      <c r="G569" s="19"/>
      <c r="H569" s="29"/>
    </row>
    <row r="570" spans="1:8" ht="12.75" customHeight="1">
      <c r="A570" s="31">
        <v>44635</v>
      </c>
      <c r="B570" s="31"/>
      <c r="C570" s="21">
        <f>ROUND(95.9643318480042,5)</f>
        <v>95.96433</v>
      </c>
      <c r="D570" s="21">
        <f>F570</f>
        <v>96.45881</v>
      </c>
      <c r="E570" s="21">
        <f>F570</f>
        <v>96.45881</v>
      </c>
      <c r="F570" s="21">
        <f>ROUND(96.4588124149899,5)</f>
        <v>96.45881</v>
      </c>
      <c r="G570" s="19"/>
      <c r="H570" s="29"/>
    </row>
    <row r="571" spans="1:8" ht="12.75" customHeight="1">
      <c r="A571" s="31" t="s">
        <v>114</v>
      </c>
      <c r="B571" s="31"/>
      <c r="C571" s="18"/>
      <c r="D571" s="18"/>
      <c r="E571" s="18"/>
      <c r="F571" s="18"/>
      <c r="G571" s="19"/>
      <c r="H571" s="29"/>
    </row>
    <row r="572" spans="1:8" ht="12.75" customHeight="1">
      <c r="A572" s="31">
        <v>44733</v>
      </c>
      <c r="B572" s="31"/>
      <c r="C572" s="21">
        <f>ROUND(95.9643318480042,5)</f>
        <v>95.96433</v>
      </c>
      <c r="D572" s="21">
        <f>F572</f>
        <v>97.58964</v>
      </c>
      <c r="E572" s="21">
        <f>F572</f>
        <v>97.58964</v>
      </c>
      <c r="F572" s="21">
        <f>ROUND(97.589637334619,5)</f>
        <v>97.58964</v>
      </c>
      <c r="G572" s="19"/>
      <c r="H572" s="29"/>
    </row>
    <row r="573" spans="1:8" ht="12.75" customHeight="1">
      <c r="A573" s="31" t="s">
        <v>115</v>
      </c>
      <c r="B573" s="31"/>
      <c r="C573" s="18"/>
      <c r="D573" s="18"/>
      <c r="E573" s="18"/>
      <c r="F573" s="18"/>
      <c r="G573" s="19"/>
      <c r="H573" s="29"/>
    </row>
    <row r="574" spans="1:8" ht="12.75" customHeight="1">
      <c r="A574" s="31">
        <v>44824</v>
      </c>
      <c r="B574" s="31"/>
      <c r="C574" s="21">
        <f>ROUND(95.9643318480042,5)</f>
        <v>95.96433</v>
      </c>
      <c r="D574" s="21">
        <f>F574</f>
        <v>99.73671</v>
      </c>
      <c r="E574" s="21">
        <f>F574</f>
        <v>99.73671</v>
      </c>
      <c r="F574" s="21">
        <f>ROUND(99.7367084547432,5)</f>
        <v>99.73671</v>
      </c>
      <c r="G574" s="19"/>
      <c r="H574" s="29"/>
    </row>
    <row r="575" spans="1:8" ht="12.75" customHeight="1">
      <c r="A575" s="31" t="s">
        <v>116</v>
      </c>
      <c r="B575" s="31"/>
      <c r="C575" s="18"/>
      <c r="D575" s="18"/>
      <c r="E575" s="18"/>
      <c r="F575" s="18"/>
      <c r="G575" s="19"/>
      <c r="H575" s="29"/>
    </row>
    <row r="576" spans="1:8" ht="12.75" customHeight="1">
      <c r="A576" s="31">
        <v>46008</v>
      </c>
      <c r="B576" s="31"/>
      <c r="C576" s="21">
        <f>ROUND(94.8523096371345,5)</f>
        <v>94.85231</v>
      </c>
      <c r="D576" s="21">
        <f>F576</f>
        <v>93.59978</v>
      </c>
      <c r="E576" s="21">
        <f>F576</f>
        <v>93.59978</v>
      </c>
      <c r="F576" s="21">
        <f>ROUND(93.5997787875493,5)</f>
        <v>93.59978</v>
      </c>
      <c r="G576" s="19"/>
      <c r="H576" s="29"/>
    </row>
    <row r="577" spans="1:8" ht="12.75" customHeight="1">
      <c r="A577" s="31" t="s">
        <v>117</v>
      </c>
      <c r="B577" s="31"/>
      <c r="C577" s="18"/>
      <c r="D577" s="18"/>
      <c r="E577" s="18"/>
      <c r="F577" s="18"/>
      <c r="G577" s="19"/>
      <c r="H577" s="29"/>
    </row>
    <row r="578" spans="1:8" ht="12.75" customHeight="1">
      <c r="A578" s="31">
        <v>46097</v>
      </c>
      <c r="B578" s="31"/>
      <c r="C578" s="21">
        <f>ROUND(94.8523096371345,5)</f>
        <v>94.85231</v>
      </c>
      <c r="D578" s="21">
        <f>F578</f>
        <v>90.54231</v>
      </c>
      <c r="E578" s="21">
        <f>F578</f>
        <v>90.54231</v>
      </c>
      <c r="F578" s="21">
        <f>ROUND(90.5423066670402,5)</f>
        <v>90.54231</v>
      </c>
      <c r="G578" s="19"/>
      <c r="H578" s="29"/>
    </row>
    <row r="579" spans="1:8" ht="12.75" customHeight="1">
      <c r="A579" s="31" t="s">
        <v>118</v>
      </c>
      <c r="B579" s="31"/>
      <c r="C579" s="18"/>
      <c r="D579" s="18"/>
      <c r="E579" s="18"/>
      <c r="F579" s="18"/>
      <c r="G579" s="19"/>
      <c r="H579" s="29"/>
    </row>
    <row r="580" spans="1:8" ht="12.75" customHeight="1">
      <c r="A580" s="31">
        <v>46188</v>
      </c>
      <c r="B580" s="31"/>
      <c r="C580" s="21">
        <f>ROUND(94.8523096371345,5)</f>
        <v>94.85231</v>
      </c>
      <c r="D580" s="21">
        <f>F580</f>
        <v>89.23879</v>
      </c>
      <c r="E580" s="21">
        <f>F580</f>
        <v>89.23879</v>
      </c>
      <c r="F580" s="21">
        <f>ROUND(89.2387893373178,5)</f>
        <v>89.23879</v>
      </c>
      <c r="G580" s="19"/>
      <c r="H580" s="29"/>
    </row>
    <row r="581" spans="1:8" ht="12.75" customHeight="1">
      <c r="A581" s="31" t="s">
        <v>119</v>
      </c>
      <c r="B581" s="31"/>
      <c r="C581" s="18"/>
      <c r="D581" s="18"/>
      <c r="E581" s="18"/>
      <c r="F581" s="18"/>
      <c r="G581" s="19"/>
      <c r="H581" s="29"/>
    </row>
    <row r="582" spans="1:8" ht="12.75" customHeight="1">
      <c r="A582" s="31">
        <v>46286</v>
      </c>
      <c r="B582" s="31"/>
      <c r="C582" s="21">
        <f>ROUND(94.8523096371345,5)</f>
        <v>94.85231</v>
      </c>
      <c r="D582" s="21">
        <f>F582</f>
        <v>91.36993</v>
      </c>
      <c r="E582" s="21">
        <f>F582</f>
        <v>91.36993</v>
      </c>
      <c r="F582" s="21">
        <f>ROUND(91.3699272278362,5)</f>
        <v>91.36993</v>
      </c>
      <c r="G582" s="19"/>
      <c r="H582" s="29"/>
    </row>
    <row r="583" spans="1:8" ht="12.75" customHeight="1">
      <c r="A583" s="31" t="s">
        <v>120</v>
      </c>
      <c r="B583" s="31"/>
      <c r="C583" s="18"/>
      <c r="D583" s="18"/>
      <c r="E583" s="18"/>
      <c r="F583" s="18"/>
      <c r="G583" s="19"/>
      <c r="H583" s="29"/>
    </row>
    <row r="584" spans="1:8" ht="12.75" customHeight="1">
      <c r="A584" s="31">
        <v>46377</v>
      </c>
      <c r="B584" s="31"/>
      <c r="C584" s="21">
        <f>ROUND(94.8523096371345,5)</f>
        <v>94.85231</v>
      </c>
      <c r="D584" s="21">
        <f>F584</f>
        <v>95.1402</v>
      </c>
      <c r="E584" s="21">
        <f>F584</f>
        <v>95.1402</v>
      </c>
      <c r="F584" s="21">
        <f>ROUND(95.1401977226422,5)</f>
        <v>95.1402</v>
      </c>
      <c r="G584" s="19"/>
      <c r="H584" s="29"/>
    </row>
    <row r="585" spans="1:8" ht="12.75" customHeight="1">
      <c r="A585" s="31" t="s">
        <v>121</v>
      </c>
      <c r="B585" s="31"/>
      <c r="C585" s="18"/>
      <c r="D585" s="18"/>
      <c r="E585" s="18"/>
      <c r="F585" s="18"/>
      <c r="G585" s="19"/>
      <c r="H585" s="29"/>
    </row>
    <row r="586" spans="1:8" ht="12.75" customHeight="1">
      <c r="A586" s="31">
        <v>46461</v>
      </c>
      <c r="B586" s="31"/>
      <c r="C586" s="21">
        <f>ROUND(94.8523096371345,5)</f>
        <v>94.85231</v>
      </c>
      <c r="D586" s="21">
        <f>F586</f>
        <v>93.66104</v>
      </c>
      <c r="E586" s="21">
        <f>F586</f>
        <v>93.66104</v>
      </c>
      <c r="F586" s="21">
        <f>ROUND(93.6610401976306,5)</f>
        <v>93.66104</v>
      </c>
      <c r="G586" s="19"/>
      <c r="H586" s="29"/>
    </row>
    <row r="587" spans="1:8" ht="12.75" customHeight="1">
      <c r="A587" s="31" t="s">
        <v>122</v>
      </c>
      <c r="B587" s="31"/>
      <c r="C587" s="18"/>
      <c r="D587" s="18"/>
      <c r="E587" s="18"/>
      <c r="F587" s="18"/>
      <c r="G587" s="19"/>
      <c r="H587" s="29"/>
    </row>
    <row r="588" spans="1:8" ht="12.75" customHeight="1">
      <c r="A588" s="31">
        <v>46559</v>
      </c>
      <c r="B588" s="31"/>
      <c r="C588" s="21">
        <f>ROUND(94.8523096371345,5)</f>
        <v>94.85231</v>
      </c>
      <c r="D588" s="21">
        <f>F588</f>
        <v>95.6899</v>
      </c>
      <c r="E588" s="21">
        <f>F588</f>
        <v>95.6899</v>
      </c>
      <c r="F588" s="21">
        <f>ROUND(95.6898998281013,5)</f>
        <v>95.6899</v>
      </c>
      <c r="G588" s="19"/>
      <c r="H588" s="29"/>
    </row>
    <row r="589" spans="1:8" ht="12.75" customHeight="1">
      <c r="A589" s="31" t="s">
        <v>123</v>
      </c>
      <c r="B589" s="31"/>
      <c r="C589" s="18"/>
      <c r="D589" s="18"/>
      <c r="E589" s="18"/>
      <c r="F589" s="18"/>
      <c r="G589" s="19"/>
      <c r="H589" s="29"/>
    </row>
    <row r="590" spans="1:8" ht="12.75" customHeight="1" thickBot="1">
      <c r="A590" s="32">
        <v>46650</v>
      </c>
      <c r="B590" s="32"/>
      <c r="C590" s="26">
        <f>ROUND(94.8523096371345,5)</f>
        <v>94.85231</v>
      </c>
      <c r="D590" s="26">
        <f>F590</f>
        <v>99.38761</v>
      </c>
      <c r="E590" s="26">
        <f>F590</f>
        <v>99.38761</v>
      </c>
      <c r="F590" s="26">
        <f>ROUND(99.3876076365978,5)</f>
        <v>99.38761</v>
      </c>
      <c r="G590" s="27"/>
      <c r="H590" s="30"/>
    </row>
  </sheetData>
  <sheetProtection/>
  <mergeCells count="589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85:B585"/>
    <mergeCell ref="A574:B574"/>
    <mergeCell ref="A575:B575"/>
    <mergeCell ref="A576:B576"/>
    <mergeCell ref="A577:B577"/>
    <mergeCell ref="A578:B578"/>
    <mergeCell ref="A579:B579"/>
    <mergeCell ref="A586:B586"/>
    <mergeCell ref="A587:B587"/>
    <mergeCell ref="A588:B588"/>
    <mergeCell ref="A589:B589"/>
    <mergeCell ref="A590:B590"/>
    <mergeCell ref="A580:B580"/>
    <mergeCell ref="A581:B581"/>
    <mergeCell ref="A582:B582"/>
    <mergeCell ref="A583:B583"/>
    <mergeCell ref="A584:B584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Cameron Petersen</cp:lastModifiedBy>
  <cp:lastPrinted>2008-12-04T15:24:37Z</cp:lastPrinted>
  <dcterms:created xsi:type="dcterms:W3CDTF">1997-08-29T10:04:45Z</dcterms:created>
  <dcterms:modified xsi:type="dcterms:W3CDTF">2018-03-02T16:23:41Z</dcterms:modified>
  <cp:category/>
  <cp:version/>
  <cp:contentType/>
  <cp:contentStatus/>
</cp:coreProperties>
</file>