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E235" i="1" l="1"/>
  <c r="E237" i="1"/>
  <c r="H153" i="1" l="1"/>
  <c r="E199" i="1" l="1"/>
  <c r="D201" i="1"/>
  <c r="D200" i="1"/>
  <c r="D198" i="1"/>
  <c r="D197" i="1"/>
  <c r="C201" i="1"/>
  <c r="C200" i="1"/>
  <c r="C198" i="1"/>
  <c r="E198" i="1" s="1"/>
  <c r="B198" i="1"/>
  <c r="C197" i="1"/>
  <c r="B201" i="1"/>
  <c r="B200" i="1"/>
  <c r="B197" i="1"/>
  <c r="B210" i="1"/>
  <c r="E201" i="1" l="1"/>
  <c r="D202" i="1"/>
  <c r="E200" i="1"/>
  <c r="C202" i="1"/>
  <c r="E197" i="1"/>
  <c r="B202" i="1"/>
  <c r="E202" i="1" l="1"/>
  <c r="B163" i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C237" i="1"/>
  <c r="B237" i="1"/>
  <c r="D223" i="1"/>
  <c r="E223" i="1" s="1"/>
  <c r="D222" i="1"/>
  <c r="D231" i="1" s="1"/>
  <c r="E234" i="1"/>
  <c r="C233" i="1"/>
  <c r="E233" i="1" s="1"/>
  <c r="B233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D232" i="1" l="1"/>
  <c r="E221" i="1"/>
  <c r="E239" i="1"/>
  <c r="E222" i="1"/>
  <c r="C232" i="1"/>
  <c r="C231" i="1"/>
  <c r="E231" i="1" s="1"/>
  <c r="E228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B165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I466" i="1"/>
  <c r="I465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F65" i="1" l="1"/>
  <c r="F101" i="1"/>
  <c r="G65" i="1"/>
  <c r="G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F43" i="6" s="1"/>
  <c r="E33" i="6"/>
  <c r="E22" i="6"/>
  <c r="D43" i="6"/>
  <c r="F22" i="6"/>
  <c r="E12" i="6"/>
  <c r="D64" i="6" l="1"/>
  <c r="F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<sst xmlns="http://schemas.openxmlformats.org/spreadsheetml/2006/main" count="2392" uniqueCount="661">
  <si>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</si>
  <si>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</si>
  <si>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</si>
  <si>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</si>
  <si>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</si>
  <si>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</si>
  <si>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</si>
  <si>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</si>
  <si>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</si>
  <si>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</si>
  <si>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</si>
  <si>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</si>
  <si>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</si>
  <si>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</si>
  <si>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</si>
  <si>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</si>
  <si>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</si>
  <si>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</si>
  <si>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</si>
  <si>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</si>
  <si>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</si>
  <si>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</si>
  <si>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</si>
  <si>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</si>
  <si>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</si>
  <si>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</si>
  <si>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</si>
  <si>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</si>
  <si>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</si>
  <si>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</si>
  <si>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</si>
  <si>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</si>
  <si>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</si>
  <si>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</si>
  <si>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</si>
  <si>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</si>
  <si>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</si>
  <si>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</si>
  <si>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</si>
  <si>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</si>
  <si>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</si>
  <si>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</si>
  <si>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</si>
  <si>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</si>
  <si>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</si>
  <si>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</si>
  <si>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</si>
  <si>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</si>
  <si>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</si>
  <si>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</si>
  <si>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</si>
  <si>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</si>
  <si>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</si>
  <si>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</si>
  <si>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</si>
  <si>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</si>
  <si>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</si>
  <si>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</si>
  <si>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</si>
  <si>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</si>
  <si>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</si>
  <si>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</si>
  <si>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</si>
  <si>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</si>
  <si>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</si>
  <si>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</si>
  <si>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</si>
  <si>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</si>
  <si>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</si>
  <si>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</si>
  <si>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</si>
  <si>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</si>
  <si>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</si>
  <si>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</si>
  <si>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</si>
  <si>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</si>
  <si>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</si>
  <si>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</si>
  <si>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</si>
  <si>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</si>
  <si>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</si>
  <si>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</si>
  <si>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</si>
  <si>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</si>
  <si>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</si>
  <si>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</si>
  <si>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</si>
  <si>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</si>
  <si>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</si>
  <si>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</si>
  <si>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</si>
  <si>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</si>
  <si>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</si>
  <si>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</si>
  <si>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</si>
  <si>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</si>
  <si>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</si>
  <si>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</si>
  <si>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</si>
  <si>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</si>
  <si>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</si>
  <si>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</si>
  <si>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</si>
  <si>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</si>
  <si>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</si>
  <si>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</si>
  <si>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</si>
  <si>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</si>
  <si>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</si>
  <si>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</si>
  <si>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</si>
  <si>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</si>
  <si>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</si>
  <si>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</si>
  <si>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</si>
  <si>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</si>
  <si>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</si>
  <si>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</si>
  <si>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</si>
  <si>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</si>
  <si>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</si>
  <si>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</si>
  <si>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</si>
  <si>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</si>
  <si>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</si>
  <si>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</si>
  <si>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</si>
  <si>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</si>
  <si>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</si>
  <si>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</si>
  <si>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</si>
  <si>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</si>
  <si>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</si>
  <si>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</si>
  <si>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</si>
  <si>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</si>
  <si>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</si>
  <si>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</si>
  <si>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</si>
  <si>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</si>
  <si>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</si>
  <si>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</si>
  <si>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</si>
  <si>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</si>
  <si>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</si>
  <si>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</si>
  <si>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</si>
  <si>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</si>
  <si>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</si>
  <si>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</si>
  <si>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</si>
  <si>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</si>
  <si>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</si>
  <si>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</si>
  <si>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</si>
  <si>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</si>
  <si>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</si>
  <si>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</si>
  <si>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</si>
  <si>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</si>
  <si>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</si>
  <si>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</si>
  <si>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</si>
  <si>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</si>
  <si>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</si>
  <si>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</si>
  <si>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</si>
  <si>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</si>
  <si>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</si>
  <si>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</si>
  <si>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</si>
  <si>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</si>
  <si>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</si>
  <si>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</si>
  <si>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</si>
  <si>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</si>
  <si>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</si>
  <si>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</si>
  <si>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</si>
  <si>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</si>
  <si>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</si>
  <si>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</si>
  <si>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</si>
  <si>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</si>
  <si>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</si>
  <si>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</si>
  <si>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</si>
  <si>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</si>
  <si>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</si>
  <si>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</si>
  <si>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</si>
  <si>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</si>
  <si>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</si>
  <si>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</si>
  <si>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</si>
  <si>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</si>
  <si>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</si>
  <si>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</si>
  <si>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</si>
  <si>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</si>
  <si>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</si>
  <si>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</si>
  <si>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</si>
  <si>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</si>
  <si>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</si>
  <si>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</si>
  <si>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</si>
  <si>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</si>
  <si>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</si>
  <si>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</si>
  <si>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</si>
  <si>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</si>
  <si>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</si>
  <si>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</si>
  <si>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</si>
  <si>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</si>
  <si>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</si>
  <si>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</si>
  <si>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</si>
  <si>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</si>
  <si>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</si>
  <si>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</si>
  <si>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</si>
  <si>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</si>
  <si>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</si>
  <si>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</si>
  <si>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</si>
  <si>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</si>
  <si>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</si>
  <si>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</si>
  <si>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</si>
  <si>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</si>
  <si>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</si>
  <si>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</si>
  <si>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</si>
  <si>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</si>
  <si>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</si>
  <si>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</si>
  <si>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</si>
  <si>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</si>
  <si>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</si>
  <si>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</si>
  <si>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</si>
  <si>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</si>
  <si>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</si>
  <si>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</si>
  <si>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</si>
  <si>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</si>
  <si>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</si>
  <si>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</si>
  <si>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</si>
  <si>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</si>
  <si>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</si>
  <si>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</si>
  <si>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</si>
  <si>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</si>
  <si>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</si>
  <si>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</si>
  <si>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</si>
  <si>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</si>
  <si>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</si>
  <si>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</si>
  <si>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</si>
  <si>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</si>
  <si>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</si>
  <si>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</si>
  <si>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</si>
  <si>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</si>
  <si>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</si>
  <si>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</si>
  <si>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</si>
  <si>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</si>
  <si>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</si>
  <si>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</si>
  <si>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</si>
  <si>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</si>
  <si>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</si>
  <si>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</si>
  <si>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</si>
  <si>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</si>
  <si>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</si>
  <si>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</si>
  <si>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</si>
  <si>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</si>
  <si>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</si>
  <si>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</si>
  <si>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</si>
  <si>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</si>
  <si>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</si>
  <si>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</si>
  <si>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</si>
  <si>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</si>
  <si>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</si>
  <si>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</si>
  <si>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</si>
  <si>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</si>
  <si>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</si>
  <si>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</si>
  <si>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</si>
  <si>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</si>
  <si>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</si>
  <si>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</si>
  <si>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</si>
  <si>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</si>
  <si>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</si>
  <si>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</si>
  <si>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</si>
  <si>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</si>
  <si>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</si>
  <si>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</si>
  <si>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</si>
  <si>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</si>
  <si>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</si>
  <si>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</si>
  <si>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</si>
  <si>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</si>
  <si>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</si>
  <si>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</si>
  <si>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</si>
  <si>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</si>
  <si>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</si>
  <si>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</si>
  <si>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</si>
  <si>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</si>
  <si>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</si>
  <si>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</si>
  <si>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</si>
  <si>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</si>
  <si>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</si>
  <si>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</si>
  <si>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</si>
  <si>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</si>
  <si>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</si>
  <si>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</si>
  <si>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</si>
  <si>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</si>
  <si>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</si>
  <si>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</si>
  <si>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</si>
  <si>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</si>
  <si>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</si>
  <si>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</si>
  <si>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</si>
  <si>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</si>
  <si>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</si>
  <si>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</si>
  <si>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</si>
  <si>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</si>
  <si>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</si>
  <si>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</si>
  <si>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</si>
  <si>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</si>
  <si>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</si>
  <si>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</si>
  <si>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</si>
  <si>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</si>
  <si>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</si>
  <si>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</si>
  <si>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</si>
  <si>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</si>
  <si>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</si>
  <si>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</si>
  <si>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</si>
  <si>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</si>
  <si>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</si>
  <si>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</si>
  <si>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</si>
  <si>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</si>
  <si>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</si>
  <si>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</si>
  <si>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</si>
  <si>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</si>
  <si>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</si>
  <si>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</si>
  <si>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</si>
  <si>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</si>
  <si>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</si>
  <si>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</si>
  <si>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</si>
  <si>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</si>
  <si>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</si>
  <si>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</si>
  <si>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</si>
  <si>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</si>
  <si>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</si>
  <si>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</si>
  <si>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</si>
  <si>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</si>
  <si>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</si>
  <si>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</si>
  <si>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</si>
  <si>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</si>
  <si>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</si>
  <si>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</si>
  <si>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</si>
  <si>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</si>
  <si>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</si>
  <si>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</si>
  <si>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</si>
  <si>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</si>
  <si>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</si>
  <si>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</si>
  <si>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</si>
  <si>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</si>
  <si>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</si>
  <si>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</si>
  <si>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</si>
  <si>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</si>
  <si>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</si>
  <si>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</si>
  <si>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</si>
  <si>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</si>
  <si>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</si>
  <si>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</si>
  <si>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</si>
  <si>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</si>
  <si>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</si>
  <si>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</si>
  <si>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</si>
  <si>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</si>
  <si>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</si>
  <si>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</si>
  <si>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</si>
  <si>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</si>
  <si>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</si>
  <si>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</si>
  <si>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</si>
  <si>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</si>
  <si>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</si>
  <si>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</si>
  <si>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</si>
  <si>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</si>
  <si>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</si>
  <si>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</si>
  <si>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</si>
  <si>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</si>
  <si>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</si>
  <si>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</si>
  <si>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</si>
  <si>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</si>
  <si>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</si>
  <si>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</si>
  <si>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</si>
  <si>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</si>
  <si>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</si>
  <si>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</si>
  <si>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</si>
  <si>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</si>
  <si>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</si>
  <si>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</si>
  <si>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</si>
  <si>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</si>
  <si>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</si>
  <si>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</si>
  <si>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</si>
  <si>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</si>
  <si>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</si>
  <si>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</si>
  <si>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</si>
  <si>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</si>
  <si>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</si>
  <si>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</si>
  <si>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</si>
  <si>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</si>
  <si>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</si>
  <si>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</si>
  <si>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</si>
  <si>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</si>
  <si>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</si>
  <si>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</si>
  <si>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</si>
  <si>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</si>
  <si>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</si>
  <si>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</si>
  <si>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</si>
  <si>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</si>
  <si>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</si>
  <si>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</si>
  <si>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</si>
  <si>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</si>
  <si>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</si>
  <si>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</si>
  <si>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</si>
  <si>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</si>
  <si>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</si>
  <si>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</si>
  <si>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</si>
  <si>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</si>
  <si>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</si>
  <si>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</si>
  <si>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</si>
  <si>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</si>
  <si>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</si>
  <si>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</si>
  <si>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</si>
  <si>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</si>
  <si>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</si>
  <si>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</si>
  <si>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</si>
  <si>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</si>
  <si>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</si>
  <si>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</si>
  <si>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</si>
  <si>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</si>
  <si>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</si>
  <si>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</si>
  <si>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</si>
  <si>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</si>
  <si>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</si>
  <si>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</si>
  <si>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</si>
  <si>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</si>
  <si>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</si>
  <si>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</si>
  <si>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</si>
  <si>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</si>
  <si>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</si>
  <si>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</si>
  <si>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</si>
  <si>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</si>
  <si>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</si>
  <si>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</si>
  <si>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</si>
  <si>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</si>
  <si>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</si>
  <si>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</si>
  <si>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</si>
  <si>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</si>
  <si>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</si>
  <si>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</si>
  <si>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</si>
  <si>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</si>
  <si>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</si>
  <si>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</si>
  <si>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</si>
  <si>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</si>
  <si>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</si>
  <si>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</si>
  <si>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</si>
  <si>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</si>
  <si>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</si>
  <si>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</si>
  <si>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</si>
  <si>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</si>
  <si>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</si>
  <si>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</si>
  <si>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</si>
  <si>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</si>
  <si>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</si>
  <si>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</si>
  <si>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</si>
  <si>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IndexRank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</si>
  <si>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</si>
  <si>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</si>
  <si>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</si>
  <si>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</si>
  <si>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</si>
  <si>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</si>
  <si>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</si>
  <si>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ZAMBIAN BREAD MILLING WHEAT FUTURE</t>
  </si>
  <si>
    <t>COPPER QUANTO</t>
  </si>
  <si>
    <t>CORN CONTRACT</t>
  </si>
  <si>
    <t>SOYA FUTURE</t>
  </si>
  <si>
    <t>RAND DOLLAR CORN</t>
  </si>
  <si>
    <t>BRENT CRUDE OIL FUTURE</t>
  </si>
  <si>
    <t xml:space="preserve">DIESEL EUROPEAN GASOIL </t>
  </si>
  <si>
    <t>ZAMBIAN WHITE MAIZE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</si>
  <si>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</si>
  <si>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</si>
  <si>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</si>
  <si>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</si>
  <si>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</si>
  <si>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</si>
  <si>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</si>
  <si>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</si>
  <si>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</si>
  <si>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</si>
  <si>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</si>
  <si>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</si>
  <si>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</si>
  <si>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</si>
  <si>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ZAMBIAN SOYA BEANS FUTURE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</si>
  <si>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</si>
  <si>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</si>
  <si>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</si>
  <si>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</si>
  <si>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</si>
  <si>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</si>
  <si>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</si>
  <si>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</si>
  <si>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</si>
  <si>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</si>
  <si>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</si>
  <si>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</si>
  <si>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</si>
  <si>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</si>
  <si>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</si>
  <si>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</si>
  <si>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</si>
  <si>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WHITE MAIZE GRADE 2 FUTURE</t>
  </si>
  <si>
    <t>SOYABEAN CRUSH FUTURE</t>
  </si>
  <si>
    <t xml:space="preserve">PLATINUM QUANTO </t>
  </si>
  <si>
    <t>PLATINUM</t>
  </si>
  <si>
    <t>SILVER</t>
  </si>
  <si>
    <t>CRUDE OIL</t>
  </si>
  <si>
    <t>QUANTO WHITE MAIZE</t>
  </si>
  <si>
    <t>PALLADIUM COMMODITY CAN-DO</t>
  </si>
  <si>
    <t>QUANTO SOYBEAN MEAL COMMODITY CANDO</t>
  </si>
  <si>
    <t>isFuture</t>
  </si>
  <si>
    <t>Future</t>
  </si>
  <si>
    <t>Option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</si>
  <si>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</si>
  <si>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</si>
  <si>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</si>
  <si>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</si>
  <si>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</si>
  <si>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</si>
  <si>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</si>
  <si>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</si>
  <si>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</si>
  <si>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</si>
  <si>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</si>
  <si>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</si>
  <si>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</si>
  <si>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</si>
  <si>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</si>
  <si>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</si>
  <si>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</si>
  <si>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</si>
  <si>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</si>
  <si>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</si>
  <si>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</si>
  <si>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</si>
  <si>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</si>
  <si>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</si>
  <si>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</si>
  <si>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</si>
  <si>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</si>
  <si>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</si>
  <si>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</si>
  <si>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</si>
  <si>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</si>
  <si>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</si>
  <si>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</si>
  <si>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</si>
  <si>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</si>
  <si>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</si>
  <si>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</si>
  <si>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</si>
  <si>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</si>
  <si>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2017/03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</si>
  <si>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</si>
  <si>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</si>
  <si>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</si>
  <si>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</si>
  <si>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</si>
  <si>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</si>
  <si>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</si>
  <si>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</si>
  <si>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73.4%</t>
  </si>
  <si>
    <t>Position in the world league in February 2017 (based on the WFE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</si>
</sst>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R&quot;\ #,##0.00;&quot;R&quot;\ \-#,##0.00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(* #,##0_);_(* \(#,##0\);_(* &quot;-&quot;??_);_(@_)"/>
    <numFmt numFmtId="167" formatCode="mmm\-yyyy"/>
    <numFmt numFmtId="168" formatCode="#,###,###,"/>
    <numFmt numFmtId="169" formatCode="0.0"/>
  </numFmts>
  <fonts count="6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1103">
    <xf numFmtId="0" fontId="0" fillId="0" borderId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9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9" fillId="32" borderId="0" applyNumberFormat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8">
    <xf numFmtId="0" fontId="0" fillId="0" borderId="0" xfId="0"/>
    <xf numFmtId="0" fontId="19" fillId="0" borderId="0" xfId="0" applyFont="1"/>
    <xf numFmtId="43" fontId="0" fillId="0" borderId="0" xfId="1" applyFont="1"/>
    <xf numFmtId="164" fontId="0" fillId="0" borderId="0" xfId="1" applyNumberFormat="1" applyFont="1"/>
    <xf numFmtId="164" fontId="19" fillId="0" borderId="0" xfId="1" applyNumberFormat="1" applyFont="1"/>
    <xf numFmtId="43" fontId="19" fillId="0" borderId="0" xfId="1" applyFont="1"/>
    <xf numFmtId="14" fontId="0" fillId="0" borderId="0" xfId="0" applyNumberFormat="1" applyAlignment="1">
      <alignment horizontal="right"/>
    </xf>
    <xf numFmtId="14" fontId="19" fillId="0" borderId="0" xfId="0" applyNumberFormat="1" applyFont="1" applyAlignment="1">
      <alignment horizontal="right"/>
    </xf>
    <xf numFmtId="0" fontId="21" fillId="0" borderId="0" xfId="0" applyFont="1" applyFill="1"/>
    <xf numFmtId="0" fontId="23" fillId="0" borderId="0" xfId="0" applyFont="1" applyFill="1"/>
    <xf numFmtId="0" fontId="0" fillId="0" borderId="0" xfId="0" applyFont="1"/>
    <xf numFmtId="17" fontId="19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6" fontId="22" fillId="0" borderId="0" xfId="0" applyNumberFormat="1" applyFont="1"/>
    <xf numFmtId="0" fontId="20" fillId="0" borderId="0" xfId="0" applyFont="1"/>
    <xf numFmtId="164" fontId="0" fillId="0" borderId="0" xfId="0" applyNumberFormat="1" applyFont="1"/>
    <xf numFmtId="3" fontId="19" fillId="0" borderId="0" xfId="0" applyNumberFormat="1" applyFont="1"/>
    <xf numFmtId="0" fontId="19" fillId="0" borderId="0" xfId="0" applyFont="1"/>
    <xf numFmtId="0" fontId="40" fillId="0" borderId="0" xfId="0" applyFont="1"/>
    <xf numFmtId="3" fontId="0" fillId="0" borderId="0" xfId="0" applyNumberFormat="1" applyFont="1"/>
    <xf numFmtId="43" fontId="0" fillId="0" borderId="0" xfId="0" applyNumberFormat="1"/>
    <xf numFmtId="0" fontId="24" fillId="0" borderId="0" xfId="0" applyFont="1"/>
    <xf numFmtId="166" fontId="16" fillId="0" borderId="0" xfId="0" applyNumberFormat="1" applyFont="1"/>
    <xf numFmtId="165" fontId="19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quotePrefix="1" applyFont="1" applyAlignment="1">
      <alignment horizontal="right"/>
    </xf>
    <xf numFmtId="0" fontId="19" fillId="0" borderId="0" xfId="0" applyFont="1"/>
    <xf numFmtId="164" fontId="0" fillId="0" borderId="0" xfId="0" applyNumberFormat="1" applyFont="1"/>
    <xf numFmtId="0" fontId="0" fillId="0" borderId="0" xfId="0" applyFont="1"/>
    <xf numFmtId="164" fontId="15" fillId="0" borderId="0" xfId="0" applyNumberFormat="1" applyFont="1" applyFill="1"/>
    <xf numFmtId="3" fontId="16" fillId="0" borderId="0" xfId="0" applyNumberFormat="1" applyFont="1"/>
    <xf numFmtId="164" fontId="20" fillId="0" borderId="0" xfId="0" applyNumberFormat="1" applyFont="1" applyFill="1"/>
    <xf numFmtId="164" fontId="0" fillId="0" borderId="0" xfId="0" applyNumberFormat="1" applyFont="1" applyFill="1"/>
    <xf numFmtId="164" fontId="19" fillId="0" borderId="0" xfId="0" applyNumberFormat="1" applyFont="1"/>
    <xf numFmtId="0" fontId="19" fillId="0" borderId="0" xfId="0" applyFont="1"/>
    <xf numFmtId="0" fontId="22" fillId="0" borderId="0" xfId="0" applyFont="1"/>
    <xf numFmtId="164" fontId="16" fillId="0" borderId="0" xfId="0" applyNumberFormat="1" applyFont="1"/>
    <xf numFmtId="165" fontId="0" fillId="0" borderId="0" xfId="0" applyNumberFormat="1" applyFont="1"/>
    <xf numFmtId="165" fontId="19" fillId="0" borderId="0" xfId="0" applyNumberFormat="1" applyFont="1"/>
    <xf numFmtId="0" fontId="19" fillId="0" borderId="0" xfId="0" applyFont="1" applyAlignment="1">
      <alignment horizontal="right"/>
    </xf>
    <xf numFmtId="164" fontId="24" fillId="0" borderId="0" xfId="0" applyNumberFormat="1" applyFont="1"/>
    <xf numFmtId="0" fontId="0" fillId="0" borderId="0" xfId="0"/>
    <xf numFmtId="0" fontId="24" fillId="0" borderId="0" xfId="0" applyFont="1"/>
    <xf numFmtId="0" fontId="0" fillId="0" borderId="0" xfId="0"/>
    <xf numFmtId="164" fontId="0" fillId="0" borderId="0" xfId="0" applyNumberFormat="1" applyFont="1" applyFill="1" applyBorder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2" fillId="0" borderId="0" xfId="0" applyFont="1"/>
    <xf numFmtId="164" fontId="0" fillId="0" borderId="0" xfId="0" applyNumberFormat="1" applyFont="1" applyFill="1" applyBorder="1" applyAlignment="1">
      <alignment horizontal="right"/>
    </xf>
    <xf numFmtId="164" fontId="15" fillId="0" borderId="0" xfId="0" applyNumberFormat="1" applyFont="1"/>
    <xf numFmtId="164" fontId="20" fillId="0" borderId="0" xfId="0" applyNumberFormat="1" applyFont="1"/>
    <xf numFmtId="165" fontId="20" fillId="0" borderId="0" xfId="0" applyNumberFormat="1" applyFont="1"/>
    <xf numFmtId="0" fontId="44" fillId="0" borderId="0" xfId="0" applyFont="1"/>
    <xf numFmtId="165" fontId="0" fillId="0" borderId="0" xfId="0" applyNumberFormat="1" applyFont="1" applyAlignment="1">
      <alignment horizontal="right"/>
    </xf>
    <xf numFmtId="164" fontId="44" fillId="0" borderId="0" xfId="0" applyNumberFormat="1" applyFont="1"/>
    <xf numFmtId="164" fontId="43" fillId="0" borderId="0" xfId="0" applyNumberFormat="1" applyFont="1"/>
    <xf numFmtId="0" fontId="19" fillId="0" borderId="0" xfId="0" applyFont="1"/>
    <xf numFmtId="165" fontId="0" fillId="0" borderId="0" xfId="1" applyNumberFormat="1" applyFont="1"/>
    <xf numFmtId="0" fontId="19" fillId="0" borderId="0" xfId="0" applyFont="1"/>
    <xf numFmtId="0" fontId="21" fillId="0" borderId="0" xfId="0" applyFont="1"/>
    <xf numFmtId="0" fontId="19" fillId="0" borderId="0" xfId="0" applyFont="1"/>
    <xf numFmtId="0" fontId="19" fillId="0" borderId="0" xfId="0" applyFont="1"/>
    <xf numFmtId="164" fontId="0" fillId="0" borderId="0" xfId="0" applyNumberFormat="1" applyFont="1"/>
    <xf numFmtId="164" fontId="15" fillId="0" borderId="0" xfId="1" applyNumberFormat="1" applyFont="1"/>
    <xf numFmtId="0" fontId="19" fillId="0" borderId="0" xfId="0" applyFont="1"/>
    <xf numFmtId="0" fontId="19" fillId="0" borderId="0" xfId="0" applyFont="1"/>
    <xf numFmtId="164" fontId="22" fillId="0" borderId="0" xfId="0" quotePrefix="1" applyNumberFormat="1" applyFont="1" applyAlignment="1">
      <alignment horizontal="right"/>
    </xf>
    <xf numFmtId="164" fontId="14" fillId="0" borderId="0" xfId="0" applyNumberFormat="1" applyFont="1"/>
    <xf numFmtId="164" fontId="18" fillId="0" borderId="0" xfId="0" applyNumberFormat="1" applyFont="1"/>
    <xf numFmtId="0" fontId="43" fillId="0" borderId="0" xfId="0" applyFont="1"/>
    <xf numFmtId="164" fontId="14" fillId="0" borderId="0" xfId="0" applyNumberFormat="1" applyFont="1"/>
    <xf numFmtId="0" fontId="14" fillId="0" borderId="0" xfId="0" applyFont="1"/>
    <xf numFmtId="164" fontId="13" fillId="0" borderId="0" xfId="0" applyNumberFormat="1" applyFont="1"/>
    <xf numFmtId="164" fontId="0" fillId="0" borderId="0" xfId="0" applyNumberFormat="1"/>
    <xf numFmtId="0" fontId="19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0" applyNumberFormat="1" applyFont="1"/>
    <xf numFmtId="164" fontId="11" fillId="0" borderId="0" xfId="0" applyNumberFormat="1" applyFont="1"/>
    <xf numFmtId="164" fontId="11" fillId="0" borderId="0" xfId="0" applyNumberFormat="1" applyFont="1"/>
    <xf numFmtId="167" fontId="41" fillId="0" borderId="0" xfId="0" applyNumberFormat="1" applyFont="1" applyFill="1" applyBorder="1" applyAlignment="1">
      <alignment horizontal="right"/>
    </xf>
    <xf numFmtId="167" fontId="41" fillId="0" borderId="0" xfId="0" applyNumberFormat="1" applyFont="1" applyFill="1" applyBorder="1" applyAlignment="1">
      <alignment wrapText="1"/>
    </xf>
    <xf numFmtId="0" fontId="20" fillId="0" borderId="0" xfId="0" quotePrefix="1" applyFont="1"/>
    <xf numFmtId="0" fontId="19" fillId="0" borderId="0" xfId="0" applyFont="1"/>
    <xf numFmtId="0" fontId="19" fillId="0" borderId="0" xfId="0" applyFont="1" applyAlignment="1">
      <alignment horizontal="left"/>
    </xf>
    <xf numFmtId="43" fontId="19" fillId="0" borderId="0" xfId="1" applyFont="1" applyAlignment="1">
      <alignment horizontal="left"/>
    </xf>
    <xf numFmtId="14" fontId="19" fillId="0" borderId="0" xfId="0" applyNumberFormat="1" applyFont="1" applyAlignment="1">
      <alignment horizontal="left"/>
    </xf>
    <xf numFmtId="164" fontId="13" fillId="0" borderId="0" xfId="1" applyNumberFormat="1" applyFont="1"/>
    <xf numFmtId="0" fontId="46" fillId="0" borderId="0" xfId="0" applyFont="1"/>
    <xf numFmtId="169" fontId="0" fillId="0" borderId="0" xfId="0" applyNumberFormat="1"/>
    <xf numFmtId="0" fontId="41" fillId="0" borderId="0" xfId="0" applyFont="1"/>
    <xf numFmtId="3" fontId="41" fillId="0" borderId="0" xfId="0" applyNumberFormat="1" applyFont="1"/>
    <xf numFmtId="169" fontId="41" fillId="0" borderId="0" xfId="0" applyNumberFormat="1" applyFont="1"/>
    <xf numFmtId="164" fontId="41" fillId="0" borderId="0" xfId="1" applyNumberFormat="1" applyFont="1"/>
    <xf numFmtId="164" fontId="41" fillId="0" borderId="0" xfId="0" applyNumberFormat="1" applyFont="1"/>
    <xf numFmtId="168" fontId="0" fillId="0" borderId="0" xfId="1" applyNumberFormat="1" applyFont="1"/>
    <xf numFmtId="168" fontId="41" fillId="0" borderId="0" xfId="0" applyNumberFormat="1" applyFont="1"/>
    <xf numFmtId="168" fontId="0" fillId="0" borderId="0" xfId="0" applyNumberFormat="1"/>
    <xf numFmtId="0" fontId="0" fillId="0" borderId="0" xfId="0" applyBorder="1"/>
    <xf numFmtId="0" fontId="41" fillId="33" borderId="0" xfId="0" applyFont="1" applyFill="1"/>
    <xf numFmtId="0" fontId="0" fillId="33" borderId="0" xfId="0" applyFill="1"/>
    <xf numFmtId="169" fontId="0" fillId="33" borderId="0" xfId="0" applyNumberFormat="1" applyFill="1"/>
    <xf numFmtId="0" fontId="41" fillId="0" borderId="0" xfId="0" applyFont="1" applyFill="1" applyBorder="1" applyAlignment="1">
      <alignment horizontal="right" wrapText="1"/>
    </xf>
    <xf numFmtId="167" fontId="41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69" fontId="19" fillId="0" borderId="0" xfId="0" applyNumberFormat="1" applyFont="1"/>
    <xf numFmtId="0" fontId="19" fillId="0" borderId="0" xfId="0" applyFont="1"/>
    <xf numFmtId="0" fontId="0" fillId="0" borderId="11" xfId="0" applyFont="1" applyBorder="1"/>
    <xf numFmtId="0" fontId="19" fillId="0" borderId="11" xfId="0" applyFont="1" applyBorder="1"/>
    <xf numFmtId="164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4" fontId="19" fillId="0" borderId="11" xfId="0" applyNumberFormat="1" applyFont="1" applyBorder="1"/>
    <xf numFmtId="164" fontId="0" fillId="0" borderId="11" xfId="1" applyNumberFormat="1" applyFont="1" applyBorder="1"/>
    <xf numFmtId="0" fontId="19" fillId="0" borderId="12" xfId="0" applyFont="1" applyBorder="1" applyAlignment="1">
      <alignment horizontal="right"/>
    </xf>
    <xf numFmtId="0" fontId="0" fillId="0" borderId="12" xfId="0" applyFont="1" applyBorder="1"/>
    <xf numFmtId="0" fontId="19" fillId="0" borderId="12" xfId="0" applyFont="1" applyBorder="1"/>
    <xf numFmtId="164" fontId="0" fillId="0" borderId="12" xfId="0" applyNumberFormat="1" applyFont="1" applyBorder="1"/>
    <xf numFmtId="0" fontId="20" fillId="0" borderId="12" xfId="0" applyFont="1" applyFill="1" applyBorder="1"/>
    <xf numFmtId="0" fontId="45" fillId="0" borderId="12" xfId="0" applyFont="1" applyFill="1" applyBorder="1"/>
    <xf numFmtId="0" fontId="22" fillId="0" borderId="12" xfId="0" applyFont="1" applyBorder="1"/>
    <xf numFmtId="0" fontId="16" fillId="0" borderId="12" xfId="0" applyFont="1" applyBorder="1"/>
    <xf numFmtId="0" fontId="16" fillId="0" borderId="12" xfId="0" applyFont="1" applyFill="1" applyBorder="1"/>
    <xf numFmtId="0" fontId="16" fillId="0" borderId="0" xfId="0" applyFont="1"/>
    <xf numFmtId="0" fontId="48" fillId="0" borderId="0" xfId="0" applyFont="1" applyAlignment="1">
      <alignment vertical="center"/>
    </xf>
    <xf numFmtId="14" fontId="0" fillId="0" borderId="0" xfId="0" applyNumberFormat="1" applyFont="1"/>
    <xf numFmtId="164" fontId="24" fillId="0" borderId="0" xfId="1" applyNumberFormat="1" applyFont="1"/>
    <xf numFmtId="164" fontId="24" fillId="0" borderId="11" xfId="1" applyNumberFormat="1" applyFont="1" applyBorder="1"/>
    <xf numFmtId="164" fontId="0" fillId="0" borderId="0" xfId="0" applyNumberFormat="1" applyFont="1"/>
    <xf numFmtId="0" fontId="0" fillId="0" borderId="0" xfId="0" applyFont="1" applyFill="1"/>
    <xf numFmtId="164" fontId="0" fillId="0" borderId="0" xfId="0" applyNumberFormat="1" applyFont="1" applyFill="1"/>
    <xf numFmtId="164" fontId="24" fillId="0" borderId="0" xfId="0" applyNumberFormat="1" applyFont="1"/>
    <xf numFmtId="0" fontId="24" fillId="0" borderId="0" xfId="0" applyFont="1"/>
    <xf numFmtId="3" fontId="0" fillId="0" borderId="12" xfId="0" applyNumberFormat="1" applyFont="1" applyBorder="1"/>
    <xf numFmtId="164" fontId="47" fillId="0" borderId="0" xfId="0" applyNumberFormat="1" applyFont="1"/>
    <xf numFmtId="0" fontId="0" fillId="0" borderId="0" xfId="0" applyFont="1"/>
    <xf numFmtId="0" fontId="19" fillId="33" borderId="0" xfId="0" applyFont="1" applyFill="1"/>
    <xf numFmtId="0" fontId="0" fillId="33" borderId="0" xfId="0" applyFont="1" applyFill="1"/>
    <xf numFmtId="0" fontId="50" fillId="0" borderId="0" xfId="0" applyFont="1"/>
    <xf numFmtId="169" fontId="0" fillId="0" borderId="0" xfId="0" applyNumberFormat="1" applyFont="1"/>
    <xf numFmtId="168" fontId="0" fillId="0" borderId="0" xfId="0" applyNumberFormat="1" applyFont="1"/>
    <xf numFmtId="165" fontId="0" fillId="0" borderId="11" xfId="0" applyNumberFormat="1" applyFont="1" applyBorder="1"/>
    <xf numFmtId="165" fontId="0" fillId="0" borderId="11" xfId="1" applyNumberFormat="1" applyFont="1" applyBorder="1"/>
    <xf numFmtId="164" fontId="0" fillId="0" borderId="11" xfId="0" applyNumberFormat="1" applyFont="1" applyFill="1" applyBorder="1" applyAlignment="1">
      <alignment horizontal="right"/>
    </xf>
    <xf numFmtId="0" fontId="19" fillId="0" borderId="11" xfId="0" applyFont="1" applyBorder="1"/>
    <xf numFmtId="165" fontId="0" fillId="0" borderId="11" xfId="0" applyNumberFormat="1" applyFont="1" applyBorder="1" applyAlignment="1">
      <alignment horizontal="right"/>
    </xf>
    <xf numFmtId="0" fontId="19" fillId="0" borderId="0" xfId="0" applyFont="1"/>
    <xf numFmtId="0" fontId="19" fillId="35" borderId="0" xfId="0" applyFont="1" applyFill="1"/>
    <xf numFmtId="0" fontId="19" fillId="0" borderId="0" xfId="0" quotePrefix="1" applyFont="1"/>
    <xf numFmtId="16" fontId="20" fillId="0" borderId="0" xfId="0" quotePrefix="1" applyNumberFormat="1" applyFont="1"/>
    <xf numFmtId="16" fontId="19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1" fillId="35" borderId="0" xfId="44" applyFont="1" applyFill="1" applyAlignment="1"/>
    <xf numFmtId="14" fontId="0" fillId="0" borderId="0" xfId="0" applyNumberFormat="1"/>
    <xf numFmtId="0" fontId="0" fillId="0" borderId="0" xfId="0"/>
    <xf numFmtId="0" fontId="19" fillId="0" borderId="0" xfId="0" applyFont="1"/>
    <xf numFmtId="0" fontId="0" fillId="0" borderId="0" xfId="0" applyFont="1"/>
    <xf numFmtId="164" fontId="0" fillId="0" borderId="0" xfId="0" applyNumberFormat="1" applyFont="1"/>
    <xf numFmtId="3" fontId="0" fillId="0" borderId="0" xfId="0" applyNumberFormat="1" applyFont="1"/>
    <xf numFmtId="164" fontId="19" fillId="0" borderId="0" xfId="0" applyNumberFormat="1" applyFont="1"/>
    <xf numFmtId="0" fontId="0" fillId="0" borderId="0" xfId="0" applyFont="1" applyFill="1"/>
    <xf numFmtId="0" fontId="19" fillId="35" borderId="0" xfId="0" applyFont="1" applyFill="1"/>
    <xf numFmtId="0" fontId="51" fillId="35" borderId="0" xfId="0" applyFont="1" applyFill="1"/>
    <xf numFmtId="0" fontId="9" fillId="0" borderId="0" xfId="47" applyFill="1"/>
    <xf numFmtId="0" fontId="51" fillId="0" borderId="0" xfId="47" applyFont="1" applyFill="1" applyAlignment="1"/>
    <xf numFmtId="10" fontId="19" fillId="0" borderId="0" xfId="43" applyNumberFormat="1" applyFont="1"/>
    <xf numFmtId="10" fontId="19" fillId="33" borderId="0" xfId="43" applyNumberFormat="1" applyFont="1" applyFill="1"/>
    <xf numFmtId="164" fontId="19" fillId="33" borderId="0" xfId="1" applyNumberFormat="1" applyFont="1" applyFill="1"/>
    <xf numFmtId="10" fontId="0" fillId="33" borderId="0" xfId="43" applyNumberFormat="1" applyFont="1" applyFill="1"/>
    <xf numFmtId="0" fontId="47" fillId="0" borderId="0" xfId="0" applyNumberFormat="1" applyFont="1"/>
    <xf numFmtId="0" fontId="0" fillId="0" borderId="0" xfId="1" applyNumberFormat="1" applyFont="1"/>
    <xf numFmtId="0" fontId="19" fillId="0" borderId="0" xfId="0" applyNumberFormat="1" applyFont="1"/>
    <xf numFmtId="0" fontId="19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6" fillId="0" borderId="0" xfId="0" applyNumberFormat="1" applyFont="1"/>
    <xf numFmtId="0" fontId="24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19" fillId="34" borderId="12" xfId="0" applyFont="1" applyFill="1" applyBorder="1" applyAlignment="1">
      <alignment horizontal="right" wrapText="1"/>
    </xf>
    <xf numFmtId="43" fontId="47" fillId="34" borderId="0" xfId="1" applyFont="1" applyFill="1"/>
    <xf numFmtId="43" fontId="24" fillId="0" borderId="11" xfId="1" applyFont="1" applyBorder="1"/>
    <xf numFmtId="0" fontId="24" fillId="0" borderId="0" xfId="0" applyFont="1" applyBorder="1"/>
    <xf numFmtId="43" fontId="24" fillId="0" borderId="0" xfId="1" applyFont="1"/>
    <xf numFmtId="43" fontId="24" fillId="0" borderId="0" xfId="1" applyFont="1" applyFill="1"/>
    <xf numFmtId="10" fontId="53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3" fillId="0" borderId="0" xfId="334" applyFill="1"/>
    <xf numFmtId="0" fontId="51" fillId="0" borderId="0" xfId="334" applyFont="1" applyFill="1" applyAlignment="1"/>
    <xf numFmtId="14" fontId="51" fillId="0" borderId="0" xfId="334" applyNumberFormat="1" applyFont="1" applyFill="1" applyAlignment="1"/>
    <xf numFmtId="14" fontId="3" fillId="0" borderId="0" xfId="334" applyNumberFormat="1" applyFill="1"/>
    <xf numFmtId="11" fontId="0" fillId="0" borderId="0" xfId="0" applyNumberFormat="1" applyFont="1"/>
    <xf numFmtId="164" fontId="24" fillId="0" borderId="0" xfId="1" applyNumberFormat="1" applyFont="1" applyFill="1"/>
    <xf numFmtId="0" fontId="47" fillId="34" borderId="14" xfId="0" applyFont="1" applyFill="1" applyBorder="1"/>
    <xf numFmtId="43" fontId="47" fillId="34" borderId="12" xfId="1" applyFont="1" applyFill="1" applyBorder="1" applyAlignment="1">
      <alignment horizontal="left"/>
    </xf>
    <xf numFmtId="17" fontId="24" fillId="0" borderId="0" xfId="0" applyNumberFormat="1" applyFont="1" applyFill="1" applyAlignment="1">
      <alignment horizontal="right"/>
    </xf>
    <xf numFmtId="43" fontId="24" fillId="0" borderId="0" xfId="0" applyNumberFormat="1" applyFont="1" applyFill="1" applyAlignment="1">
      <alignment horizontal="right"/>
    </xf>
    <xf numFmtId="10" fontId="53" fillId="0" borderId="0" xfId="43" applyNumberFormat="1" applyFont="1" applyBorder="1"/>
    <xf numFmtId="164" fontId="47" fillId="0" borderId="0" xfId="1" applyNumberFormat="1" applyFont="1"/>
    <xf numFmtId="0" fontId="47" fillId="34" borderId="0" xfId="0" applyFont="1" applyFill="1" applyAlignment="1"/>
    <xf numFmtId="43" fontId="24" fillId="0" borderId="0" xfId="1" applyNumberFormat="1" applyFont="1"/>
    <xf numFmtId="10" fontId="24" fillId="0" borderId="0" xfId="43" applyNumberFormat="1" applyFont="1" applyBorder="1"/>
    <xf numFmtId="0" fontId="24" fillId="0" borderId="0" xfId="0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164" fontId="24" fillId="0" borderId="0" xfId="1" applyNumberFormat="1" applyFont="1" applyBorder="1"/>
    <xf numFmtId="43" fontId="47" fillId="34" borderId="0" xfId="1" applyFont="1" applyFill="1" applyBorder="1"/>
    <xf numFmtId="0" fontId="0" fillId="0" borderId="0" xfId="0"/>
    <xf numFmtId="0" fontId="19" fillId="0" borderId="0" xfId="0" applyFont="1"/>
    <xf numFmtId="0" fontId="0" fillId="0" borderId="0" xfId="0" applyFont="1"/>
    <xf numFmtId="0" fontId="20" fillId="0" borderId="0" xfId="0" applyFont="1"/>
    <xf numFmtId="0" fontId="15" fillId="0" borderId="0" xfId="0" applyFont="1"/>
    <xf numFmtId="164" fontId="0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quotePrefix="1" applyFont="1" applyAlignment="1">
      <alignment horizontal="right"/>
    </xf>
    <xf numFmtId="164" fontId="16" fillId="0" borderId="0" xfId="0" applyNumberFormat="1" applyFont="1"/>
    <xf numFmtId="164" fontId="0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2" fontId="15" fillId="0" borderId="0" xfId="0" applyNumberFormat="1" applyFont="1"/>
    <xf numFmtId="0" fontId="0" fillId="35" borderId="0" xfId="0" applyFont="1" applyFill="1"/>
    <xf numFmtId="164" fontId="0" fillId="35" borderId="0" xfId="0" applyNumberFormat="1" applyFont="1" applyFill="1"/>
    <xf numFmtId="0" fontId="3" fillId="0" borderId="0" xfId="586" applyFill="1"/>
    <xf numFmtId="0" fontId="51" fillId="0" borderId="0" xfId="586" applyFont="1" applyFill="1" applyAlignment="1"/>
    <xf numFmtId="11" fontId="0" fillId="0" borderId="0" xfId="0" applyNumberFormat="1" applyFont="1"/>
    <xf numFmtId="0" fontId="19" fillId="0" borderId="0" xfId="0" applyFont="1" applyAlignment="1"/>
    <xf numFmtId="0" fontId="51" fillId="35" borderId="0" xfId="0" applyFont="1" applyFill="1"/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18" fillId="0" borderId="0" xfId="0" applyNumberFormat="1" applyFont="1"/>
    <xf numFmtId="164" fontId="19" fillId="0" borderId="0" xfId="0" applyNumberFormat="1" applyFont="1"/>
    <xf numFmtId="164" fontId="11" fillId="0" borderId="0" xfId="0" applyNumberFormat="1" applyFont="1"/>
    <xf numFmtId="0" fontId="3" fillId="0" borderId="0" xfId="586" applyFill="1"/>
    <xf numFmtId="0" fontId="51" fillId="0" borderId="0" xfId="586" applyFont="1" applyFill="1" applyAlignment="1"/>
    <xf numFmtId="43" fontId="11" fillId="0" borderId="0" xfId="46" applyFont="1"/>
    <xf numFmtId="43" fontId="51" fillId="0" borderId="0" xfId="46" applyFont="1" applyFill="1" applyAlignment="1"/>
    <xf numFmtId="43" fontId="3" fillId="0" borderId="0" xfId="46" applyFont="1" applyFill="1"/>
    <xf numFmtId="0" fontId="0" fillId="0" borderId="0" xfId="0"/>
    <xf numFmtId="0" fontId="0" fillId="35" borderId="0" xfId="0" applyFont="1" applyFill="1"/>
    <xf numFmtId="0" fontId="3" fillId="0" borderId="0" xfId="586" applyFill="1"/>
    <xf numFmtId="0" fontId="51" fillId="0" borderId="0" xfId="586" applyFont="1" applyFill="1" applyAlignment="1"/>
    <xf numFmtId="0" fontId="51" fillId="35" borderId="0" xfId="586" applyFont="1" applyFill="1" applyAlignment="1"/>
    <xf numFmtId="11" fontId="3" fillId="0" borderId="0" xfId="586" applyNumberFormat="1" applyFill="1"/>
    <xf numFmtId="0" fontId="0" fillId="0" borderId="0" xfId="0"/>
    <xf numFmtId="0" fontId="19" fillId="0" borderId="0" xfId="0" applyFont="1"/>
    <xf numFmtId="0" fontId="0" fillId="0" borderId="0" xfId="0" applyFont="1"/>
    <xf numFmtId="0" fontId="24" fillId="0" borderId="0" xfId="0" applyFont="1"/>
    <xf numFmtId="164" fontId="24" fillId="0" borderId="0" xfId="0" applyNumberFormat="1" applyFont="1"/>
    <xf numFmtId="164" fontId="47" fillId="0" borderId="0" xfId="0" applyNumberFormat="1" applyFont="1"/>
    <xf numFmtId="0" fontId="3" fillId="0" borderId="0" xfId="0" applyFont="1"/>
    <xf numFmtId="0" fontId="51" fillId="35" borderId="0" xfId="586" applyFont="1" applyFill="1" applyAlignment="1"/>
    <xf numFmtId="0" fontId="3" fillId="0" borderId="0" xfId="586" applyFill="1"/>
    <xf numFmtId="0" fontId="51" fillId="0" borderId="0" xfId="586" applyFont="1" applyFill="1" applyAlignment="1"/>
    <xf numFmtId="0" fontId="0" fillId="0" borderId="0" xfId="0" applyFont="1" applyFill="1"/>
    <xf numFmtId="0" fontId="51" fillId="35" borderId="0" xfId="0" applyFont="1" applyFill="1"/>
    <xf numFmtId="164" fontId="51" fillId="0" borderId="0" xfId="335" applyNumberFormat="1" applyFont="1" applyFill="1" applyAlignment="1"/>
    <xf numFmtId="164" fontId="3" fillId="0" borderId="0" xfId="335" applyNumberFormat="1" applyFont="1" applyFill="1"/>
    <xf numFmtId="0" fontId="52" fillId="35" borderId="0" xfId="0" applyFont="1" applyFill="1"/>
    <xf numFmtId="0" fontId="52" fillId="35" borderId="0" xfId="586" applyFont="1" applyFill="1" applyAlignment="1"/>
    <xf numFmtId="0" fontId="51" fillId="35" borderId="0" xfId="587" applyFont="1" applyFill="1" applyAlignment="1"/>
    <xf numFmtId="0" fontId="0" fillId="0" borderId="0" xfId="0" applyNumberFormat="1" applyFont="1"/>
    <xf numFmtId="0" fontId="3" fillId="0" borderId="0" xfId="587" applyFill="1"/>
    <xf numFmtId="0" fontId="51" fillId="0" borderId="0" xfId="587" applyFont="1" applyFill="1" applyAlignment="1"/>
    <xf numFmtId="0" fontId="3" fillId="0" borderId="0" xfId="581" applyFill="1"/>
    <xf numFmtId="0" fontId="51" fillId="0" borderId="0" xfId="581" applyFont="1" applyFill="1" applyAlignment="1"/>
    <xf numFmtId="0" fontId="51" fillId="35" borderId="0" xfId="581" applyFont="1" applyFill="1" applyAlignment="1"/>
    <xf numFmtId="164" fontId="51" fillId="0" borderId="0" xfId="573" applyNumberFormat="1" applyFont="1" applyFill="1" applyAlignment="1"/>
    <xf numFmtId="164" fontId="3" fillId="0" borderId="0" xfId="573" applyNumberFormat="1" applyFont="1" applyFill="1"/>
    <xf numFmtId="164" fontId="51" fillId="0" borderId="0" xfId="46" applyNumberFormat="1" applyFont="1" applyFill="1" applyAlignment="1"/>
    <xf numFmtId="164" fontId="3" fillId="0" borderId="0" xfId="46" applyNumberFormat="1" applyFont="1" applyFill="1"/>
    <xf numFmtId="43" fontId="3" fillId="0" borderId="0" xfId="573" applyNumberFormat="1" applyFont="1" applyFill="1"/>
    <xf numFmtId="43" fontId="51" fillId="0" borderId="0" xfId="573" applyFont="1" applyFill="1" applyAlignment="1"/>
    <xf numFmtId="43" fontId="3" fillId="0" borderId="0" xfId="573" applyFont="1" applyFill="1"/>
    <xf numFmtId="43" fontId="0" fillId="0" borderId="0" xfId="46" applyFont="1"/>
    <xf numFmtId="164" fontId="0" fillId="0" borderId="0" xfId="46" applyNumberFormat="1" applyFont="1"/>
    <xf numFmtId="0" fontId="0" fillId="0" borderId="0" xfId="46" applyNumberFormat="1" applyFont="1"/>
    <xf numFmtId="0" fontId="24" fillId="0" borderId="12" xfId="0" applyFont="1" applyBorder="1"/>
    <xf numFmtId="0" fontId="47" fillId="0" borderId="12" xfId="0" applyFont="1" applyBorder="1"/>
    <xf numFmtId="0" fontId="47" fillId="34" borderId="0" xfId="0" applyFont="1" applyFill="1" applyAlignment="1">
      <alignment horizontal="right"/>
    </xf>
    <xf numFmtId="0" fontId="47" fillId="34" borderId="0" xfId="0" applyFont="1" applyFill="1"/>
    <xf numFmtId="0" fontId="47" fillId="34" borderId="12" xfId="0" quotePrefix="1" applyFont="1" applyFill="1" applyBorder="1" applyAlignment="1">
      <alignment horizontal="right"/>
    </xf>
    <xf numFmtId="0" fontId="47" fillId="34" borderId="12" xfId="0" quotePrefix="1" applyNumberFormat="1" applyFont="1" applyFill="1" applyBorder="1" applyAlignment="1">
      <alignment horizontal="right"/>
    </xf>
    <xf numFmtId="0" fontId="47" fillId="34" borderId="12" xfId="0" applyFont="1" applyFill="1" applyBorder="1" applyAlignment="1">
      <alignment horizontal="right"/>
    </xf>
    <xf numFmtId="0" fontId="47" fillId="34" borderId="12" xfId="0" applyNumberFormat="1" applyFont="1" applyFill="1" applyBorder="1" applyAlignment="1">
      <alignment horizontal="right"/>
    </xf>
    <xf numFmtId="10" fontId="24" fillId="0" borderId="0" xfId="43" applyNumberFormat="1" applyFont="1"/>
    <xf numFmtId="164" fontId="24" fillId="0" borderId="0" xfId="0" applyNumberFormat="1" applyFont="1" applyFill="1"/>
    <xf numFmtId="0" fontId="47" fillId="0" borderId="0" xfId="0" applyFont="1"/>
    <xf numFmtId="0" fontId="24" fillId="0" borderId="11" xfId="0" applyFont="1" applyBorder="1"/>
    <xf numFmtId="164" fontId="24" fillId="0" borderId="11" xfId="0" applyNumberFormat="1" applyFont="1" applyBorder="1"/>
    <xf numFmtId="10" fontId="24" fillId="0" borderId="11" xfId="43" applyNumberFormat="1" applyFont="1" applyBorder="1"/>
    <xf numFmtId="164" fontId="24" fillId="0" borderId="11" xfId="0" applyNumberFormat="1" applyFont="1" applyFill="1" applyBorder="1"/>
    <xf numFmtId="164" fontId="24" fillId="34" borderId="0" xfId="0" applyNumberFormat="1" applyFont="1" applyFill="1"/>
    <xf numFmtId="0" fontId="47" fillId="34" borderId="0" xfId="0" applyFont="1" applyFill="1" applyBorder="1" applyAlignment="1">
      <alignment horizontal="center" vertical="center"/>
    </xf>
    <xf numFmtId="0" fontId="47" fillId="34" borderId="12" xfId="0" applyFont="1" applyFill="1" applyBorder="1"/>
    <xf numFmtId="164" fontId="24" fillId="0" borderId="0" xfId="0" applyNumberFormat="1" applyFont="1" applyAlignment="1">
      <alignment horizontal="right"/>
    </xf>
    <xf numFmtId="0" fontId="47" fillId="0" borderId="11" xfId="0" applyFont="1" applyBorder="1"/>
    <xf numFmtId="164" fontId="47" fillId="0" borderId="11" xfId="0" applyNumberFormat="1" applyFont="1" applyBorder="1"/>
    <xf numFmtId="164" fontId="47" fillId="0" borderId="11" xfId="0" applyNumberFormat="1" applyFont="1" applyFill="1" applyBorder="1"/>
    <xf numFmtId="0" fontId="54" fillId="34" borderId="0" xfId="0" applyFont="1" applyFill="1"/>
    <xf numFmtId="0" fontId="54" fillId="34" borderId="0" xfId="0" applyFont="1" applyFill="1" applyAlignment="1">
      <alignment horizontal="right"/>
    </xf>
    <xf numFmtId="0" fontId="54" fillId="34" borderId="12" xfId="0" applyFont="1" applyFill="1" applyBorder="1"/>
    <xf numFmtId="0" fontId="54" fillId="0" borderId="0" xfId="0" applyFont="1" applyFill="1"/>
    <xf numFmtId="0" fontId="55" fillId="0" borderId="0" xfId="0" applyFont="1" applyFill="1"/>
    <xf numFmtId="0" fontId="24" fillId="0" borderId="0" xfId="0" applyFont="1" applyFill="1"/>
    <xf numFmtId="164" fontId="56" fillId="0" borderId="0" xfId="0" applyNumberFormat="1" applyFont="1" applyFill="1"/>
    <xf numFmtId="164" fontId="54" fillId="0" borderId="0" xfId="0" applyNumberFormat="1" applyFont="1" applyFill="1"/>
    <xf numFmtId="0" fontId="47" fillId="0" borderId="0" xfId="0" applyFont="1" applyFill="1"/>
    <xf numFmtId="0" fontId="24" fillId="0" borderId="11" xfId="0" applyFont="1" applyFill="1" applyBorder="1"/>
    <xf numFmtId="0" fontId="24" fillId="34" borderId="0" xfId="0" applyFont="1" applyFill="1"/>
    <xf numFmtId="0" fontId="54" fillId="0" borderId="11" xfId="0" applyFont="1" applyFill="1" applyBorder="1"/>
    <xf numFmtId="0" fontId="47" fillId="0" borderId="0" xfId="0" applyFont="1" applyAlignment="1">
      <alignment horizontal="right"/>
    </xf>
    <xf numFmtId="164" fontId="24" fillId="0" borderId="0" xfId="0" applyNumberFormat="1" applyFont="1" applyFill="1" applyAlignment="1"/>
    <xf numFmtId="0" fontId="57" fillId="0" borderId="0" xfId="0" applyFont="1"/>
    <xf numFmtId="164" fontId="58" fillId="0" borderId="0" xfId="0" applyNumberFormat="1" applyFont="1"/>
    <xf numFmtId="164" fontId="55" fillId="0" borderId="0" xfId="0" applyNumberFormat="1" applyFont="1"/>
    <xf numFmtId="0" fontId="47" fillId="0" borderId="0" xfId="0" quotePrefix="1" applyFont="1" applyAlignment="1">
      <alignment horizontal="right"/>
    </xf>
    <xf numFmtId="0" fontId="54" fillId="0" borderId="0" xfId="0" applyFont="1" applyAlignment="1">
      <alignment horizontal="right"/>
    </xf>
    <xf numFmtId="0" fontId="47" fillId="34" borderId="15" xfId="0" applyFont="1" applyFill="1" applyBorder="1"/>
    <xf numFmtId="17" fontId="47" fillId="34" borderId="12" xfId="0" quotePrefix="1" applyNumberFormat="1" applyFont="1" applyFill="1" applyBorder="1" applyAlignment="1">
      <alignment horizontal="right"/>
    </xf>
    <xf numFmtId="0" fontId="47" fillId="34" borderId="16" xfId="0" applyFont="1" applyFill="1" applyBorder="1" applyAlignment="1">
      <alignment horizontal="right"/>
    </xf>
    <xf numFmtId="164" fontId="53" fillId="0" borderId="0" xfId="0" applyNumberFormat="1" applyFont="1"/>
    <xf numFmtId="3" fontId="47" fillId="34" borderId="0" xfId="0" applyNumberFormat="1" applyFont="1" applyFill="1"/>
    <xf numFmtId="165" fontId="24" fillId="0" borderId="0" xfId="0" applyNumberFormat="1" applyFont="1" applyAlignment="1">
      <alignment horizontal="right"/>
    </xf>
    <xf numFmtId="9" fontId="24" fillId="0" borderId="0" xfId="0" applyNumberFormat="1" applyFont="1"/>
    <xf numFmtId="10" fontId="47" fillId="0" borderId="0" xfId="43" applyNumberFormat="1" applyFont="1"/>
    <xf numFmtId="165" fontId="47" fillId="0" borderId="0" xfId="0" applyNumberFormat="1" applyFont="1"/>
    <xf numFmtId="0" fontId="47" fillId="34" borderId="0" xfId="0" applyFont="1" applyFill="1" applyBorder="1"/>
    <xf numFmtId="0" fontId="24" fillId="34" borderId="0" xfId="0" applyFont="1" applyFill="1" applyBorder="1"/>
    <xf numFmtId="0" fontId="24" fillId="34" borderId="12" xfId="0" applyFont="1" applyFill="1" applyBorder="1"/>
    <xf numFmtId="0" fontId="47" fillId="34" borderId="12" xfId="0" applyFont="1" applyFill="1" applyBorder="1" applyAlignment="1">
      <alignment horizontal="left"/>
    </xf>
    <xf numFmtId="0" fontId="47" fillId="33" borderId="0" xfId="0" applyFont="1" applyFill="1"/>
    <xf numFmtId="14" fontId="24" fillId="0" borderId="0" xfId="0" applyNumberFormat="1" applyFont="1" applyAlignment="1">
      <alignment horizontal="right"/>
    </xf>
    <xf numFmtId="10" fontId="24" fillId="0" borderId="0" xfId="43" applyNumberFormat="1" applyFont="1" applyFill="1"/>
    <xf numFmtId="14" fontId="24" fillId="0" borderId="0" xfId="0" applyNumberFormat="1" applyFont="1" applyFill="1" applyAlignment="1">
      <alignment horizontal="right"/>
    </xf>
    <xf numFmtId="14" fontId="24" fillId="0" borderId="11" xfId="0" applyNumberFormat="1" applyFont="1" applyBorder="1" applyAlignment="1">
      <alignment horizontal="right"/>
    </xf>
    <xf numFmtId="164" fontId="47" fillId="34" borderId="0" xfId="0" applyNumberFormat="1" applyFont="1" applyFill="1"/>
    <xf numFmtId="164" fontId="57" fillId="34" borderId="12" xfId="0" quotePrefix="1" applyNumberFormat="1" applyFont="1" applyFill="1" applyBorder="1" applyAlignment="1">
      <alignment horizontal="right"/>
    </xf>
    <xf numFmtId="0" fontId="59" fillId="0" borderId="0" xfId="0" applyFont="1"/>
    <xf numFmtId="10" fontId="47" fillId="33" borderId="0" xfId="43" applyNumberFormat="1" applyFont="1" applyFill="1"/>
    <xf numFmtId="167" fontId="47" fillId="34" borderId="12" xfId="0" applyNumberFormat="1" applyFont="1" applyFill="1" applyBorder="1" applyAlignment="1">
      <alignment horizontal="right"/>
    </xf>
    <xf numFmtId="167" fontId="47" fillId="34" borderId="12" xfId="0" applyNumberFormat="1" applyFont="1" applyFill="1" applyBorder="1" applyAlignment="1">
      <alignment horizontal="right" wrapText="1"/>
    </xf>
    <xf numFmtId="0" fontId="24" fillId="33" borderId="0" xfId="0" applyFont="1" applyFill="1"/>
    <xf numFmtId="3" fontId="3" fillId="35" borderId="0" xfId="586" applyNumberFormat="1" applyFill="1"/>
    <xf numFmtId="164" fontId="24" fillId="0" borderId="0" xfId="0" applyNumberFormat="1" applyFont="1" applyFill="1" applyBorder="1" applyAlignment="1">
      <alignment horizontal="right"/>
    </xf>
    <xf numFmtId="164" fontId="2" fillId="0" borderId="0" xfId="982" applyNumberFormat="1" applyFont="1" applyFill="1"/>
    <xf numFmtId="0" fontId="51" fillId="0" borderId="0" xfId="1100" applyFont="1" applyFill="1" applyAlignment="1"/>
    <xf numFmtId="0" fontId="2" fillId="0" borderId="0" xfId="1100" applyFill="1"/>
    <xf numFmtId="0" fontId="51" fillId="0" borderId="0" xfId="1100" applyFont="1" applyFill="1" applyAlignment="1"/>
    <xf numFmtId="164" fontId="2" fillId="0" borderId="0" xfId="982" applyNumberFormat="1" applyFont="1" applyFill="1"/>
    <xf numFmtId="0" fontId="2" fillId="0" borderId="0" xfId="1100" applyFill="1"/>
    <xf numFmtId="0" fontId="2" fillId="0" borderId="0" xfId="1100" applyFill="1"/>
    <xf numFmtId="164" fontId="2" fillId="0" borderId="0" xfId="982" applyNumberFormat="1" applyFont="1" applyFill="1"/>
    <xf numFmtId="0" fontId="51" fillId="0" borderId="0" xfId="1100" applyFont="1" applyFill="1" applyAlignment="1"/>
    <xf numFmtId="0" fontId="0" fillId="0" borderId="0" xfId="0"/>
    <xf numFmtId="0" fontId="19" fillId="35" borderId="0" xfId="0" applyFont="1" applyFill="1"/>
    <xf numFmtId="0" fontId="51" fillId="0" borderId="0" xfId="1095" applyFont="1" applyFill="1" applyAlignment="1"/>
    <xf numFmtId="0" fontId="51" fillId="35" borderId="0" xfId="1095" applyFont="1" applyFill="1" applyAlignment="1"/>
    <xf numFmtId="164" fontId="2" fillId="0" borderId="0" xfId="1087" applyNumberFormat="1" applyFont="1" applyFill="1"/>
    <xf numFmtId="43" fontId="2" fillId="0" borderId="0" xfId="1087" applyNumberFormat="1" applyFont="1" applyFill="1"/>
    <xf numFmtId="164" fontId="24" fillId="0" borderId="0" xfId="0" applyNumberFormat="1" applyFont="1" applyFill="1"/>
    <xf numFmtId="164" fontId="47" fillId="0" borderId="0" xfId="0" applyNumberFormat="1" applyFont="1" applyFill="1"/>
    <xf numFmtId="10" fontId="24" fillId="0" borderId="0" xfId="43" applyNumberFormat="1" applyFont="1" applyFill="1"/>
    <xf numFmtId="10" fontId="47" fillId="0" borderId="0" xfId="43" applyNumberFormat="1" applyFont="1" applyFill="1"/>
    <xf numFmtId="0" fontId="1" fillId="0" borderId="0" xfId="0" applyFont="1"/>
    <xf numFmtId="7" fontId="0" fillId="0" borderId="0" xfId="0" applyNumberFormat="1" applyFont="1"/>
    <xf numFmtId="0" fontId="19" fillId="34" borderId="0" xfId="0" applyFont="1" applyFill="1" applyAlignment="1">
      <alignment horizontal="right"/>
    </xf>
    <xf numFmtId="0" fontId="19" fillId="34" borderId="12" xfId="0" applyFont="1" applyFill="1" applyBorder="1" applyAlignment="1">
      <alignment horizontal="right"/>
    </xf>
    <xf numFmtId="0" fontId="37" fillId="0" borderId="12" xfId="0" applyFont="1" applyBorder="1"/>
    <xf numFmtId="165" fontId="24" fillId="0" borderId="0" xfId="1" applyNumberFormat="1" applyFont="1" applyFill="1"/>
    <xf numFmtId="0" fontId="48" fillId="0" borderId="0" xfId="0" applyFont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3" fontId="47" fillId="34" borderId="0" xfId="1" applyFont="1" applyFill="1" applyBorder="1" applyAlignment="1">
      <alignment horizontal="right" wrapText="1"/>
    </xf>
    <xf numFmtId="43" fontId="47" fillId="34" borderId="12" xfId="1" applyFont="1" applyFill="1" applyBorder="1" applyAlignment="1">
      <alignment horizontal="right" wrapText="1"/>
    </xf>
    <xf numFmtId="164" fontId="47" fillId="0" borderId="0" xfId="0" applyNumberFormat="1" applyFont="1" applyAlignment="1">
      <alignment horizont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34" borderId="14" xfId="0" applyFont="1" applyFill="1" applyBorder="1" applyAlignment="1">
      <alignment horizontal="center"/>
    </xf>
    <xf numFmtId="0" fontId="47" fillId="34" borderId="0" xfId="0" applyFont="1" applyFill="1" applyBorder="1" applyAlignment="1">
      <alignment horizontal="right" wrapText="1"/>
    </xf>
    <xf numFmtId="0" fontId="47" fillId="34" borderId="12" xfId="0" applyFont="1" applyFill="1" applyBorder="1" applyAlignment="1">
      <alignment horizontal="right" wrapText="1"/>
    </xf>
    <xf numFmtId="14" fontId="47" fillId="34" borderId="0" xfId="0" applyNumberFormat="1" applyFont="1" applyFill="1" applyBorder="1" applyAlignment="1">
      <alignment horizontal="right" wrapText="1"/>
    </xf>
    <xf numFmtId="14" fontId="47" fillId="34" borderId="12" xfId="0" applyNumberFormat="1" applyFont="1" applyFill="1" applyBorder="1" applyAlignment="1">
      <alignment horizontal="right" wrapText="1"/>
    </xf>
    <xf numFmtId="164" fontId="24" fillId="0" borderId="0" xfId="0" applyNumberFormat="1" applyFont="1" applyAlignment="1">
      <alignment horizontal="center"/>
    </xf>
    <xf numFmtId="0" fontId="47" fillId="34" borderId="13" xfId="0" applyFont="1" applyFill="1" applyBorder="1" applyAlignment="1">
      <alignment horizontal="right"/>
    </xf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0" fontId="47" fillId="34" borderId="13" xfId="0" applyFont="1" applyFill="1" applyBorder="1" applyAlignment="1">
      <alignment horizontal="center"/>
    </xf>
    <xf numFmtId="164" fontId="57" fillId="34" borderId="14" xfId="0" quotePrefix="1" applyNumberFormat="1" applyFont="1" applyFill="1" applyBorder="1" applyAlignment="1">
      <alignment horizontal="right"/>
    </xf>
    <xf numFmtId="164" fontId="57" fillId="34" borderId="0" xfId="0" quotePrefix="1" applyNumberFormat="1" applyFont="1" applyFill="1" applyBorder="1" applyAlignment="1">
      <alignment horizontal="right"/>
    </xf>
    <xf numFmtId="164" fontId="57" fillId="34" borderId="12" xfId="0" quotePrefix="1" applyNumberFormat="1" applyFont="1" applyFill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64" fontId="0" fillId="0" borderId="0" xfId="46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0" fontId="19" fillId="0" borderId="10" xfId="0" applyFont="1" applyBorder="1" applyAlignment="1">
      <alignment horizontal="center"/>
    </xf>
  </cellXfs>
  <cellStyles count="1103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3" xfId="725"/>
    <cellStyle name="Comma 11" xfId="70"/>
    <cellStyle name="Comma 11 2" xfId="357"/>
    <cellStyle name="Comma 11 2 2" xfId="871"/>
    <cellStyle name="Comma 11 3" xfId="614"/>
    <cellStyle name="Comma 2" xfId="45"/>
    <cellStyle name="Comma 2 10" xfId="72"/>
    <cellStyle name="Comma 2 10 2" xfId="359"/>
    <cellStyle name="Comma 2 10 2 2" xfId="873"/>
    <cellStyle name="Comma 2 10 3" xfId="616"/>
    <cellStyle name="Comma 2 11" xfId="333"/>
    <cellStyle name="Comma 2 11 2" xfId="847"/>
    <cellStyle name="Comma 2 12" xfId="590"/>
    <cellStyle name="Comma 2 2" xfId="48"/>
    <cellStyle name="Comma 2 2 10" xfId="335"/>
    <cellStyle name="Comma 2 2 10 2" xfId="849"/>
    <cellStyle name="Comma 2 2 11" xfId="592"/>
    <cellStyle name="Comma 2 2 2" xfId="5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3" xfId="829"/>
    <cellStyle name="Comma 2 2 2 2 2 2 3" xfId="464"/>
    <cellStyle name="Comma 2 2 2 2 2 2 3 2" xfId="978"/>
    <cellStyle name="Comma 2 2 2 2 2 2 4" xfId="721"/>
    <cellStyle name="Comma 2 2 2 2 2 3" xfId="149"/>
    <cellStyle name="Comma 2 2 2 2 2 3 2" xfId="271"/>
    <cellStyle name="Comma 2 2 2 2 2 3 2 2" xfId="536"/>
    <cellStyle name="Comma 2 2 2 2 2 3 2 2 2" xfId="1050"/>
    <cellStyle name="Comma 2 2 2 2 2 3 2 3" xfId="793"/>
    <cellStyle name="Comma 2 2 2 2 2 3 3" xfId="428"/>
    <cellStyle name="Comma 2 2 2 2 2 3 3 2" xfId="942"/>
    <cellStyle name="Comma 2 2 2 2 2 3 4" xfId="685"/>
    <cellStyle name="Comma 2 2 2 2 2 4" xfId="232"/>
    <cellStyle name="Comma 2 2 2 2 2 4 2" xfId="500"/>
    <cellStyle name="Comma 2 2 2 2 2 4 2 2" xfId="1014"/>
    <cellStyle name="Comma 2 2 2 2 2 4 3" xfId="757"/>
    <cellStyle name="Comma 2 2 2 2 2 5" xfId="392"/>
    <cellStyle name="Comma 2 2 2 2 2 5 2" xfId="906"/>
    <cellStyle name="Comma 2 2 2 2 2 6" xfId="649"/>
    <cellStyle name="Comma 2 2 2 2 3" xfId="168"/>
    <cellStyle name="Comma 2 2 2 2 3 2" xfId="290"/>
    <cellStyle name="Comma 2 2 2 2 3 2 2" xfId="554"/>
    <cellStyle name="Comma 2 2 2 2 3 2 2 2" xfId="1068"/>
    <cellStyle name="Comma 2 2 2 2 3 2 3" xfId="811"/>
    <cellStyle name="Comma 2 2 2 2 3 3" xfId="446"/>
    <cellStyle name="Comma 2 2 2 2 3 3 2" xfId="960"/>
    <cellStyle name="Comma 2 2 2 2 3 4" xfId="703"/>
    <cellStyle name="Comma 2 2 2 2 4" xfId="130"/>
    <cellStyle name="Comma 2 2 2 2 4 2" xfId="252"/>
    <cellStyle name="Comma 2 2 2 2 4 2 2" xfId="518"/>
    <cellStyle name="Comma 2 2 2 2 4 2 2 2" xfId="1032"/>
    <cellStyle name="Comma 2 2 2 2 4 2 3" xfId="775"/>
    <cellStyle name="Comma 2 2 2 2 4 3" xfId="410"/>
    <cellStyle name="Comma 2 2 2 2 4 3 2" xfId="924"/>
    <cellStyle name="Comma 2 2 2 2 4 4" xfId="667"/>
    <cellStyle name="Comma 2 2 2 2 5" xfId="212"/>
    <cellStyle name="Comma 2 2 2 2 5 2" xfId="482"/>
    <cellStyle name="Comma 2 2 2 2 5 2 2" xfId="996"/>
    <cellStyle name="Comma 2 2 2 2 5 3" xfId="739"/>
    <cellStyle name="Comma 2 2 2 2 6" xfId="90"/>
    <cellStyle name="Comma 2 2 2 2 6 2" xfId="374"/>
    <cellStyle name="Comma 2 2 2 2 6 2 2" xfId="888"/>
    <cellStyle name="Comma 2 2 2 2 6 3" xfId="631"/>
    <cellStyle name="Comma 2 2 2 2 7" xfId="353"/>
    <cellStyle name="Comma 2 2 2 2 7 2" xfId="867"/>
    <cellStyle name="Comma 2 2 2 2 8" xfId="610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3" xfId="820"/>
    <cellStyle name="Comma 2 2 2 3 2 3" xfId="455"/>
    <cellStyle name="Comma 2 2 2 3 2 3 2" xfId="969"/>
    <cellStyle name="Comma 2 2 2 3 2 4" xfId="712"/>
    <cellStyle name="Comma 2 2 2 3 3" xfId="139"/>
    <cellStyle name="Comma 2 2 2 3 3 2" xfId="261"/>
    <cellStyle name="Comma 2 2 2 3 3 2 2" xfId="527"/>
    <cellStyle name="Comma 2 2 2 3 3 2 2 2" xfId="1041"/>
    <cellStyle name="Comma 2 2 2 3 3 2 3" xfId="784"/>
    <cellStyle name="Comma 2 2 2 3 3 3" xfId="419"/>
    <cellStyle name="Comma 2 2 2 3 3 3 2" xfId="933"/>
    <cellStyle name="Comma 2 2 2 3 3 4" xfId="676"/>
    <cellStyle name="Comma 2 2 2 3 4" xfId="222"/>
    <cellStyle name="Comma 2 2 2 3 4 2" xfId="491"/>
    <cellStyle name="Comma 2 2 2 3 4 2 2" xfId="1005"/>
    <cellStyle name="Comma 2 2 2 3 4 3" xfId="748"/>
    <cellStyle name="Comma 2 2 2 3 5" xfId="383"/>
    <cellStyle name="Comma 2 2 2 3 5 2" xfId="897"/>
    <cellStyle name="Comma 2 2 2 3 6" xfId="640"/>
    <cellStyle name="Comma 2 2 2 4" xfId="158"/>
    <cellStyle name="Comma 2 2 2 4 2" xfId="280"/>
    <cellStyle name="Comma 2 2 2 4 2 2" xfId="545"/>
    <cellStyle name="Comma 2 2 2 4 2 2 2" xfId="1059"/>
    <cellStyle name="Comma 2 2 2 4 2 3" xfId="802"/>
    <cellStyle name="Comma 2 2 2 4 3" xfId="437"/>
    <cellStyle name="Comma 2 2 2 4 3 2" xfId="951"/>
    <cellStyle name="Comma 2 2 2 4 4" xfId="694"/>
    <cellStyle name="Comma 2 2 2 5" xfId="120"/>
    <cellStyle name="Comma 2 2 2 5 2" xfId="242"/>
    <cellStyle name="Comma 2 2 2 5 2 2" xfId="509"/>
    <cellStyle name="Comma 2 2 2 5 2 2 2" xfId="1023"/>
    <cellStyle name="Comma 2 2 2 5 2 3" xfId="766"/>
    <cellStyle name="Comma 2 2 2 5 3" xfId="401"/>
    <cellStyle name="Comma 2 2 2 5 3 2" xfId="915"/>
    <cellStyle name="Comma 2 2 2 5 4" xfId="658"/>
    <cellStyle name="Comma 2 2 2 6" xfId="202"/>
    <cellStyle name="Comma 2 2 2 6 2" xfId="473"/>
    <cellStyle name="Comma 2 2 2 6 2 2" xfId="987"/>
    <cellStyle name="Comma 2 2 2 6 3" xfId="730"/>
    <cellStyle name="Comma 2 2 2 7" xfId="76"/>
    <cellStyle name="Comma 2 2 2 7 2" xfId="363"/>
    <cellStyle name="Comma 2 2 2 7 2 2" xfId="877"/>
    <cellStyle name="Comma 2 2 2 7 3" xfId="620"/>
    <cellStyle name="Comma 2 2 2 8" xfId="340"/>
    <cellStyle name="Comma 2 2 2 8 2" xfId="854"/>
    <cellStyle name="Comma 2 2 2 9" xfId="597"/>
    <cellStyle name="Comma 2 2 3" xfId="6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3" xfId="832"/>
    <cellStyle name="Comma 2 2 3 2 2 2 3" xfId="467"/>
    <cellStyle name="Comma 2 2 3 2 2 2 3 2" xfId="981"/>
    <cellStyle name="Comma 2 2 3 2 2 2 4" xfId="724"/>
    <cellStyle name="Comma 2 2 3 2 2 3" xfId="152"/>
    <cellStyle name="Comma 2 2 3 2 2 3 2" xfId="274"/>
    <cellStyle name="Comma 2 2 3 2 2 3 2 2" xfId="539"/>
    <cellStyle name="Comma 2 2 3 2 2 3 2 2 2" xfId="1053"/>
    <cellStyle name="Comma 2 2 3 2 2 3 2 3" xfId="796"/>
    <cellStyle name="Comma 2 2 3 2 2 3 3" xfId="431"/>
    <cellStyle name="Comma 2 2 3 2 2 3 3 2" xfId="945"/>
    <cellStyle name="Comma 2 2 3 2 2 3 4" xfId="688"/>
    <cellStyle name="Comma 2 2 3 2 2 4" xfId="235"/>
    <cellStyle name="Comma 2 2 3 2 2 4 2" xfId="503"/>
    <cellStyle name="Comma 2 2 3 2 2 4 2 2" xfId="1017"/>
    <cellStyle name="Comma 2 2 3 2 2 4 3" xfId="760"/>
    <cellStyle name="Comma 2 2 3 2 2 5" xfId="395"/>
    <cellStyle name="Comma 2 2 3 2 2 5 2" xfId="909"/>
    <cellStyle name="Comma 2 2 3 2 2 6" xfId="652"/>
    <cellStyle name="Comma 2 2 3 2 3" xfId="171"/>
    <cellStyle name="Comma 2 2 3 2 3 2" xfId="293"/>
    <cellStyle name="Comma 2 2 3 2 3 2 2" xfId="557"/>
    <cellStyle name="Comma 2 2 3 2 3 2 2 2" xfId="1071"/>
    <cellStyle name="Comma 2 2 3 2 3 2 3" xfId="814"/>
    <cellStyle name="Comma 2 2 3 2 3 3" xfId="449"/>
    <cellStyle name="Comma 2 2 3 2 3 3 2" xfId="963"/>
    <cellStyle name="Comma 2 2 3 2 3 4" xfId="706"/>
    <cellStyle name="Comma 2 2 3 2 4" xfId="133"/>
    <cellStyle name="Comma 2 2 3 2 4 2" xfId="255"/>
    <cellStyle name="Comma 2 2 3 2 4 2 2" xfId="521"/>
    <cellStyle name="Comma 2 2 3 2 4 2 2 2" xfId="1035"/>
    <cellStyle name="Comma 2 2 3 2 4 2 3" xfId="778"/>
    <cellStyle name="Comma 2 2 3 2 4 3" xfId="413"/>
    <cellStyle name="Comma 2 2 3 2 4 3 2" xfId="927"/>
    <cellStyle name="Comma 2 2 3 2 4 4" xfId="670"/>
    <cellStyle name="Comma 2 2 3 2 5" xfId="215"/>
    <cellStyle name="Comma 2 2 3 2 5 2" xfId="485"/>
    <cellStyle name="Comma 2 2 3 2 5 2 2" xfId="999"/>
    <cellStyle name="Comma 2 2 3 2 5 3" xfId="742"/>
    <cellStyle name="Comma 2 2 3 2 6" xfId="377"/>
    <cellStyle name="Comma 2 2 3 2 6 2" xfId="891"/>
    <cellStyle name="Comma 2 2 3 2 7" xfId="634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3" xfId="823"/>
    <cellStyle name="Comma 2 2 3 3 2 3" xfId="458"/>
    <cellStyle name="Comma 2 2 3 3 2 3 2" xfId="972"/>
    <cellStyle name="Comma 2 2 3 3 2 4" xfId="715"/>
    <cellStyle name="Comma 2 2 3 3 3" xfId="142"/>
    <cellStyle name="Comma 2 2 3 3 3 2" xfId="264"/>
    <cellStyle name="Comma 2 2 3 3 3 2 2" xfId="530"/>
    <cellStyle name="Comma 2 2 3 3 3 2 2 2" xfId="1044"/>
    <cellStyle name="Comma 2 2 3 3 3 2 3" xfId="787"/>
    <cellStyle name="Comma 2 2 3 3 3 3" xfId="422"/>
    <cellStyle name="Comma 2 2 3 3 3 3 2" xfId="936"/>
    <cellStyle name="Comma 2 2 3 3 3 4" xfId="679"/>
    <cellStyle name="Comma 2 2 3 3 4" xfId="225"/>
    <cellStyle name="Comma 2 2 3 3 4 2" xfId="494"/>
    <cellStyle name="Comma 2 2 3 3 4 2 2" xfId="1008"/>
    <cellStyle name="Comma 2 2 3 3 4 3" xfId="751"/>
    <cellStyle name="Comma 2 2 3 3 5" xfId="386"/>
    <cellStyle name="Comma 2 2 3 3 5 2" xfId="900"/>
    <cellStyle name="Comma 2 2 3 3 6" xfId="643"/>
    <cellStyle name="Comma 2 2 3 4" xfId="161"/>
    <cellStyle name="Comma 2 2 3 4 2" xfId="283"/>
    <cellStyle name="Comma 2 2 3 4 2 2" xfId="548"/>
    <cellStyle name="Comma 2 2 3 4 2 2 2" xfId="1062"/>
    <cellStyle name="Comma 2 2 3 4 2 3" xfId="805"/>
    <cellStyle name="Comma 2 2 3 4 3" xfId="440"/>
    <cellStyle name="Comma 2 2 3 4 3 2" xfId="954"/>
    <cellStyle name="Comma 2 2 3 4 4" xfId="697"/>
    <cellStyle name="Comma 2 2 3 5" xfId="123"/>
    <cellStyle name="Comma 2 2 3 5 2" xfId="245"/>
    <cellStyle name="Comma 2 2 3 5 2 2" xfId="512"/>
    <cellStyle name="Comma 2 2 3 5 2 2 2" xfId="1026"/>
    <cellStyle name="Comma 2 2 3 5 2 3" xfId="769"/>
    <cellStyle name="Comma 2 2 3 5 3" xfId="404"/>
    <cellStyle name="Comma 2 2 3 5 3 2" xfId="918"/>
    <cellStyle name="Comma 2 2 3 5 4" xfId="661"/>
    <cellStyle name="Comma 2 2 3 6" xfId="205"/>
    <cellStyle name="Comma 2 2 3 6 2" xfId="476"/>
    <cellStyle name="Comma 2 2 3 6 2 2" xfId="990"/>
    <cellStyle name="Comma 2 2 3 6 3" xfId="733"/>
    <cellStyle name="Comma 2 2 3 7" xfId="79"/>
    <cellStyle name="Comma 2 2 3 7 2" xfId="366"/>
    <cellStyle name="Comma 2 2 3 7 2 2" xfId="880"/>
    <cellStyle name="Comma 2 2 3 7 3" xfId="623"/>
    <cellStyle name="Comma 2 2 3 8" xfId="348"/>
    <cellStyle name="Comma 2 2 3 8 2" xfId="862"/>
    <cellStyle name="Comma 2 2 3 9" xfId="605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3" xfId="826"/>
    <cellStyle name="Comma 2 2 4 2 2 3" xfId="461"/>
    <cellStyle name="Comma 2 2 4 2 2 3 2" xfId="975"/>
    <cellStyle name="Comma 2 2 4 2 2 4" xfId="718"/>
    <cellStyle name="Comma 2 2 4 2 3" xfId="146"/>
    <cellStyle name="Comma 2 2 4 2 3 2" xfId="268"/>
    <cellStyle name="Comma 2 2 4 2 3 2 2" xfId="533"/>
    <cellStyle name="Comma 2 2 4 2 3 2 2 2" xfId="1047"/>
    <cellStyle name="Comma 2 2 4 2 3 2 3" xfId="790"/>
    <cellStyle name="Comma 2 2 4 2 3 3" xfId="425"/>
    <cellStyle name="Comma 2 2 4 2 3 3 2" xfId="939"/>
    <cellStyle name="Comma 2 2 4 2 3 4" xfId="682"/>
    <cellStyle name="Comma 2 2 4 2 4" xfId="229"/>
    <cellStyle name="Comma 2 2 4 2 4 2" xfId="497"/>
    <cellStyle name="Comma 2 2 4 2 4 2 2" xfId="1011"/>
    <cellStyle name="Comma 2 2 4 2 4 3" xfId="754"/>
    <cellStyle name="Comma 2 2 4 2 5" xfId="389"/>
    <cellStyle name="Comma 2 2 4 2 5 2" xfId="903"/>
    <cellStyle name="Comma 2 2 4 2 6" xfId="646"/>
    <cellStyle name="Comma 2 2 4 3" xfId="165"/>
    <cellStyle name="Comma 2 2 4 3 2" xfId="287"/>
    <cellStyle name="Comma 2 2 4 3 2 2" xfId="551"/>
    <cellStyle name="Comma 2 2 4 3 2 2 2" xfId="1065"/>
    <cellStyle name="Comma 2 2 4 3 2 3" xfId="808"/>
    <cellStyle name="Comma 2 2 4 3 3" xfId="443"/>
    <cellStyle name="Comma 2 2 4 3 3 2" xfId="957"/>
    <cellStyle name="Comma 2 2 4 3 4" xfId="700"/>
    <cellStyle name="Comma 2 2 4 4" xfId="127"/>
    <cellStyle name="Comma 2 2 4 4 2" xfId="249"/>
    <cellStyle name="Comma 2 2 4 4 2 2" xfId="515"/>
    <cellStyle name="Comma 2 2 4 4 2 2 2" xfId="1029"/>
    <cellStyle name="Comma 2 2 4 4 2 3" xfId="772"/>
    <cellStyle name="Comma 2 2 4 4 3" xfId="407"/>
    <cellStyle name="Comma 2 2 4 4 3 2" xfId="921"/>
    <cellStyle name="Comma 2 2 4 4 4" xfId="664"/>
    <cellStyle name="Comma 2 2 4 5" xfId="209"/>
    <cellStyle name="Comma 2 2 4 5 2" xfId="479"/>
    <cellStyle name="Comma 2 2 4 5 2 2" xfId="993"/>
    <cellStyle name="Comma 2 2 4 5 3" xfId="736"/>
    <cellStyle name="Comma 2 2 4 6" xfId="371"/>
    <cellStyle name="Comma 2 2 4 6 2" xfId="885"/>
    <cellStyle name="Comma 2 2 4 7" xfId="628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3" xfId="817"/>
    <cellStyle name="Comma 2 2 5 2 3" xfId="452"/>
    <cellStyle name="Comma 2 2 5 2 3 2" xfId="966"/>
    <cellStyle name="Comma 2 2 5 2 4" xfId="709"/>
    <cellStyle name="Comma 2 2 5 3" xfId="136"/>
    <cellStyle name="Comma 2 2 5 3 2" xfId="258"/>
    <cellStyle name="Comma 2 2 5 3 2 2" xfId="524"/>
    <cellStyle name="Comma 2 2 5 3 2 2 2" xfId="1038"/>
    <cellStyle name="Comma 2 2 5 3 2 3" xfId="781"/>
    <cellStyle name="Comma 2 2 5 3 3" xfId="416"/>
    <cellStyle name="Comma 2 2 5 3 3 2" xfId="930"/>
    <cellStyle name="Comma 2 2 5 3 4" xfId="673"/>
    <cellStyle name="Comma 2 2 5 4" xfId="219"/>
    <cellStyle name="Comma 2 2 5 4 2" xfId="488"/>
    <cellStyle name="Comma 2 2 5 4 2 2" xfId="1002"/>
    <cellStyle name="Comma 2 2 5 4 3" xfId="745"/>
    <cellStyle name="Comma 2 2 5 5" xfId="380"/>
    <cellStyle name="Comma 2 2 5 5 2" xfId="894"/>
    <cellStyle name="Comma 2 2 5 6" xfId="637"/>
    <cellStyle name="Comma 2 2 6" xfId="155"/>
    <cellStyle name="Comma 2 2 6 2" xfId="277"/>
    <cellStyle name="Comma 2 2 6 2 2" xfId="542"/>
    <cellStyle name="Comma 2 2 6 2 2 2" xfId="1056"/>
    <cellStyle name="Comma 2 2 6 2 3" xfId="799"/>
    <cellStyle name="Comma 2 2 6 3" xfId="434"/>
    <cellStyle name="Comma 2 2 6 3 2" xfId="948"/>
    <cellStyle name="Comma 2 2 6 4" xfId="691"/>
    <cellStyle name="Comma 2 2 7" xfId="117"/>
    <cellStyle name="Comma 2 2 7 2" xfId="239"/>
    <cellStyle name="Comma 2 2 7 2 2" xfId="506"/>
    <cellStyle name="Comma 2 2 7 2 2 2" xfId="1020"/>
    <cellStyle name="Comma 2 2 7 2 3" xfId="763"/>
    <cellStyle name="Comma 2 2 7 3" xfId="398"/>
    <cellStyle name="Comma 2 2 7 3 2" xfId="912"/>
    <cellStyle name="Comma 2 2 7 4" xfId="655"/>
    <cellStyle name="Comma 2 2 8" xfId="199"/>
    <cellStyle name="Comma 2 2 8 2" xfId="470"/>
    <cellStyle name="Comma 2 2 8 2 2" xfId="984"/>
    <cellStyle name="Comma 2 2 8 3" xfId="727"/>
    <cellStyle name="Comma 2 2 9" xfId="73"/>
    <cellStyle name="Comma 2 2 9 2" xfId="360"/>
    <cellStyle name="Comma 2 2 9 2 2" xfId="874"/>
    <cellStyle name="Comma 2 2 9 3" xfId="617"/>
    <cellStyle name="Comma 2 3" xfId="5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3" xfId="828"/>
    <cellStyle name="Comma 2 3 2 2 2 3" xfId="463"/>
    <cellStyle name="Comma 2 3 2 2 2 3 2" xfId="977"/>
    <cellStyle name="Comma 2 3 2 2 2 4" xfId="720"/>
    <cellStyle name="Comma 2 3 2 2 3" xfId="148"/>
    <cellStyle name="Comma 2 3 2 2 3 2" xfId="270"/>
    <cellStyle name="Comma 2 3 2 2 3 2 2" xfId="535"/>
    <cellStyle name="Comma 2 3 2 2 3 2 2 2" xfId="1049"/>
    <cellStyle name="Comma 2 3 2 2 3 2 3" xfId="792"/>
    <cellStyle name="Comma 2 3 2 2 3 3" xfId="427"/>
    <cellStyle name="Comma 2 3 2 2 3 3 2" xfId="941"/>
    <cellStyle name="Comma 2 3 2 2 3 4" xfId="684"/>
    <cellStyle name="Comma 2 3 2 2 4" xfId="231"/>
    <cellStyle name="Comma 2 3 2 2 4 2" xfId="499"/>
    <cellStyle name="Comma 2 3 2 2 4 2 2" xfId="1013"/>
    <cellStyle name="Comma 2 3 2 2 4 3" xfId="756"/>
    <cellStyle name="Comma 2 3 2 2 5" xfId="391"/>
    <cellStyle name="Comma 2 3 2 2 5 2" xfId="905"/>
    <cellStyle name="Comma 2 3 2 2 6" xfId="648"/>
    <cellStyle name="Comma 2 3 2 3" xfId="167"/>
    <cellStyle name="Comma 2 3 2 3 2" xfId="289"/>
    <cellStyle name="Comma 2 3 2 3 2 2" xfId="553"/>
    <cellStyle name="Comma 2 3 2 3 2 2 2" xfId="1067"/>
    <cellStyle name="Comma 2 3 2 3 2 3" xfId="810"/>
    <cellStyle name="Comma 2 3 2 3 3" xfId="445"/>
    <cellStyle name="Comma 2 3 2 3 3 2" xfId="959"/>
    <cellStyle name="Comma 2 3 2 3 4" xfId="702"/>
    <cellStyle name="Comma 2 3 2 4" xfId="129"/>
    <cellStyle name="Comma 2 3 2 4 2" xfId="251"/>
    <cellStyle name="Comma 2 3 2 4 2 2" xfId="517"/>
    <cellStyle name="Comma 2 3 2 4 2 2 2" xfId="1031"/>
    <cellStyle name="Comma 2 3 2 4 2 3" xfId="774"/>
    <cellStyle name="Comma 2 3 2 4 3" xfId="409"/>
    <cellStyle name="Comma 2 3 2 4 3 2" xfId="923"/>
    <cellStyle name="Comma 2 3 2 4 4" xfId="666"/>
    <cellStyle name="Comma 2 3 2 5" xfId="211"/>
    <cellStyle name="Comma 2 3 2 5 2" xfId="481"/>
    <cellStyle name="Comma 2 3 2 5 2 2" xfId="995"/>
    <cellStyle name="Comma 2 3 2 5 3" xfId="738"/>
    <cellStyle name="Comma 2 3 2 6" xfId="89"/>
    <cellStyle name="Comma 2 3 2 6 2" xfId="373"/>
    <cellStyle name="Comma 2 3 2 6 2 2" xfId="887"/>
    <cellStyle name="Comma 2 3 2 6 3" xfId="630"/>
    <cellStyle name="Comma 2 3 2 7" xfId="351"/>
    <cellStyle name="Comma 2 3 2 7 2" xfId="865"/>
    <cellStyle name="Comma 2 3 2 8" xfId="608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3" xfId="819"/>
    <cellStyle name="Comma 2 3 3 2 3" xfId="454"/>
    <cellStyle name="Comma 2 3 3 2 3 2" xfId="968"/>
    <cellStyle name="Comma 2 3 3 2 4" xfId="711"/>
    <cellStyle name="Comma 2 3 3 3" xfId="138"/>
    <cellStyle name="Comma 2 3 3 3 2" xfId="260"/>
    <cellStyle name="Comma 2 3 3 3 2 2" xfId="526"/>
    <cellStyle name="Comma 2 3 3 3 2 2 2" xfId="1040"/>
    <cellStyle name="Comma 2 3 3 3 2 3" xfId="783"/>
    <cellStyle name="Comma 2 3 3 3 3" xfId="418"/>
    <cellStyle name="Comma 2 3 3 3 3 2" xfId="932"/>
    <cellStyle name="Comma 2 3 3 3 4" xfId="675"/>
    <cellStyle name="Comma 2 3 3 4" xfId="221"/>
    <cellStyle name="Comma 2 3 3 4 2" xfId="490"/>
    <cellStyle name="Comma 2 3 3 4 2 2" xfId="1004"/>
    <cellStyle name="Comma 2 3 3 4 3" xfId="747"/>
    <cellStyle name="Comma 2 3 3 5" xfId="382"/>
    <cellStyle name="Comma 2 3 3 5 2" xfId="896"/>
    <cellStyle name="Comma 2 3 3 6" xfId="639"/>
    <cellStyle name="Comma 2 3 4" xfId="157"/>
    <cellStyle name="Comma 2 3 4 2" xfId="279"/>
    <cellStyle name="Comma 2 3 4 2 2" xfId="544"/>
    <cellStyle name="Comma 2 3 4 2 2 2" xfId="1058"/>
    <cellStyle name="Comma 2 3 4 2 3" xfId="801"/>
    <cellStyle name="Comma 2 3 4 3" xfId="436"/>
    <cellStyle name="Comma 2 3 4 3 2" xfId="950"/>
    <cellStyle name="Comma 2 3 4 4" xfId="693"/>
    <cellStyle name="Comma 2 3 5" xfId="119"/>
    <cellStyle name="Comma 2 3 5 2" xfId="241"/>
    <cellStyle name="Comma 2 3 5 2 2" xfId="508"/>
    <cellStyle name="Comma 2 3 5 2 2 2" xfId="1022"/>
    <cellStyle name="Comma 2 3 5 2 3" xfId="765"/>
    <cellStyle name="Comma 2 3 5 3" xfId="400"/>
    <cellStyle name="Comma 2 3 5 3 2" xfId="914"/>
    <cellStyle name="Comma 2 3 5 4" xfId="657"/>
    <cellStyle name="Comma 2 3 6" xfId="201"/>
    <cellStyle name="Comma 2 3 6 2" xfId="472"/>
    <cellStyle name="Comma 2 3 6 2 2" xfId="986"/>
    <cellStyle name="Comma 2 3 6 3" xfId="729"/>
    <cellStyle name="Comma 2 3 7" xfId="75"/>
    <cellStyle name="Comma 2 3 7 2" xfId="362"/>
    <cellStyle name="Comma 2 3 7 2 2" xfId="876"/>
    <cellStyle name="Comma 2 3 7 3" xfId="619"/>
    <cellStyle name="Comma 2 3 8" xfId="338"/>
    <cellStyle name="Comma 2 3 8 2" xfId="852"/>
    <cellStyle name="Comma 2 3 9" xfId="595"/>
    <cellStyle name="Comma 2 4" xfId="5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3" xfId="831"/>
    <cellStyle name="Comma 2 4 2 2 2 3" xfId="466"/>
    <cellStyle name="Comma 2 4 2 2 2 3 2" xfId="980"/>
    <cellStyle name="Comma 2 4 2 2 2 4" xfId="723"/>
    <cellStyle name="Comma 2 4 2 2 3" xfId="151"/>
    <cellStyle name="Comma 2 4 2 2 3 2" xfId="273"/>
    <cellStyle name="Comma 2 4 2 2 3 2 2" xfId="538"/>
    <cellStyle name="Comma 2 4 2 2 3 2 2 2" xfId="1052"/>
    <cellStyle name="Comma 2 4 2 2 3 2 3" xfId="795"/>
    <cellStyle name="Comma 2 4 2 2 3 3" xfId="430"/>
    <cellStyle name="Comma 2 4 2 2 3 3 2" xfId="944"/>
    <cellStyle name="Comma 2 4 2 2 3 4" xfId="687"/>
    <cellStyle name="Comma 2 4 2 2 4" xfId="234"/>
    <cellStyle name="Comma 2 4 2 2 4 2" xfId="502"/>
    <cellStyle name="Comma 2 4 2 2 4 2 2" xfId="1016"/>
    <cellStyle name="Comma 2 4 2 2 4 3" xfId="759"/>
    <cellStyle name="Comma 2 4 2 2 5" xfId="394"/>
    <cellStyle name="Comma 2 4 2 2 5 2" xfId="908"/>
    <cellStyle name="Comma 2 4 2 2 6" xfId="651"/>
    <cellStyle name="Comma 2 4 2 3" xfId="170"/>
    <cellStyle name="Comma 2 4 2 3 2" xfId="292"/>
    <cellStyle name="Comma 2 4 2 3 2 2" xfId="556"/>
    <cellStyle name="Comma 2 4 2 3 2 2 2" xfId="1070"/>
    <cellStyle name="Comma 2 4 2 3 2 3" xfId="813"/>
    <cellStyle name="Comma 2 4 2 3 3" xfId="448"/>
    <cellStyle name="Comma 2 4 2 3 3 2" xfId="962"/>
    <cellStyle name="Comma 2 4 2 3 4" xfId="705"/>
    <cellStyle name="Comma 2 4 2 4" xfId="132"/>
    <cellStyle name="Comma 2 4 2 4 2" xfId="254"/>
    <cellStyle name="Comma 2 4 2 4 2 2" xfId="520"/>
    <cellStyle name="Comma 2 4 2 4 2 2 2" xfId="1034"/>
    <cellStyle name="Comma 2 4 2 4 2 3" xfId="777"/>
    <cellStyle name="Comma 2 4 2 4 3" xfId="412"/>
    <cellStyle name="Comma 2 4 2 4 3 2" xfId="926"/>
    <cellStyle name="Comma 2 4 2 4 4" xfId="669"/>
    <cellStyle name="Comma 2 4 2 5" xfId="214"/>
    <cellStyle name="Comma 2 4 2 5 2" xfId="484"/>
    <cellStyle name="Comma 2 4 2 5 2 2" xfId="998"/>
    <cellStyle name="Comma 2 4 2 5 3" xfId="741"/>
    <cellStyle name="Comma 2 4 2 6" xfId="376"/>
    <cellStyle name="Comma 2 4 2 6 2" xfId="890"/>
    <cellStyle name="Comma 2 4 2 7" xfId="633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3" xfId="822"/>
    <cellStyle name="Comma 2 4 3 2 3" xfId="457"/>
    <cellStyle name="Comma 2 4 3 2 3 2" xfId="971"/>
    <cellStyle name="Comma 2 4 3 2 4" xfId="714"/>
    <cellStyle name="Comma 2 4 3 3" xfId="141"/>
    <cellStyle name="Comma 2 4 3 3 2" xfId="263"/>
    <cellStyle name="Comma 2 4 3 3 2 2" xfId="529"/>
    <cellStyle name="Comma 2 4 3 3 2 2 2" xfId="1043"/>
    <cellStyle name="Comma 2 4 3 3 2 3" xfId="786"/>
    <cellStyle name="Comma 2 4 3 3 3" xfId="421"/>
    <cellStyle name="Comma 2 4 3 3 3 2" xfId="935"/>
    <cellStyle name="Comma 2 4 3 3 4" xfId="678"/>
    <cellStyle name="Comma 2 4 3 4" xfId="224"/>
    <cellStyle name="Comma 2 4 3 4 2" xfId="493"/>
    <cellStyle name="Comma 2 4 3 4 2 2" xfId="1007"/>
    <cellStyle name="Comma 2 4 3 4 3" xfId="750"/>
    <cellStyle name="Comma 2 4 3 5" xfId="385"/>
    <cellStyle name="Comma 2 4 3 5 2" xfId="899"/>
    <cellStyle name="Comma 2 4 3 6" xfId="642"/>
    <cellStyle name="Comma 2 4 4" xfId="160"/>
    <cellStyle name="Comma 2 4 4 2" xfId="282"/>
    <cellStyle name="Comma 2 4 4 2 2" xfId="547"/>
    <cellStyle name="Comma 2 4 4 2 2 2" xfId="1061"/>
    <cellStyle name="Comma 2 4 4 2 3" xfId="804"/>
    <cellStyle name="Comma 2 4 4 3" xfId="439"/>
    <cellStyle name="Comma 2 4 4 3 2" xfId="953"/>
    <cellStyle name="Comma 2 4 4 4" xfId="696"/>
    <cellStyle name="Comma 2 4 5" xfId="122"/>
    <cellStyle name="Comma 2 4 5 2" xfId="244"/>
    <cellStyle name="Comma 2 4 5 2 2" xfId="511"/>
    <cellStyle name="Comma 2 4 5 2 2 2" xfId="1025"/>
    <cellStyle name="Comma 2 4 5 2 3" xfId="768"/>
    <cellStyle name="Comma 2 4 5 3" xfId="403"/>
    <cellStyle name="Comma 2 4 5 3 2" xfId="917"/>
    <cellStyle name="Comma 2 4 5 4" xfId="660"/>
    <cellStyle name="Comma 2 4 6" xfId="204"/>
    <cellStyle name="Comma 2 4 6 2" xfId="475"/>
    <cellStyle name="Comma 2 4 6 2 2" xfId="989"/>
    <cellStyle name="Comma 2 4 6 3" xfId="732"/>
    <cellStyle name="Comma 2 4 7" xfId="78"/>
    <cellStyle name="Comma 2 4 7 2" xfId="365"/>
    <cellStyle name="Comma 2 4 7 2 2" xfId="879"/>
    <cellStyle name="Comma 2 4 7 3" xfId="622"/>
    <cellStyle name="Comma 2 4 8" xfId="346"/>
    <cellStyle name="Comma 2 4 8 2" xfId="860"/>
    <cellStyle name="Comma 2 4 9" xfId="603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3" xfId="825"/>
    <cellStyle name="Comma 2 5 2 2 3" xfId="460"/>
    <cellStyle name="Comma 2 5 2 2 3 2" xfId="974"/>
    <cellStyle name="Comma 2 5 2 2 4" xfId="717"/>
    <cellStyle name="Comma 2 5 2 3" xfId="145"/>
    <cellStyle name="Comma 2 5 2 3 2" xfId="267"/>
    <cellStyle name="Comma 2 5 2 3 2 2" xfId="532"/>
    <cellStyle name="Comma 2 5 2 3 2 2 2" xfId="1046"/>
    <cellStyle name="Comma 2 5 2 3 2 3" xfId="789"/>
    <cellStyle name="Comma 2 5 2 3 3" xfId="424"/>
    <cellStyle name="Comma 2 5 2 3 3 2" xfId="938"/>
    <cellStyle name="Comma 2 5 2 3 4" xfId="681"/>
    <cellStyle name="Comma 2 5 2 4" xfId="228"/>
    <cellStyle name="Comma 2 5 2 4 2" xfId="496"/>
    <cellStyle name="Comma 2 5 2 4 2 2" xfId="1010"/>
    <cellStyle name="Comma 2 5 2 4 3" xfId="753"/>
    <cellStyle name="Comma 2 5 2 5" xfId="388"/>
    <cellStyle name="Comma 2 5 2 5 2" xfId="902"/>
    <cellStyle name="Comma 2 5 2 6" xfId="645"/>
    <cellStyle name="Comma 2 5 3" xfId="164"/>
    <cellStyle name="Comma 2 5 3 2" xfId="286"/>
    <cellStyle name="Comma 2 5 3 2 2" xfId="550"/>
    <cellStyle name="Comma 2 5 3 2 2 2" xfId="1064"/>
    <cellStyle name="Comma 2 5 3 2 3" xfId="807"/>
    <cellStyle name="Comma 2 5 3 3" xfId="442"/>
    <cellStyle name="Comma 2 5 3 3 2" xfId="956"/>
    <cellStyle name="Comma 2 5 3 4" xfId="699"/>
    <cellStyle name="Comma 2 5 4" xfId="126"/>
    <cellStyle name="Comma 2 5 4 2" xfId="248"/>
    <cellStyle name="Comma 2 5 4 2 2" xfId="514"/>
    <cellStyle name="Comma 2 5 4 2 2 2" xfId="1028"/>
    <cellStyle name="Comma 2 5 4 2 3" xfId="771"/>
    <cellStyle name="Comma 2 5 4 3" xfId="406"/>
    <cellStyle name="Comma 2 5 4 3 2" xfId="920"/>
    <cellStyle name="Comma 2 5 4 4" xfId="663"/>
    <cellStyle name="Comma 2 5 5" xfId="208"/>
    <cellStyle name="Comma 2 5 5 2" xfId="478"/>
    <cellStyle name="Comma 2 5 5 2 2" xfId="992"/>
    <cellStyle name="Comma 2 5 5 3" xfId="735"/>
    <cellStyle name="Comma 2 5 6" xfId="370"/>
    <cellStyle name="Comma 2 5 6 2" xfId="884"/>
    <cellStyle name="Comma 2 5 7" xfId="627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3" xfId="816"/>
    <cellStyle name="Comma 2 6 2 3" xfId="451"/>
    <cellStyle name="Comma 2 6 2 3 2" xfId="965"/>
    <cellStyle name="Comma 2 6 2 4" xfId="708"/>
    <cellStyle name="Comma 2 6 3" xfId="135"/>
    <cellStyle name="Comma 2 6 3 2" xfId="257"/>
    <cellStyle name="Comma 2 6 3 2 2" xfId="523"/>
    <cellStyle name="Comma 2 6 3 2 2 2" xfId="1037"/>
    <cellStyle name="Comma 2 6 3 2 3" xfId="780"/>
    <cellStyle name="Comma 2 6 3 3" xfId="415"/>
    <cellStyle name="Comma 2 6 3 3 2" xfId="929"/>
    <cellStyle name="Comma 2 6 3 4" xfId="672"/>
    <cellStyle name="Comma 2 6 4" xfId="218"/>
    <cellStyle name="Comma 2 6 4 2" xfId="487"/>
    <cellStyle name="Comma 2 6 4 2 2" xfId="1001"/>
    <cellStyle name="Comma 2 6 4 3" xfId="744"/>
    <cellStyle name="Comma 2 6 5" xfId="379"/>
    <cellStyle name="Comma 2 6 5 2" xfId="893"/>
    <cellStyle name="Comma 2 6 6" xfId="636"/>
    <cellStyle name="Comma 2 7" xfId="154"/>
    <cellStyle name="Comma 2 7 2" xfId="276"/>
    <cellStyle name="Comma 2 7 2 2" xfId="541"/>
    <cellStyle name="Comma 2 7 2 2 2" xfId="1055"/>
    <cellStyle name="Comma 2 7 2 3" xfId="798"/>
    <cellStyle name="Comma 2 7 3" xfId="433"/>
    <cellStyle name="Comma 2 7 3 2" xfId="947"/>
    <cellStyle name="Comma 2 7 4" xfId="690"/>
    <cellStyle name="Comma 2 8" xfId="116"/>
    <cellStyle name="Comma 2 8 2" xfId="238"/>
    <cellStyle name="Comma 2 8 2 2" xfId="505"/>
    <cellStyle name="Comma 2 8 2 2 2" xfId="1019"/>
    <cellStyle name="Comma 2 8 2 3" xfId="762"/>
    <cellStyle name="Comma 2 8 3" xfId="397"/>
    <cellStyle name="Comma 2 8 3 2" xfId="911"/>
    <cellStyle name="Comma 2 8 4" xfId="654"/>
    <cellStyle name="Comma 2 9" xfId="198"/>
    <cellStyle name="Comma 2 9 2" xfId="469"/>
    <cellStyle name="Comma 2 9 2 2" xfId="983"/>
    <cellStyle name="Comma 2 9 3" xfId="72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3" xfId="827"/>
    <cellStyle name="Comma 3 2 2 2 3" xfId="462"/>
    <cellStyle name="Comma 3 2 2 2 3 2" xfId="976"/>
    <cellStyle name="Comma 3 2 2 2 4" xfId="719"/>
    <cellStyle name="Comma 3 2 2 3" xfId="147"/>
    <cellStyle name="Comma 3 2 2 3 2" xfId="269"/>
    <cellStyle name="Comma 3 2 2 3 2 2" xfId="534"/>
    <cellStyle name="Comma 3 2 2 3 2 2 2" xfId="1048"/>
    <cellStyle name="Comma 3 2 2 3 2 3" xfId="791"/>
    <cellStyle name="Comma 3 2 2 3 3" xfId="426"/>
    <cellStyle name="Comma 3 2 2 3 3 2" xfId="940"/>
    <cellStyle name="Comma 3 2 2 3 4" xfId="683"/>
    <cellStyle name="Comma 3 2 2 4" xfId="230"/>
    <cellStyle name="Comma 3 2 2 4 2" xfId="498"/>
    <cellStyle name="Comma 3 2 2 4 2 2" xfId="1012"/>
    <cellStyle name="Comma 3 2 2 4 3" xfId="755"/>
    <cellStyle name="Comma 3 2 2 5" xfId="390"/>
    <cellStyle name="Comma 3 2 2 5 2" xfId="904"/>
    <cellStyle name="Comma 3 2 2 6" xfId="647"/>
    <cellStyle name="Comma 3 2 3" xfId="166"/>
    <cellStyle name="Comma 3 2 3 2" xfId="288"/>
    <cellStyle name="Comma 3 2 3 2 2" xfId="552"/>
    <cellStyle name="Comma 3 2 3 2 2 2" xfId="1066"/>
    <cellStyle name="Comma 3 2 3 2 3" xfId="809"/>
    <cellStyle name="Comma 3 2 3 3" xfId="444"/>
    <cellStyle name="Comma 3 2 3 3 2" xfId="958"/>
    <cellStyle name="Comma 3 2 3 4" xfId="701"/>
    <cellStyle name="Comma 3 2 4" xfId="128"/>
    <cellStyle name="Comma 3 2 4 2" xfId="250"/>
    <cellStyle name="Comma 3 2 4 2 2" xfId="516"/>
    <cellStyle name="Comma 3 2 4 2 2 2" xfId="1030"/>
    <cellStyle name="Comma 3 2 4 2 3" xfId="773"/>
    <cellStyle name="Comma 3 2 4 3" xfId="408"/>
    <cellStyle name="Comma 3 2 4 3 2" xfId="922"/>
    <cellStyle name="Comma 3 2 4 4" xfId="665"/>
    <cellStyle name="Comma 3 2 5" xfId="210"/>
    <cellStyle name="Comma 3 2 5 2" xfId="480"/>
    <cellStyle name="Comma 3 2 5 2 2" xfId="994"/>
    <cellStyle name="Comma 3 2 5 3" xfId="737"/>
    <cellStyle name="Comma 3 2 6" xfId="372"/>
    <cellStyle name="Comma 3 2 6 2" xfId="886"/>
    <cellStyle name="Comma 3 2 7" xfId="629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3" xfId="818"/>
    <cellStyle name="Comma 3 3 2 3" xfId="453"/>
    <cellStyle name="Comma 3 3 2 3 2" xfId="967"/>
    <cellStyle name="Comma 3 3 2 4" xfId="710"/>
    <cellStyle name="Comma 3 3 3" xfId="137"/>
    <cellStyle name="Comma 3 3 3 2" xfId="259"/>
    <cellStyle name="Comma 3 3 3 2 2" xfId="525"/>
    <cellStyle name="Comma 3 3 3 2 2 2" xfId="1039"/>
    <cellStyle name="Comma 3 3 3 2 3" xfId="782"/>
    <cellStyle name="Comma 3 3 3 3" xfId="417"/>
    <cellStyle name="Comma 3 3 3 3 2" xfId="931"/>
    <cellStyle name="Comma 3 3 3 4" xfId="674"/>
    <cellStyle name="Comma 3 3 4" xfId="220"/>
    <cellStyle name="Comma 3 3 4 2" xfId="489"/>
    <cellStyle name="Comma 3 3 4 2 2" xfId="1003"/>
    <cellStyle name="Comma 3 3 4 3" xfId="746"/>
    <cellStyle name="Comma 3 3 5" xfId="381"/>
    <cellStyle name="Comma 3 3 5 2" xfId="895"/>
    <cellStyle name="Comma 3 3 6" xfId="638"/>
    <cellStyle name="Comma 3 4" xfId="156"/>
    <cellStyle name="Comma 3 4 2" xfId="278"/>
    <cellStyle name="Comma 3 4 2 2" xfId="543"/>
    <cellStyle name="Comma 3 4 2 2 2" xfId="1057"/>
    <cellStyle name="Comma 3 4 2 3" xfId="800"/>
    <cellStyle name="Comma 3 4 3" xfId="435"/>
    <cellStyle name="Comma 3 4 3 2" xfId="949"/>
    <cellStyle name="Comma 3 4 4" xfId="692"/>
    <cellStyle name="Comma 3 5" xfId="118"/>
    <cellStyle name="Comma 3 5 2" xfId="240"/>
    <cellStyle name="Comma 3 5 2 2" xfId="507"/>
    <cellStyle name="Comma 3 5 2 2 2" xfId="1021"/>
    <cellStyle name="Comma 3 5 2 3" xfId="764"/>
    <cellStyle name="Comma 3 5 3" xfId="399"/>
    <cellStyle name="Comma 3 5 3 2" xfId="913"/>
    <cellStyle name="Comma 3 5 4" xfId="656"/>
    <cellStyle name="Comma 3 6" xfId="200"/>
    <cellStyle name="Comma 3 6 2" xfId="471"/>
    <cellStyle name="Comma 3 6 2 2" xfId="985"/>
    <cellStyle name="Comma 3 6 3" xfId="728"/>
    <cellStyle name="Comma 3 7" xfId="74"/>
    <cellStyle name="Comma 3 7 2" xfId="361"/>
    <cellStyle name="Comma 3 7 2 2" xfId="875"/>
    <cellStyle name="Comma 3 7 3" xfId="618"/>
    <cellStyle name="Comma 4" xfId="5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3" xfId="830"/>
    <cellStyle name="Comma 4 2 2 2 3" xfId="465"/>
    <cellStyle name="Comma 4 2 2 2 3 2" xfId="979"/>
    <cellStyle name="Comma 4 2 2 2 4" xfId="722"/>
    <cellStyle name="Comma 4 2 2 3" xfId="150"/>
    <cellStyle name="Comma 4 2 2 3 2" xfId="272"/>
    <cellStyle name="Comma 4 2 2 3 2 2" xfId="537"/>
    <cellStyle name="Comma 4 2 2 3 2 2 2" xfId="1051"/>
    <cellStyle name="Comma 4 2 2 3 2 3" xfId="794"/>
    <cellStyle name="Comma 4 2 2 3 3" xfId="429"/>
    <cellStyle name="Comma 4 2 2 3 3 2" xfId="943"/>
    <cellStyle name="Comma 4 2 2 3 4" xfId="686"/>
    <cellStyle name="Comma 4 2 2 4" xfId="233"/>
    <cellStyle name="Comma 4 2 2 4 2" xfId="501"/>
    <cellStyle name="Comma 4 2 2 4 2 2" xfId="1015"/>
    <cellStyle name="Comma 4 2 2 4 3" xfId="758"/>
    <cellStyle name="Comma 4 2 2 5" xfId="393"/>
    <cellStyle name="Comma 4 2 2 5 2" xfId="907"/>
    <cellStyle name="Comma 4 2 2 6" xfId="650"/>
    <cellStyle name="Comma 4 2 3" xfId="169"/>
    <cellStyle name="Comma 4 2 3 2" xfId="291"/>
    <cellStyle name="Comma 4 2 3 2 2" xfId="555"/>
    <cellStyle name="Comma 4 2 3 2 2 2" xfId="1069"/>
    <cellStyle name="Comma 4 2 3 2 3" xfId="812"/>
    <cellStyle name="Comma 4 2 3 3" xfId="447"/>
    <cellStyle name="Comma 4 2 3 3 2" xfId="961"/>
    <cellStyle name="Comma 4 2 3 4" xfId="704"/>
    <cellStyle name="Comma 4 2 4" xfId="131"/>
    <cellStyle name="Comma 4 2 4 2" xfId="253"/>
    <cellStyle name="Comma 4 2 4 2 2" xfId="519"/>
    <cellStyle name="Comma 4 2 4 2 2 2" xfId="1033"/>
    <cellStyle name="Comma 4 2 4 2 3" xfId="776"/>
    <cellStyle name="Comma 4 2 4 3" xfId="411"/>
    <cellStyle name="Comma 4 2 4 3 2" xfId="925"/>
    <cellStyle name="Comma 4 2 4 4" xfId="668"/>
    <cellStyle name="Comma 4 2 5" xfId="213"/>
    <cellStyle name="Comma 4 2 5 2" xfId="483"/>
    <cellStyle name="Comma 4 2 5 2 2" xfId="997"/>
    <cellStyle name="Comma 4 2 5 3" xfId="740"/>
    <cellStyle name="Comma 4 2 6" xfId="375"/>
    <cellStyle name="Comma 4 2 6 2" xfId="889"/>
    <cellStyle name="Comma 4 2 7" xfId="632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3" xfId="821"/>
    <cellStyle name="Comma 4 3 2 3" xfId="456"/>
    <cellStyle name="Comma 4 3 2 3 2" xfId="970"/>
    <cellStyle name="Comma 4 3 2 4" xfId="713"/>
    <cellStyle name="Comma 4 3 3" xfId="140"/>
    <cellStyle name="Comma 4 3 3 2" xfId="262"/>
    <cellStyle name="Comma 4 3 3 2 2" xfId="528"/>
    <cellStyle name="Comma 4 3 3 2 2 2" xfId="1042"/>
    <cellStyle name="Comma 4 3 3 2 3" xfId="785"/>
    <cellStyle name="Comma 4 3 3 3" xfId="420"/>
    <cellStyle name="Comma 4 3 3 3 2" xfId="934"/>
    <cellStyle name="Comma 4 3 3 4" xfId="677"/>
    <cellStyle name="Comma 4 3 4" xfId="223"/>
    <cellStyle name="Comma 4 3 4 2" xfId="492"/>
    <cellStyle name="Comma 4 3 4 2 2" xfId="1006"/>
    <cellStyle name="Comma 4 3 4 3" xfId="749"/>
    <cellStyle name="Comma 4 3 5" xfId="384"/>
    <cellStyle name="Comma 4 3 5 2" xfId="898"/>
    <cellStyle name="Comma 4 3 6" xfId="641"/>
    <cellStyle name="Comma 4 4" xfId="159"/>
    <cellStyle name="Comma 4 4 2" xfId="281"/>
    <cellStyle name="Comma 4 4 2 2" xfId="546"/>
    <cellStyle name="Comma 4 4 2 2 2" xfId="1060"/>
    <cellStyle name="Comma 4 4 2 3" xfId="803"/>
    <cellStyle name="Comma 4 4 3" xfId="438"/>
    <cellStyle name="Comma 4 4 3 2" xfId="952"/>
    <cellStyle name="Comma 4 4 4" xfId="695"/>
    <cellStyle name="Comma 4 5" xfId="121"/>
    <cellStyle name="Comma 4 5 2" xfId="243"/>
    <cellStyle name="Comma 4 5 2 2" xfId="510"/>
    <cellStyle name="Comma 4 5 2 2 2" xfId="1024"/>
    <cellStyle name="Comma 4 5 2 3" xfId="767"/>
    <cellStyle name="Comma 4 5 3" xfId="402"/>
    <cellStyle name="Comma 4 5 3 2" xfId="916"/>
    <cellStyle name="Comma 4 5 4" xfId="659"/>
    <cellStyle name="Comma 4 6" xfId="203"/>
    <cellStyle name="Comma 4 6 2" xfId="474"/>
    <cellStyle name="Comma 4 6 2 2" xfId="988"/>
    <cellStyle name="Comma 4 6 3" xfId="731"/>
    <cellStyle name="Comma 4 7" xfId="77"/>
    <cellStyle name="Comma 4 7 2" xfId="364"/>
    <cellStyle name="Comma 4 7 2 2" xfId="878"/>
    <cellStyle name="Comma 4 7 3" xfId="621"/>
    <cellStyle name="Comma 4 8" xfId="344"/>
    <cellStyle name="Comma 4 8 2" xfId="858"/>
    <cellStyle name="Comma 4 9" xfId="601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3" xfId="824"/>
    <cellStyle name="Comma 5 2 2 3" xfId="459"/>
    <cellStyle name="Comma 5 2 2 3 2" xfId="973"/>
    <cellStyle name="Comma 5 2 2 4" xfId="716"/>
    <cellStyle name="Comma 5 2 3" xfId="144"/>
    <cellStyle name="Comma 5 2 3 2" xfId="266"/>
    <cellStyle name="Comma 5 2 3 2 2" xfId="531"/>
    <cellStyle name="Comma 5 2 3 2 2 2" xfId="1045"/>
    <cellStyle name="Comma 5 2 3 2 3" xfId="788"/>
    <cellStyle name="Comma 5 2 3 3" xfId="423"/>
    <cellStyle name="Comma 5 2 3 3 2" xfId="937"/>
    <cellStyle name="Comma 5 2 3 4" xfId="680"/>
    <cellStyle name="Comma 5 2 4" xfId="227"/>
    <cellStyle name="Comma 5 2 4 2" xfId="495"/>
    <cellStyle name="Comma 5 2 4 2 2" xfId="1009"/>
    <cellStyle name="Comma 5 2 4 3" xfId="752"/>
    <cellStyle name="Comma 5 2 5" xfId="387"/>
    <cellStyle name="Comma 5 2 5 2" xfId="901"/>
    <cellStyle name="Comma 5 2 6" xfId="644"/>
    <cellStyle name="Comma 5 3" xfId="163"/>
    <cellStyle name="Comma 5 3 2" xfId="285"/>
    <cellStyle name="Comma 5 3 2 2" xfId="549"/>
    <cellStyle name="Comma 5 3 2 2 2" xfId="1063"/>
    <cellStyle name="Comma 5 3 2 3" xfId="806"/>
    <cellStyle name="Comma 5 3 3" xfId="441"/>
    <cellStyle name="Comma 5 3 3 2" xfId="955"/>
    <cellStyle name="Comma 5 3 4" xfId="698"/>
    <cellStyle name="Comma 5 4" xfId="125"/>
    <cellStyle name="Comma 5 4 2" xfId="247"/>
    <cellStyle name="Comma 5 4 2 2" xfId="513"/>
    <cellStyle name="Comma 5 4 2 2 2" xfId="1027"/>
    <cellStyle name="Comma 5 4 2 3" xfId="770"/>
    <cellStyle name="Comma 5 4 3" xfId="405"/>
    <cellStyle name="Comma 5 4 3 2" xfId="919"/>
    <cellStyle name="Comma 5 4 4" xfId="662"/>
    <cellStyle name="Comma 5 5" xfId="207"/>
    <cellStyle name="Comma 5 5 2" xfId="477"/>
    <cellStyle name="Comma 5 5 2 2" xfId="991"/>
    <cellStyle name="Comma 5 5 3" xfId="734"/>
    <cellStyle name="Comma 5 6" xfId="368"/>
    <cellStyle name="Comma 5 6 2" xfId="882"/>
    <cellStyle name="Comma 5 7" xfId="625"/>
    <cellStyle name="Comma 6" xfId="81"/>
    <cellStyle name="Comma 6 2" xfId="104"/>
    <cellStyle name="Comma 6 2 2" xfId="182"/>
    <cellStyle name="Comma 6 2 2 2" xfId="304"/>
    <cellStyle name="Comma 6 2 3" xfId="143"/>
    <cellStyle name="Comma 6 2 3 2" xfId="265"/>
    <cellStyle name="Comma 6 2 4" xfId="226"/>
    <cellStyle name="Comma 6 3" xfId="162"/>
    <cellStyle name="Comma 6 3 2" xfId="284"/>
    <cellStyle name="Comma 6 4" xfId="124"/>
    <cellStyle name="Comma 6 4 2" xfId="246"/>
    <cellStyle name="Comma 6 5" xfId="206"/>
    <cellStyle name="Comma 7" xfId="95"/>
    <cellStyle name="Comma 7 2" xfId="173"/>
    <cellStyle name="Comma 7 2 2" xfId="295"/>
    <cellStyle name="Comma 7 2 2 2" xfId="558"/>
    <cellStyle name="Comma 7 2 2 2 2" xfId="1072"/>
    <cellStyle name="Comma 7 2 2 3" xfId="815"/>
    <cellStyle name="Comma 7 2 3" xfId="450"/>
    <cellStyle name="Comma 7 2 3 2" xfId="964"/>
    <cellStyle name="Comma 7 2 4" xfId="707"/>
    <cellStyle name="Comma 7 3" xfId="134"/>
    <cellStyle name="Comma 7 3 2" xfId="256"/>
    <cellStyle name="Comma 7 3 2 2" xfId="522"/>
    <cellStyle name="Comma 7 3 2 2 2" xfId="1036"/>
    <cellStyle name="Comma 7 3 2 3" xfId="779"/>
    <cellStyle name="Comma 7 3 3" xfId="414"/>
    <cellStyle name="Comma 7 3 3 2" xfId="928"/>
    <cellStyle name="Comma 7 3 4" xfId="671"/>
    <cellStyle name="Comma 7 4" xfId="217"/>
    <cellStyle name="Comma 7 4 2" xfId="486"/>
    <cellStyle name="Comma 7 4 2 2" xfId="1000"/>
    <cellStyle name="Comma 7 4 3" xfId="743"/>
    <cellStyle name="Comma 7 5" xfId="378"/>
    <cellStyle name="Comma 7 5 2" xfId="892"/>
    <cellStyle name="Comma 7 6" xfId="635"/>
    <cellStyle name="Comma 8" xfId="153"/>
    <cellStyle name="Comma 8 2" xfId="275"/>
    <cellStyle name="Comma 8 2 2" xfId="540"/>
    <cellStyle name="Comma 8 2 2 2" xfId="1054"/>
    <cellStyle name="Comma 8 2 3" xfId="797"/>
    <cellStyle name="Comma 8 3" xfId="432"/>
    <cellStyle name="Comma 8 3 2" xfId="946"/>
    <cellStyle name="Comma 8 4" xfId="689"/>
    <cellStyle name="Comma 9" xfId="115"/>
    <cellStyle name="Comma 9 2" xfId="237"/>
    <cellStyle name="Comma 9 2 2" xfId="504"/>
    <cellStyle name="Comma 9 2 2 2" xfId="1018"/>
    <cellStyle name="Comma 9 2 3" xfId="761"/>
    <cellStyle name="Comma 9 3" xfId="396"/>
    <cellStyle name="Comma 9 3 2" xfId="910"/>
    <cellStyle name="Comma 9 4" xfId="65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3" xfId="843"/>
    <cellStyle name="Normal 2 2 2 2 3" xfId="352"/>
    <cellStyle name="Normal 2 2 2 2 3 2" xfId="866"/>
    <cellStyle name="Normal 2 2 2 2 4" xfId="609"/>
    <cellStyle name="Normal 2 2 2 3" xfId="321"/>
    <cellStyle name="Normal 2 2 2 3 2" xfId="578"/>
    <cellStyle name="Normal 2 2 2 3 2 2" xfId="1092"/>
    <cellStyle name="Normal 2 2 2 3 3" xfId="835"/>
    <cellStyle name="Normal 2 2 2 4" xfId="339"/>
    <cellStyle name="Normal 2 2 2 4 2" xfId="853"/>
    <cellStyle name="Normal 2 2 2 5" xfId="596"/>
    <cellStyle name="Normal 2 2 3" xfId="60"/>
    <cellStyle name="Normal 2 2 3 2" xfId="326"/>
    <cellStyle name="Normal 2 2 3 2 2" xfId="583"/>
    <cellStyle name="Normal 2 2 3 2 2 2" xfId="1097"/>
    <cellStyle name="Normal 2 2 3 2 3" xfId="840"/>
    <cellStyle name="Normal 2 2 3 3" xfId="347"/>
    <cellStyle name="Normal 2 2 3 3 2" xfId="861"/>
    <cellStyle name="Normal 2 2 3 4" xfId="604"/>
    <cellStyle name="Normal 2 2 4" xfId="83"/>
    <cellStyle name="Normal 2 2 4 2" xfId="367"/>
    <cellStyle name="Normal 2 2 4 2 2" xfId="881"/>
    <cellStyle name="Normal 2 2 4 3" xfId="624"/>
    <cellStyle name="Normal 2 2 5" xfId="334"/>
    <cellStyle name="Normal 2 2 5 2" xfId="848"/>
    <cellStyle name="Normal 2 2 6" xfId="59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3" xfId="842"/>
    <cellStyle name="Normal 2 3 2 3" xfId="350"/>
    <cellStyle name="Normal 2 3 2 3 2" xfId="864"/>
    <cellStyle name="Normal 2 3 2 4" xfId="607"/>
    <cellStyle name="Normal 2 3 3" xfId="320"/>
    <cellStyle name="Normal 2 3 3 2" xfId="577"/>
    <cellStyle name="Normal 2 3 3 2 2" xfId="1091"/>
    <cellStyle name="Normal 2 3 3 3" xfId="834"/>
    <cellStyle name="Normal 2 3 4" xfId="337"/>
    <cellStyle name="Normal 2 3 4 2" xfId="851"/>
    <cellStyle name="Normal 2 3 5" xfId="594"/>
    <cellStyle name="Normal 2 4" xfId="58"/>
    <cellStyle name="Normal 2 4 2" xfId="325"/>
    <cellStyle name="Normal 2 4 2 2" xfId="582"/>
    <cellStyle name="Normal 2 4 2 2 2" xfId="1096"/>
    <cellStyle name="Normal 2 4 2 3" xfId="839"/>
    <cellStyle name="Normal 2 4 3" xfId="345"/>
    <cellStyle name="Normal 2 4 3 2" xfId="859"/>
    <cellStyle name="Normal 2 4 4" xfId="602"/>
    <cellStyle name="Normal 2 5" xfId="80"/>
    <cellStyle name="Normal 2 6" xfId="332"/>
    <cellStyle name="Normal 2 6 2" xfId="846"/>
    <cellStyle name="Normal 2 7" xfId="589"/>
    <cellStyle name="Normal 3" xfId="4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3" xfId="844"/>
    <cellStyle name="Normal 3 2 2 6" xfId="354"/>
    <cellStyle name="Normal 3 2 2 6 2" xfId="868"/>
    <cellStyle name="Normal 3 2 2 7" xfId="61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3" xfId="836"/>
    <cellStyle name="Normal 3 2 7" xfId="341"/>
    <cellStyle name="Normal 3 2 7 2" xfId="855"/>
    <cellStyle name="Normal 3 2 8" xfId="598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3" xfId="841"/>
    <cellStyle name="Normal 3 3 6" xfId="349"/>
    <cellStyle name="Normal 3 3 6 2" xfId="863"/>
    <cellStyle name="Normal 3 3 7" xfId="60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3" xfId="833"/>
    <cellStyle name="Normal 3 8" xfId="336"/>
    <cellStyle name="Normal 3 8 2" xfId="850"/>
    <cellStyle name="Normal 3 9" xfId="593"/>
    <cellStyle name="Normal 4" xfId="55"/>
    <cellStyle name="Normal 4 2" xfId="68"/>
    <cellStyle name="Normal 4 2 2" xfId="331"/>
    <cellStyle name="Normal 4 2 2 2" xfId="588"/>
    <cellStyle name="Normal 4 2 2 2 2" xfId="1102"/>
    <cellStyle name="Normal 4 2 2 3" xfId="845"/>
    <cellStyle name="Normal 4 2 3" xfId="355"/>
    <cellStyle name="Normal 4 2 3 2" xfId="869"/>
    <cellStyle name="Normal 4 2 4" xfId="612"/>
    <cellStyle name="Normal 4 3" xfId="323"/>
    <cellStyle name="Normal 4 3 2" xfId="580"/>
    <cellStyle name="Normal 4 3 2 2" xfId="1094"/>
    <cellStyle name="Normal 4 3 3" xfId="837"/>
    <cellStyle name="Normal 4 4" xfId="342"/>
    <cellStyle name="Normal 4 4 2" xfId="856"/>
    <cellStyle name="Normal 4 5" xfId="599"/>
    <cellStyle name="Normal 5" xfId="56"/>
    <cellStyle name="Normal 5 2" xfId="324"/>
    <cellStyle name="Normal 5 2 2" xfId="581"/>
    <cellStyle name="Normal 5 2 2 2" xfId="1095"/>
    <cellStyle name="Normal 5 2 3" xfId="838"/>
    <cellStyle name="Normal 5 3" xfId="343"/>
    <cellStyle name="Normal 5 3 2" xfId="857"/>
    <cellStyle name="Normal 5 4" xfId="600"/>
    <cellStyle name="Normal 6" xfId="69"/>
    <cellStyle name="Normal 6 2" xfId="356"/>
    <cellStyle name="Normal 6 2 2" xfId="870"/>
    <cellStyle name="Normal 6 3" xfId="61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3" xfId="626"/>
    <cellStyle name="Percent 3" xfId="82"/>
    <cellStyle name="Percent 4" xfId="71"/>
    <cellStyle name="Percent 4 2" xfId="358"/>
    <cellStyle name="Percent 4 2 2" xfId="872"/>
    <cellStyle name="Percent 4 3" xfId="61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N8" sqref="N8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42825</v>
      </c>
    </row>
    <row r="7" spans="1:12" x14ac:dyDescent="0.2">
      <c r="A7" s="107" t="str">
        <f>"Market Profile - "&amp; TEXT($H$3,"MMM")&amp;" "&amp;TEXT($H$3,"YYYY")</f>
        <v>Market Profile - Mar 2017</v>
      </c>
    </row>
    <row r="8" spans="1:12" x14ac:dyDescent="0.2">
      <c r="A8" s="107"/>
      <c r="G8" s="371" t="s">
        <v>199</v>
      </c>
      <c r="H8" s="371"/>
      <c r="I8" s="371"/>
    </row>
    <row r="9" spans="1:12" x14ac:dyDescent="0.2">
      <c r="A9" s="107"/>
      <c r="G9" s="371"/>
      <c r="H9" s="371"/>
      <c r="I9" s="371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7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7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8"/>
      <c r="B15" s="282" t="str">
        <f>TEXT($H$3,"MMM")&amp;" "&amp;TEXT($H$3,"YYYY")</f>
        <v>Mar 2017</v>
      </c>
      <c r="C15" s="282" t="str">
        <f>TEXT($H$3,"YYYY")</f>
        <v>2017</v>
      </c>
      <c r="D15" s="283">
        <f>TEXT($H$3,"YYYY")-1</f>
        <v>2016</v>
      </c>
      <c r="E15" s="284" t="s">
        <v>6</v>
      </c>
      <c r="F15" s="285">
        <f>TEXT($H$3,"YYYY")-1</f>
        <v>2016</v>
      </c>
      <c r="G15" s="285">
        <f>TEXT($H$3,"YYYY")-2</f>
        <v>2015</v>
      </c>
      <c r="H15" s="285">
        <f>TEXT($H$3,"YYYY")-3</f>
        <v>2014</v>
      </c>
      <c r="I15" s="285">
        <f>TEXT($H$3,"YYYY")-4</f>
        <v>2013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6663609</v>
      </c>
      <c r="C16" s="127">
        <f>Data!D5</f>
        <v>18041944</v>
      </c>
      <c r="D16" s="249">
        <f>Data!D8</f>
        <v>17493279</v>
      </c>
      <c r="E16" s="286">
        <f>(C16-D16)/ABS(D16)</f>
        <v>3.1364331409794582E-2</v>
      </c>
      <c r="F16" s="361">
        <v>71179762</v>
      </c>
      <c r="G16" s="361">
        <v>61894253</v>
      </c>
      <c r="H16" s="361">
        <v>46298171</v>
      </c>
      <c r="I16" s="361">
        <v>38964070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7764.423667</v>
      </c>
      <c r="C17" s="127">
        <f>Data!B5/1000000</f>
        <v>20139.949129000001</v>
      </c>
      <c r="D17" s="249">
        <f>Data!B8/1000000</f>
        <v>21448.241672</v>
      </c>
      <c r="E17" s="286">
        <f t="shared" ref="E17:E18" si="0">(C17-D17)/ABS(D17)</f>
        <v>-6.0997659528796433E-2</v>
      </c>
      <c r="F17" s="361">
        <v>79501</v>
      </c>
      <c r="G17" s="361">
        <v>74406</v>
      </c>
      <c r="H17" s="361">
        <v>61735</v>
      </c>
      <c r="I17" s="361">
        <v>63892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491609.20111734263</v>
      </c>
      <c r="C18" s="127">
        <f>Data!C5/1000000</f>
        <v>1280657.646356856</v>
      </c>
      <c r="D18" s="249">
        <f>Data!C8/1000000</f>
        <v>1530698.2073809076</v>
      </c>
      <c r="E18" s="286">
        <f t="shared" si="0"/>
        <v>-0.16335065907725999</v>
      </c>
      <c r="F18" s="361">
        <v>5892768</v>
      </c>
      <c r="G18" s="361">
        <v>5015419</v>
      </c>
      <c r="H18" s="361">
        <v>4050044</v>
      </c>
      <c r="I18" s="361">
        <v>3981618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1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1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3011</v>
      </c>
      <c r="C21" s="127">
        <f>Data!F5</f>
        <v>8110</v>
      </c>
      <c r="D21" s="249">
        <f>Data!F8</f>
        <v>9348</v>
      </c>
      <c r="E21" s="286">
        <f>(C21-D21)/ABS(D21)</f>
        <v>-0.13243474540008557</v>
      </c>
      <c r="F21" s="361">
        <v>38735</v>
      </c>
      <c r="G21" s="361">
        <v>30897</v>
      </c>
      <c r="H21" s="361">
        <v>30062</v>
      </c>
      <c r="I21" s="361">
        <v>103715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476.975955</v>
      </c>
      <c r="C22" s="127">
        <f>Data!G5/1000000</f>
        <v>1809.416573</v>
      </c>
      <c r="D22" s="249">
        <f>Data!G8/1000000</f>
        <v>1445.088424</v>
      </c>
      <c r="E22" s="286">
        <f t="shared" ref="E22:E23" si="1">(C22-D22)/ABS(D22)</f>
        <v>0.25211477924066461</v>
      </c>
      <c r="F22" s="361">
        <v>6935</v>
      </c>
      <c r="G22" s="361">
        <v>7273</v>
      </c>
      <c r="H22" s="361">
        <v>6833</v>
      </c>
      <c r="I22" s="361">
        <v>10908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23889.444305412664</v>
      </c>
      <c r="C23" s="128">
        <f>Data!H5/1000000</f>
        <v>71935.413473451015</v>
      </c>
      <c r="D23" s="290">
        <f>Data!H8/1000000</f>
        <v>93684.399656497873</v>
      </c>
      <c r="E23" s="291">
        <f t="shared" si="1"/>
        <v>-0.23215163103773345</v>
      </c>
      <c r="F23" s="292">
        <v>379199</v>
      </c>
      <c r="G23" s="292">
        <v>336258</v>
      </c>
      <c r="H23" s="292">
        <v>294652</v>
      </c>
      <c r="I23" s="292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Mar 2017</v>
      </c>
      <c r="C28" s="282" t="str">
        <f>$C$15</f>
        <v>2017</v>
      </c>
      <c r="D28" s="282">
        <f>$D$15</f>
        <v>2016</v>
      </c>
      <c r="E28" s="284" t="s">
        <v>6</v>
      </c>
      <c r="F28" s="284">
        <f>$F$15</f>
        <v>2016</v>
      </c>
      <c r="G28" s="295">
        <f>$G$15</f>
        <v>2015</v>
      </c>
      <c r="H28" s="295">
        <f>$H$15</f>
        <v>2014</v>
      </c>
      <c r="I28" s="295">
        <f>$I$15</f>
        <v>2013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75396.433378610003</v>
      </c>
      <c r="C29" s="249">
        <f>Data!O5/1000000</f>
        <v>204373.97821847</v>
      </c>
      <c r="D29" s="249">
        <f>Data!O8/1000000</f>
        <v>286133.63839932001</v>
      </c>
      <c r="E29" s="195">
        <f>C29-D29</f>
        <v>-81759.660180850013</v>
      </c>
      <c r="F29" s="249">
        <v>1010947</v>
      </c>
      <c r="G29" s="249">
        <v>969468</v>
      </c>
      <c r="H29" s="296">
        <v>784579</v>
      </c>
      <c r="I29" s="296">
        <v>645668</v>
      </c>
      <c r="J29" s="129"/>
    </row>
    <row r="30" spans="1:12" ht="12.75" customHeight="1" x14ac:dyDescent="0.2">
      <c r="A30" s="248" t="s">
        <v>11</v>
      </c>
      <c r="B30" s="249">
        <f>Data!P2/1000000</f>
        <v>-92713.621692970002</v>
      </c>
      <c r="C30" s="249">
        <f>Data!P5/1000000</f>
        <v>-247415.75311299</v>
      </c>
      <c r="D30" s="249">
        <f>Data!P8/1000000</f>
        <v>-306155.99132898997</v>
      </c>
      <c r="E30" s="195">
        <f>C30-D30</f>
        <v>58740.238215999969</v>
      </c>
      <c r="F30" s="249">
        <v>-1134812</v>
      </c>
      <c r="G30" s="249">
        <v>-970485</v>
      </c>
      <c r="H30" s="296">
        <v>-771216</v>
      </c>
      <c r="I30" s="296">
        <v>-645833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-17317.188314359999</v>
      </c>
      <c r="C31" s="298">
        <f>Data!Q5/1000000</f>
        <v>-43041.77489452</v>
      </c>
      <c r="D31" s="298">
        <f>Data!Q8/1000000</f>
        <v>-20022.35292967</v>
      </c>
      <c r="E31" s="299">
        <f>C31-D31</f>
        <v>-23019.42196485</v>
      </c>
      <c r="F31" s="298">
        <v>-123865</v>
      </c>
      <c r="G31" s="298">
        <v>-1017</v>
      </c>
      <c r="H31" s="298">
        <v>13363</v>
      </c>
      <c r="I31" s="298">
        <v>-165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Mar 2017</v>
      </c>
      <c r="C36" s="282" t="str">
        <f>$C$15</f>
        <v>2017</v>
      </c>
      <c r="D36" s="282">
        <f>$D$15</f>
        <v>2016</v>
      </c>
      <c r="E36" s="284" t="s">
        <v>6</v>
      </c>
      <c r="F36" s="284">
        <f>$F$15</f>
        <v>2016</v>
      </c>
      <c r="G36" s="295">
        <f>$G$15</f>
        <v>2015</v>
      </c>
      <c r="H36" s="295">
        <f>$H$15</f>
        <v>2014</v>
      </c>
      <c r="I36" s="295">
        <f>$I$15</f>
        <v>2013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28642</v>
      </c>
      <c r="C38" s="287">
        <f>Data!CK6</f>
        <v>72189</v>
      </c>
      <c r="D38" s="287">
        <f>Data!CK11</f>
        <v>76341</v>
      </c>
      <c r="E38" s="286">
        <f t="shared" ref="E38:E40" si="2">IFERROR(IF(OR(AND(D38="",C38=""),AND(D38=0,C38=0)),"",
IF(OR(D38="",D38=0),1,
IF(OR(D38&lt;&gt;"",D38&lt;&gt;0),(C38-D38)/ABS(D38)))),-1)</f>
        <v>-5.438755059535505E-2</v>
      </c>
      <c r="F38" s="361">
        <v>283127</v>
      </c>
      <c r="G38" s="361">
        <v>290607</v>
      </c>
      <c r="H38" s="361">
        <v>240900</v>
      </c>
      <c r="I38" s="361">
        <v>248016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697859.88474699995</v>
      </c>
      <c r="C39" s="287">
        <f>Data!CK7/1000000</f>
        <v>1847605.8995060001</v>
      </c>
      <c r="D39" s="287">
        <f>Data!CK12/1000000</f>
        <v>1854334.3077720001</v>
      </c>
      <c r="E39" s="286">
        <f t="shared" si="2"/>
        <v>-3.6284763959764242E-3</v>
      </c>
      <c r="F39" s="361">
        <v>7321629</v>
      </c>
      <c r="G39" s="361">
        <v>6653964</v>
      </c>
      <c r="H39" s="361">
        <v>5413031</v>
      </c>
      <c r="I39" s="361">
        <v>5515590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749663.40475269035</v>
      </c>
      <c r="C40" s="287">
        <f>Data!CK8/1000000</f>
        <v>1968869.8232647786</v>
      </c>
      <c r="D40" s="287">
        <f>Data!CK13/1000000</f>
        <v>1875322.4445225077</v>
      </c>
      <c r="E40" s="286">
        <f t="shared" si="2"/>
        <v>4.9883356867778429E-2</v>
      </c>
      <c r="F40" s="361">
        <v>7580050</v>
      </c>
      <c r="G40" s="361">
        <v>7166248</v>
      </c>
      <c r="H40" s="361">
        <v>5777503</v>
      </c>
      <c r="I40" s="361">
        <v>6140455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1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1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14120</v>
      </c>
      <c r="C43" s="287">
        <f>Data!CN6</f>
        <v>40286</v>
      </c>
      <c r="D43" s="287">
        <f>Data!CN11</f>
        <v>43210</v>
      </c>
      <c r="E43" s="286">
        <f t="shared" ref="E43:E45" si="3">IFERROR(IF(OR(AND(D43="",C43=""),AND(D43=0,C43=0)),"",
IF(OR(D43="",D43=0),1,
IF(OR(D43&lt;&gt;"",D43&lt;&gt;0),(C43-D43)/ABS(D43)))),-1)</f>
        <v>-6.7669520944225875E-2</v>
      </c>
      <c r="F43" s="361">
        <v>170507</v>
      </c>
      <c r="G43" s="361">
        <v>157998</v>
      </c>
      <c r="H43" s="361">
        <v>137284</v>
      </c>
      <c r="I43" s="361">
        <v>146100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1819810.0267399999</v>
      </c>
      <c r="C44" s="287">
        <f>Data!CN7/1000000</f>
        <v>4527766.6789819999</v>
      </c>
      <c r="D44" s="287">
        <f>Data!CN12/1000000</f>
        <v>5146269.9678720003</v>
      </c>
      <c r="E44" s="286">
        <f t="shared" si="3"/>
        <v>-0.12018477319520678</v>
      </c>
      <c r="F44" s="361">
        <v>19586029</v>
      </c>
      <c r="G44" s="361">
        <v>15650220</v>
      </c>
      <c r="H44" s="361">
        <v>12475495</v>
      </c>
      <c r="I44" s="361">
        <v>13616880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1777341.0102346991</v>
      </c>
      <c r="C45" s="287">
        <f>Data!CN8/1000000</f>
        <v>4448092.4347711429</v>
      </c>
      <c r="D45" s="287">
        <f>Data!CN13/1000000</f>
        <v>4890146.7143301899</v>
      </c>
      <c r="E45" s="286">
        <f t="shared" si="3"/>
        <v>-9.0396935998595232E-2</v>
      </c>
      <c r="F45" s="361">
        <v>19133372</v>
      </c>
      <c r="G45" s="361">
        <v>16112281</v>
      </c>
      <c r="H45" s="361">
        <v>12958219</v>
      </c>
      <c r="I45" s="361">
        <v>14624272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1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1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648</v>
      </c>
      <c r="C48" s="127">
        <f>Data!CQ6</f>
        <v>2000</v>
      </c>
      <c r="D48" s="249">
        <f>Data!CQ11</f>
        <v>1076</v>
      </c>
      <c r="E48" s="286">
        <f t="shared" ref="E48:E50" si="4">IFERROR(IF(OR(AND(D48="",C48=""),AND(D48=0,C48=0)),"",
IF(OR(D48="",D48=0),1,
IF(OR(D48&lt;&gt;"",D48&lt;&gt;0),(C48-D48)/ABS(D48)))),-1)</f>
        <v>0.85873605947955389</v>
      </c>
      <c r="F48" s="361">
        <v>7665</v>
      </c>
      <c r="G48" s="361">
        <v>5572</v>
      </c>
      <c r="H48" s="361">
        <v>7734</v>
      </c>
      <c r="I48" s="361">
        <v>7506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42428.173902000002</v>
      </c>
      <c r="C49" s="127">
        <f>Data!CQ7/1000000</f>
        <v>136476.199437</v>
      </c>
      <c r="D49" s="249">
        <f>Data!CQ12/1000000</f>
        <v>141995.848769</v>
      </c>
      <c r="E49" s="286">
        <f t="shared" si="4"/>
        <v>-3.8871906325792745E-2</v>
      </c>
      <c r="F49" s="361">
        <v>747909</v>
      </c>
      <c r="G49" s="361">
        <v>434632</v>
      </c>
      <c r="H49" s="361">
        <v>895388</v>
      </c>
      <c r="I49" s="361">
        <v>357990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9139.6742150400005</v>
      </c>
      <c r="C50" s="128">
        <f>Data!CQ8/1000000</f>
        <v>49635.534950360001</v>
      </c>
      <c r="D50" s="290">
        <f>Data!CQ13/1000000</f>
        <v>67552.649716350003</v>
      </c>
      <c r="E50" s="291">
        <f t="shared" si="4"/>
        <v>-0.26523185753960826</v>
      </c>
      <c r="F50" s="292">
        <v>370548</v>
      </c>
      <c r="G50" s="292">
        <v>240709</v>
      </c>
      <c r="H50" s="292">
        <v>803782</v>
      </c>
      <c r="I50" s="292">
        <v>323288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Mar 2017</v>
      </c>
      <c r="C56" s="282" t="str">
        <f>$C$15</f>
        <v>2017</v>
      </c>
      <c r="D56" s="282">
        <f>$D$15</f>
        <v>2016</v>
      </c>
      <c r="E56" s="284" t="s">
        <v>6</v>
      </c>
      <c r="F56" s="284">
        <f>$F$15</f>
        <v>2016</v>
      </c>
      <c r="G56" s="295">
        <f>$G$15</f>
        <v>2015</v>
      </c>
      <c r="H56" s="295">
        <f>$H$15</f>
        <v>2014</v>
      </c>
      <c r="I56" s="295">
        <f>$I$15</f>
        <v>2013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100255.46136299999</v>
      </c>
      <c r="C57" s="287">
        <f>(SUMIFS(Data!$CZ$1:$CZ$12,Data!$CU$1:$CU$12,"Standard Trade")+SUMIFS(Data!$CZ$1:$CZ$12,Data!$CU$1:$CU$12,"Standard Trade (Spot)"))/1000000</f>
        <v>243858.82294400001</v>
      </c>
      <c r="D57" s="287">
        <f>(SUMIFS(Data!$CZ$27:$CZ$38,Data!$CU$27:$CU$38,"Standard Trade")+SUMIFS(Data!$CZ$27:$CZ$38,Data!$CU$27:$CU$38,"Standard Trade (Spot)"))/1000000</f>
        <v>252208.741672</v>
      </c>
      <c r="E57" s="195">
        <f>C57-D57</f>
        <v>-8349.9187279999896</v>
      </c>
      <c r="F57" s="361">
        <v>954436</v>
      </c>
      <c r="G57" s="361">
        <v>821507</v>
      </c>
      <c r="H57" s="306">
        <v>774058</v>
      </c>
      <c r="I57" s="306">
        <v>779778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81466.904748999994</v>
      </c>
      <c r="C58" s="287">
        <f>(SUMIFS(Data!$DC$1:$DC$12,Data!$CU$1:$CU$12,"Standard Trade")+SUMIFS(Data!$DC$1:$DC$12,Data!$CU$1:$CU$12,"Standard Trade (Spot)"))/1000000</f>
        <v>224629.53541099999</v>
      </c>
      <c r="D58" s="287">
        <f>(SUMIFS(Data!$DC$27:$DC$38,Data!$CU$27:$CU$38,"Standard Trade")+SUMIFS(Data!$DC$27:$DC$38,Data!$CU$27:$CU$38,"Standard Trade (Spot)"))/1000000</f>
        <v>233729.75501600001</v>
      </c>
      <c r="E58" s="195">
        <f>C58-D58</f>
        <v>-9100.2196050000202</v>
      </c>
      <c r="F58" s="361">
        <v>922129</v>
      </c>
      <c r="G58" s="361">
        <v>820729</v>
      </c>
      <c r="H58" s="306">
        <v>771223</v>
      </c>
      <c r="I58" s="306">
        <v>747292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18788.556614000001</v>
      </c>
      <c r="C59" s="298">
        <f t="shared" ref="C59" si="5">C57-C58</f>
        <v>19229.287533000024</v>
      </c>
      <c r="D59" s="298">
        <f>D57-D58</f>
        <v>18478.986655999994</v>
      </c>
      <c r="E59" s="298">
        <f>E57-E58</f>
        <v>750.3008770000306</v>
      </c>
      <c r="F59" s="298">
        <v>32307</v>
      </c>
      <c r="G59" s="298">
        <v>778</v>
      </c>
      <c r="H59" s="298">
        <v>2835</v>
      </c>
      <c r="I59" s="298">
        <v>32486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Mar 2017</v>
      </c>
      <c r="C65" s="282">
        <v>2017</v>
      </c>
      <c r="D65" s="282">
        <v>2016</v>
      </c>
      <c r="E65" s="284" t="s">
        <v>6</v>
      </c>
      <c r="F65" s="284">
        <f>$F$15</f>
        <v>2016</v>
      </c>
      <c r="G65" s="295">
        <f>$G$15</f>
        <v>2015</v>
      </c>
      <c r="H65" s="295">
        <f>$H$15</f>
        <v>2014</v>
      </c>
      <c r="I65" s="295">
        <f>$I$15</f>
        <v>2013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300430</v>
      </c>
      <c r="C67" s="249">
        <f>Data!BR2</f>
        <v>795615</v>
      </c>
      <c r="D67" s="249">
        <f>Data!BR8</f>
        <v>992852</v>
      </c>
      <c r="E67" s="286">
        <f>IFERROR(IF(OR(AND(D67="",C67=""),AND(D67=0,C67=0)),"",
IF(OR(D67="",D67=0),1,
IF(OR(D67&lt;&gt;"",D67&lt;&gt;0),(C67-D67)/ABS(D67)))),-1)</f>
        <v>-0.19865700023769908</v>
      </c>
      <c r="F67" s="361">
        <v>3591024</v>
      </c>
      <c r="G67" s="361">
        <v>3526147</v>
      </c>
      <c r="H67" s="361">
        <v>3167060</v>
      </c>
      <c r="I67" s="313">
        <v>2682897</v>
      </c>
      <c r="J67" s="158"/>
    </row>
    <row r="68" spans="1:12" ht="14.25" x14ac:dyDescent="0.2">
      <c r="A68" s="248" t="s">
        <v>142</v>
      </c>
      <c r="B68" s="127">
        <f>C379/1000</f>
        <v>30602.093000000001</v>
      </c>
      <c r="C68" s="249">
        <f>Data!BQ2</f>
        <v>40666191</v>
      </c>
      <c r="D68" s="249">
        <f>Data!BQ8</f>
        <v>168711863</v>
      </c>
      <c r="E68" s="286">
        <f t="shared" ref="E68:E70" si="6">IFERROR(IF(OR(AND(D68="",C68=""),AND(D68=0,C68=0)),"",
IF(OR(D68="",D68=0),1,
IF(OR(D68&lt;&gt;"",D68&lt;&gt;0),(C68-D68)/ABS(D68)))),-1)</f>
        <v>-0.75896069027463708</v>
      </c>
      <c r="F68" s="361">
        <v>412077</v>
      </c>
      <c r="G68" s="361">
        <v>432277</v>
      </c>
      <c r="H68" s="361">
        <v>210421</v>
      </c>
      <c r="I68" s="361">
        <v>161800</v>
      </c>
      <c r="J68" s="158"/>
    </row>
    <row r="69" spans="1:12" ht="14.25" x14ac:dyDescent="0.2">
      <c r="A69" s="248" t="s">
        <v>143</v>
      </c>
      <c r="B69" s="127">
        <f>C397/1000000</f>
        <v>826.21717730303078</v>
      </c>
      <c r="C69" s="249">
        <f>Data!BP2/1000000000</f>
        <v>1491.2908456493255</v>
      </c>
      <c r="D69" s="249">
        <f>Data!BP8/1000000000</f>
        <v>1848.800739711359</v>
      </c>
      <c r="E69" s="286">
        <f t="shared" si="6"/>
        <v>-0.19337394581411144</v>
      </c>
      <c r="F69" s="361">
        <v>6894</v>
      </c>
      <c r="G69" s="361">
        <v>6619</v>
      </c>
      <c r="H69" s="361">
        <v>5958</v>
      </c>
      <c r="I69" s="361">
        <v>5029</v>
      </c>
      <c r="J69" s="158"/>
    </row>
    <row r="70" spans="1:12" ht="14.25" x14ac:dyDescent="0.2">
      <c r="A70" s="248" t="s">
        <v>144</v>
      </c>
      <c r="B70" s="127">
        <f>SUM(C408:C414)</f>
        <v>33140794</v>
      </c>
      <c r="C70" s="249">
        <f>B70</f>
        <v>33140794</v>
      </c>
      <c r="D70" s="249">
        <f>Data!BP14</f>
        <v>55415220</v>
      </c>
      <c r="E70" s="286">
        <f t="shared" si="6"/>
        <v>-0.40195502246494735</v>
      </c>
      <c r="F70" s="361">
        <v>40320362</v>
      </c>
      <c r="G70" s="361">
        <v>60646619</v>
      </c>
      <c r="H70" s="361">
        <v>22036181</v>
      </c>
      <c r="I70" s="361">
        <v>13839186</v>
      </c>
      <c r="J70" s="158"/>
    </row>
    <row r="71" spans="1:12" ht="14.25" x14ac:dyDescent="0.2">
      <c r="A71" s="248"/>
      <c r="B71" s="249"/>
      <c r="C71" s="249"/>
      <c r="D71" s="249"/>
      <c r="E71" s="248"/>
      <c r="F71" s="361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62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3879</v>
      </c>
      <c r="C73" s="249">
        <f>Data!BR5</f>
        <v>9239</v>
      </c>
      <c r="D73" s="249">
        <f>Data!BR11</f>
        <v>4335</v>
      </c>
      <c r="E73" s="286">
        <f t="shared" ref="E73:E76" si="7">IFERROR(IF(OR(AND(D73="",C73=""),AND(D73=0,C73=0)),"",
IF(OR(D73="",D73=0),1,
IF(OR(D73&lt;&gt;"",D73&lt;&gt;0),(C73-D73)/ABS(D73)))),-1)</f>
        <v>1.1312572087658592</v>
      </c>
      <c r="F73" s="361">
        <v>22261</v>
      </c>
      <c r="G73" s="361">
        <v>19921</v>
      </c>
      <c r="H73" s="361">
        <v>20811</v>
      </c>
      <c r="I73" s="361">
        <v>22726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2195.6120000000001</v>
      </c>
      <c r="C74" s="249">
        <f>Data!BQ5/1000</f>
        <v>6428.7280000000001</v>
      </c>
      <c r="D74" s="249">
        <f>Data!BQ11/1000</f>
        <v>2850.4259999999999</v>
      </c>
      <c r="E74" s="286">
        <f t="shared" si="7"/>
        <v>1.2553569185798896</v>
      </c>
      <c r="F74" s="361">
        <v>15373</v>
      </c>
      <c r="G74" s="361">
        <v>15764</v>
      </c>
      <c r="H74" s="361">
        <v>41957</v>
      </c>
      <c r="I74" s="361">
        <v>55672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5.1015864562999997</v>
      </c>
      <c r="C75" s="249">
        <f>Data!BP5/1000000000</f>
        <v>12.361259485620002</v>
      </c>
      <c r="D75" s="249">
        <f>Data!BP11/1000000000</f>
        <v>10.729055113559999</v>
      </c>
      <c r="E75" s="286">
        <f t="shared" si="7"/>
        <v>0.15212936785058806</v>
      </c>
      <c r="F75" s="361">
        <v>47</v>
      </c>
      <c r="G75" s="361">
        <v>28</v>
      </c>
      <c r="H75" s="361">
        <v>24</v>
      </c>
      <c r="I75" s="361">
        <v>33</v>
      </c>
      <c r="J75" s="158"/>
      <c r="K75" s="177"/>
    </row>
    <row r="76" spans="1:12" ht="14.25" x14ac:dyDescent="0.2">
      <c r="A76" s="248" t="s">
        <v>144</v>
      </c>
      <c r="B76" s="249">
        <f>SUM(C417:C420)</f>
        <v>2850053</v>
      </c>
      <c r="C76" s="249">
        <f>B76</f>
        <v>2850053</v>
      </c>
      <c r="D76" s="249">
        <f>Data!BP17</f>
        <v>1933663</v>
      </c>
      <c r="E76" s="286">
        <f t="shared" si="7"/>
        <v>0.47391401707536424</v>
      </c>
      <c r="F76" s="361">
        <v>2300487</v>
      </c>
      <c r="G76" s="361">
        <v>1541161</v>
      </c>
      <c r="H76" s="361">
        <v>2094483</v>
      </c>
      <c r="I76" s="361">
        <v>2072619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Mar 2017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1" t="s">
        <v>199</v>
      </c>
      <c r="G95" s="371"/>
      <c r="H95" s="371"/>
      <c r="I95" s="230"/>
    </row>
    <row r="96" spans="1:9" x14ac:dyDescent="0.2">
      <c r="A96" s="247"/>
      <c r="B96" s="159"/>
      <c r="C96" s="247"/>
      <c r="D96" s="247"/>
      <c r="E96" s="247"/>
      <c r="F96" s="371"/>
      <c r="G96" s="371"/>
      <c r="H96" s="371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Mar 2017</v>
      </c>
      <c r="C101" s="282" t="str">
        <f>TEXT($H$3,"YYYY")</f>
        <v>2017</v>
      </c>
      <c r="D101" s="283">
        <f>TEXT($H$3,"YYYY")-1</f>
        <v>2016</v>
      </c>
      <c r="E101" s="284" t="s">
        <v>6</v>
      </c>
      <c r="F101" s="284">
        <f>$F$15</f>
        <v>2016</v>
      </c>
      <c r="G101" s="295">
        <f>$G$15</f>
        <v>2015</v>
      </c>
      <c r="H101" s="295">
        <f>$H$15</f>
        <v>2014</v>
      </c>
      <c r="I101" s="295">
        <f>$I$15</f>
        <v>2013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514</v>
      </c>
      <c r="C103" s="249">
        <f>Data!BR32</f>
        <v>2439</v>
      </c>
      <c r="D103" s="249">
        <f>Data!BR38</f>
        <v>3319</v>
      </c>
      <c r="E103" s="286">
        <f t="shared" ref="E103:E106" si="8">IFERROR(IF(OR(AND(D103="",C103=""),AND(D103=0,C103=0)),"",
IF(OR(D103="",D103=0),1,
IF(OR(D103&lt;&gt;"",D103&lt;&gt;0),(C103-D103)/ABS(D103)))),-1)</f>
        <v>-0.26514010244049413</v>
      </c>
      <c r="F103" s="249">
        <v>14410</v>
      </c>
      <c r="G103" s="249">
        <v>9505</v>
      </c>
      <c r="H103" s="249">
        <v>10571</v>
      </c>
      <c r="I103" s="249">
        <v>6946</v>
      </c>
    </row>
    <row r="104" spans="1:9" ht="14.25" x14ac:dyDescent="0.2">
      <c r="A104" s="248" t="s">
        <v>146</v>
      </c>
      <c r="B104" s="127">
        <f>Data!BQ20</f>
        <v>149213</v>
      </c>
      <c r="C104" s="249">
        <f>Data!BQ32</f>
        <v>2612088</v>
      </c>
      <c r="D104" s="249">
        <f>Data!BQ38</f>
        <v>1797726</v>
      </c>
      <c r="E104" s="286">
        <f t="shared" si="8"/>
        <v>0.45299561779715042</v>
      </c>
      <c r="F104" s="249">
        <v>9230179</v>
      </c>
      <c r="G104" s="249">
        <v>5344460</v>
      </c>
      <c r="H104" s="249">
        <v>4834077</v>
      </c>
      <c r="I104" s="249">
        <v>3419070</v>
      </c>
    </row>
    <row r="105" spans="1:9" ht="14.25" x14ac:dyDescent="0.2">
      <c r="A105" s="248" t="s">
        <v>119</v>
      </c>
      <c r="B105" s="127">
        <f>Data!BP20/1000000</f>
        <v>16168.477382040001</v>
      </c>
      <c r="C105" s="249">
        <f>Data!BP32/1000000</f>
        <v>301427.78158687998</v>
      </c>
      <c r="D105" s="249">
        <f>Data!BP38/1000000</f>
        <v>205455.19908183001</v>
      </c>
      <c r="E105" s="286">
        <f t="shared" si="8"/>
        <v>0.46712170309608664</v>
      </c>
      <c r="F105" s="249">
        <v>1073119</v>
      </c>
      <c r="G105" s="249">
        <v>698663</v>
      </c>
      <c r="H105" s="249">
        <v>641235</v>
      </c>
      <c r="I105" s="249">
        <v>513920</v>
      </c>
    </row>
    <row r="106" spans="1:9" ht="14.25" x14ac:dyDescent="0.2">
      <c r="A106" s="248" t="s">
        <v>144</v>
      </c>
      <c r="B106" s="127">
        <f>Data!BP26</f>
        <v>804067</v>
      </c>
      <c r="C106" s="249">
        <f>B106</f>
        <v>804067</v>
      </c>
      <c r="D106" s="249">
        <f>Data!BP44</f>
        <v>652693</v>
      </c>
      <c r="E106" s="286">
        <f t="shared" si="8"/>
        <v>0.23192220538599312</v>
      </c>
      <c r="F106" s="249">
        <v>802030</v>
      </c>
      <c r="G106" s="249">
        <v>621382</v>
      </c>
      <c r="H106" s="249">
        <v>418464</v>
      </c>
      <c r="I106" s="249">
        <v>332819</v>
      </c>
    </row>
    <row r="107" spans="1:9" ht="14.25" x14ac:dyDescent="0.2">
      <c r="A107" s="248"/>
      <c r="B107" s="127"/>
      <c r="C107" s="249"/>
      <c r="D107" s="249"/>
      <c r="E107" s="248"/>
      <c r="F107" s="249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249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21</v>
      </c>
      <c r="C109" s="127">
        <f>Data!BR35</f>
        <v>110</v>
      </c>
      <c r="D109" s="127">
        <f>Data!BR41</f>
        <v>101</v>
      </c>
      <c r="E109" s="286">
        <f t="shared" ref="E109:E112" si="9">IFERROR(IF(OR(AND(D109="",C109=""),AND(D109=0,C109=0)),"",
IF(OR(D109="",D109=0),1,
IF(OR(D109&lt;&gt;"",D109&lt;&gt;0),(C109-D109)/ABS(D109)))),-1)</f>
        <v>8.9108910891089105E-2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4.25" x14ac:dyDescent="0.2">
      <c r="A110" s="248" t="s">
        <v>146</v>
      </c>
      <c r="B110" s="127">
        <f>Data!BQ23</f>
        <v>25538</v>
      </c>
      <c r="C110" s="127">
        <f>Data!BQ35</f>
        <v>51436</v>
      </c>
      <c r="D110" s="127">
        <f>Data!BQ41</f>
        <v>26348</v>
      </c>
      <c r="E110" s="286">
        <f t="shared" si="9"/>
        <v>0.95217853347502657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4.25" x14ac:dyDescent="0.2">
      <c r="A111" s="248" t="s">
        <v>196</v>
      </c>
      <c r="B111" s="127">
        <f>Data!BP23/1000000</f>
        <v>2348.2348393000002</v>
      </c>
      <c r="C111" s="127">
        <f>Data!BP35/1000000</f>
        <v>5057.4297562499996</v>
      </c>
      <c r="D111" s="127">
        <f>Data!BP41/1000000</f>
        <v>2564.8867052199998</v>
      </c>
      <c r="E111" s="286">
        <f t="shared" si="9"/>
        <v>0.97179460050115751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5" thickBot="1" x14ac:dyDescent="0.25">
      <c r="A112" s="289" t="s">
        <v>144</v>
      </c>
      <c r="B112" s="128">
        <f>Data!BP29</f>
        <v>32319</v>
      </c>
      <c r="C112" s="128">
        <f>B112</f>
        <v>32319</v>
      </c>
      <c r="D112" s="128">
        <f>Data!BP47</f>
        <v>64765</v>
      </c>
      <c r="E112" s="291">
        <f t="shared" si="9"/>
        <v>-0.50098046784528683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Mar 2017</v>
      </c>
      <c r="C119" s="282" t="str">
        <f>TEXT($H$3,"YYYY")</f>
        <v>2017</v>
      </c>
      <c r="D119" s="282">
        <f>TEXT($H$3,"YYYY")-1</f>
        <v>2016</v>
      </c>
      <c r="E119" s="284" t="s">
        <v>6</v>
      </c>
      <c r="F119" s="284">
        <f>TEXT($H$3,"YYYY")-1</f>
        <v>2016</v>
      </c>
      <c r="G119" s="295">
        <f>TEXT($H$3,"YYYY")-2</f>
        <v>2015</v>
      </c>
      <c r="H119" s="295">
        <f>TEXT($H$3,"YYYY")-3</f>
        <v>2014</v>
      </c>
      <c r="I119" s="295">
        <f>TEXT($H$3,"YYYY")-4</f>
        <v>2013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8216</v>
      </c>
      <c r="C121" s="249">
        <f>Data!BR60</f>
        <v>15986</v>
      </c>
      <c r="D121" s="249">
        <f>Data!BR66</f>
        <v>15234</v>
      </c>
      <c r="E121" s="286">
        <f t="shared" ref="E121:E123" si="10">IFERROR(IF(OR(AND(D121="",C121=""),AND(D121=0,C121=0)),"",
IF(OR(D121="",D121=0),1,
IF(OR(D121&lt;&gt;"",D121&lt;&gt;0),(C121-D121)/ABS(D121)))),-1)</f>
        <v>4.9363266377839048E-2</v>
      </c>
      <c r="F121" s="249">
        <v>66920</v>
      </c>
      <c r="G121" s="249">
        <v>57891</v>
      </c>
      <c r="H121" s="249">
        <v>43500</v>
      </c>
      <c r="I121" s="249">
        <v>39077</v>
      </c>
      <c r="J121" s="62"/>
    </row>
    <row r="122" spans="1:12" ht="14.25" x14ac:dyDescent="0.2">
      <c r="A122" s="248" t="s">
        <v>146</v>
      </c>
      <c r="B122" s="249">
        <f>Data!BQ50</f>
        <v>4886838</v>
      </c>
      <c r="C122" s="249">
        <f>Data!BQ60</f>
        <v>7781204</v>
      </c>
      <c r="D122" s="249">
        <f>Data!BQ66</f>
        <v>8457040</v>
      </c>
      <c r="E122" s="286">
        <f t="shared" si="10"/>
        <v>-7.9914012467719203E-2</v>
      </c>
      <c r="F122" s="249">
        <v>34293431</v>
      </c>
      <c r="G122" s="249">
        <v>33917069</v>
      </c>
      <c r="H122" s="249">
        <v>33946042</v>
      </c>
      <c r="I122" s="249">
        <v>24258464</v>
      </c>
      <c r="J122" s="62"/>
    </row>
    <row r="123" spans="1:12" ht="14.25" x14ac:dyDescent="0.2">
      <c r="A123" s="248" t="s">
        <v>119</v>
      </c>
      <c r="B123" s="249">
        <f>Data!BP50/1000000</f>
        <v>64640.547039500001</v>
      </c>
      <c r="C123" s="249">
        <f>Data!BP60/1000000</f>
        <v>103216.2625078</v>
      </c>
      <c r="D123" s="249">
        <f>Data!BP66/1000000</f>
        <v>136989.10869329999</v>
      </c>
      <c r="E123" s="286">
        <f t="shared" si="10"/>
        <v>-0.24653672476337377</v>
      </c>
      <c r="F123" s="249">
        <v>522169</v>
      </c>
      <c r="G123" s="249">
        <v>446203</v>
      </c>
      <c r="H123" s="249">
        <v>388071</v>
      </c>
      <c r="I123" s="249">
        <v>247049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1147239</v>
      </c>
      <c r="C124" s="249">
        <f>B124</f>
        <v>1147239</v>
      </c>
      <c r="D124" s="249">
        <f>VLOOKUP("Future",Data!$BP$71:$BQ$73,2,FALSE)</f>
        <v>1217161</v>
      </c>
      <c r="E124" s="286">
        <f>IFERROR(IF(OR(AND(D124="",C124=""),AND(D124=0,C124=0)),"",
IF(OR(D124="",D124=0),1,
IF(OR(D124&lt;&gt;"",D124&lt;&gt;0),(C124-D124)/ABS(D124)))),-1)</f>
        <v>-5.7446796274280891E-2</v>
      </c>
      <c r="F124" s="249">
        <v>1090978</v>
      </c>
      <c r="G124" s="249">
        <v>1414841</v>
      </c>
      <c r="H124" s="249">
        <v>1705921</v>
      </c>
      <c r="I124" s="249">
        <v>1029528</v>
      </c>
      <c r="J124" s="62"/>
    </row>
    <row r="125" spans="1:12" ht="14.25" x14ac:dyDescent="0.2">
      <c r="A125" s="248"/>
      <c r="B125" s="315"/>
      <c r="C125" s="315"/>
      <c r="D125" s="315"/>
      <c r="E125" s="248"/>
      <c r="F125" s="249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250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367</v>
      </c>
      <c r="C127" s="249">
        <f>Data!BR63</f>
        <v>708</v>
      </c>
      <c r="D127" s="249">
        <f>Data!BR69</f>
        <v>704</v>
      </c>
      <c r="E127" s="286">
        <f t="shared" ref="E127:E129" si="11">IFERROR(IF(OR(AND(D127="",C127=""),AND(D127=0,C127=0)),"",
IF(OR(D127="",D127=0),1,
IF(OR(D127&lt;&gt;"",D127&lt;&gt;0),(C127-D127)/ABS(D127)))),-1)</f>
        <v>5.681818181818182E-3</v>
      </c>
      <c r="F127" s="249">
        <v>3271</v>
      </c>
      <c r="G127" s="249">
        <v>2622</v>
      </c>
      <c r="H127" s="249">
        <v>3439</v>
      </c>
      <c r="I127" s="249">
        <v>2009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1784267</v>
      </c>
      <c r="C128" s="249">
        <f>Data!BQ63</f>
        <v>3055285</v>
      </c>
      <c r="D128" s="249">
        <f>Data!BQ69</f>
        <v>3135595</v>
      </c>
      <c r="E128" s="286">
        <f t="shared" si="11"/>
        <v>-2.5612363841631333E-2</v>
      </c>
      <c r="F128" s="249">
        <v>14030889</v>
      </c>
      <c r="G128" s="249">
        <v>11251621</v>
      </c>
      <c r="H128" s="249">
        <v>10687313</v>
      </c>
      <c r="I128" s="249">
        <v>10027182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23843.920364500002</v>
      </c>
      <c r="C129" s="249">
        <f>Data!BP63/1000000</f>
        <v>41028.449336699996</v>
      </c>
      <c r="D129" s="249">
        <f>Data!BP69/1000000</f>
        <v>50983.081775800005</v>
      </c>
      <c r="E129" s="286">
        <f t="shared" si="11"/>
        <v>-0.1952536428236307</v>
      </c>
      <c r="F129" s="249">
        <v>212036</v>
      </c>
      <c r="G129" s="249">
        <v>157773</v>
      </c>
      <c r="H129" s="249">
        <v>128124</v>
      </c>
      <c r="I129" s="249">
        <v>87508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1513236</v>
      </c>
      <c r="C130" s="249">
        <f>MarketProfile!B130</f>
        <v>1513236</v>
      </c>
      <c r="D130" s="249">
        <f>VLOOKUP("Option",Data!$BP$71:$BQ$73,2,FALSE)</f>
        <v>1827448</v>
      </c>
      <c r="E130" s="286">
        <f>IFERROR(IF(OR(AND(D130="",C130=""),AND(D130=0,C130=0)),"",
IF(OR(D130="",D130=0),1,
IF(OR(D130&lt;&gt;"",D130&lt;&gt;0),(C130-D130)/ABS(D130)))),-1)</f>
        <v>-0.17194032333614964</v>
      </c>
      <c r="F130" s="249">
        <v>1240499</v>
      </c>
      <c r="G130" s="249">
        <v>1917456</v>
      </c>
      <c r="H130" s="249">
        <v>1839022</v>
      </c>
      <c r="I130" s="249">
        <v>797456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Mar 2017</v>
      </c>
      <c r="C136" s="282" t="str">
        <f>TEXT($H$3,"YYYY")</f>
        <v>2017</v>
      </c>
      <c r="D136" s="282">
        <f>TEXT($H$3,"YYYY")-1</f>
        <v>2016</v>
      </c>
      <c r="E136" s="284" t="s">
        <v>6</v>
      </c>
      <c r="F136" s="284">
        <f>TEXT($H$3,"YYYY")-1</f>
        <v>2016</v>
      </c>
      <c r="G136" s="295">
        <f>TEXT($H$3,"YYYY")-2</f>
        <v>2015</v>
      </c>
      <c r="H136" s="295">
        <f>TEXT($H$3,"YYYY")-3</f>
        <v>2014</v>
      </c>
      <c r="I136" s="295">
        <f>TEXT($H$3,"YYYY")-4</f>
        <v>2013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26095</v>
      </c>
      <c r="C138" s="249">
        <f>Data!BR76</f>
        <v>81894</v>
      </c>
      <c r="D138" s="249">
        <f>Data!BR82</f>
        <v>78354</v>
      </c>
      <c r="E138" s="286">
        <f>IFERROR(IF(OR(AND(D138="",C138=""),AND(D138=0,C138=0)),"",
IF(OR(D138="",D138=0),1,
IF(OR(D138&lt;&gt;"",D138&lt;&gt;0),(C138-D138)/ABS(D138)))),-1)</f>
        <v>4.5179569645455241E-2</v>
      </c>
      <c r="F138" s="249">
        <v>343265</v>
      </c>
      <c r="G138" s="249">
        <v>319935</v>
      </c>
      <c r="H138" s="249">
        <v>277392</v>
      </c>
      <c r="I138" s="249">
        <v>274898</v>
      </c>
    </row>
    <row r="139" spans="1:12" ht="14.25" x14ac:dyDescent="0.2">
      <c r="A139" s="248" t="s">
        <v>142</v>
      </c>
      <c r="B139" s="249">
        <f>SUMIFS(Data!$AB:$AB,Data!$AE:$AE,"1")/1000</f>
        <v>192.749</v>
      </c>
      <c r="C139" s="249">
        <f>Data!BQ76</f>
        <v>590933</v>
      </c>
      <c r="D139" s="249">
        <f>Data!BQ82</f>
        <v>704125</v>
      </c>
      <c r="E139" s="286">
        <f t="shared" ref="E139:E141" si="12">IFERROR(IF(OR(AND(D139="",C139=""),AND(D139=0,C139=0)),"",
IF(OR(D139="",D139=0),1,
IF(OR(D139&lt;&gt;"",D139&lt;&gt;0),(C139-D139)/ABS(D139)))),-1)</f>
        <v>-0.16075554766554234</v>
      </c>
      <c r="F139" s="249">
        <v>2955</v>
      </c>
      <c r="G139" s="249">
        <v>2956</v>
      </c>
      <c r="H139" s="249">
        <v>2395</v>
      </c>
      <c r="I139" s="249">
        <v>2482</v>
      </c>
    </row>
    <row r="140" spans="1:12" ht="14.25" x14ac:dyDescent="0.2">
      <c r="A140" s="248" t="s">
        <v>119</v>
      </c>
      <c r="B140" s="249">
        <f>SUMIFS(Data!$AA:$AA,Data!$AE:$AE,"1")/1000000</f>
        <v>38527.041596653995</v>
      </c>
      <c r="C140" s="249">
        <f>Data!BP76/1000000</f>
        <v>134434.75670024395</v>
      </c>
      <c r="D140" s="249">
        <f>Data!BP82/1000000</f>
        <v>255690.07541439898</v>
      </c>
      <c r="E140" s="286">
        <f t="shared" si="12"/>
        <v>-0.47422770914215406</v>
      </c>
      <c r="F140" s="249">
        <v>943312</v>
      </c>
      <c r="G140" s="249">
        <v>736984</v>
      </c>
      <c r="H140" s="249">
        <v>487818</v>
      </c>
      <c r="I140" s="249">
        <v>486903</v>
      </c>
    </row>
    <row r="141" spans="1:12" ht="14.25" x14ac:dyDescent="0.2">
      <c r="A141" s="248" t="s">
        <v>144</v>
      </c>
      <c r="B141" s="249">
        <f>SUMIFS(Data!$AK:$AK,Data!$AL:$AL,"1")</f>
        <v>81769</v>
      </c>
      <c r="C141" s="249">
        <f>B141</f>
        <v>81769</v>
      </c>
      <c r="D141" s="249">
        <f>Data!BP88</f>
        <v>85625</v>
      </c>
      <c r="E141" s="286">
        <f t="shared" si="12"/>
        <v>-4.5033576642335767E-2</v>
      </c>
      <c r="F141" s="249">
        <v>65553</v>
      </c>
      <c r="G141" s="249">
        <v>89089</v>
      </c>
      <c r="H141" s="249">
        <v>75388</v>
      </c>
      <c r="I141" s="249">
        <v>66538</v>
      </c>
    </row>
    <row r="142" spans="1:12" ht="14.25" x14ac:dyDescent="0.2">
      <c r="A142" s="248"/>
      <c r="B142" s="249"/>
      <c r="C142" s="249"/>
      <c r="D142" s="249"/>
      <c r="E142" s="248"/>
      <c r="F142" s="249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249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2594</v>
      </c>
      <c r="C144" s="249">
        <f>Data!BR79</f>
        <v>8675</v>
      </c>
      <c r="D144" s="249">
        <f>Data!BR85</f>
        <v>12165</v>
      </c>
      <c r="E144" s="286">
        <f>IFERROR(IF(OR(AND(D144="",C144=""),AND(D144=0,C144=0)),"",
IF(OR(D144="",D144=0),1,
IF(OR(D144&lt;&gt;"",D144&lt;&gt;0),(C144-D144)/ABS(D144)))),-1)</f>
        <v>-0.2868886148787505</v>
      </c>
      <c r="F144" s="249">
        <v>43815</v>
      </c>
      <c r="G144" s="249">
        <v>42966</v>
      </c>
      <c r="H144" s="249">
        <v>31365</v>
      </c>
      <c r="I144" s="249">
        <v>30380</v>
      </c>
    </row>
    <row r="145" spans="1:10" ht="14.25" x14ac:dyDescent="0.2">
      <c r="A145" s="248" t="s">
        <v>142</v>
      </c>
      <c r="B145" s="249">
        <f>SUMIFS(Data!$AB:$AB,Data!$AE:$AE,"0")/1000</f>
        <v>26.984999999999999</v>
      </c>
      <c r="C145" s="249">
        <f>Data!BQ79</f>
        <v>82007</v>
      </c>
      <c r="D145" s="249">
        <f>Data!BQ85</f>
        <v>163462</v>
      </c>
      <c r="E145" s="286">
        <f t="shared" ref="E145:E146" si="13">IFERROR(IF(OR(AND(D145="",C145=""),AND(D145=0,C145=0)),"",
IF(OR(D145="",D145=0),1,
IF(OR(D145&lt;&gt;"",D145&lt;&gt;0),(C145-D145)/ABS(D145)))),-1)</f>
        <v>-0.4983115341791976</v>
      </c>
      <c r="F145" s="249">
        <v>471</v>
      </c>
      <c r="G145" s="249">
        <v>544</v>
      </c>
      <c r="H145" s="249">
        <v>335</v>
      </c>
      <c r="I145" s="249">
        <v>307</v>
      </c>
    </row>
    <row r="146" spans="1:10" ht="14.25" x14ac:dyDescent="0.2">
      <c r="A146" s="248" t="s">
        <v>119</v>
      </c>
      <c r="B146" s="249">
        <f>SUMIFS(Data!$AA:$AA,Data!$AE:$AE,"0")/1000000</f>
        <v>263.93082419000001</v>
      </c>
      <c r="C146" s="249">
        <f>Data!BP79/1000000</f>
        <v>1212.73466431</v>
      </c>
      <c r="D146" s="249">
        <f>Data!BP85/1000000</f>
        <v>7621.7647107600005</v>
      </c>
      <c r="E146" s="286">
        <f t="shared" si="13"/>
        <v>-0.84088531851450021</v>
      </c>
      <c r="F146" s="249">
        <v>14527</v>
      </c>
      <c r="G146" s="249">
        <v>12378</v>
      </c>
      <c r="H146" s="249">
        <v>2724</v>
      </c>
      <c r="I146" s="249">
        <v>3357</v>
      </c>
    </row>
    <row r="147" spans="1:10" ht="14.25" x14ac:dyDescent="0.2">
      <c r="A147" s="248" t="s">
        <v>144</v>
      </c>
      <c r="B147" s="249">
        <f>SUMIFS(Data!$AK:$AK,Data!$AL:$AL,"0")</f>
        <v>51648</v>
      </c>
      <c r="C147" s="249">
        <f>B147</f>
        <v>51648</v>
      </c>
      <c r="D147" s="249">
        <f>Data!BP91</f>
        <v>98555</v>
      </c>
      <c r="E147" s="286">
        <f>IFERROR(IF(OR(AND(D147="",C147=""),AND(D147=0,C147=0)),"",
IF(OR(D147="",D147=0),1,
IF(OR(D147&lt;&gt;"",D147&lt;&gt;0),(C147-D147)/ABS(D147)))),-1)</f>
        <v>-0.47594744051544824</v>
      </c>
      <c r="F147" s="249">
        <v>36968</v>
      </c>
      <c r="G147" s="249">
        <v>87294</v>
      </c>
      <c r="H147" s="249">
        <v>57806</v>
      </c>
      <c r="I147" s="249">
        <v>52069</v>
      </c>
    </row>
    <row r="148" spans="1:10" x14ac:dyDescent="0.2">
      <c r="B148" s="3"/>
    </row>
    <row r="149" spans="1:10" ht="12.75" customHeight="1" x14ac:dyDescent="0.2">
      <c r="B149" s="3"/>
      <c r="F149" s="371" t="s">
        <v>200</v>
      </c>
      <c r="G149" s="371"/>
      <c r="H149" s="371"/>
      <c r="I149" s="125"/>
    </row>
    <row r="150" spans="1:10" ht="12.75" customHeight="1" x14ac:dyDescent="0.2">
      <c r="B150" s="3"/>
      <c r="F150" s="371"/>
      <c r="G150" s="371"/>
      <c r="H150" s="371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Mar 2017</v>
      </c>
      <c r="C153" s="282" t="str">
        <f>TEXT(DATE(2000,TEXT(H3,"M")-1,1),"mmm")&amp; " "&amp; TEXT(H3,"YYYY")</f>
        <v>Feb 2017</v>
      </c>
      <c r="D153" s="284" t="s">
        <v>121</v>
      </c>
      <c r="E153" s="282"/>
      <c r="F153" s="282"/>
      <c r="G153" s="282" t="str">
        <f>TEXT($H$3,"MMM")&amp;" "&amp;TEXT($H$3,"YYYY")</f>
        <v>Mar 2017</v>
      </c>
      <c r="H153" s="282" t="str">
        <f>TEXT($H$3,"MMM")&amp;" "&amp;TEXT($H$3,"YYYY")-1</f>
        <v>Mar 2016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225647.50724514597</v>
      </c>
      <c r="C154" s="322">
        <f>VLOOKUP("ABuy",Data!$J$7:$M$11,4,FALSE)/1000000</f>
        <v>186695.41238778565</v>
      </c>
      <c r="D154" s="186">
        <f>((B154/C154)-1)</f>
        <v>0.20863980726239162</v>
      </c>
      <c r="E154" s="322"/>
      <c r="F154" s="322"/>
      <c r="G154" s="322">
        <f>VLOOKUP("Abuy",Data!$J$13:$M$17,4,FALSE)/1000000</f>
        <v>218703.36954559499</v>
      </c>
      <c r="H154" s="322">
        <f>VLOOKUP("Abuy",Data!$J$19:$M$23,4,FALSE)/1000000</f>
        <v>178222.45078804001</v>
      </c>
      <c r="I154" s="200">
        <f>((G154/H154)-1)</f>
        <v>0.22713703340158276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233392.6287282072</v>
      </c>
      <c r="C155" s="322">
        <f>VLOOKUP("Asell",Data!$J$7:$M$11,4,FALSE)/1000000</f>
        <v>185916.66996603753</v>
      </c>
      <c r="D155" s="200">
        <f t="shared" ref="D155:D157" si="14">((B155/C155)-1)</f>
        <v>0.25536149486133963</v>
      </c>
      <c r="E155" s="322"/>
      <c r="F155" s="322"/>
      <c r="G155" s="322">
        <f>VLOOKUP("Asell",Data!$J$13:$M$17,4,FALSE)/1000000</f>
        <v>226135.35829404998</v>
      </c>
      <c r="H155" s="322">
        <f>VLOOKUP("Asell",Data!$J$19:$M$23,4,FALSE)/1000000</f>
        <v>177376.38151884999</v>
      </c>
      <c r="I155" s="200">
        <f t="shared" ref="I155:I157" si="15">((G155/H155)-1)</f>
        <v>0.27488990562150084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265961.69387219672</v>
      </c>
      <c r="C156" s="322">
        <f>VLOOKUP("Pbuy",Data!$J$7:$M$11,4,FALSE)/1000000</f>
        <v>213150.60906932293</v>
      </c>
      <c r="D156" s="200">
        <f t="shared" si="14"/>
        <v>0.24776417498154113</v>
      </c>
      <c r="E156" s="322"/>
      <c r="F156" s="322"/>
      <c r="G156" s="322">
        <f>VLOOKUP("Pbuy",Data!$J$13:$M$17,4,FALSE)/1000000</f>
        <v>249016.38726633502</v>
      </c>
      <c r="H156" s="322">
        <f>VLOOKUP("Pbuy",Data!$J$19:$M$23,4,FALSE)/1000000</f>
        <v>196821.62332111</v>
      </c>
      <c r="I156" s="200">
        <f t="shared" si="15"/>
        <v>0.26518815902697046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258216.57238913546</v>
      </c>
      <c r="C157" s="322">
        <f>VLOOKUP("Psell",Data!$J$7:$M$11,4,FALSE)/1000000</f>
        <v>213929.35149107105</v>
      </c>
      <c r="D157" s="200">
        <f t="shared" si="14"/>
        <v>0.20701797387495402</v>
      </c>
      <c r="E157" s="322"/>
      <c r="F157" s="322"/>
      <c r="G157" s="322">
        <f>VLOOKUP("Psell",Data!$J$13:$M$17,4,FALSE)/1000000</f>
        <v>241584.39851788001</v>
      </c>
      <c r="H157" s="322">
        <f>VLOOKUP("Psell",Data!$J$19:$M$23,4,FALSE)/1000000</f>
        <v>197667.69259029999</v>
      </c>
      <c r="I157" s="200">
        <f t="shared" si="15"/>
        <v>0.22217442492539674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90" t="s">
        <v>128</v>
      </c>
      <c r="E160" s="390"/>
      <c r="F160" s="284" t="s">
        <v>129</v>
      </c>
      <c r="G160" s="386" t="s">
        <v>130</v>
      </c>
      <c r="H160" s="386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9">
        <v>1959547</v>
      </c>
      <c r="E162" s="389"/>
      <c r="F162" s="335">
        <v>42349</v>
      </c>
      <c r="G162" s="389">
        <v>7331360</v>
      </c>
      <c r="H162" s="389"/>
      <c r="I162" s="198" t="s">
        <v>533</v>
      </c>
    </row>
    <row r="163" spans="1:10" ht="14.25" x14ac:dyDescent="0.2">
      <c r="A163" s="248" t="s">
        <v>523</v>
      </c>
      <c r="B163" s="206">
        <f>1025315917/1000</f>
        <v>1025315.917</v>
      </c>
      <c r="C163" s="335">
        <v>42122</v>
      </c>
      <c r="D163" s="389">
        <f>2513652909/1000000</f>
        <v>2513.6529089999999</v>
      </c>
      <c r="E163" s="389"/>
      <c r="F163" s="335">
        <v>42349</v>
      </c>
      <c r="G163" s="389">
        <v>9748834</v>
      </c>
      <c r="H163" s="389"/>
      <c r="I163" s="205" t="s">
        <v>131</v>
      </c>
    </row>
    <row r="164" spans="1:10" ht="14.25" x14ac:dyDescent="0.2">
      <c r="A164" s="248" t="s">
        <v>522</v>
      </c>
      <c r="B164" s="206">
        <v>64321</v>
      </c>
      <c r="C164" s="335">
        <v>42642</v>
      </c>
      <c r="D164" s="389">
        <v>165827</v>
      </c>
      <c r="E164" s="389"/>
      <c r="F164" s="335">
        <v>42631</v>
      </c>
      <c r="G164" s="389">
        <v>612552</v>
      </c>
      <c r="H164" s="389"/>
      <c r="I164" s="205" t="s">
        <v>533</v>
      </c>
    </row>
    <row r="165" spans="1:10" ht="14.25" x14ac:dyDescent="0.2">
      <c r="A165" s="248" t="s">
        <v>498</v>
      </c>
      <c r="B165" s="199">
        <f>15631907253004/1000000000000</f>
        <v>15.631907253004</v>
      </c>
      <c r="C165" s="335">
        <v>42447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Mar 2017</v>
      </c>
      <c r="G177" s="125"/>
      <c r="H177" s="125"/>
    </row>
    <row r="178" spans="1:11" ht="12.75" customHeight="1" x14ac:dyDescent="0.2">
      <c r="F178" s="371" t="s">
        <v>200</v>
      </c>
      <c r="G178" s="371"/>
      <c r="H178" s="371"/>
    </row>
    <row r="179" spans="1:11" ht="13.5" thickBot="1" x14ac:dyDescent="0.25">
      <c r="A179" s="369"/>
      <c r="F179" s="371"/>
      <c r="G179" s="371"/>
      <c r="H179" s="371"/>
    </row>
    <row r="180" spans="1:11" x14ac:dyDescent="0.2">
      <c r="K180" s="126"/>
    </row>
    <row r="181" spans="1:11" ht="13.5" thickBot="1" x14ac:dyDescent="0.25">
      <c r="A181" s="122" t="s">
        <v>660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80" t="s">
        <v>209</v>
      </c>
      <c r="G182" s="380"/>
      <c r="H182" s="380"/>
      <c r="I182" s="380"/>
    </row>
    <row r="183" spans="1:11" ht="15.75" thickBot="1" x14ac:dyDescent="0.3">
      <c r="A183" s="295"/>
      <c r="B183" s="320" t="str">
        <f>TEXT(DATE(2000,TEXT(H3,"M")-1,1),"mmm")&amp; " "&amp; TEXT(H3,"YYYY")</f>
        <v>Feb 2017</v>
      </c>
      <c r="C183" s="284" t="s">
        <v>16</v>
      </c>
      <c r="D183" s="320" t="str">
        <f>TEXT(DATE(2000,TEXT(H3,"M")-1,1),"mmm")&amp; " "&amp; TEXT(H3,"YYYY")-1</f>
        <v>Feb 2016</v>
      </c>
      <c r="E183" s="321" t="s">
        <v>16</v>
      </c>
      <c r="F183" s="295">
        <f>TEXT($H$3,"YYYY")-1</f>
        <v>2016</v>
      </c>
      <c r="G183" s="284">
        <f>TEXT($H$3,"YYYY")-2</f>
        <v>2015</v>
      </c>
      <c r="H183" s="295">
        <f>TEXT($H$3,"YYYY")-3</f>
        <v>2014</v>
      </c>
      <c r="I183" s="284">
        <f>TEXT($H$3,"YYYY")-4</f>
        <v>2013</v>
      </c>
    </row>
    <row r="184" spans="1:11" ht="14.25" x14ac:dyDescent="0.2">
      <c r="A184" s="248" t="s">
        <v>17</v>
      </c>
      <c r="B184" s="361">
        <v>1012977.50311017</v>
      </c>
      <c r="C184" s="345">
        <v>17</v>
      </c>
      <c r="D184" s="361">
        <v>875752</v>
      </c>
      <c r="E184" s="345">
        <v>17</v>
      </c>
      <c r="F184" s="305">
        <v>17</v>
      </c>
      <c r="G184" s="345">
        <v>18</v>
      </c>
      <c r="H184" s="305">
        <v>17</v>
      </c>
      <c r="I184" s="345">
        <v>19</v>
      </c>
      <c r="K184" s="126"/>
    </row>
    <row r="185" spans="1:11" ht="14.25" x14ac:dyDescent="0.2">
      <c r="A185" s="248" t="s">
        <v>18</v>
      </c>
      <c r="B185" s="361">
        <v>30705.893962432248</v>
      </c>
      <c r="C185" s="345">
        <v>19</v>
      </c>
      <c r="D185" s="361">
        <v>31625</v>
      </c>
      <c r="E185" s="345">
        <v>18</v>
      </c>
      <c r="F185" s="305">
        <v>21</v>
      </c>
      <c r="G185" s="345">
        <v>20</v>
      </c>
      <c r="H185" s="305">
        <v>24</v>
      </c>
      <c r="I185" s="345">
        <v>22</v>
      </c>
      <c r="K185" s="262"/>
    </row>
    <row r="186" spans="1:11" ht="14.25" x14ac:dyDescent="0.2">
      <c r="A186" s="248" t="s">
        <v>164</v>
      </c>
      <c r="B186" s="363">
        <v>0.33127112512260093</v>
      </c>
      <c r="C186" s="345">
        <v>31</v>
      </c>
      <c r="D186" s="370">
        <v>40</v>
      </c>
      <c r="E186" s="345">
        <v>28</v>
      </c>
      <c r="F186" s="305">
        <v>25</v>
      </c>
      <c r="G186" s="345">
        <v>22</v>
      </c>
      <c r="H186" s="305">
        <v>29</v>
      </c>
      <c r="I186" s="345">
        <v>26</v>
      </c>
      <c r="K186" s="262"/>
    </row>
    <row r="187" spans="1:11" ht="14.25" x14ac:dyDescent="0.2">
      <c r="A187" s="248" t="s">
        <v>165</v>
      </c>
      <c r="B187" s="363">
        <v>0.34118719852759077</v>
      </c>
      <c r="C187" s="345">
        <v>34</v>
      </c>
      <c r="D187" s="370">
        <v>40.6</v>
      </c>
      <c r="E187" s="345">
        <v>26</v>
      </c>
      <c r="F187" s="305">
        <v>28</v>
      </c>
      <c r="G187" s="345">
        <v>22</v>
      </c>
      <c r="H187" s="305">
        <v>29</v>
      </c>
      <c r="I187" s="345">
        <v>30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Mar 2017</v>
      </c>
      <c r="C196" s="282" t="str">
        <f>TEXT($H$3,"YYYY")</f>
        <v>2017</v>
      </c>
      <c r="D196" s="282">
        <f>TEXT($H$3,"YYYY")-1</f>
        <v>2016</v>
      </c>
      <c r="E196" s="284" t="s">
        <v>6</v>
      </c>
      <c r="F196" s="284">
        <f>TEXT($H$3,"YYYY")-1</f>
        <v>2016</v>
      </c>
      <c r="G196" s="284">
        <f>TEXT($H$3,"YYYY")-2</f>
        <v>2015</v>
      </c>
      <c r="H196" s="284">
        <f>TEXT($H$3,"YYYY")-3</f>
        <v>2014</v>
      </c>
      <c r="I196" s="284">
        <f>TEXT($H$3,"YYYY")-4</f>
        <v>2013</v>
      </c>
    </row>
    <row r="197" spans="1:9" ht="14.25" x14ac:dyDescent="0.2">
      <c r="A197" s="248" t="s">
        <v>21</v>
      </c>
      <c r="B197" s="195">
        <f>SUMIF(Data!$DG$1:$DG$15,"AS",Data!$DH$1:$DH$15)/1000000</f>
        <v>2812.23868425</v>
      </c>
      <c r="C197" s="361">
        <f>SUMIF(Data!$DJ$1:$DJ$15,"AS",Data!$DK$1:$DK$15)/1000000</f>
        <v>3143.6408260100002</v>
      </c>
      <c r="D197" s="361">
        <f>SUMIF(Data!$DM$1:$DM$15,"AS",Data!$DN$1:$DN$15)/1000000</f>
        <v>3624.5967789199999</v>
      </c>
      <c r="E197" s="363">
        <f>IFERROR(IF(OR(AND(D197="",C197=""),AND(D197=0,C197=0)),0,
IF(OR(D197="",D197=0),1,
IF(OR(D197&lt;&gt;"",D197&lt;&gt;0),(C197-D197)/ABS(D197)))),-1)</f>
        <v>-0.13269226406290285</v>
      </c>
      <c r="F197" s="206">
        <v>13085</v>
      </c>
      <c r="G197" s="361">
        <v>93130</v>
      </c>
      <c r="H197" s="361">
        <v>33385</v>
      </c>
      <c r="I197" s="361">
        <v>38563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1901.5427292100001</v>
      </c>
      <c r="D198" s="361">
        <f>(SUMIF(Data!$DM$1:$DM$15,"RT",Data!$DN$1:$DN$15)+SUMIF(Data!$DM$1:$DM$15,"TU",Data!$DN$1:$DN$15))/1000000</f>
        <v>5844.3638913800005</v>
      </c>
      <c r="E198" s="363">
        <f t="shared" ref="E198:E201" si="16">IFERROR(IF(OR(AND(D198="",C198=""),AND(D198=0,C198=0)),0,
IF(OR(D198="",D198=0),1,
IF(OR(D198&lt;&gt;"",D198&lt;&gt;0),(C198-D198)/ABS(D198)))),-1)</f>
        <v>-0.67463649345746013</v>
      </c>
      <c r="F198" s="206">
        <v>24160</v>
      </c>
      <c r="G198" s="361">
        <v>35842</v>
      </c>
      <c r="H198" s="361">
        <v>43473</v>
      </c>
      <c r="I198" s="361">
        <v>15510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206" t="s">
        <v>534</v>
      </c>
      <c r="G199" s="185" t="s">
        <v>535</v>
      </c>
      <c r="H199" s="185" t="s">
        <v>535</v>
      </c>
      <c r="I199" s="185" t="s">
        <v>534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2061.6905262099999</v>
      </c>
      <c r="C200" s="361">
        <f>(SUMIF(Data!$DJ$1:$DJ$15,"SO",Data!$DK$1:$DK$15)+SUMIF(Data!$DJ$1:$DJ$15,"SS",Data!$DK$1:$DK$15))/1000000</f>
        <v>2798.2899269600002</v>
      </c>
      <c r="D200" s="361">
        <f>(SUMIF(Data!$DM$1:$DM$15,"SO",Data!$DN$1:$DN$15)+SUMIF(Data!$DM$1:$DM$15,"SS",Data!$DN$1:$DN$15))/1000000</f>
        <v>2081.7763212700002</v>
      </c>
      <c r="E200" s="363">
        <f t="shared" si="16"/>
        <v>0.34418376190045558</v>
      </c>
      <c r="F200" s="206">
        <v>9374</v>
      </c>
      <c r="G200" s="361">
        <v>11688</v>
      </c>
      <c r="H200" s="361">
        <v>9553</v>
      </c>
      <c r="I200" s="361">
        <v>8322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7639.6756681800007</v>
      </c>
      <c r="C201" s="361">
        <f>(SUMIF(Data!$DJ$1:$DJ$15,"SI",Data!$DK$1:$DK$15)+SUMIF(Data!$DJ$1:$DJ$15,"GI",Data!$DK$1:$DK$15))/1000000</f>
        <v>8724.5473564300009</v>
      </c>
      <c r="D201" s="361">
        <f>(SUMIF(Data!$DM$1:$DM$15,"SI",Data!$DN$1:$DN$15)+SUMIF(Data!$DM$1:$DM$15,"GI",Data!$DN$1:$DN$15))/1000000</f>
        <v>5973.4728533400003</v>
      </c>
      <c r="E201" s="363">
        <f t="shared" si="16"/>
        <v>0.46054859051577818</v>
      </c>
      <c r="F201" s="206">
        <v>69649</v>
      </c>
      <c r="G201" s="361">
        <v>109530</v>
      </c>
      <c r="H201" s="361">
        <v>66949</v>
      </c>
      <c r="I201" s="361">
        <v>30691</v>
      </c>
    </row>
    <row r="202" spans="1:9" ht="15" x14ac:dyDescent="0.25">
      <c r="A202" s="288" t="s">
        <v>25</v>
      </c>
      <c r="B202" s="362">
        <f>SUM(B197:B201)</f>
        <v>12513.604878640001</v>
      </c>
      <c r="C202" s="362">
        <f>SUM(C197:C201)</f>
        <v>16568.020838610002</v>
      </c>
      <c r="D202" s="362">
        <f>SUM(D197:D201)</f>
        <v>17524.209844910001</v>
      </c>
      <c r="E202" s="364">
        <f>IFERROR(IF(OR(AND(D202="",C202=""),AND(D202=0,C202=0)),0,
IF(OR(D202="",D202=0),1,
IF(OR(D202&lt;&gt;"",D202&lt;&gt;0),(C202-D202)/ABS(D202)))),-1)</f>
        <v>-5.4563887031844081E-2</v>
      </c>
      <c r="F202" s="362">
        <v>116269</v>
      </c>
      <c r="G202" s="362">
        <v>250190</v>
      </c>
      <c r="H202" s="362">
        <v>153360</v>
      </c>
      <c r="I202" s="362">
        <v>93086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367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367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Mar 2017</v>
      </c>
      <c r="C209" s="282" t="str">
        <f>TEXT($H$3,"YYYY")</f>
        <v>2017</v>
      </c>
      <c r="D209" s="282">
        <f>TEXT($H$3,"YYYY")-1</f>
        <v>2016</v>
      </c>
      <c r="E209" s="368" t="s">
        <v>6</v>
      </c>
      <c r="F209" s="284">
        <f>TEXT($H$3,"YYYY")-1</f>
        <v>2016</v>
      </c>
      <c r="G209" s="284">
        <f>TEXT($H$3,"YYYY")-2</f>
        <v>2015</v>
      </c>
      <c r="H209" s="284">
        <f>TEXT($H$3,"YYYY")-3</f>
        <v>2014</v>
      </c>
      <c r="I209" s="284">
        <f>TEXT($H$3,"YYYY")-4</f>
        <v>2013</v>
      </c>
    </row>
    <row r="210" spans="1:9" ht="14.25" x14ac:dyDescent="0.2">
      <c r="A210" s="248" t="s">
        <v>172</v>
      </c>
      <c r="B210" s="286">
        <f>250*Data!CE9/Data!CH2/Data!CD18</f>
        <v>0.40335512642323335</v>
      </c>
      <c r="C210" s="286">
        <v>0.36709999999999998</v>
      </c>
      <c r="D210" s="286">
        <v>0.41199999999999998</v>
      </c>
      <c r="E210" s="286">
        <f>IFERROR(IF(OR(AND(D210="",C210=""),AND(D210=0,C210=0)),"",
IF(OR(D210="",D210=0),1,
IF(OR(D210&lt;&gt;"",D210&lt;&gt;0),(C210-D210)/ABS(D210)))),-1)</f>
        <v>-0.10898058252427184</v>
      </c>
      <c r="F210" s="324">
        <v>34.9</v>
      </c>
      <c r="G210" s="324">
        <v>42.8</v>
      </c>
      <c r="H210" s="324">
        <v>36.6</v>
      </c>
      <c r="I210" s="324">
        <v>39.4</v>
      </c>
    </row>
    <row r="211" spans="1:9" ht="14.25" x14ac:dyDescent="0.2">
      <c r="A211" s="247" t="s">
        <v>173</v>
      </c>
      <c r="B211" s="286">
        <v>0.38369999999999999</v>
      </c>
      <c r="C211" s="286">
        <v>0.34649999999999997</v>
      </c>
      <c r="D211" s="286">
        <v>0.3866</v>
      </c>
      <c r="E211" s="286">
        <f>IFERROR(IF(OR(AND(D211="",C211=""),AND(D211=0,C211=0)),"",
IF(OR(D211="",D211=0),1,
IF(OR(D211&lt;&gt;"",D211&lt;&gt;0),(C211-D211)/ABS(D211)))),-1)</f>
        <v>-0.10372478013450601</v>
      </c>
      <c r="F211" s="324">
        <v>32.6</v>
      </c>
      <c r="G211" s="324">
        <v>39.9</v>
      </c>
      <c r="H211" s="324">
        <v>33.9</v>
      </c>
      <c r="I211" s="324">
        <v>33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659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367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367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Mar 2017</v>
      </c>
      <c r="C219" s="282" t="str">
        <f>TEXT($H$3,"YYYY")</f>
        <v>2017</v>
      </c>
      <c r="D219" s="282">
        <f>TEXT($H$3,"YYYY")-1</f>
        <v>2016</v>
      </c>
      <c r="E219" s="368" t="s">
        <v>6</v>
      </c>
      <c r="F219" s="284">
        <f>TEXT($H$3,"YYYY")-1</f>
        <v>2016</v>
      </c>
      <c r="G219" s="284">
        <f>TEXT($H$3,"YYYY")-2</f>
        <v>2015</v>
      </c>
      <c r="H219" s="284">
        <f>TEXT($H$3,"YYYY")-3</f>
        <v>2014</v>
      </c>
      <c r="I219" s="284">
        <f>TEXT($H$3,"YYYY")-4</f>
        <v>2013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330</v>
      </c>
      <c r="C221" s="249">
        <f>SUMIF(Data!$BT$9:$BT$14,"&lt;&gt;AltX",Data!BU9:BU14)</f>
        <v>330</v>
      </c>
      <c r="D221" s="249">
        <f>SUMIF(Data!$BT$17:$BT$23,"&lt;&gt;AltX",Data!$BU$17:$BU$24)</f>
        <v>331</v>
      </c>
      <c r="E221" s="286">
        <f>IFERROR(IF(OR(AND(D221="",C221=""),AND(D221=0,C221=0)),"",
IF(OR(D221="",D221=0),1,
IF(OR(D221&lt;&gt;"",D221&lt;&gt;0),(C221-D221)/ABS(D221)))),-1)</f>
        <v>-3.0211480362537764E-3</v>
      </c>
      <c r="F221" s="249">
        <v>328</v>
      </c>
      <c r="G221" s="249">
        <v>331</v>
      </c>
      <c r="H221" s="249">
        <v>333</v>
      </c>
      <c r="I221" s="249">
        <v>329</v>
      </c>
    </row>
    <row r="222" spans="1:9" ht="14.25" x14ac:dyDescent="0.2">
      <c r="A222" s="248" t="s">
        <v>30</v>
      </c>
      <c r="B222" s="249">
        <f ca="1">SUMIF(Data!$BT$1:$BT$7,"&lt;&gt;AltX",Data!$BV$1:$BV$6)</f>
        <v>2</v>
      </c>
      <c r="C222" s="249">
        <f>SUMIF(Data!$BT$9:$BT$14,"&lt;&gt;AltX",Data!BV9:BV14)</f>
        <v>2</v>
      </c>
      <c r="D222" s="249">
        <f>SUMIF(Data!$BT$17:$BT$23,"&lt;&gt;AltX",Data!$BV$17:$BV$23)</f>
        <v>2</v>
      </c>
      <c r="E222" s="286">
        <f t="shared" ref="E222" si="17">IFERROR(IF(OR(AND(D222="",C222=""),AND(D222=0,C222=0)),"",
IF(OR(D222="",D222=0),1,
IF(OR(D222&lt;&gt;"",D222&lt;&gt;0),(C222-D222)/ABS(D222)))),-1)</f>
        <v>0</v>
      </c>
      <c r="F222" s="249">
        <v>11</v>
      </c>
      <c r="G222" s="249">
        <v>15</v>
      </c>
      <c r="H222" s="249">
        <v>18</v>
      </c>
      <c r="I222" s="249">
        <v>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2</v>
      </c>
      <c r="D223" s="249">
        <f>SUMIF(Data!$BT$17:$BT$23,"&lt;&gt;AltX",Data!$BW$17:$BW$23)</f>
        <v>2</v>
      </c>
      <c r="E223" s="286">
        <f>IFERROR(IF(OR(AND(D223="",C223=""),AND(D223=0,C223=0)),"",
IF(OR(D223="",D223=0),1,
IF(OR(D223&lt;&gt;"",D223&lt;&gt;0),(C223-D223)/ABS(D223)))),-1)</f>
        <v>0</v>
      </c>
      <c r="F223" s="249">
        <v>17</v>
      </c>
      <c r="G223" s="249">
        <v>18</v>
      </c>
      <c r="H223" s="249">
        <v>20</v>
      </c>
      <c r="I223" s="249">
        <v>18</v>
      </c>
    </row>
    <row r="224" spans="1:9" ht="14.25" x14ac:dyDescent="0.2">
      <c r="A224" s="248"/>
      <c r="B224" s="249"/>
      <c r="C224" s="249"/>
      <c r="D224" s="249"/>
      <c r="E224" s="325"/>
      <c r="F224" s="249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249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55</v>
      </c>
      <c r="C226" s="249">
        <f>SUMIF(Data!$BT$9:$BT$14,"AltX",Data!BU9:BU14)</f>
        <v>55</v>
      </c>
      <c r="D226" s="249">
        <f>SUMIF(Data!$BT$17:$BT$23,"AltX",Data!$BU$17:$BU$24)</f>
        <v>65</v>
      </c>
      <c r="E226" s="286">
        <f t="shared" ref="E226:E227" si="18">IFERROR(IF(OR(AND(D226="",C226=""),AND(D226=0,C226=0)),"",
IF(OR(D226="",D226=0),1,
IF(OR(D226&lt;&gt;"",D226&lt;&gt;0),(C226-D226)/ABS(D226)))),-1)</f>
        <v>-0.15384615384615385</v>
      </c>
      <c r="F226" s="249">
        <v>60</v>
      </c>
      <c r="G226" s="249">
        <v>64</v>
      </c>
      <c r="H226" s="249">
        <v>58</v>
      </c>
      <c r="I226" s="249">
        <v>60</v>
      </c>
    </row>
    <row r="227" spans="1:9" ht="14.25" x14ac:dyDescent="0.2">
      <c r="A227" s="248" t="s">
        <v>30</v>
      </c>
      <c r="B227" s="249">
        <f ca="1">SUMIF(Data!$BT$1:$BT$7,"AltX",Data!$BV$1:$BV$6)</f>
        <v>1</v>
      </c>
      <c r="C227" s="249">
        <f>SUMIF(Data!$BT$9:$BT$14,"AltX",Data!BV9:BV14)</f>
        <v>1</v>
      </c>
      <c r="D227" s="249">
        <f>SUMIF(Data!$BT$17:$BT$23,"AltX",Data!$BV$17:$BV$23)</f>
        <v>2</v>
      </c>
      <c r="E227" s="286">
        <f t="shared" si="18"/>
        <v>-0.5</v>
      </c>
      <c r="F227" s="249">
        <v>7</v>
      </c>
      <c r="G227" s="249">
        <v>8</v>
      </c>
      <c r="H227" s="249">
        <v>6</v>
      </c>
      <c r="I227" s="249">
        <v>5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3</v>
      </c>
      <c r="D228" s="249">
        <f>SUMIF(Data!$BT$17:$BT$23,"AltX",Data!$BW$17:$BW$23)</f>
        <v>0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249">
        <v>8</v>
      </c>
      <c r="G228" s="249">
        <v>1</v>
      </c>
      <c r="H228" s="249">
        <v>2</v>
      </c>
      <c r="I228" s="249">
        <v>8</v>
      </c>
    </row>
    <row r="229" spans="1:9" ht="14.25" x14ac:dyDescent="0.2">
      <c r="A229" s="248"/>
      <c r="B229" s="249"/>
      <c r="C229" s="249"/>
      <c r="D229" s="249"/>
      <c r="E229" s="325"/>
      <c r="F229" s="249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249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3</v>
      </c>
      <c r="C231" s="249">
        <f t="shared" si="20"/>
        <v>3</v>
      </c>
      <c r="D231" s="249">
        <f t="shared" si="20"/>
        <v>4</v>
      </c>
      <c r="E231" s="286">
        <f t="shared" ref="E231:E234" si="21">IFERROR(IF(OR(AND(D231="",C231=""),AND(D231=0,C231=0)),"",
IF(OR(D231="",D231=0),1,
IF(OR(D231&lt;&gt;"",D231&lt;&gt;0),(C231-D231)/ABS(D231)))),-1)</f>
        <v>-0.25</v>
      </c>
      <c r="F231" s="249">
        <v>18</v>
      </c>
      <c r="G231" s="249">
        <v>23</v>
      </c>
      <c r="H231" s="249">
        <v>24</v>
      </c>
      <c r="I231" s="249">
        <v>13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5</v>
      </c>
      <c r="D232" s="249">
        <f t="shared" si="20"/>
        <v>2</v>
      </c>
      <c r="E232" s="286">
        <f>IFERROR(IF(OR(AND(D232="",C232=""),AND(D232=0,C232=0)),"",
IF(OR(D232="",D232=0),1,
IF(OR(D232&lt;&gt;"",D232&lt;&gt;0),(C232-D232)/ABS(D232)))),-1)</f>
        <v>1.5</v>
      </c>
      <c r="F232" s="249">
        <v>25</v>
      </c>
      <c r="G232" s="249">
        <v>19</v>
      </c>
      <c r="H232" s="249">
        <v>22</v>
      </c>
      <c r="I232" s="249">
        <v>26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73</v>
      </c>
      <c r="E233" s="286">
        <f t="shared" si="21"/>
        <v>2.7397260273972601E-2</v>
      </c>
      <c r="F233" s="249">
        <v>76</v>
      </c>
      <c r="G233" s="249">
        <v>71</v>
      </c>
      <c r="H233" s="249">
        <v>62</v>
      </c>
      <c r="I233" s="249">
        <v>56</v>
      </c>
    </row>
    <row r="234" spans="1:9" ht="14.25" x14ac:dyDescent="0.2">
      <c r="A234" s="248" t="s">
        <v>34</v>
      </c>
      <c r="B234" s="249">
        <v>311</v>
      </c>
      <c r="C234" s="249">
        <v>311</v>
      </c>
      <c r="D234" s="249">
        <v>324</v>
      </c>
      <c r="E234" s="286">
        <f t="shared" si="21"/>
        <v>-4.0123456790123455E-2</v>
      </c>
      <c r="F234" s="249">
        <v>312</v>
      </c>
      <c r="G234" s="249">
        <v>324</v>
      </c>
      <c r="H234" s="249">
        <v>329</v>
      </c>
      <c r="I234" s="249">
        <v>333</v>
      </c>
    </row>
    <row r="235" spans="1:9" ht="15" x14ac:dyDescent="0.25">
      <c r="A235" s="288" t="s">
        <v>35</v>
      </c>
      <c r="B235" s="250">
        <v>386</v>
      </c>
      <c r="C235" s="250">
        <v>386</v>
      </c>
      <c r="D235" s="250">
        <v>397</v>
      </c>
      <c r="E235" s="326">
        <f>IFERROR(IF(OR(AND(D235="",C235=""),AND(D235=0,C235=0)),"",
IF(OR(D235="",D235=0),1,
IF(OR(D235&lt;&gt;"",D235&lt;&gt;0),(C235-D235)/ABS(D235)))),-1)</f>
        <v>-2.7707808564231738E-2</v>
      </c>
      <c r="F235" s="250">
        <v>388</v>
      </c>
      <c r="G235" s="250">
        <v>395</v>
      </c>
      <c r="H235" s="250">
        <v>391</v>
      </c>
      <c r="I235" s="250">
        <v>389</v>
      </c>
    </row>
    <row r="236" spans="1:9" ht="15" x14ac:dyDescent="0.25">
      <c r="A236" s="288"/>
      <c r="B236" s="249"/>
      <c r="C236" s="249"/>
      <c r="D236" s="250"/>
      <c r="E236" s="248"/>
      <c r="F236" s="249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823</v>
      </c>
      <c r="C237" s="250">
        <f>Data!CD2</f>
        <v>823</v>
      </c>
      <c r="D237" s="250">
        <v>870</v>
      </c>
      <c r="E237" s="326">
        <f>IFERROR(IF(OR(AND(D237="",C237=""),AND(D237=0,C237=0)),"",
IF(OR(D237="",D237=0),1,
IF(OR(D237&lt;&gt;"",D237&lt;&gt;0),(C237-D237)/ABS(D237)))),-1)</f>
        <v>-5.4022988505747126E-2</v>
      </c>
      <c r="F237" s="250">
        <v>816</v>
      </c>
      <c r="G237" s="250">
        <v>858</v>
      </c>
      <c r="H237" s="250">
        <v>863</v>
      </c>
      <c r="I237" s="250">
        <v>881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13809.413642996107</v>
      </c>
      <c r="C239" s="327"/>
      <c r="D239" s="327">
        <f>Data!CE5/1000000000</f>
        <v>15259.928321529749</v>
      </c>
      <c r="E239" s="326">
        <f>IFERROR(IF(OR(AND(D239="",B239=""),AND(D239=0,B239=0)),"",
IF(OR(D239="",D239=0),1,
IF(OR(D239&lt;&gt;"",D239&lt;&gt;0),(B239-D239)/ABS(D239)))),-1)</f>
        <v>-9.5053833017495676E-2</v>
      </c>
      <c r="F239" s="327">
        <v>13580.6</v>
      </c>
      <c r="G239" s="327">
        <v>11727.6</v>
      </c>
      <c r="H239" s="327">
        <v>11505</v>
      </c>
      <c r="I239" s="327">
        <v>10626.2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Mar 2017</v>
      </c>
      <c r="E262" s="371" t="s">
        <v>201</v>
      </c>
      <c r="F262" s="371"/>
      <c r="G262" s="371"/>
      <c r="H262" s="371"/>
      <c r="I262" s="125"/>
    </row>
    <row r="263" spans="1:13" ht="13.5" thickBot="1" x14ac:dyDescent="0.25">
      <c r="A263" s="116"/>
      <c r="B263" s="116"/>
      <c r="C263" s="116"/>
      <c r="D263" s="116"/>
      <c r="E263" s="372"/>
      <c r="F263" s="372"/>
      <c r="G263" s="372"/>
      <c r="H263" s="372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75" t="s">
        <v>203</v>
      </c>
      <c r="H264" s="375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75" t="s">
        <v>40</v>
      </c>
      <c r="F265" s="381" t="str">
        <f>"Index Close   "&amp;TEXT($H$3,"MMM")&amp;" "&amp;TEXT($H$3,"YYYY")</f>
        <v>Index Close   Mar 2017</v>
      </c>
      <c r="G265" s="375"/>
      <c r="H265" s="375"/>
      <c r="I265" s="383" t="s">
        <v>41</v>
      </c>
    </row>
    <row r="266" spans="1:13" ht="15.75" thickBot="1" x14ac:dyDescent="0.3">
      <c r="A266" s="330"/>
      <c r="B266" s="331"/>
      <c r="C266" s="331"/>
      <c r="D266" s="197"/>
      <c r="E266" s="376"/>
      <c r="F266" s="382"/>
      <c r="G266" s="376"/>
      <c r="H266" s="376"/>
      <c r="I266" s="384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52056.057170990003</v>
      </c>
      <c r="G268" s="286">
        <f>IF(IFERROR(VLOOKUP(E268,Data!$O$23:$P$196,2,FALSE),0)=0,0,(F268-IFERROR(VLOOKUP(E268,Data!$O$23:$P$196,2,FALSE),0))/ABS(IFERROR(VLOOKUP(E268,Data!$O$23:$P$196,2,FALSE),0)))</f>
        <v>1.7792417100573641E-2</v>
      </c>
      <c r="H268" s="184">
        <f>VLOOKUP(E268,Data!$B$23:$E$273,3,FALSE)</f>
        <v>55188.336977819999</v>
      </c>
      <c r="I268" s="333">
        <f>VLOOKUP(E268,Data!$B$23:$E$273,2,FALSE)</f>
        <v>42118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77396.758956360005</v>
      </c>
      <c r="G269" s="286">
        <f>IF(IFERROR(VLOOKUP(E269,Data!$O$23:$P$196,2,FALSE),0)=0,0,(F269-IFERROR(VLOOKUP(E269,Data!$O$23:$P$196,2,FALSE),0))/ABS(IFERROR(VLOOKUP(E269,Data!$O$23:$P$196,2,FALSE),0)))</f>
        <v>-8.6734790770433192E-3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64059.531728239999</v>
      </c>
      <c r="G270" s="334">
        <f>IF(IFERROR(VLOOKUP(E270,Data!$O$23:$P$196,2,FALSE),0)=0,0,(F270-IFERROR(VLOOKUP(E270,Data!$O$23:$P$196,2,FALSE),0))/ABS(IFERROR(VLOOKUP(E270,Data!$O$23:$P$196,2,FALSE),0)))</f>
        <v>-2.8385859183632164E-3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7928.8577273499995</v>
      </c>
      <c r="G271" s="286">
        <f>IF(IFERROR(VLOOKUP(E271,Data!$O$23:$P$196,2,FALSE),0)=0,0,(F271-IFERROR(VLOOKUP(E271,Data!$O$23:$P$196,2,FALSE),0))/ABS(IFERROR(VLOOKUP(E271,Data!$O$23:$P$196,2,FALSE),0)))</f>
        <v>-2.5335075150544277E-2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26578.46443575</v>
      </c>
      <c r="G272" s="286">
        <f>IF(IFERROR(VLOOKUP(E272,Data!$O$23:$P$196,2,FALSE),0)=0,0,(F272-IFERROR(VLOOKUP(E272,Data!$O$23:$P$196,2,FALSE),0))/ABS(IFERROR(VLOOKUP(E272,Data!$O$23:$P$196,2,FALSE),0)))</f>
        <v>1.3756933942379736E-2</v>
      </c>
      <c r="H272" s="184">
        <f>VLOOKUP(E272,Data!$B$23:$E$273,3,FALSE)</f>
        <v>27992.528654580001</v>
      </c>
      <c r="I272" s="333">
        <f>VLOOKUP(E272,Data!$B$23:$E$273,2,FALSE)</f>
        <v>42118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11548.71514385</v>
      </c>
      <c r="G273" s="286">
        <f>IF(IFERROR(VLOOKUP(E273,Data!$O$23:$P$196,2,FALSE),0)=0,0,(F273-IFERROR(VLOOKUP(E273,Data!$O$23:$P$196,2,FALSE),0))/ABS(IFERROR(VLOOKUP(E273,Data!$O$23:$P$196,2,FALSE),0)))</f>
        <v>1.3528301440362978E-2</v>
      </c>
      <c r="H273" s="184">
        <f>VLOOKUP(E273,Data!$B$23:$E$273,3,FALSE)</f>
        <v>12381.899096659999</v>
      </c>
      <c r="I273" s="333">
        <f>VLOOKUP(E273,Data!$B$23:$E$273,2,FALSE)</f>
        <v>42118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45167.148358209997</v>
      </c>
      <c r="G276" s="286">
        <f>IF(IFERROR(VLOOKUP(E276,Data!$O$23:$P$196,2,FALSE),0)=0,0,(F276-IFERROR(VLOOKUP(E276,Data!$O$23:$P$196,2,FALSE),0))/ABS(IFERROR(VLOOKUP(E276,Data!$O$23:$P$196,2,FALSE),0)))</f>
        <v>2.3470428336906005E-2</v>
      </c>
      <c r="H276" s="184">
        <f>VLOOKUP(E276,Data!$B$23:$E$273,3,FALSE)</f>
        <v>49081.0138716</v>
      </c>
      <c r="I276" s="333">
        <f>VLOOKUP(E276,Data!$B$23:$E$273,2,FALSE)</f>
        <v>42312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24063.049847779999</v>
      </c>
      <c r="G277" s="286">
        <f>IF(IFERROR(VLOOKUP(E277,Data!$O$23:$P$196,2,FALSE),0)=0,0,(F277-IFERROR(VLOOKUP(E277,Data!$O$23:$P$196,2,FALSE),0))/ABS(IFERROR(VLOOKUP(E277,Data!$O$23:$P$196,2,FALSE),0)))</f>
        <v>1.616943007224126E-2</v>
      </c>
      <c r="H277" s="184">
        <f>VLOOKUP(E277,Data!$B$23:$E$273,3,FALSE)</f>
        <v>26143.228642859998</v>
      </c>
      <c r="I277" s="333">
        <f>VLOOKUP(E277,Data!$B$23:$E$273,2,FALSE)</f>
        <v>42118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10123.53589012</v>
      </c>
      <c r="G278" s="286">
        <f>IF(IFERROR(VLOOKUP(E278,Data!$O$23:$P$196,2,FALSE),0)=0,0,(F278-IFERROR(VLOOKUP(E278,Data!$O$23:$P$196,2,FALSE),0))/ABS(IFERROR(VLOOKUP(E278,Data!$O$23:$P$196,2,FALSE),0)))</f>
        <v>1.7689895583734159E-2</v>
      </c>
      <c r="H278" s="184">
        <f>VLOOKUP(E278,Data!$B$23:$E$273,3,FALSE)</f>
        <v>11199.97726648</v>
      </c>
      <c r="I278" s="333">
        <f>VLOOKUP(E278,Data!$B$23:$E$273,2,FALSE)</f>
        <v>42118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32322.782164479999</v>
      </c>
      <c r="G279" s="286">
        <f>IF(IFERROR(VLOOKUP(E279,Data!$O$23:$P$196,2,FALSE),0)=0,0,(F279-IFERROR(VLOOKUP(E279,Data!$O$23:$P$196,2,FALSE),0))/ABS(IFERROR(VLOOKUP(E279,Data!$O$23:$P$196,2,FALSE),0)))</f>
        <v>2.1173105927259288E-2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1380.8936204500001</v>
      </c>
      <c r="G280" s="286">
        <f>IF(IFERROR(VLOOKUP(E280,Data!$O$23:$P$196,2,FALSE),0)=0,0,(F280-IFERROR(VLOOKUP(E280,Data!$O$23:$P$196,2,FALSE),0))/ABS(IFERROR(VLOOKUP(E280,Data!$O$23:$P$196,2,FALSE),0)))</f>
        <v>4.9329511741184169E-2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68354.203265529999</v>
      </c>
      <c r="G281" s="286">
        <f>IF(IFERROR(VLOOKUP(E281,Data!$O$23:$P$196,2,FALSE),0)=0,0,(F281-IFERROR(VLOOKUP(E281,Data!$O$23:$P$196,2,FALSE),0))/ABS(IFERROR(VLOOKUP(E281,Data!$O$23:$P$196,2,FALSE),0)))</f>
        <v>4.0115129001665535E-2</v>
      </c>
      <c r="H281" s="184">
        <f>VLOOKUP(E281,Data!$B$23:$E$273,3,FALSE)</f>
        <v>74332.170788069998</v>
      </c>
      <c r="I281" s="333">
        <f>VLOOKUP(E281,Data!$B$23:$E$273,2,FALSE)</f>
        <v>42520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14583.349527079999</v>
      </c>
      <c r="G282" s="286">
        <f>IF(IFERROR(VLOOKUP(E282,Data!$O$23:$P$196,2,FALSE),0)=0,0,(F282-IFERROR(VLOOKUP(E282,Data!$O$23:$P$196,2,FALSE),0))/ABS(IFERROR(VLOOKUP(E282,Data!$O$23:$P$196,2,FALSE),0)))</f>
        <v>-2.2223182946319541E-2</v>
      </c>
      <c r="H282" s="184">
        <f>VLOOKUP(E282,Data!$B$23:$E$273,3,FALSE)</f>
        <v>17911.36431723</v>
      </c>
      <c r="I282" s="333">
        <f>VLOOKUP(E282,Data!$B$23:$E$273,2,FALSE)</f>
        <v>42118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71172.764843829995</v>
      </c>
      <c r="G283" s="286">
        <f>IF(IFERROR(VLOOKUP(E283,Data!$O$23:$P$196,2,FALSE),0)=0,0,(F283-IFERROR(VLOOKUP(E283,Data!$O$23:$P$196,2,FALSE),0))/ABS(IFERROR(VLOOKUP(E283,Data!$O$23:$P$196,2,FALSE),0)))</f>
        <v>2.5562912276645807E-2</v>
      </c>
      <c r="H283" s="184">
        <f>VLOOKUP(E283,Data!$B$23:$E$273,3,FALSE)</f>
        <v>77813.852225080002</v>
      </c>
      <c r="I283" s="333">
        <f>VLOOKUP(E283,Data!$B$23:$E$273,2,FALSE)</f>
        <v>42312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12613.61476217</v>
      </c>
      <c r="I286" s="335">
        <f>VLOOKUP(E286,Data!$B$23:$E$273,2,FALSE)</f>
        <v>42195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23061.875943530002</v>
      </c>
      <c r="G287" s="286">
        <f>IF(IFERROR(VLOOKUP(E287,Data!$O$23:$P$196,2,FALSE),0)=0,0,(F287-IFERROR(VLOOKUP(E287,Data!$O$23:$P$196,2,FALSE),0))/ABS(IFERROR(VLOOKUP(E287,Data!$O$23:$P$196,2,FALSE),0)))</f>
        <v>1.7776440341007463E-2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46170.515642619997</v>
      </c>
      <c r="G288" s="286">
        <f>IF(IFERROR(VLOOKUP(E288,Data!$O$23:$P$196,2,FALSE),0)=0,0,(F288-IFERROR(VLOOKUP(E288,Data!$O$23:$P$196,2,FALSE),0))/ABS(IFERROR(VLOOKUP(E288,Data!$O$23:$P$196,2,FALSE),0)))</f>
        <v>-2.5290347342648595E-2</v>
      </c>
      <c r="H288" s="184">
        <f>VLOOKUP(E288,Data!$B$23:$E$273,3,FALSE)</f>
        <v>49802.0548605</v>
      </c>
      <c r="I288" s="333">
        <f>VLOOKUP(E288,Data!$B$23:$E$273,2,FALSE)</f>
        <v>42594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76179.093311019999</v>
      </c>
      <c r="G289" s="286">
        <f>IF(IFERROR(VLOOKUP(E289,Data!$O$23:$P$196,2,FALSE),0)=0,0,(F289-IFERROR(VLOOKUP(E289,Data!$O$23:$P$196,2,FALSE),0))/ABS(IFERROR(VLOOKUP(E289,Data!$O$23:$P$196,2,FALSE),0)))</f>
        <v>5.0789545937695857E-2</v>
      </c>
      <c r="H289" s="184">
        <f>VLOOKUP(E289,Data!$B$23:$E$273,3,FALSE)</f>
        <v>82900.72771716</v>
      </c>
      <c r="I289" s="333">
        <f>VLOOKUP(E289,Data!$B$23:$E$273,2,FALSE)</f>
        <v>42520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18682.543017979999</v>
      </c>
      <c r="G290" s="286">
        <f>IF(IFERROR(VLOOKUP(E290,Data!$O$23:$P$196,2,FALSE),0)=0,0,(F290-IFERROR(VLOOKUP(E290,Data!$O$23:$P$196,2,FALSE),0))/ABS(IFERROR(VLOOKUP(E290,Data!$O$23:$P$196,2,FALSE),0)))</f>
        <v>5.9402218560479274E-2</v>
      </c>
      <c r="H290" s="184">
        <f>VLOOKUP(E290,Data!$B$23:$E$273,3,FALSE)</f>
        <v>20032.83576052</v>
      </c>
      <c r="I290" s="333">
        <f>VLOOKUP(E290,Data!$B$23:$E$273,2,FALSE)</f>
        <v>42619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40260.921326379997</v>
      </c>
      <c r="G291" s="286">
        <f>IF(IFERROR(VLOOKUP(E291,Data!$O$23:$P$196,2,FALSE),0)=0,0,(F291-IFERROR(VLOOKUP(E291,Data!$O$23:$P$196,2,FALSE),0))/ABS(IFERROR(VLOOKUP(E291,Data!$O$23:$P$196,2,FALSE),0)))</f>
        <v>-1.9854893338998467E-2</v>
      </c>
      <c r="H291" s="184">
        <f>VLOOKUP(E291,Data!$B$23:$E$273,3,FALSE)</f>
        <v>46982.462386940002</v>
      </c>
      <c r="I291" s="333">
        <f>VLOOKUP(E291,Data!$B$23:$E$273,2,FALSE)</f>
        <v>42117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53977.811363770001</v>
      </c>
      <c r="G292" s="286">
        <f>IF(IFERROR(VLOOKUP(E292,Data!$O$23:$P$196,2,FALSE),0)=0,0,(F292-IFERROR(VLOOKUP(E292,Data!$O$23:$P$196,2,FALSE),0))/ABS(IFERROR(VLOOKUP(E292,Data!$O$23:$P$196,2,FALSE),0)))</f>
        <v>-3.0370663442229173E-2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6914.4127710000002</v>
      </c>
      <c r="G293" s="286">
        <f>IF(IFERROR(VLOOKUP(E293,Data!$O$23:$P$196,2,FALSE),0)=0,0,(F293-IFERROR(VLOOKUP(E293,Data!$O$23:$P$196,2,FALSE),0))/ABS(IFERROR(VLOOKUP(E293,Data!$O$23:$P$196,2,FALSE),0)))</f>
        <v>2.4176751030229142E-2</v>
      </c>
      <c r="H293" s="184">
        <f>VLOOKUP(E293,Data!$B$23:$E$273,3,FALSE)</f>
        <v>12367.595227940001</v>
      </c>
      <c r="I293" s="333">
        <f>VLOOKUP(E293,Data!$B$23:$E$273,2,FALSE)</f>
        <v>41887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7462.83473349</v>
      </c>
      <c r="G294" s="286">
        <f>IF(IFERROR(VLOOKUP(E294,Data!$O$23:$P$196,2,FALSE),0)=0,0,(F294-IFERROR(VLOOKUP(E294,Data!$O$23:$P$196,2,FALSE),0))/ABS(IFERROR(VLOOKUP(E294,Data!$O$23:$P$196,2,FALSE),0)))</f>
        <v>-6.1885401264984596E-2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3353.5300850200001</v>
      </c>
      <c r="G298" s="286">
        <f>IF(IFERROR(VLOOKUP(E298,Data!$O$23:$P$196,2,FALSE),0)=0,0,(F298-IFERROR(VLOOKUP(E298,Data!$O$23:$P$196,2,FALSE),0))/ABS(IFERROR(VLOOKUP(E298,Data!$O$23:$P$196,2,FALSE),0)))</f>
        <v>-1.921382085757145E-3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915.30211276</v>
      </c>
      <c r="G299" s="286">
        <f>IF(IFERROR(VLOOKUP(E299,Data!$O$23:$P$196,2,FALSE),0)=0,0,(F299-IFERROR(VLOOKUP(E299,Data!$O$23:$P$196,2,FALSE),0))/ABS(IFERROR(VLOOKUP(E299,Data!$O$23:$P$196,2,FALSE),0)))</f>
        <v>-1.0884449087919185E-2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627.60609939000005</v>
      </c>
      <c r="G300" s="286">
        <f>IF(IFERROR(VLOOKUP(E300,Data!$O$23:$P$196,2,FALSE),0)=0,0,(F300-IFERROR(VLOOKUP(E300,Data!$O$23:$P$196,2,FALSE),0))/ABS(IFERROR(VLOOKUP(E300,Data!$O$23:$P$196,2,FALSE),0)))</f>
        <v>-1.9042292956627595E-2</v>
      </c>
      <c r="H300" s="184">
        <f>VLOOKUP(E300,Data!$B$23:$E$273,3,FALSE)</f>
        <v>678.08424324999999</v>
      </c>
      <c r="I300" s="333">
        <f>VLOOKUP(E300,Data!$B$23:$E$273,2,FALSE)</f>
        <v>42578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511.13928121999999</v>
      </c>
      <c r="G301" s="286">
        <f>IF(IFERROR(VLOOKUP(E301,Data!$O$23:$P$196,2,FALSE),0)=0,0,(F301-IFERROR(VLOOKUP(E301,Data!$O$23:$P$196,2,FALSE),0))/ABS(IFERROR(VLOOKUP(E301,Data!$O$23:$P$196,2,FALSE),0)))</f>
        <v>-1.5626398696164352E-2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18401.032114770001</v>
      </c>
      <c r="G302" s="286">
        <f>IF(IFERROR(VLOOKUP(E302,Data!$O$23:$P$196,2,FALSE),0)=0,0,(F302-IFERROR(VLOOKUP(E302,Data!$O$23:$P$196,2,FALSE),0))/ABS(IFERROR(VLOOKUP(E302,Data!$O$23:$P$196,2,FALSE),0)))</f>
        <v>1.7776440340616498E-2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358.78521240999999</v>
      </c>
      <c r="G303" s="286">
        <f>IF(IFERROR(VLOOKUP(E303,Data!$O$23:$P$196,2,FALSE),0)=0,0,(F303-IFERROR(VLOOKUP(E303,Data!$O$23:$P$196,2,FALSE),0))/ABS(IFERROR(VLOOKUP(E303,Data!$O$23:$P$196,2,FALSE),0)))</f>
        <v>6.6926150579428917E-3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597.60721380999996</v>
      </c>
      <c r="G304" s="286">
        <f>IF(IFERROR(VLOOKUP(E304,Data!$O$23:$P$196,2,FALSE),0)=0,0,(F304-IFERROR(VLOOKUP(E304,Data!$O$23:$P$196,2,FALSE),0))/ABS(IFERROR(VLOOKUP(E304,Data!$O$23:$P$196,2,FALSE),0)))</f>
        <v>2.3700781310433593E-2</v>
      </c>
      <c r="H304" s="184">
        <f>VLOOKUP(E304,Data!$B$23:$E$273,3,FALSE)</f>
        <v>635.35784243000001</v>
      </c>
      <c r="I304" s="333">
        <f>VLOOKUP(E304,Data!$B$23:$E$273,2,FALSE)</f>
        <v>42520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21.264419849999999</v>
      </c>
      <c r="G307" s="286">
        <f>IF(IFERROR(VLOOKUP(E307,Data!$O$23:$P$196,2,FALSE),0)=0,0,(F307-IFERROR(VLOOKUP(E307,Data!$O$23:$P$196,2,FALSE),0))/ABS(IFERROR(VLOOKUP(E307,Data!$O$23:$P$196,2,FALSE),0)))</f>
        <v>-1.8367340699213017E-2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6804.6301256200004</v>
      </c>
      <c r="G308" s="286">
        <f>IF(IFERROR(VLOOKUP(E308,Data!$O$23:$P$196,2,FALSE),0)=0,0,(F308-IFERROR(VLOOKUP(E308,Data!$O$23:$P$196,2,FALSE),0))/ABS(IFERROR(VLOOKUP(E308,Data!$O$23:$P$196,2,FALSE),0)))</f>
        <v>-5.9239635037666993E-3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1317.2032144699999</v>
      </c>
      <c r="G311" s="286">
        <f>IF(IFERROR(VLOOKUP(E311,Data!$O$23:$P$196,2,FALSE),0)=0,0,(F311-IFERROR(VLOOKUP(E311,Data!$O$23:$P$196,2,FALSE),0))/ABS(IFERROR(VLOOKUP(E311,Data!$O$23:$P$196,2,FALSE),0)))</f>
        <v>5.0000000051881989E-3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269.14584920999999</v>
      </c>
      <c r="G312" s="286">
        <f>IF(IFERROR(VLOOKUP(E312,Data!$O$23:$P$196,2,FALSE),0)=0,0,(F312-IFERROR(VLOOKUP(E312,Data!$O$23:$P$196,2,FALSE),0))/ABS(IFERROR(VLOOKUP(E312,Data!$O$23:$P$196,2,FALSE),0)))</f>
        <v>-2.0833333333333429E-2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1354.5592292700001</v>
      </c>
      <c r="G313" s="286">
        <f>IF(IFERROR(VLOOKUP(E313,Data!$O$23:$P$196,2,FALSE),0)=0,0,(F313-IFERROR(VLOOKUP(E313,Data!$O$23:$P$196,2,FALSE),0))/ABS(IFERROR(VLOOKUP(E313,Data!$O$23:$P$196,2,FALSE),0)))</f>
        <v>-2.5816737157771139E-2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Mar 2017</v>
      </c>
      <c r="E347" s="371" t="s">
        <v>204</v>
      </c>
      <c r="F347" s="371"/>
      <c r="G347" s="371"/>
      <c r="H347" s="371"/>
      <c r="I347" s="125"/>
    </row>
    <row r="348" spans="1:9" ht="13.5" thickBot="1" x14ac:dyDescent="0.25">
      <c r="A348" s="116"/>
      <c r="B348" s="116"/>
      <c r="C348" s="116"/>
      <c r="D348" s="116"/>
      <c r="E348" s="372"/>
      <c r="F348" s="372"/>
      <c r="G348" s="372"/>
      <c r="H348" s="372"/>
      <c r="I348" s="116"/>
    </row>
    <row r="349" spans="1:9" ht="15" x14ac:dyDescent="0.25">
      <c r="A349" s="281"/>
      <c r="B349" s="337"/>
      <c r="C349" s="281"/>
      <c r="D349" s="391" t="str">
        <f>TEXT(DATE(2000,TEXT(H3,"M")-1,1),"mmm")&amp; " "&amp; TEXT(H3,"YYYY")</f>
        <v>Feb 2017</v>
      </c>
      <c r="E349" s="391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92"/>
      <c r="E350" s="392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Mar 2017</v>
      </c>
      <c r="D351" s="393"/>
      <c r="E351" s="393"/>
      <c r="F351" s="284" t="s">
        <v>1</v>
      </c>
      <c r="G351" s="330"/>
      <c r="H351" s="338" t="str">
        <f>TEXT($H$3,"MMM")&amp;" "&amp;TEXT($H$3,"YYYY")-1</f>
        <v>Mar 2016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5"/>
      <c r="E353" s="385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280043</v>
      </c>
      <c r="D354" s="385">
        <f>SUMIFS(Data!$V$30:$V$42,Data!$S$30:$S$42,MarketProfile!A354,Data!$X$30:$X$42,"1")</f>
        <v>230727</v>
      </c>
      <c r="E354" s="385"/>
      <c r="F354" s="286">
        <f>IFERROR(IF(OR(AND(D354="",C354=""),AND(D354=0,C354=0)),"",
IF(OR(D354="",D354=0),1,
IF(OR(D354&lt;&gt;"",D354&lt;&gt;0),(C354-D354)/ABS(D354)))),-1)</f>
        <v>0.21374178141266517</v>
      </c>
      <c r="G354" s="385">
        <v>310887</v>
      </c>
      <c r="H354" s="385"/>
      <c r="I354" s="286">
        <f t="shared" ref="I354:I367" si="22">IFERROR(IF(OR(AND(G354="",C354=""),AND(G354=0,C354=0)),"",
IF(OR(G354="",G354=0),1,
IF(OR(G354&lt;&gt;"",G354&lt;&gt;0),(C354-G354)/ABS(G354)))),-1)</f>
        <v>-9.9212897290655452E-2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9526</v>
      </c>
      <c r="D355" s="385">
        <f>SUMIFS(Data!$V$30:$V$42,Data!$S$30:$S$42,MarketProfile!A355,Data!$X$30:$X$42,"1")</f>
        <v>4298</v>
      </c>
      <c r="E355" s="385"/>
      <c r="F355" s="286">
        <f t="shared" ref="F355:F361" si="23">IFERROR(IF(OR(AND(D355="",C355=""),AND(D355=0,C355=0)),"",
IF(OR(D355="",D355=0),1,
IF(OR(D355&lt;&gt;"",D355&lt;&gt;0),(C355-D355)/ABS(D355)))),-1)</f>
        <v>1.216379711493718</v>
      </c>
      <c r="G355" s="385">
        <v>11301</v>
      </c>
      <c r="H355" s="385"/>
      <c r="I355" s="286">
        <f t="shared" si="22"/>
        <v>-0.15706574639412441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8999</v>
      </c>
      <c r="D356" s="385">
        <f>SUMIFS(Data!$V$30:$V$42,Data!$S$30:$S$42,MarketProfile!A356,Data!$X$30:$X$42,"1")</f>
        <v>4144</v>
      </c>
      <c r="E356" s="385"/>
      <c r="F356" s="286">
        <f t="shared" si="23"/>
        <v>1.171573359073359</v>
      </c>
      <c r="G356" s="385">
        <v>10731</v>
      </c>
      <c r="H356" s="385"/>
      <c r="I356" s="286">
        <f t="shared" si="22"/>
        <v>-0.16140154692013792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600</v>
      </c>
      <c r="D357" s="385">
        <f>SUMIFS(Data!$V$30:$V$42,Data!$S$30:$S$42,MarketProfile!A357,Data!$X$30:$X$42,"1")</f>
        <v>294</v>
      </c>
      <c r="E357" s="385"/>
      <c r="F357" s="286">
        <f t="shared" si="23"/>
        <v>1.0408163265306123</v>
      </c>
      <c r="G357" s="385">
        <v>698</v>
      </c>
      <c r="H357" s="385"/>
      <c r="I357" s="286">
        <f t="shared" si="22"/>
        <v>-0.14040114613180515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470</v>
      </c>
      <c r="D358" s="385">
        <f>SUMIFS(Data!$V$30:$V$42,Data!$S$30:$S$42,MarketProfile!A358,Data!$X$30:$X$42,"1")</f>
        <v>76</v>
      </c>
      <c r="E358" s="385"/>
      <c r="F358" s="286">
        <f t="shared" si="23"/>
        <v>5.1842105263157894</v>
      </c>
      <c r="G358" s="385">
        <v>1172</v>
      </c>
      <c r="H358" s="385"/>
      <c r="I358" s="286">
        <f t="shared" si="22"/>
        <v>-0.59897610921501709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435</v>
      </c>
      <c r="D359" s="385">
        <f>SUMIFS(Data!$V$30:$V$42,Data!$S$30:$S$42,MarketProfile!A359,Data!$X$30:$X$42,"1")</f>
        <v>71</v>
      </c>
      <c r="E359" s="385"/>
      <c r="F359" s="286">
        <f t="shared" si="23"/>
        <v>5.126760563380282</v>
      </c>
      <c r="G359" s="385">
        <v>1147</v>
      </c>
      <c r="H359" s="385"/>
      <c r="I359" s="286">
        <f t="shared" si="22"/>
        <v>-0.62074978204010467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357</v>
      </c>
      <c r="D360" s="385">
        <f>SUMIFS(Data!$V$30:$V$42,Data!$S$30:$S$42,MarketProfile!A360,Data!$X$30:$X$42,"1")</f>
        <v>105</v>
      </c>
      <c r="E360" s="385"/>
      <c r="F360" s="286">
        <f t="shared" si="23"/>
        <v>2.4</v>
      </c>
      <c r="G360" s="385">
        <v>304</v>
      </c>
      <c r="H360" s="385"/>
      <c r="I360" s="286">
        <f t="shared" si="22"/>
        <v>0.17434210526315788</v>
      </c>
    </row>
    <row r="361" spans="1:9" ht="15" x14ac:dyDescent="0.25">
      <c r="A361" s="288" t="s">
        <v>133</v>
      </c>
      <c r="B361" s="250"/>
      <c r="C361" s="250">
        <f>SUM(C354:C360)</f>
        <v>300430</v>
      </c>
      <c r="D361" s="377">
        <f>SUM(D354:E360)</f>
        <v>239715</v>
      </c>
      <c r="E361" s="377"/>
      <c r="F361" s="326">
        <f t="shared" si="23"/>
        <v>0.25327993659136894</v>
      </c>
      <c r="G361" s="377">
        <f>SUM(G354:H360)</f>
        <v>336240</v>
      </c>
      <c r="H361" s="377">
        <v>228310</v>
      </c>
      <c r="I361" s="326">
        <f t="shared" si="22"/>
        <v>-0.10650130858910302</v>
      </c>
    </row>
    <row r="362" spans="1:9" ht="14.25" x14ac:dyDescent="0.2">
      <c r="A362" s="248"/>
      <c r="B362" s="249"/>
      <c r="C362" s="249"/>
      <c r="D362" s="385"/>
      <c r="E362" s="385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5"/>
      <c r="E363" s="385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2353</v>
      </c>
      <c r="D364" s="385">
        <f>SUMIFS(Data!$V$30:$V$42,Data!$S$30:$S$42,MarketProfile!A364,Data!$X$30:$X$42,"0")</f>
        <v>2375</v>
      </c>
      <c r="E364" s="385"/>
      <c r="F364" s="286">
        <f t="shared" ref="F364:F368" si="24">IFERROR(IF(OR(AND(D364="",C364=""),AND(D364=0,C364=0)),"",
IF(OR(D364="",D364=0),1,
IF(OR(D364&lt;&gt;"",D364&lt;&gt;0),(C364-D364)/ABS(D364)))),-1)</f>
        <v>-9.2631578947368429E-3</v>
      </c>
      <c r="G364" s="385">
        <v>1338</v>
      </c>
      <c r="H364" s="385"/>
      <c r="I364" s="286">
        <f t="shared" si="22"/>
        <v>0.75859491778774291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685</v>
      </c>
      <c r="D365" s="385">
        <f>SUMIFS(Data!$V$30:$V$42,Data!$S$30:$S$42,MarketProfile!A365,Data!$X$30:$X$42,"0")</f>
        <v>497</v>
      </c>
      <c r="E365" s="385"/>
      <c r="F365" s="286">
        <f t="shared" si="24"/>
        <v>0.3782696177062374</v>
      </c>
      <c r="G365" s="385">
        <v>427</v>
      </c>
      <c r="H365" s="385"/>
      <c r="I365" s="286">
        <f t="shared" si="22"/>
        <v>0.60421545667447307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841</v>
      </c>
      <c r="D366" s="385">
        <f>SUMIFS(Data!$V$30:$V$42,Data!$S$30:$S$42,MarketProfile!A366,Data!$X$30:$X$42,"0")</f>
        <v>394</v>
      </c>
      <c r="E366" s="385"/>
      <c r="F366" s="286">
        <f t="shared" si="24"/>
        <v>1.1345177664974619</v>
      </c>
      <c r="G366" s="385">
        <v>50</v>
      </c>
      <c r="H366" s="385"/>
      <c r="I366" s="286">
        <f t="shared" si="22"/>
        <v>15.82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85">
        <f>SUMIFS(Data!$V$30:$V$42,Data!$S$30:$S$42,MarketProfile!A367,Data!$X$30:$X$42,"0")</f>
        <v>0</v>
      </c>
      <c r="E367" s="385"/>
      <c r="F367" s="286" t="str">
        <f t="shared" si="24"/>
        <v/>
      </c>
      <c r="G367" s="385">
        <v>0</v>
      </c>
      <c r="H367" s="385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3879</v>
      </c>
      <c r="D368" s="377">
        <f t="shared" ref="D368:E368" si="25">SUM(D364:D367)</f>
        <v>3266</v>
      </c>
      <c r="E368" s="377">
        <f t="shared" si="25"/>
        <v>0</v>
      </c>
      <c r="F368" s="326">
        <f t="shared" si="24"/>
        <v>0.18769136558481322</v>
      </c>
      <c r="G368" s="377">
        <f>SUM(G364:H367)</f>
        <v>1815</v>
      </c>
      <c r="H368" s="377">
        <v>1646</v>
      </c>
      <c r="I368" s="326">
        <f>IFERROR(IF(OR(AND(G368="",C368=""),AND(G368=0,C368=0)),"",
IF(OR(G368="",G368=0),1,
IF(OR(G368&lt;&gt;"",G368&lt;&gt;0),(C368-G368)/ABS(G368)))),-1)</f>
        <v>1.1371900826446282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3015379</v>
      </c>
      <c r="D372" s="385">
        <f>SUMIFS(Data!$U$30:$U$42,Data!$S$30:$S$42,MarketProfile!A372,Data!$X$30:$X$42,"1")</f>
        <v>1107256</v>
      </c>
      <c r="E372" s="385"/>
      <c r="F372" s="286">
        <f t="shared" ref="F372:F379" si="26">IFERROR(IF(OR(AND(D372="",C372=""),AND(D372=0,C372=0)),"",
IF(OR(D372="",D372=0),1,
IF(OR(D372&lt;&gt;"",D372&lt;&gt;0),(C372-D372)/ABS(D372)))),-1)</f>
        <v>1.7232898263816137</v>
      </c>
      <c r="G372" s="385">
        <v>3169953</v>
      </c>
      <c r="H372" s="385"/>
      <c r="I372" s="286">
        <f t="shared" ref="I372:I379" si="27">IFERROR(IF(OR(AND(G372="",C372=""),AND(G372=0,C372=0)),"",
IF(OR(G372="",G372=0),1,
IF(OR(G372&lt;&gt;"",G372&lt;&gt;0),(C372-G372)/ABS(G372)))),-1)</f>
        <v>-4.8762237168816065E-2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2214835</v>
      </c>
      <c r="D373" s="385">
        <f>SUMIFS(Data!$U$30:$U$42,Data!$S$30:$S$42,MarketProfile!A373,Data!$X$30:$X$42,"1")</f>
        <v>517135</v>
      </c>
      <c r="E373" s="385"/>
      <c r="F373" s="286">
        <f t="shared" si="26"/>
        <v>3.2828951821091206</v>
      </c>
      <c r="G373" s="385">
        <v>2308518</v>
      </c>
      <c r="H373" s="385"/>
      <c r="I373" s="286">
        <f t="shared" si="27"/>
        <v>-4.0581446625064216E-2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1400209</v>
      </c>
      <c r="D374" s="385">
        <f>SUMIFS(Data!$U$30:$U$42,Data!$S$30:$S$42,MarketProfile!A374,Data!$X$30:$X$42,"1")</f>
        <v>295475</v>
      </c>
      <c r="E374" s="385"/>
      <c r="F374" s="286">
        <f t="shared" si="26"/>
        <v>3.7388408494796512</v>
      </c>
      <c r="G374" s="385">
        <v>1409112</v>
      </c>
      <c r="H374" s="385"/>
      <c r="I374" s="286">
        <f t="shared" si="27"/>
        <v>-6.3181634958754162E-3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3586454</v>
      </c>
      <c r="D375" s="385">
        <f>SUMIFS(Data!$U$30:$U$42,Data!$S$30:$S$42,MarketProfile!A375,Data!$X$30:$X$42,"1")</f>
        <v>517883</v>
      </c>
      <c r="E375" s="385"/>
      <c r="F375" s="286">
        <f t="shared" si="26"/>
        <v>5.9252205614009341</v>
      </c>
      <c r="G375" s="385">
        <v>10118029</v>
      </c>
      <c r="H375" s="385"/>
      <c r="I375" s="286">
        <f t="shared" si="27"/>
        <v>-0.6455382762789077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11023624</v>
      </c>
      <c r="D376" s="385">
        <f>SUMIFS(Data!$U$30:$U$42,Data!$S$30:$S$42,MarketProfile!A376,Data!$X$30:$X$42,"1")</f>
        <v>1234637</v>
      </c>
      <c r="E376" s="385"/>
      <c r="F376" s="286">
        <f t="shared" si="26"/>
        <v>7.9286357042596327</v>
      </c>
      <c r="G376" s="385">
        <v>62933382</v>
      </c>
      <c r="H376" s="385"/>
      <c r="I376" s="286">
        <f t="shared" si="27"/>
        <v>-0.82483661850558099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8887438</v>
      </c>
      <c r="D377" s="385">
        <f>SUMIFS(Data!$U$30:$U$42,Data!$S$30:$S$42,MarketProfile!A377,Data!$X$30:$X$42,"1")</f>
        <v>1192433</v>
      </c>
      <c r="E377" s="385"/>
      <c r="F377" s="286">
        <f t="shared" si="26"/>
        <v>6.4531969511075253</v>
      </c>
      <c r="G377" s="385">
        <v>63225576</v>
      </c>
      <c r="H377" s="385"/>
      <c r="I377" s="286">
        <f t="shared" si="27"/>
        <v>-0.85943286621856951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474154</v>
      </c>
      <c r="D378" s="385">
        <f>SUMIFS(Data!$U$30:$U$42,Data!$S$30:$S$42,MarketProfile!A378,Data!$X$30:$X$42,"1")</f>
        <v>64741</v>
      </c>
      <c r="E378" s="385"/>
      <c r="F378" s="286">
        <f t="shared" si="26"/>
        <v>6.3238596870607502</v>
      </c>
      <c r="G378" s="385">
        <v>3569037</v>
      </c>
      <c r="H378" s="385"/>
      <c r="I378" s="286">
        <f t="shared" si="27"/>
        <v>-0.86714791693109372</v>
      </c>
    </row>
    <row r="379" spans="1:9" ht="15" x14ac:dyDescent="0.25">
      <c r="A379" s="288" t="s">
        <v>133</v>
      </c>
      <c r="B379" s="250"/>
      <c r="C379" s="250">
        <f>SUM(C372:C378)</f>
        <v>30602093</v>
      </c>
      <c r="D379" s="377">
        <f>SUM(D372:E378)</f>
        <v>4929560</v>
      </c>
      <c r="E379" s="377"/>
      <c r="F379" s="326">
        <f t="shared" si="26"/>
        <v>5.2078751450433707</v>
      </c>
      <c r="G379" s="377">
        <f>SUM(G372:H378)</f>
        <v>146733607</v>
      </c>
      <c r="H379" s="377">
        <v>17193059</v>
      </c>
      <c r="I379" s="326">
        <f t="shared" si="27"/>
        <v>-0.79144455298505678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586305</v>
      </c>
      <c r="D382" s="385">
        <f>SUMIFS(Data!$U$30:$U$42,Data!$S$30:$S$42,MarketProfile!A382,Data!$X$30:$X$42,"0")</f>
        <v>278252</v>
      </c>
      <c r="E382" s="385"/>
      <c r="F382" s="286">
        <f t="shared" ref="F382:F386" si="28">IFERROR(IF(OR(AND(D382="",C382=""),AND(D382=0,C382=0)),"",
IF(OR(D382="",D382=0),1,
IF(OR(D382&lt;&gt;"",D382&lt;&gt;0),(C382-D382)/ABS(D382)))),-1)</f>
        <v>1.1071007575866481</v>
      </c>
      <c r="G382" s="385">
        <v>416897</v>
      </c>
      <c r="H382" s="385"/>
      <c r="I382" s="286">
        <f t="shared" ref="I382:I386" si="29">IFERROR(IF(OR(AND(G382="",C382=""),AND(G382=0,C382=0)),"",
IF(OR(G382="",G382=0),1,
IF(OR(G382&lt;&gt;"",G382&lt;&gt;0),(C382-G382)/ABS(G382)))),-1)</f>
        <v>0.40635456719525448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1175983</v>
      </c>
      <c r="D383" s="385">
        <f>SUMIFS(Data!$U$30:$U$42,Data!$S$30:$S$42,MarketProfile!A383,Data!$X$30:$X$42,"0")</f>
        <v>529268</v>
      </c>
      <c r="E383" s="385"/>
      <c r="F383" s="286">
        <f t="shared" si="28"/>
        <v>1.2219045927583001</v>
      </c>
      <c r="G383" s="385">
        <v>443926</v>
      </c>
      <c r="H383" s="385"/>
      <c r="I383" s="286">
        <f t="shared" si="29"/>
        <v>1.6490518690051945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433324</v>
      </c>
      <c r="D384" s="385">
        <f>SUMIFS(Data!$U$30:$U$42,Data!$S$30:$S$42,MarketProfile!A384,Data!$X$30:$X$42,"0")</f>
        <v>1657356</v>
      </c>
      <c r="E384" s="385"/>
      <c r="F384" s="286">
        <f t="shared" si="28"/>
        <v>-0.73854500783175125</v>
      </c>
      <c r="G384" s="385">
        <v>94475</v>
      </c>
      <c r="H384" s="385"/>
      <c r="I384" s="286">
        <f t="shared" si="29"/>
        <v>3.5866525535856049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85">
        <f>SUMIFS(Data!$U$30:$U$42,Data!$S$30:$S$42,MarketProfile!A385,Data!$X$30:$X$42,"0")</f>
        <v>0</v>
      </c>
      <c r="E385" s="385"/>
      <c r="F385" s="286" t="str">
        <f t="shared" si="28"/>
        <v/>
      </c>
      <c r="G385" s="385">
        <v>0</v>
      </c>
      <c r="H385" s="385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2195612</v>
      </c>
      <c r="D386" s="377">
        <f>SUM(D382:E385)</f>
        <v>2464876</v>
      </c>
      <c r="E386" s="377">
        <f>SUM(E382:E385)</f>
        <v>0</v>
      </c>
      <c r="F386" s="326">
        <f t="shared" si="28"/>
        <v>-0.10924038369475787</v>
      </c>
      <c r="G386" s="377">
        <f>SUM(G382:H385)</f>
        <v>955298</v>
      </c>
      <c r="H386" s="377">
        <v>677531</v>
      </c>
      <c r="I386" s="326">
        <f t="shared" si="29"/>
        <v>1.2983529746738713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794670051.35152674</v>
      </c>
      <c r="D390" s="385">
        <f>SUMIFS(Data!$T$30:$T$42,Data!$S$30:$S$42,MarketProfile!A390,Data!$X$30:$X$42,"1")/1000</f>
        <v>306678920.5020299</v>
      </c>
      <c r="E390" s="385"/>
      <c r="F390" s="286">
        <f t="shared" ref="F390:F397" si="30">IFERROR(IF(OR(AND(D390="",C390=""),AND(D390=0,C390=0)),"",
IF(OR(D390="",D390=0),1,
IF(OR(D390&lt;&gt;"",D390&lt;&gt;0),(C390-D390)/ABS(D390)))),-1)</f>
        <v>1.5912118447875743</v>
      </c>
      <c r="G390" s="385">
        <v>904148899</v>
      </c>
      <c r="H390" s="385"/>
      <c r="I390" s="286">
        <f t="shared" ref="I390:I397" si="31">IFERROR(IF(OR(AND(G390="",C390=""),AND(G390=0,C390=0)),"",
IF(OR(G390="",G390=0),1,
IF(OR(G390&lt;&gt;"",G390&lt;&gt;0),(C390-G390)/ABS(G390)))),-1)</f>
        <v>-0.12108497590336972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24600766.848456003</v>
      </c>
      <c r="D391" s="385">
        <f>SUMIFS(Data!$T$30:$T$42,Data!$S$30:$S$42,MarketProfile!A391,Data!$X$30:$X$42,"1")/1000</f>
        <v>8003715.6994399996</v>
      </c>
      <c r="E391" s="385"/>
      <c r="F391" s="286">
        <f t="shared" si="30"/>
        <v>2.0736682526313697</v>
      </c>
      <c r="G391" s="385">
        <v>22143732</v>
      </c>
      <c r="H391" s="385"/>
      <c r="I391" s="286">
        <f t="shared" si="31"/>
        <v>0.11095848019006023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1111.8413400000002</v>
      </c>
      <c r="D392" s="385">
        <f>SUMIFS(Data!$T$30:$T$42,Data!$S$30:$S$42,MarketProfile!A392,Data!$X$30:$X$42,"1")/1000</f>
        <v>39.587000000000003</v>
      </c>
      <c r="E392" s="385"/>
      <c r="F392" s="286">
        <f t="shared" si="30"/>
        <v>27.086021673781801</v>
      </c>
      <c r="G392" s="385">
        <v>354279</v>
      </c>
      <c r="H392" s="385"/>
      <c r="I392" s="286">
        <f t="shared" si="31"/>
        <v>-0.99686167867697495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222969.12132499999</v>
      </c>
      <c r="D393" s="385">
        <f>SUMIFS(Data!$T$30:$T$42,Data!$S$30:$S$42,MarketProfile!A393,Data!$X$30:$X$42,"1")/1000</f>
        <v>51566.107215000004</v>
      </c>
      <c r="E393" s="385"/>
      <c r="F393" s="286">
        <f t="shared" si="30"/>
        <v>3.3239471305319084</v>
      </c>
      <c r="G393" s="385">
        <v>786555</v>
      </c>
      <c r="H393" s="385"/>
      <c r="I393" s="286">
        <f t="shared" si="31"/>
        <v>-0.71652443716586889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2701762.3411980001</v>
      </c>
      <c r="D394" s="385">
        <f>SUMIFS(Data!$T$30:$T$42,Data!$S$30:$S$42,MarketProfile!A394,Data!$X$30:$X$42,"1")/1000</f>
        <v>221028.37152900003</v>
      </c>
      <c r="E394" s="385"/>
      <c r="F394" s="286">
        <f t="shared" si="30"/>
        <v>11.22359972390927</v>
      </c>
      <c r="G394" s="385">
        <v>10626652</v>
      </c>
      <c r="H394" s="385"/>
      <c r="I394" s="286">
        <f t="shared" si="31"/>
        <v>-0.74575601598716135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0</v>
      </c>
      <c r="D395" s="385">
        <f>SUMIFS(Data!$T$30:$T$42,Data!$S$30:$S$42,MarketProfile!A395,Data!$X$30:$X$42,"1")/1000</f>
        <v>2.23929</v>
      </c>
      <c r="E395" s="385"/>
      <c r="F395" s="286">
        <f t="shared" si="30"/>
        <v>-1</v>
      </c>
      <c r="G395" s="385">
        <v>1365</v>
      </c>
      <c r="H395" s="385"/>
      <c r="I395" s="286">
        <f t="shared" si="31"/>
        <v>-1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4020515.7991849999</v>
      </c>
      <c r="D396" s="385">
        <f>SUMIFS(Data!$T$30:$T$42,Data!$S$30:$S$42,MarketProfile!A396,Data!$X$30:$X$42,"1")/1000</f>
        <v>730870.58120000002</v>
      </c>
      <c r="E396" s="385"/>
      <c r="F396" s="286">
        <f t="shared" si="30"/>
        <v>4.5009955286253351</v>
      </c>
      <c r="G396" s="385">
        <v>41682536</v>
      </c>
      <c r="H396" s="385"/>
      <c r="I396" s="286">
        <f t="shared" si="31"/>
        <v>-0.90354435730146077</v>
      </c>
    </row>
    <row r="397" spans="1:9" ht="15" x14ac:dyDescent="0.25">
      <c r="A397" s="288" t="s">
        <v>133</v>
      </c>
      <c r="B397" s="250"/>
      <c r="C397" s="250">
        <f>SUM(C390:C396)</f>
        <v>826217177.30303073</v>
      </c>
      <c r="D397" s="377">
        <f>SUM(D390:E396)</f>
        <v>315686143.08770388</v>
      </c>
      <c r="E397" s="377">
        <f>SUM(E390:E396)</f>
        <v>0</v>
      </c>
      <c r="F397" s="326">
        <f t="shared" si="30"/>
        <v>1.6172107816385566</v>
      </c>
      <c r="G397" s="377">
        <f>SUM(G390:H396)</f>
        <v>979744018</v>
      </c>
      <c r="H397" s="377">
        <v>320543973</v>
      </c>
      <c r="I397" s="326">
        <f t="shared" si="31"/>
        <v>-0.15670097278100378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4379370.3454999998</v>
      </c>
      <c r="D400" s="385">
        <f>SUMIFS(Data!$T$30:$T$42,Data!$S$30:$S$42,MarketProfile!A400,Data!$X$30:$X$42,"0")/1000</f>
        <v>2405953.48239</v>
      </c>
      <c r="E400" s="385"/>
      <c r="F400" s="286">
        <f t="shared" ref="F400:F404" si="32">IFERROR(IF(OR(AND(D400="",C400=""),AND(D400=0,C400=0)),"",
IF(OR(D400="",D400=0),1,
IF(OR(D400&lt;&gt;"",D400&lt;&gt;0),(C400-D400)/ABS(D400)))),-1)</f>
        <v>0.8202223682020936</v>
      </c>
      <c r="G400" s="385">
        <v>3035028</v>
      </c>
      <c r="H400" s="385"/>
      <c r="I400" s="286">
        <f t="shared" ref="I400:I404" si="33">IFERROR(IF(OR(AND(G400="",C400=""),AND(G400=0,C400=0)),"",
IF(OR(G400="",G400=0),1,
IF(OR(G400&lt;&gt;"",G400&lt;&gt;0),(C400-G400)/ABS(G400)))),-1)</f>
        <v>0.44294232063097927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573713.09329999995</v>
      </c>
      <c r="D401" s="385">
        <f>SUMIFS(Data!$T$30:$T$42,Data!$S$30:$S$42,MarketProfile!A401,Data!$X$30:$X$42,"0")/1000</f>
        <v>295115.35595</v>
      </c>
      <c r="E401" s="385"/>
      <c r="F401" s="286">
        <f t="shared" si="32"/>
        <v>0.94402995890597252</v>
      </c>
      <c r="G401" s="385">
        <v>344426</v>
      </c>
      <c r="H401" s="385"/>
      <c r="I401" s="286">
        <f t="shared" si="33"/>
        <v>0.66570785393669452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148503.01749999999</v>
      </c>
      <c r="D402" s="385">
        <f>SUMIFS(Data!$T$30:$T$42,Data!$S$30:$S$42,MarketProfile!A402,Data!$X$30:$X$42,"0")/1000</f>
        <v>72205.871700000003</v>
      </c>
      <c r="E402" s="385"/>
      <c r="F402" s="286">
        <f t="shared" si="32"/>
        <v>1.056661238257719</v>
      </c>
      <c r="G402" s="385">
        <v>93782</v>
      </c>
      <c r="H402" s="385"/>
      <c r="I402" s="286">
        <f t="shared" si="33"/>
        <v>0.58349168817043773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85">
        <f>SUMIFS(Data!$T$30:$T$42,Data!$S$30:$S$42,MarketProfile!A403,Data!$X$30:$X$42,"0")/1000</f>
        <v>0</v>
      </c>
      <c r="E403" s="385"/>
      <c r="F403" s="286" t="str">
        <f t="shared" si="32"/>
        <v/>
      </c>
      <c r="G403" s="385">
        <v>0</v>
      </c>
      <c r="H403" s="385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5101586.4562999997</v>
      </c>
      <c r="D404" s="377">
        <f>SUM(D400:E403)</f>
        <v>2773274.7100400003</v>
      </c>
      <c r="E404" s="377">
        <f>SUM(E400:E403)</f>
        <v>0</v>
      </c>
      <c r="F404" s="326">
        <f t="shared" si="32"/>
        <v>0.83955323208006938</v>
      </c>
      <c r="G404" s="377">
        <f>SUM(G400:H403)</f>
        <v>3473236</v>
      </c>
      <c r="H404" s="377">
        <v>1436842</v>
      </c>
      <c r="I404" s="326">
        <f t="shared" si="33"/>
        <v>0.46882804862669847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839890</v>
      </c>
      <c r="D408" s="385">
        <f>SUMIFS(Data!$W$45:$W$57,Data!$S$45:$S$57,MarketProfile!A408,Data!$X$45:$X$57,"1")</f>
        <v>860138</v>
      </c>
      <c r="E408" s="385"/>
      <c r="F408" s="286">
        <f t="shared" ref="F408:F414" si="34">IFERROR(IF(OR(AND(D408="",C408=""),AND(D408=0,C408=0)),"",
IF(OR(D408="",D408=0),1,
IF(OR(D408&lt;&gt;"",D408&lt;&gt;0),(C408-D408)/ABS(D408)))),-1)</f>
        <v>-2.3540408632103219E-2</v>
      </c>
      <c r="G408" s="385">
        <f>SUMIFS(Data!$W$75:$W$87,Data!$S$75:$S$87,MarketProfile!A408,Data!$X$75:$X$87,"1")</f>
        <v>534340</v>
      </c>
      <c r="H408" s="385"/>
      <c r="I408" s="286">
        <f t="shared" ref="I408:I414" si="35">IFERROR(IF(OR(AND(G408="",C408=""),AND(G408=0,C408=0)),"",
IF(OR(G408="",G408=0),1,
IF(OR(G408&lt;&gt;"",G408&lt;&gt;0),(C408-G408)/ABS(G408)))),-1)</f>
        <v>0.57182692667589929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988350</v>
      </c>
      <c r="D409" s="385">
        <f>SUMIFS(Data!$W$45:$W$57,Data!$S$45:$S$57,MarketProfile!A409,Data!$X$45:$X$57,"1")</f>
        <v>1063804</v>
      </c>
      <c r="E409" s="385"/>
      <c r="F409" s="286">
        <f t="shared" si="34"/>
        <v>-7.0928479306338388E-2</v>
      </c>
      <c r="G409" s="385">
        <f>SUMIFS(Data!$W$75:$W$87,Data!$S$75:$S$87,MarketProfile!A409,Data!$X$75:$X$87,"1")</f>
        <v>959208</v>
      </c>
      <c r="H409" s="385"/>
      <c r="I409" s="286">
        <f t="shared" si="35"/>
        <v>3.0381314584532238E-2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812188</v>
      </c>
      <c r="D410" s="385">
        <f>SUMIFS(Data!$W$45:$W$57,Data!$S$45:$S$57,MarketProfile!A410,Data!$X$45:$X$57,"1")</f>
        <v>831427</v>
      </c>
      <c r="E410" s="385"/>
      <c r="F410" s="286">
        <f t="shared" si="34"/>
        <v>-2.3139734456542788E-2</v>
      </c>
      <c r="G410" s="385">
        <f>SUMIFS(Data!$W$75:$W$87,Data!$S$75:$S$87,MarketProfile!A410,Data!$X$75:$X$87,"1")</f>
        <v>774370</v>
      </c>
      <c r="H410" s="385"/>
      <c r="I410" s="286">
        <f t="shared" si="35"/>
        <v>4.8837119206580834E-2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1503628</v>
      </c>
      <c r="D411" s="385">
        <f>SUMIFS(Data!$W$45:$W$57,Data!$S$45:$S$57,MarketProfile!A411,Data!$X$45:$X$57,"1")</f>
        <v>1596052</v>
      </c>
      <c r="E411" s="385"/>
      <c r="F411" s="286">
        <f t="shared" si="34"/>
        <v>-5.7907887712931656E-2</v>
      </c>
      <c r="G411" s="385">
        <f>SUMIFS(Data!$W$75:$W$87,Data!$S$75:$S$87,MarketProfile!A411,Data!$X$75:$X$87,"1")</f>
        <v>2283274</v>
      </c>
      <c r="H411" s="385"/>
      <c r="I411" s="286">
        <f t="shared" si="35"/>
        <v>-0.34145967588646831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14555497</v>
      </c>
      <c r="D412" s="385">
        <f>SUMIFS(Data!$W$45:$W$57,Data!$S$45:$S$57,MarketProfile!A412,Data!$X$45:$X$57,"1")</f>
        <v>16754326</v>
      </c>
      <c r="E412" s="385"/>
      <c r="F412" s="286">
        <f t="shared" si="34"/>
        <v>-0.13123947809061373</v>
      </c>
      <c r="G412" s="385">
        <f>SUMIFS(Data!$W$75:$W$87,Data!$S$75:$S$87,MarketProfile!A412,Data!$X$75:$X$87,"1")</f>
        <v>25440838</v>
      </c>
      <c r="H412" s="385"/>
      <c r="I412" s="286">
        <f t="shared" si="35"/>
        <v>-0.42786880683725903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14102852</v>
      </c>
      <c r="D413" s="385">
        <f>SUMIFS(Data!$W$45:$W$57,Data!$S$45:$S$57,MarketProfile!A413,Data!$X$45:$X$57,"1")</f>
        <v>16296559</v>
      </c>
      <c r="E413" s="385"/>
      <c r="F413" s="286">
        <f t="shared" si="34"/>
        <v>-0.13461166863507812</v>
      </c>
      <c r="G413" s="385">
        <f>SUMIFS(Data!$W$75:$W$87,Data!$S$75:$S$87,MarketProfile!A413,Data!$X$75:$X$87,"1")</f>
        <v>25207958</v>
      </c>
      <c r="H413" s="385"/>
      <c r="I413" s="286">
        <f t="shared" si="35"/>
        <v>-0.44053968988682068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338389</v>
      </c>
      <c r="D414" s="385">
        <f>SUMIFS(Data!$W$45:$W$57,Data!$S$45:$S$57,MarketProfile!A414,Data!$X$45:$X$57,"1")</f>
        <v>151714</v>
      </c>
      <c r="E414" s="385"/>
      <c r="F414" s="286">
        <f t="shared" si="34"/>
        <v>1.2304401703204715</v>
      </c>
      <c r="G414" s="385">
        <f>SUMIFS(Data!$W$75:$W$87,Data!$S$75:$S$87,MarketProfile!A414,Data!$X$75:$X$87,"1")</f>
        <v>215232</v>
      </c>
      <c r="H414" s="385"/>
      <c r="I414" s="286">
        <f t="shared" si="35"/>
        <v>0.57220580582812963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901617</v>
      </c>
      <c r="D417" s="385">
        <f>SUMIFS(Data!$W$45:$W$57,Data!$S$45:$S$57,MarketProfile!A417,Data!$X$45:$X$57,"0")</f>
        <v>1010308</v>
      </c>
      <c r="E417" s="385"/>
      <c r="F417" s="286">
        <f t="shared" ref="F417:F419" si="36">IFERROR(IF(OR(AND(D417="",C417=""),AND(D417=0,C417=0)),"",
IF(OR(D417="",D417=0),1,
IF(OR(D417&lt;&gt;"",D417&lt;&gt;0),(C417-D417)/ABS(D417)))),-1)</f>
        <v>-0.10758204428748461</v>
      </c>
      <c r="G417" s="385">
        <f>SUMIFS(Data!$W$75:$W$87,Data!$S$75:$S$87,MarketProfile!A417,Data!$X$75:$X$87,"0")</f>
        <v>604063</v>
      </c>
      <c r="H417" s="385"/>
      <c r="I417" s="286">
        <f t="shared" ref="I417:I419" si="37">IFERROR(IF(OR(AND(G417="",C417=""),AND(G417=0,C417=0)),"",
IF(OR(G417="",G417=0),1,
IF(OR(G417&lt;&gt;"",G417&lt;&gt;0),(C417-G417)/ABS(G417)))),-1)</f>
        <v>0.49258769366771349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1472774</v>
      </c>
      <c r="D418" s="385">
        <f>SUMIFS(Data!$W$45:$W$57,Data!$S$45:$S$57,MarketProfile!A418,Data!$X$45:$X$57,"0")</f>
        <v>1744649</v>
      </c>
      <c r="E418" s="385"/>
      <c r="F418" s="286">
        <f t="shared" si="36"/>
        <v>-0.15583363759701807</v>
      </c>
      <c r="G418" s="385">
        <f>SUMIFS(Data!$W$75:$W$87,Data!$S$75:$S$87,MarketProfile!A418,Data!$X$75:$X$87,"0")</f>
        <v>837867</v>
      </c>
      <c r="H418" s="385"/>
      <c r="I418" s="286">
        <f t="shared" si="37"/>
        <v>0.75776585066603652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475662</v>
      </c>
      <c r="D419" s="385">
        <f>SUMIFS(Data!$W$45:$W$57,Data!$S$45:$S$57,MarketProfile!A419,Data!$X$45:$X$57,"0")</f>
        <v>1479581</v>
      </c>
      <c r="E419" s="385"/>
      <c r="F419" s="286">
        <f t="shared" si="36"/>
        <v>-0.67851574195667552</v>
      </c>
      <c r="G419" s="385">
        <f>SUMIFS(Data!$W$75:$W$87,Data!$S$75:$S$87,MarketProfile!A419,Data!$X$75:$X$87,"0")</f>
        <v>491733</v>
      </c>
      <c r="H419" s="385"/>
      <c r="I419" s="286">
        <f t="shared" si="37"/>
        <v>-3.2682370310717399E-2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73" t="str">
        <f>"Market Profile - "&amp; TEXT($H$3,"MMM")&amp;" "&amp;TEXT($H$3,"YYYY")</f>
        <v>Market Profile - Mar 2017</v>
      </c>
      <c r="B429" s="248"/>
      <c r="C429" s="248"/>
      <c r="D429" s="248"/>
      <c r="E429" s="378" t="s">
        <v>205</v>
      </c>
      <c r="F429" s="378"/>
      <c r="G429" s="378"/>
      <c r="H429" s="378"/>
      <c r="I429" s="378"/>
    </row>
    <row r="430" spans="1:12" ht="10.5" customHeight="1" thickBot="1" x14ac:dyDescent="0.25">
      <c r="A430" s="374"/>
      <c r="B430" s="278"/>
      <c r="C430" s="278"/>
      <c r="D430" s="278"/>
      <c r="E430" s="379"/>
      <c r="F430" s="379"/>
      <c r="G430" s="379"/>
      <c r="H430" s="379"/>
      <c r="I430" s="379"/>
    </row>
    <row r="431" spans="1:12" ht="38.25" customHeight="1" thickBot="1" x14ac:dyDescent="0.3">
      <c r="A431" s="330"/>
      <c r="B431" s="330"/>
      <c r="C431" s="341" t="str">
        <f>TEXT($H$3,"MMM")&amp;" "&amp;TEXT($H$3,"YYYY")</f>
        <v>Mar 2017</v>
      </c>
      <c r="D431" s="330"/>
      <c r="E431" s="341" t="str">
        <f>TEXT(DATE(2000,TEXT(H3,"M")-1,1),"mmm")&amp; " "&amp; TEXT(H3,"YYYY")</f>
        <v>Feb 2017</v>
      </c>
      <c r="F431" s="180" t="s">
        <v>193</v>
      </c>
      <c r="G431" s="330"/>
      <c r="H431" s="342" t="str">
        <f>TEXT($H$3,"MMM")&amp;" "&amp;TEXT($H$3,"YYYY")-1</f>
        <v>Mar 2016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872</v>
      </c>
      <c r="D434" s="394">
        <f>SUMIFS(Data!$AQ:$AQ,Data!$AN:$AN,MarketProfile!A434,Data!$AS:$AS,"1")</f>
        <v>655</v>
      </c>
      <c r="E434" s="394"/>
      <c r="F434" s="179">
        <f>IFERROR(IF(OR(AND(D434="",C434=""),AND(D434=0,C434=0)),"",
IF(OR(D434="",D434=0),1,
IF(OR(D434&lt;&gt;"",D434&lt;&gt;0),(C434-D434)/ABS(D434)))),-1)</f>
        <v>0.33129770992366414</v>
      </c>
      <c r="G434" s="395">
        <v>559</v>
      </c>
      <c r="H434" s="395"/>
      <c r="I434" s="179">
        <f t="shared" ref="I434:I441" si="38">IFERROR(IF(OR(AND(G434="",C434=""),AND(G434=0,C434=0)),"",
IF(OR(G434="",G434=0),1,
IF(OR(G434&lt;&gt;"",G434&lt;&gt;0),(C434-G434)/ABS(G434)))),-1)</f>
        <v>0.55992844364937389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2046</v>
      </c>
      <c r="D435" s="394">
        <f>SUMIFS(Data!$AQ:$AQ,Data!$AN:$AN,MarketProfile!A435,Data!$AS:$AS,"1")</f>
        <v>1350</v>
      </c>
      <c r="E435" s="394"/>
      <c r="F435" s="179">
        <f t="shared" ref="F435:F442" si="39">IFERROR(IF(OR(AND(D435="",C435=""),AND(D435=0,C435=0)),"",
IF(OR(D435="",D435=0),1,
IF(OR(D435&lt;&gt;"",D435&lt;&gt;0),(C435-D435)/ABS(D435)))),-1)</f>
        <v>0.51555555555555554</v>
      </c>
      <c r="G435" s="395">
        <v>1494</v>
      </c>
      <c r="H435" s="395"/>
      <c r="I435" s="179">
        <f t="shared" si="38"/>
        <v>0.36947791164658633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6779</v>
      </c>
      <c r="D436" s="394">
        <f>SUMIFS(Data!$AQ:$AQ,Data!$AN:$AN,MarketProfile!A436,Data!$AS:$AS,"1")</f>
        <v>6290</v>
      </c>
      <c r="E436" s="394"/>
      <c r="F436" s="179">
        <f t="shared" si="39"/>
        <v>7.7742448330683625E-2</v>
      </c>
      <c r="G436" s="395">
        <v>4417</v>
      </c>
      <c r="H436" s="395"/>
      <c r="I436" s="179">
        <f t="shared" si="38"/>
        <v>0.53475209418157121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33</v>
      </c>
      <c r="D437" s="394">
        <f>SUMIFS(Data!$AQ:$AQ,Data!$AN:$AN,MarketProfile!A437,Data!$AS:$AS,"1")</f>
        <v>21</v>
      </c>
      <c r="E437" s="394"/>
      <c r="F437" s="179">
        <f t="shared" si="39"/>
        <v>0.5714285714285714</v>
      </c>
      <c r="G437" s="395">
        <v>67</v>
      </c>
      <c r="H437" s="395"/>
      <c r="I437" s="179">
        <f t="shared" si="38"/>
        <v>-0.5074626865671642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2398</v>
      </c>
      <c r="D438" s="394">
        <f>SUMIFS(Data!$AQ:$AQ,Data!$AN:$AN,MarketProfile!A438,Data!$AS:$AS,"1")</f>
        <v>1852</v>
      </c>
      <c r="E438" s="394"/>
      <c r="F438" s="179">
        <f t="shared" si="39"/>
        <v>0.29481641468682507</v>
      </c>
      <c r="G438" s="395">
        <v>1679</v>
      </c>
      <c r="H438" s="395"/>
      <c r="I438" s="179">
        <f t="shared" si="38"/>
        <v>0.42823108993448483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11284</v>
      </c>
      <c r="D439" s="394">
        <f>SUMIFS(Data!$AQ:$AQ,Data!$AN:$AN,MarketProfile!A439,Data!$AS:$AS,"1")</f>
        <v>14871</v>
      </c>
      <c r="E439" s="394"/>
      <c r="F439" s="179">
        <f t="shared" si="39"/>
        <v>-0.24120771972295071</v>
      </c>
      <c r="G439" s="395">
        <v>12026</v>
      </c>
      <c r="H439" s="395"/>
      <c r="I439" s="179">
        <f t="shared" si="38"/>
        <v>-6.1699650756693827E-2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29</v>
      </c>
      <c r="D440" s="394">
        <f>SUMIFS(Data!$AQ:$AQ,Data!$AN:$AN,MarketProfile!A440,Data!$AS:$AS,"1")</f>
        <v>34</v>
      </c>
      <c r="E440" s="394"/>
      <c r="F440" s="179">
        <f t="shared" si="39"/>
        <v>-0.14705882352941177</v>
      </c>
      <c r="G440" s="395">
        <v>24</v>
      </c>
      <c r="H440" s="395"/>
      <c r="I440" s="179">
        <f t="shared" si="38"/>
        <v>0.20833333333333334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47</v>
      </c>
      <c r="D441" s="394">
        <f>SUMIFS(Data!$AQ:$AQ,Data!$AN:$AN,MarketProfile!A441,Data!$AS:$AS,"1")</f>
        <v>9</v>
      </c>
      <c r="E441" s="394"/>
      <c r="F441" s="179">
        <f t="shared" si="39"/>
        <v>4.2222222222222223</v>
      </c>
      <c r="G441" s="395">
        <v>63</v>
      </c>
      <c r="H441" s="395"/>
      <c r="I441" s="179">
        <f t="shared" si="38"/>
        <v>-0.25396825396825395</v>
      </c>
      <c r="J441" s="158"/>
    </row>
    <row r="442" spans="1:10" x14ac:dyDescent="0.2">
      <c r="A442" s="246" t="s">
        <v>187</v>
      </c>
      <c r="B442" s="247"/>
      <c r="C442" s="4">
        <f>SUM(C434:C441)</f>
        <v>23488</v>
      </c>
      <c r="D442" s="396">
        <f>SUM(D434:E441)</f>
        <v>25082</v>
      </c>
      <c r="E442" s="396">
        <f>SUM(E434:E441)</f>
        <v>0</v>
      </c>
      <c r="F442" s="166">
        <f t="shared" si="39"/>
        <v>-6.3551550913005336E-2</v>
      </c>
      <c r="G442" s="396">
        <f>SUM(G434:H441)</f>
        <v>20329</v>
      </c>
      <c r="H442" s="396">
        <f>SUM(H434:H441)</f>
        <v>0</v>
      </c>
      <c r="I442" s="166">
        <f>IFERROR(IF(OR(AND(G442="",C442=""),AND(G442=0,C442=0)),"",
IF(OR(G442="",G442=0),1,
IF(OR(G442&lt;&gt;"",G442&lt;&gt;0),(C442-G442)/ABS(G442)))),-1)</f>
        <v>0.1553937724433076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94">
        <f>SUMIFS(Data!$AQ:$AQ,Data!$AN:$AN,MarketProfile!A444,Data!$AS:$AS,"0")</f>
        <v>0</v>
      </c>
      <c r="E444" s="394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94">
        <v>2</v>
      </c>
      <c r="H444" s="394"/>
      <c r="I444" s="179">
        <f t="shared" ref="I444:I452" si="41">IFERROR(IF(OR(AND(G444="",C444=""),AND(G444=0,C444=0)),"",
IF(OR(G444="",G444=0),1,
IF(OR(G444&lt;&gt;"",G444&lt;&gt;0),(C444-G444)/ABS(G444)))),-1)</f>
        <v>-1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132</v>
      </c>
      <c r="D445" s="394">
        <f>SUMIFS(Data!$AQ:$AQ,Data!$AN:$AN,MarketProfile!A445,Data!$AS:$AS,"0")</f>
        <v>112</v>
      </c>
      <c r="E445" s="394"/>
      <c r="F445" s="179">
        <f t="shared" si="40"/>
        <v>0.17857142857142858</v>
      </c>
      <c r="G445" s="394">
        <v>168</v>
      </c>
      <c r="H445" s="394"/>
      <c r="I445" s="179">
        <f t="shared" si="41"/>
        <v>-0.21428571428571427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412</v>
      </c>
      <c r="D446" s="394">
        <f>SUMIFS(Data!$AQ:$AQ,Data!$AN:$AN,MarketProfile!A446,Data!$AS:$AS,"0")</f>
        <v>373</v>
      </c>
      <c r="E446" s="394"/>
      <c r="F446" s="179">
        <f t="shared" si="40"/>
        <v>0.10455764075067024</v>
      </c>
      <c r="G446" s="394">
        <v>364</v>
      </c>
      <c r="H446" s="394"/>
      <c r="I446" s="179">
        <f t="shared" si="41"/>
        <v>0.13186813186813187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94">
        <f>SUMIFS(Data!$AQ:$AQ,Data!$AN:$AN,MarketProfile!A447,Data!$AS:$AS,"0")</f>
        <v>0</v>
      </c>
      <c r="E447" s="394"/>
      <c r="F447" s="179" t="str">
        <f t="shared" si="40"/>
        <v/>
      </c>
      <c r="G447" s="394">
        <v>0</v>
      </c>
      <c r="H447" s="394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132</v>
      </c>
      <c r="D448" s="394">
        <f>SUMIFS(Data!$AQ:$AQ,Data!$AN:$AN,MarketProfile!A448,Data!$AS:$AS,"0")</f>
        <v>98</v>
      </c>
      <c r="E448" s="394"/>
      <c r="F448" s="179">
        <f t="shared" si="40"/>
        <v>0.34693877551020408</v>
      </c>
      <c r="G448" s="394">
        <v>84</v>
      </c>
      <c r="H448" s="394"/>
      <c r="I448" s="179">
        <f t="shared" si="41"/>
        <v>0.5714285714285714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1907</v>
      </c>
      <c r="D449" s="394">
        <f>SUMIFS(Data!$AQ:$AQ,Data!$AN:$AN,MarketProfile!A449,Data!$AS:$AS,"0")</f>
        <v>1718</v>
      </c>
      <c r="E449" s="394"/>
      <c r="F449" s="179">
        <f t="shared" si="40"/>
        <v>0.110011641443539</v>
      </c>
      <c r="G449" s="394">
        <v>1981</v>
      </c>
      <c r="H449" s="394"/>
      <c r="I449" s="179">
        <f t="shared" si="41"/>
        <v>-3.7354871277132759E-2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4</v>
      </c>
      <c r="D450" s="394">
        <f>SUMIFS(Data!$AQ:$AQ,Data!$AN:$AN,MarketProfile!A450,Data!$AS:$AS,"0")</f>
        <v>0</v>
      </c>
      <c r="E450" s="394"/>
      <c r="F450" s="179">
        <f t="shared" si="40"/>
        <v>1</v>
      </c>
      <c r="G450" s="394">
        <v>4</v>
      </c>
      <c r="H450" s="394"/>
      <c r="I450" s="179">
        <f t="shared" si="41"/>
        <v>0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94">
        <f>SUMIFS(Data!$AQ:$AQ,Data!$AN:$AN,MarketProfile!A451,Data!$AS:$AS,"0")</f>
        <v>0</v>
      </c>
      <c r="E451" s="394"/>
      <c r="F451" s="179" t="str">
        <f t="shared" si="40"/>
        <v/>
      </c>
      <c r="G451" s="394">
        <v>0</v>
      </c>
      <c r="H451" s="394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2587</v>
      </c>
      <c r="D452" s="396">
        <f>SUM(D444:E451)</f>
        <v>2301</v>
      </c>
      <c r="E452" s="396">
        <f>SUM(E444:E451)</f>
        <v>0</v>
      </c>
      <c r="F452" s="166">
        <f t="shared" si="40"/>
        <v>0.12429378531073447</v>
      </c>
      <c r="G452" s="396">
        <f>SUM(G444:H451)</f>
        <v>2603</v>
      </c>
      <c r="H452" s="396">
        <f>SUM(H444:H451)</f>
        <v>0</v>
      </c>
      <c r="I452" s="166">
        <f t="shared" si="41"/>
        <v>-6.146753745678064E-3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10929</v>
      </c>
      <c r="D455" s="394">
        <f>SUMIFS(Data!$AP:$AP,Data!$AN:$AN,MarketProfile!A455,Data!$AS:$AS,"1")</f>
        <v>15305</v>
      </c>
      <c r="E455" s="394"/>
      <c r="F455" s="179">
        <f t="shared" ref="F455:F463" si="42">IFERROR(IF(OR(AND(D455="",C455=""),AND(D455=0,C455=0)),"",
IF(OR(D455="",D455=0),1,
IF(OR(D455&lt;&gt;"",D455&lt;&gt;0),(C455-D455)/ABS(D455)))),-1)</f>
        <v>-0.28591963410650112</v>
      </c>
      <c r="G455" s="394">
        <v>11727</v>
      </c>
      <c r="H455" s="394"/>
      <c r="I455" s="179">
        <f t="shared" ref="I455:I463" si="43">IFERROR(IF(OR(AND(G455="",C455=""),AND(G455=0,C455=0)),"",
IF(OR(G455="",G455=0),1,
IF(OR(G455&lt;&gt;"",G455&lt;&gt;0),(C455-G455)/ABS(G455)))),-1)</f>
        <v>-6.8048094141724233E-2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18077</v>
      </c>
      <c r="D456" s="394">
        <f>SUMIFS(Data!$AP:$AP,Data!$AN:$AN,MarketProfile!A456,Data!$AS:$AS,"1")</f>
        <v>15915</v>
      </c>
      <c r="E456" s="394"/>
      <c r="F456" s="179">
        <f t="shared" si="42"/>
        <v>0.13584668551680804</v>
      </c>
      <c r="G456" s="394">
        <v>11234</v>
      </c>
      <c r="H456" s="394"/>
      <c r="I456" s="179">
        <f t="shared" si="43"/>
        <v>0.60913298914011038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40908</v>
      </c>
      <c r="D457" s="394">
        <f>SUMIFS(Data!$AP:$AP,Data!$AN:$AN,MarketProfile!A457,Data!$AS:$AS,"1")</f>
        <v>40611</v>
      </c>
      <c r="E457" s="394"/>
      <c r="F457" s="179">
        <f t="shared" si="42"/>
        <v>7.3132895028440569E-3</v>
      </c>
      <c r="G457" s="394">
        <v>32486</v>
      </c>
      <c r="H457" s="394"/>
      <c r="I457" s="179">
        <f t="shared" si="43"/>
        <v>0.25925013852120915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169</v>
      </c>
      <c r="D458" s="394">
        <f>SUMIFS(Data!$AP:$AP,Data!$AN:$AN,MarketProfile!A458,Data!$AS:$AS,"1")</f>
        <v>164</v>
      </c>
      <c r="E458" s="394"/>
      <c r="F458" s="179">
        <f t="shared" si="42"/>
        <v>3.048780487804878E-2</v>
      </c>
      <c r="G458" s="394">
        <v>532</v>
      </c>
      <c r="H458" s="394"/>
      <c r="I458" s="179">
        <f t="shared" si="43"/>
        <v>-0.68233082706766912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17416</v>
      </c>
      <c r="D459" s="394">
        <f>SUMIFS(Data!$AP:$AP,Data!$AN:$AN,MarketProfile!A459,Data!$AS:$AS,"1")</f>
        <v>13108</v>
      </c>
      <c r="E459" s="394"/>
      <c r="F459" s="179">
        <f t="shared" si="42"/>
        <v>0.32865425694232531</v>
      </c>
      <c r="G459" s="394">
        <v>10724</v>
      </c>
      <c r="H459" s="394"/>
      <c r="I459" s="179">
        <f t="shared" si="43"/>
        <v>0.62402088772845954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63367</v>
      </c>
      <c r="D460" s="394">
        <f>SUMIFS(Data!$AP:$AP,Data!$AN:$AN,MarketProfile!A460,Data!$AS:$AS,"1")</f>
        <v>79807</v>
      </c>
      <c r="E460" s="394"/>
      <c r="F460" s="179">
        <f t="shared" si="42"/>
        <v>-0.20599696768453896</v>
      </c>
      <c r="G460" s="394">
        <v>84510</v>
      </c>
      <c r="H460" s="394"/>
      <c r="I460" s="179">
        <f t="shared" si="43"/>
        <v>-0.250183410247308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400</v>
      </c>
      <c r="D461" s="394">
        <f>SUMIFS(Data!$AP:$AP,Data!$AN:$AN,MarketProfile!A461,Data!$AS:$AS,"1")</f>
        <v>520</v>
      </c>
      <c r="E461" s="394"/>
      <c r="F461" s="179">
        <f t="shared" si="42"/>
        <v>-0.23076923076923078</v>
      </c>
      <c r="G461" s="394">
        <v>97</v>
      </c>
      <c r="H461" s="394"/>
      <c r="I461" s="179">
        <f t="shared" si="43"/>
        <v>3.1237113402061856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1091</v>
      </c>
      <c r="D462" s="394">
        <f>SUMIFS(Data!$AP:$AP,Data!$AN:$AN,MarketProfile!A462,Data!$AS:$AS,"1")</f>
        <v>24</v>
      </c>
      <c r="E462" s="394"/>
      <c r="F462" s="179">
        <f t="shared" si="42"/>
        <v>44.458333333333336</v>
      </c>
      <c r="G462" s="394">
        <v>4890</v>
      </c>
      <c r="H462" s="394"/>
      <c r="I462" s="179">
        <f t="shared" si="43"/>
        <v>-0.77689161554192232</v>
      </c>
    </row>
    <row r="463" spans="1:9" x14ac:dyDescent="0.2">
      <c r="A463" s="246" t="s">
        <v>187</v>
      </c>
      <c r="B463" s="247"/>
      <c r="C463" s="4">
        <f>SUM(C455:C462)</f>
        <v>152357</v>
      </c>
      <c r="D463" s="396">
        <f>SUM(D455:E462)</f>
        <v>165454</v>
      </c>
      <c r="E463" s="396">
        <f>SUM(E455:E462)</f>
        <v>0</v>
      </c>
      <c r="F463" s="166">
        <f t="shared" si="42"/>
        <v>-7.915795326797781E-2</v>
      </c>
      <c r="G463" s="396">
        <f>SUM(G455:H462)</f>
        <v>156200</v>
      </c>
      <c r="H463" s="396">
        <f>SUM(H455:H462)</f>
        <v>0</v>
      </c>
      <c r="I463" s="166">
        <f t="shared" si="43"/>
        <v>-2.4603072983354672E-2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94">
        <f>SUMIFS(Data!$AP:$AP,Data!$AN:$AN,MarketProfile!A465,Data!$AS:$AS,"0")</f>
        <v>0</v>
      </c>
      <c r="E465" s="394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94">
        <v>80</v>
      </c>
      <c r="H465" s="394"/>
      <c r="I465" s="179">
        <f t="shared" ref="I465:I473" si="45">IFERROR(IF(OR(AND(G465="",C465=""),AND(G465=0,C465=0)),"",
IF(OR(G465="",G465=0),1,
IF(OR(G465&lt;&gt;"",G465&lt;&gt;0),(C465-G465)/ABS(G465)))),-1)</f>
        <v>-1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3027</v>
      </c>
      <c r="D466" s="394">
        <f>SUMIFS(Data!$AP:$AP,Data!$AN:$AN,MarketProfile!A466,Data!$AS:$AS,"0")</f>
        <v>3193</v>
      </c>
      <c r="E466" s="394"/>
      <c r="F466" s="179">
        <f t="shared" si="44"/>
        <v>-5.1988725336673973E-2</v>
      </c>
      <c r="G466" s="394">
        <v>1351</v>
      </c>
      <c r="H466" s="394"/>
      <c r="I466" s="179">
        <f t="shared" si="45"/>
        <v>1.2405625462620282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5442</v>
      </c>
      <c r="D467" s="394">
        <f>SUMIFS(Data!$AP:$AP,Data!$AN:$AN,MarketProfile!A467,Data!$AS:$AS,"0")</f>
        <v>4816</v>
      </c>
      <c r="E467" s="394"/>
      <c r="F467" s="179">
        <f t="shared" si="44"/>
        <v>0.12998338870431894</v>
      </c>
      <c r="G467" s="394">
        <v>4596</v>
      </c>
      <c r="H467" s="394"/>
      <c r="I467" s="179">
        <f t="shared" si="45"/>
        <v>0.18407310704960836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94">
        <f>SUMIFS(Data!$AP:$AP,Data!$AN:$AN,MarketProfile!A468,Data!$AS:$AS,"0")</f>
        <v>0</v>
      </c>
      <c r="E468" s="394"/>
      <c r="F468" s="179" t="str">
        <f t="shared" si="44"/>
        <v/>
      </c>
      <c r="G468" s="394">
        <v>0</v>
      </c>
      <c r="H468" s="394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2262</v>
      </c>
      <c r="D469" s="394">
        <f>SUMIFS(Data!$AP:$AP,Data!$AN:$AN,MarketProfile!A469,Data!$AS:$AS,"0")</f>
        <v>1909</v>
      </c>
      <c r="E469" s="394"/>
      <c r="F469" s="179">
        <f t="shared" si="44"/>
        <v>0.18491356731272918</v>
      </c>
      <c r="G469" s="394">
        <v>2774</v>
      </c>
      <c r="H469" s="394"/>
      <c r="I469" s="179">
        <f t="shared" si="45"/>
        <v>-0.18457101658255226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15385</v>
      </c>
      <c r="D470" s="394">
        <f>SUMIFS(Data!$AP:$AP,Data!$AN:$AN,MarketProfile!A470,Data!$AS:$AS,"0")</f>
        <v>16193</v>
      </c>
      <c r="E470" s="394"/>
      <c r="F470" s="179">
        <f t="shared" si="44"/>
        <v>-4.9898104119063792E-2</v>
      </c>
      <c r="G470" s="394">
        <v>25332</v>
      </c>
      <c r="H470" s="394"/>
      <c r="I470" s="179">
        <f t="shared" si="45"/>
        <v>-0.39266540344228645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60</v>
      </c>
      <c r="D471" s="394">
        <f>SUMIFS(Data!$AP:$AP,Data!$AN:$AN,MarketProfile!A471,Data!$AS:$AS,"0")</f>
        <v>0</v>
      </c>
      <c r="E471" s="394"/>
      <c r="F471" s="179">
        <f t="shared" si="44"/>
        <v>1</v>
      </c>
      <c r="G471" s="394">
        <v>80</v>
      </c>
      <c r="H471" s="394"/>
      <c r="I471" s="179">
        <f t="shared" si="45"/>
        <v>-0.25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94">
        <f>SUMIFS(Data!$AP:$AP,Data!$AN:$AN,MarketProfile!A472,Data!$AS:$AS,"0")</f>
        <v>0</v>
      </c>
      <c r="E472" s="394"/>
      <c r="F472" s="179" t="str">
        <f t="shared" si="44"/>
        <v/>
      </c>
      <c r="G472" s="394">
        <v>0</v>
      </c>
      <c r="H472" s="394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26176</v>
      </c>
      <c r="D473" s="396">
        <f>SUM(D465:E472)</f>
        <v>26111</v>
      </c>
      <c r="E473" s="396">
        <v>34213</v>
      </c>
      <c r="F473" s="166">
        <f t="shared" si="44"/>
        <v>2.4893722952012563E-3</v>
      </c>
      <c r="G473" s="396">
        <f>SUM(G465:H472)</f>
        <v>34213</v>
      </c>
      <c r="H473" s="396">
        <f>SUM(H465:H472)</f>
        <v>0</v>
      </c>
      <c r="I473" s="166">
        <f t="shared" si="45"/>
        <v>-0.23491070645661005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2194880.6594099998</v>
      </c>
      <c r="D476" s="394">
        <f>SUMIFS(Data!$AO:$AO,Data!$AN:$AN,MarketProfile!A476,Data!$AS:$AS,"1")/1000</f>
        <v>3060553.5416999999</v>
      </c>
      <c r="E476" s="394"/>
      <c r="F476" s="179">
        <f t="shared" ref="F476:F484" si="46">IFERROR(IF(OR(AND(D476="",C476=""),AND(D476=0,C476=0)),"",
IF(OR(D476="",D476=0),1,
IF(OR(D476&lt;&gt;"",D476&lt;&gt;0),(C476-D476)/ABS(D476)))),-1)</f>
        <v>-0.28284846858426721</v>
      </c>
      <c r="G476" s="394">
        <v>2689823</v>
      </c>
      <c r="H476" s="394"/>
      <c r="I476" s="179">
        <f t="shared" ref="I476:I484" si="47">IFERROR(IF(OR(AND(G476="",C476=""),AND(G476=0,C476=0)),"",
IF(OR(G476="",G476=0),1,
IF(OR(G476&lt;&gt;"",G476&lt;&gt;0),(C476-G476)/ABS(G476)))),-1)</f>
        <v>-0.18400554259146426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4575713.3676899998</v>
      </c>
      <c r="D477" s="394">
        <f>SUMIFS(Data!$AO:$AO,Data!$AN:$AN,MarketProfile!A477,Data!$AS:$AS,"1")/1000</f>
        <v>4514518.2218149994</v>
      </c>
      <c r="E477" s="394"/>
      <c r="F477" s="179">
        <f t="shared" si="46"/>
        <v>1.3555188586745306E-2</v>
      </c>
      <c r="G477" s="394">
        <v>3388927</v>
      </c>
      <c r="H477" s="394"/>
      <c r="I477" s="179">
        <f t="shared" si="47"/>
        <v>0.35019531777757379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8336893.1326200003</v>
      </c>
      <c r="D478" s="394">
        <f>SUMIFS(Data!$AO:$AO,Data!$AN:$AN,MarketProfile!A478,Data!$AS:$AS,"1")/1000</f>
        <v>9824620.6780900005</v>
      </c>
      <c r="E478" s="394"/>
      <c r="F478" s="179">
        <f t="shared" si="46"/>
        <v>-0.15142849726379753</v>
      </c>
      <c r="G478" s="394">
        <v>10598630</v>
      </c>
      <c r="H478" s="394"/>
      <c r="I478" s="179">
        <f t="shared" si="47"/>
        <v>-0.21339898339502367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27157.040002000002</v>
      </c>
      <c r="D479" s="394">
        <f>SUMIFS(Data!$AO:$AO,Data!$AN:$AN,MarketProfile!A479,Data!$AS:$AS,"1")/1000</f>
        <v>26792.920013999999</v>
      </c>
      <c r="E479" s="394"/>
      <c r="F479" s="179">
        <f t="shared" si="46"/>
        <v>1.3590156944810047E-2</v>
      </c>
      <c r="G479" s="394">
        <v>104543</v>
      </c>
      <c r="H479" s="394"/>
      <c r="I479" s="179">
        <f t="shared" si="47"/>
        <v>-0.74023090975005501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3985888.3162350003</v>
      </c>
      <c r="D480" s="394">
        <f>SUMIFS(Data!$AO:$AO,Data!$AN:$AN,MarketProfile!A480,Data!$AS:$AS,"1")/1000</f>
        <v>3271854.1072199997</v>
      </c>
      <c r="E480" s="394"/>
      <c r="F480" s="179">
        <f t="shared" si="46"/>
        <v>0.21823534473598363</v>
      </c>
      <c r="G480" s="394">
        <v>3701884</v>
      </c>
      <c r="H480" s="394"/>
      <c r="I480" s="179">
        <f t="shared" si="47"/>
        <v>7.6718858893201486E-2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12570439.202569989</v>
      </c>
      <c r="D481" s="394">
        <f>SUMIFS(Data!$AO:$AO,Data!$AN:$AN,MarketProfile!A481,Data!$AS:$AS,"1")/1000</f>
        <v>19923172.806319989</v>
      </c>
      <c r="E481" s="394"/>
      <c r="F481" s="179">
        <f t="shared" si="46"/>
        <v>-0.36905435069145115</v>
      </c>
      <c r="G481" s="394">
        <v>41308139</v>
      </c>
      <c r="H481" s="394"/>
      <c r="I481" s="179">
        <f t="shared" si="47"/>
        <v>-0.69569098228874482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50393.609542000006</v>
      </c>
      <c r="D482" s="394">
        <f>SUMIFS(Data!$AO:$AO,Data!$AN:$AN,MarketProfile!A482,Data!$AS:$AS,"1")/1000</f>
        <v>69150.589840000001</v>
      </c>
      <c r="E482" s="394"/>
      <c r="F482" s="179">
        <f t="shared" si="46"/>
        <v>-0.27124830520462262</v>
      </c>
      <c r="G482" s="394">
        <v>15036</v>
      </c>
      <c r="H482" s="394"/>
      <c r="I482" s="179">
        <f t="shared" si="47"/>
        <v>2.3515302967544565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69078.156959999993</v>
      </c>
      <c r="D483" s="394">
        <f>SUMIFS(Data!$AO:$AO,Data!$AN:$AN,MarketProfile!A483,Data!$AS:$AS,"1")/1000</f>
        <v>1728.78</v>
      </c>
      <c r="E483" s="394"/>
      <c r="F483" s="179">
        <f t="shared" si="46"/>
        <v>38.957748793947175</v>
      </c>
      <c r="G483" s="394">
        <v>299797</v>
      </c>
      <c r="H483" s="394"/>
      <c r="I483" s="179">
        <f t="shared" si="47"/>
        <v>-0.76958356167673458</v>
      </c>
    </row>
    <row r="484" spans="1:9" x14ac:dyDescent="0.2">
      <c r="A484" s="246" t="s">
        <v>187</v>
      </c>
      <c r="B484" s="247"/>
      <c r="C484" s="4">
        <f>SUM(C476:C483)</f>
        <v>31810443.48502899</v>
      </c>
      <c r="D484" s="396">
        <f>SUM(D476:E483)</f>
        <v>40692391.644998997</v>
      </c>
      <c r="E484" s="396">
        <f>SUM(E476:E483)</f>
        <v>0</v>
      </c>
      <c r="F484" s="166">
        <f t="shared" si="46"/>
        <v>-0.21827048745269753</v>
      </c>
      <c r="G484" s="396">
        <f>SUM(G476:H483)</f>
        <v>62106779</v>
      </c>
      <c r="H484" s="396">
        <f>SUM(H476:H483)</f>
        <v>0</v>
      </c>
      <c r="I484" s="166">
        <f t="shared" si="47"/>
        <v>-0.48781044521679368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94">
        <f>SUMIFS(Data!$AO:$AO,Data!$AN:$AN,MarketProfile!A486,Data!$AS:$AS,"0")/1000</f>
        <v>0</v>
      </c>
      <c r="E486" s="394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94">
        <v>700</v>
      </c>
      <c r="H486" s="394"/>
      <c r="I486" s="179">
        <f t="shared" ref="I486:I494" si="49">IFERROR(IF(OR(AND(G486="",C486=""),AND(G486=0,C486=0)),"",
IF(OR(G486="",G486=0),1,
IF(OR(G486&lt;&gt;"",G486&lt;&gt;0),(C486-G486)/ABS(G486)))),-1)</f>
        <v>-1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32688.2994</v>
      </c>
      <c r="D487" s="394">
        <f>SUMIFS(Data!$AO:$AO,Data!$AN:$AN,MarketProfile!A487,Data!$AS:$AS,"0")/1000</f>
        <v>26527.529059999997</v>
      </c>
      <c r="E487" s="394"/>
      <c r="F487" s="179">
        <f t="shared" si="48"/>
        <v>0.23224064050841542</v>
      </c>
      <c r="G487" s="394">
        <v>9030</v>
      </c>
      <c r="H487" s="394"/>
      <c r="I487" s="179">
        <f t="shared" si="49"/>
        <v>2.619966710963455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58596.467210000003</v>
      </c>
      <c r="D488" s="394">
        <f>SUMIFS(Data!$AO:$AO,Data!$AN:$AN,MarketProfile!A488,Data!$AS:$AS,"0")/1000</f>
        <v>44702.600770000005</v>
      </c>
      <c r="E488" s="394"/>
      <c r="F488" s="179">
        <f t="shared" si="48"/>
        <v>0.31080666897851267</v>
      </c>
      <c r="G488" s="394">
        <v>44851</v>
      </c>
      <c r="H488" s="394"/>
      <c r="I488" s="179">
        <f t="shared" si="49"/>
        <v>0.30646958172616001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94">
        <f>SUMIFS(Data!$AO:$AO,Data!$AN:$AN,MarketProfile!A489,Data!$AS:$AS,"0")/1000</f>
        <v>0</v>
      </c>
      <c r="E489" s="394"/>
      <c r="F489" s="179" t="str">
        <f t="shared" si="48"/>
        <v/>
      </c>
      <c r="G489" s="394">
        <v>0</v>
      </c>
      <c r="H489" s="394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22427.061799999999</v>
      </c>
      <c r="D490" s="394">
        <f>SUMIFS(Data!$AO:$AO,Data!$AN:$AN,MarketProfile!A490,Data!$AS:$AS,"0")/1000</f>
        <v>26052.889800000001</v>
      </c>
      <c r="E490" s="394"/>
      <c r="F490" s="179">
        <f t="shared" si="48"/>
        <v>-0.13917181655602756</v>
      </c>
      <c r="G490" s="394">
        <v>33888</v>
      </c>
      <c r="H490" s="394"/>
      <c r="I490" s="179">
        <f t="shared" si="49"/>
        <v>-0.3382004898489141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148405.74897999997</v>
      </c>
      <c r="D491" s="394">
        <f>SUMIFS(Data!$AO:$AO,Data!$AN:$AN,MarketProfile!A491,Data!$AS:$AS,"0")/1000</f>
        <v>209815.85389</v>
      </c>
      <c r="E491" s="394"/>
      <c r="F491" s="179">
        <f>IFERROR(IF(OR(AND(D491="",C491=""),AND(D491=0,C491=0)),"",
IF(OR(D491="",D491=0),1,
IF(OR(D491&lt;&gt;"",D491&lt;&gt;0),(C491-D491)/ABS(D491)))),-1)</f>
        <v>-0.29268572308265828</v>
      </c>
      <c r="G491" s="394">
        <v>558993</v>
      </c>
      <c r="H491" s="394"/>
      <c r="I491" s="179">
        <f t="shared" si="49"/>
        <v>-0.73451233024384921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361.29679999999996</v>
      </c>
      <c r="D492" s="394">
        <f>SUMIFS(Data!$AO:$AO,Data!$AN:$AN,MarketProfile!A492,Data!$AS:$AS,"0")/1000</f>
        <v>0</v>
      </c>
      <c r="E492" s="394"/>
      <c r="F492" s="179">
        <f t="shared" si="48"/>
        <v>1</v>
      </c>
      <c r="G492" s="394">
        <v>134</v>
      </c>
      <c r="H492" s="394"/>
      <c r="I492" s="179">
        <f t="shared" si="49"/>
        <v>1.6962447761194026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94">
        <f>SUMIFS(Data!$AO:$AO,Data!$AN:$AN,MarketProfile!A493,Data!$AS:$AS,"0")/1000</f>
        <v>0</v>
      </c>
      <c r="E493" s="394"/>
      <c r="F493" s="179" t="str">
        <f t="shared" si="48"/>
        <v/>
      </c>
      <c r="G493" s="394">
        <v>0</v>
      </c>
      <c r="H493" s="394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262478.87419</v>
      </c>
      <c r="D494" s="396">
        <f>SUM(D486:E493)</f>
        <v>307098.87352000002</v>
      </c>
      <c r="E494" s="396">
        <f>SUM(E486:E493)</f>
        <v>0</v>
      </c>
      <c r="F494" s="166">
        <f t="shared" si="48"/>
        <v>-0.14529522306142265</v>
      </c>
      <c r="G494" s="396">
        <f>SUM(G486:H493)</f>
        <v>647596</v>
      </c>
      <c r="H494" s="396">
        <f>SUM(H486:H493)</f>
        <v>0</v>
      </c>
      <c r="I494" s="166">
        <f t="shared" si="49"/>
        <v>-0.59468731401985186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8614</v>
      </c>
      <c r="D497" s="394">
        <f>SUMIFS(Data!$AY:$AY,Data!$AU:$AU,MarketProfile!A497,Data!$AZ:$AZ,"1")</f>
        <v>7901</v>
      </c>
      <c r="E497" s="394"/>
      <c r="F497" s="179">
        <f t="shared" ref="F497:F512" si="50">IFERROR(IF(OR(AND(D497="",C497=""),AND(D497=0,C497=0)),"",
IF(OR(D497="",D497=0),1,
IF(OR(D497&lt;&gt;"",D497&lt;&gt;0),(C497-D497)/ABS(D497)))),-1)</f>
        <v>9.0241741551702323E-2</v>
      </c>
      <c r="G497" s="394">
        <f>SUMIFS(Data!$BL:$BL,Data!$BH:$BH,MarketProfile!A497,Data!$BM:$BM,"1")</f>
        <v>4162</v>
      </c>
      <c r="H497" s="394"/>
      <c r="I497" s="179">
        <f t="shared" ref="I497:I504" si="51">IFERROR(IF(OR(AND(G497="",C497=""),AND(G497=0,C497=0)),"",
IF(OR(G497="",G497=0),1,
IF(OR(G497&lt;&gt;"",G497&lt;&gt;0),(C497-G497)/ABS(G497)))),-1)</f>
        <v>1.0696780394041325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8246</v>
      </c>
      <c r="D498" s="394">
        <f>SUMIFS(Data!$AY:$AY,Data!$AU:$AU,MarketProfile!A498,Data!$AZ:$AZ,"1")</f>
        <v>6740</v>
      </c>
      <c r="E498" s="394"/>
      <c r="F498" s="179">
        <f t="shared" si="50"/>
        <v>0.22344213649851632</v>
      </c>
      <c r="G498" s="394">
        <f>SUMIFS(Data!$BL:$BL,Data!$BH:$BH,MarketProfile!A498,Data!$BM:$BM,"1")</f>
        <v>5173</v>
      </c>
      <c r="H498" s="394"/>
      <c r="I498" s="179">
        <f t="shared" si="51"/>
        <v>0.59404600811907982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18009</v>
      </c>
      <c r="D499" s="394">
        <f>SUMIFS(Data!$AY:$AY,Data!$AU:$AU,MarketProfile!A499,Data!$AZ:$AZ,"1")</f>
        <v>15044</v>
      </c>
      <c r="E499" s="394"/>
      <c r="F499" s="179">
        <f t="shared" si="50"/>
        <v>0.19708854028183995</v>
      </c>
      <c r="G499" s="394">
        <f>SUMIFS(Data!$BL:$BL,Data!$BH:$BH,MarketProfile!A499,Data!$BM:$BM,"1")</f>
        <v>16682</v>
      </c>
      <c r="H499" s="394"/>
      <c r="I499" s="179">
        <f t="shared" si="51"/>
        <v>7.9546816928425843E-2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25</v>
      </c>
      <c r="D500" s="394">
        <f>SUMIFS(Data!$AY:$AY,Data!$AU:$AU,MarketProfile!A500,Data!$AZ:$AZ,"1")</f>
        <v>54</v>
      </c>
      <c r="E500" s="394"/>
      <c r="F500" s="179">
        <f t="shared" si="50"/>
        <v>-0.53703703703703709</v>
      </c>
      <c r="G500" s="394">
        <f>SUMIFS(Data!$BL:$BL,Data!$BH:$BH,MarketProfile!A500,Data!$BM:$BM,"1")</f>
        <v>1262</v>
      </c>
      <c r="H500" s="394"/>
      <c r="I500" s="179">
        <f t="shared" si="51"/>
        <v>-0.98019017432646594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6536</v>
      </c>
      <c r="D501" s="394">
        <f>SUMIFS(Data!$AY:$AY,Data!$AU:$AU,MarketProfile!A501,Data!$AZ:$AZ,"1")</f>
        <v>4925</v>
      </c>
      <c r="E501" s="394"/>
      <c r="F501" s="179">
        <f t="shared" si="50"/>
        <v>0.32710659898477157</v>
      </c>
      <c r="G501" s="394">
        <f>SUMIFS(Data!$BL:$BL,Data!$BH:$BH,MarketProfile!A501,Data!$BM:$BM,"1")</f>
        <v>4456</v>
      </c>
      <c r="H501" s="394"/>
      <c r="I501" s="179">
        <f t="shared" si="51"/>
        <v>0.46678635547576303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21171</v>
      </c>
      <c r="D502" s="394">
        <f>SUMIFS(Data!$AY:$AY,Data!$AU:$AU,MarketProfile!A502,Data!$AZ:$AZ,"1")</f>
        <v>18321</v>
      </c>
      <c r="E502" s="394"/>
      <c r="F502" s="179">
        <f t="shared" si="50"/>
        <v>0.15555919436711971</v>
      </c>
      <c r="G502" s="394">
        <f>SUMIFS(Data!$BL:$BL,Data!$BH:$BH,MarketProfile!A502,Data!$BM:$BM,"1")</f>
        <v>23341</v>
      </c>
      <c r="H502" s="394"/>
      <c r="I502" s="179">
        <f t="shared" si="51"/>
        <v>-9.2969452894049093E-2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54</v>
      </c>
      <c r="D503" s="394">
        <f>SUMIFS(Data!$AY:$AY,Data!$AU:$AU,MarketProfile!A503,Data!$AZ:$AZ,"1")</f>
        <v>186</v>
      </c>
      <c r="E503" s="394"/>
      <c r="F503" s="179">
        <f t="shared" si="50"/>
        <v>-0.70967741935483875</v>
      </c>
      <c r="G503" s="394">
        <f>SUMIFS(Data!$BL:$BL,Data!$BH:$BH,MarketProfile!A503,Data!$BM:$BM,"1")</f>
        <v>463</v>
      </c>
      <c r="H503" s="394"/>
      <c r="I503" s="179">
        <f t="shared" si="51"/>
        <v>-0.88336933045356369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495</v>
      </c>
      <c r="D504" s="394">
        <f>SUMIFS(Data!$AY:$AY,Data!$AU:$AU,MarketProfile!A504,Data!$AZ:$AZ,"1")</f>
        <v>52</v>
      </c>
      <c r="E504" s="394"/>
      <c r="F504" s="179">
        <f t="shared" si="50"/>
        <v>8.5192307692307701</v>
      </c>
      <c r="G504" s="394">
        <f>SUMIFS(Data!$BL:$BL,Data!$BH:$BH,MarketProfile!A504,Data!$BM:$BM,"1")</f>
        <v>230</v>
      </c>
      <c r="H504" s="394"/>
      <c r="I504" s="179">
        <f t="shared" si="51"/>
        <v>1.1521739130434783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94">
        <f>SUMIFS(Data!$AY:$AY,Data!$AU:$AU,MarketProfile!A506,Data!$AZ:$AZ,"0")</f>
        <v>0</v>
      </c>
      <c r="E506" s="394"/>
      <c r="F506" s="179" t="str">
        <f t="shared" si="50"/>
        <v/>
      </c>
      <c r="G506" s="394">
        <f>SUMIFS(Data!$BL:$BL,Data!$BH:$BH,MarketProfile!A506,Data!$BM:$BM,"0")</f>
        <v>90</v>
      </c>
      <c r="H506" s="394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5248</v>
      </c>
      <c r="D507" s="394">
        <f>SUMIFS(Data!$AY:$AY,Data!$AU:$AU,MarketProfile!A507,Data!$AZ:$AZ,"0")</f>
        <v>3254</v>
      </c>
      <c r="E507" s="394"/>
      <c r="F507" s="179">
        <f t="shared" si="50"/>
        <v>0.61278426551936083</v>
      </c>
      <c r="G507" s="394">
        <f>SUMIFS(Data!$BL:$BL,Data!$BH:$BH,MarketProfile!A507,Data!$BM:$BM,"0")</f>
        <v>5965</v>
      </c>
      <c r="H507" s="394"/>
      <c r="I507" s="179">
        <f t="shared" si="52"/>
        <v>-0.12020117351215423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10996</v>
      </c>
      <c r="D508" s="394">
        <f>SUMIFS(Data!$AY:$AY,Data!$AU:$AU,MarketProfile!A508,Data!$AZ:$AZ,"0")</f>
        <v>8286</v>
      </c>
      <c r="E508" s="394"/>
      <c r="F508" s="179">
        <f t="shared" si="50"/>
        <v>0.32705768766594256</v>
      </c>
      <c r="G508" s="394">
        <f>SUMIFS(Data!$BL:$BL,Data!$BH:$BH,MarketProfile!A508,Data!$BM:$BM,"0")</f>
        <v>18806</v>
      </c>
      <c r="H508" s="394"/>
      <c r="I508" s="179">
        <f t="shared" si="52"/>
        <v>-0.41529299159842603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94">
        <f>SUMIFS(Data!$AY:$AY,Data!$AU:$AU,MarketProfile!A509,Data!$AZ:$AZ,"0")</f>
        <v>0</v>
      </c>
      <c r="E509" s="394"/>
      <c r="F509" s="179" t="str">
        <f t="shared" si="50"/>
        <v/>
      </c>
      <c r="G509" s="394">
        <f>SUMIFS(Data!$BL:$BL,Data!$BH:$BH,MarketProfile!A509,Data!$BM:$BM,"0")</f>
        <v>0</v>
      </c>
      <c r="H509" s="394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4149</v>
      </c>
      <c r="D510" s="394">
        <f>SUMIFS(Data!$AY:$AY,Data!$AU:$AU,MarketProfile!A510,Data!$AZ:$AZ,"0")</f>
        <v>2661</v>
      </c>
      <c r="E510" s="394"/>
      <c r="F510" s="179">
        <f t="shared" si="50"/>
        <v>0.55918827508455471</v>
      </c>
      <c r="G510" s="394">
        <f>SUMIFS(Data!$BL:$BL,Data!$BH:$BH,MarketProfile!A510,Data!$BM:$BM,"0")</f>
        <v>4182</v>
      </c>
      <c r="H510" s="394"/>
      <c r="I510" s="179">
        <f t="shared" si="52"/>
        <v>-7.8909612625538018E-3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30376</v>
      </c>
      <c r="D511" s="394">
        <f>SUMIFS(Data!$AY:$AY,Data!$AU:$AU,MarketProfile!A511,Data!$AZ:$AZ,"0")</f>
        <v>22195</v>
      </c>
      <c r="E511" s="394"/>
      <c r="F511" s="179">
        <f t="shared" si="50"/>
        <v>0.36859653075016896</v>
      </c>
      <c r="G511" s="394">
        <f>SUMIFS(Data!$BL:$BL,Data!$BH:$BH,MarketProfile!A511,Data!$BM:$BM,"0")</f>
        <v>65902</v>
      </c>
      <c r="H511" s="394"/>
      <c r="I511" s="179">
        <f t="shared" si="52"/>
        <v>-0.53907316925131255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60</v>
      </c>
      <c r="D512" s="394">
        <f>SUMIFS(Data!$AY:$AY,Data!$AU:$AU,MarketProfile!A512,Data!$AZ:$AZ,"0")</f>
        <v>20</v>
      </c>
      <c r="E512" s="394"/>
      <c r="F512" s="179">
        <f t="shared" si="50"/>
        <v>2</v>
      </c>
      <c r="G512" s="394">
        <f>SUMIFS(Data!$BL:$BL,Data!$BH:$BH,MarketProfile!A512,Data!$BM:$BM,"0")</f>
        <v>80</v>
      </c>
      <c r="H512" s="394"/>
      <c r="I512" s="179">
        <f t="shared" si="52"/>
        <v>-0.25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94">
        <f>SUMIFS(Data!$AY:$AY,Data!$AU:$AU,MarketProfile!A513,Data!$AZ:$AZ,"0")</f>
        <v>0</v>
      </c>
      <c r="E513" s="394"/>
      <c r="F513" s="179" t="str">
        <f t="shared" ref="F513" si="53">IFERROR(IF(OR(AND(C513="",D513=""),AND(C513=0,D513=0)),"",
IF(OR(C513="",C513=0),1,
IF(OR(C513&lt;&gt;"",C513&lt;&gt;0),(D513-C513)/ABS(C513)))),-1)</f>
        <v/>
      </c>
      <c r="G513" s="394">
        <f>SUMIFS(Data!$BL:$BL,Data!$BH:$BH,MarketProfile!A513,Data!$BM:$BM,"0")</f>
        <v>0</v>
      </c>
      <c r="H513" s="394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4" max="16383" man="1"/>
    <brk id="168" max="16383" man="1"/>
    <brk id="252" max="16383" man="1"/>
    <brk id="337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78"/>
  <sheetViews>
    <sheetView topLeftCell="T1" zoomScaleNormal="100" workbookViewId="0">
      <selection activeCell="CI17" sqref="CI17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536</v>
      </c>
      <c r="C1" s="188" t="s">
        <v>537</v>
      </c>
      <c r="D1" s="188" t="s">
        <v>538</v>
      </c>
      <c r="E1" s="153" t="s">
        <v>217</v>
      </c>
      <c r="F1" s="211" t="s">
        <v>538</v>
      </c>
      <c r="G1" s="211" t="s">
        <v>536</v>
      </c>
      <c r="H1" s="211" t="s">
        <v>537</v>
      </c>
      <c r="I1" s="153" t="s">
        <v>218</v>
      </c>
      <c r="J1" s="153" t="s">
        <v>220</v>
      </c>
      <c r="K1" s="235" t="s">
        <v>539</v>
      </c>
      <c r="L1" s="235" t="s">
        <v>540</v>
      </c>
      <c r="M1" s="237" t="s">
        <v>537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552</v>
      </c>
      <c r="T1" s="257" t="s">
        <v>553</v>
      </c>
      <c r="U1" s="257" t="s">
        <v>554</v>
      </c>
      <c r="V1" s="257" t="s">
        <v>555</v>
      </c>
      <c r="W1" s="257" t="s">
        <v>556</v>
      </c>
      <c r="X1" s="257" t="s">
        <v>557</v>
      </c>
      <c r="Y1" s="252" t="s">
        <v>458</v>
      </c>
      <c r="Z1" s="254" t="s">
        <v>521</v>
      </c>
      <c r="AA1" s="254" t="s">
        <v>553</v>
      </c>
      <c r="AB1" s="254" t="s">
        <v>554</v>
      </c>
      <c r="AC1" s="254" t="s">
        <v>555</v>
      </c>
      <c r="AD1" s="254" t="s">
        <v>556</v>
      </c>
      <c r="AE1" s="254" t="s">
        <v>557</v>
      </c>
      <c r="AF1" s="252" t="s">
        <v>466</v>
      </c>
      <c r="AG1" s="254" t="s">
        <v>521</v>
      </c>
      <c r="AH1" s="254" t="s">
        <v>553</v>
      </c>
      <c r="AI1" s="254" t="s">
        <v>554</v>
      </c>
      <c r="AJ1" s="254" t="s">
        <v>555</v>
      </c>
      <c r="AK1" s="254" t="s">
        <v>556</v>
      </c>
      <c r="AL1" s="254" t="s">
        <v>557</v>
      </c>
      <c r="AM1" s="252" t="s">
        <v>460</v>
      </c>
      <c r="AN1" s="254" t="s">
        <v>521</v>
      </c>
      <c r="AO1" s="254" t="s">
        <v>553</v>
      </c>
      <c r="AP1" s="254" t="s">
        <v>554</v>
      </c>
      <c r="AQ1" s="254" t="s">
        <v>555</v>
      </c>
      <c r="AR1" s="254" t="s">
        <v>556</v>
      </c>
      <c r="AS1" s="254" t="s">
        <v>557</v>
      </c>
      <c r="AT1" s="252" t="s">
        <v>467</v>
      </c>
      <c r="AU1" s="254" t="s">
        <v>521</v>
      </c>
      <c r="AV1" s="254" t="s">
        <v>553</v>
      </c>
      <c r="AW1" s="254" t="s">
        <v>554</v>
      </c>
      <c r="AX1" s="254" t="s">
        <v>555</v>
      </c>
      <c r="AY1" s="254" t="s">
        <v>556</v>
      </c>
      <c r="AZ1" s="254" t="s">
        <v>557</v>
      </c>
      <c r="BA1" s="252" t="s">
        <v>459</v>
      </c>
      <c r="BB1" s="254"/>
      <c r="BC1" s="254"/>
      <c r="BD1" s="254"/>
      <c r="BE1" s="254"/>
      <c r="BF1" s="254"/>
      <c r="BG1" s="254"/>
      <c r="BH1" s="252" t="s">
        <v>521</v>
      </c>
      <c r="BI1" s="254" t="s">
        <v>553</v>
      </c>
      <c r="BJ1" s="254" t="s">
        <v>554</v>
      </c>
      <c r="BK1" s="254" t="s">
        <v>555</v>
      </c>
      <c r="BL1" s="254" t="s">
        <v>556</v>
      </c>
      <c r="BM1" s="254" t="s">
        <v>557</v>
      </c>
      <c r="BN1" s="254"/>
      <c r="BO1" s="252" t="s">
        <v>468</v>
      </c>
      <c r="BP1" s="264" t="s">
        <v>553</v>
      </c>
      <c r="BQ1" s="264" t="s">
        <v>554</v>
      </c>
      <c r="BR1" s="264" t="s">
        <v>555</v>
      </c>
      <c r="BS1" s="261" t="s">
        <v>501</v>
      </c>
      <c r="BT1" s="266" t="s">
        <v>611</v>
      </c>
      <c r="BU1" s="266" t="s">
        <v>612</v>
      </c>
      <c r="BV1" s="266" t="s">
        <v>613</v>
      </c>
      <c r="BW1" s="266" t="s">
        <v>614</v>
      </c>
      <c r="BX1" s="266" t="s">
        <v>615</v>
      </c>
      <c r="BY1" s="266" t="s">
        <v>616</v>
      </c>
      <c r="BZ1" s="266" t="s">
        <v>617</v>
      </c>
      <c r="CA1" s="266" t="s">
        <v>618</v>
      </c>
      <c r="CB1" s="266" t="s">
        <v>619</v>
      </c>
      <c r="CC1" s="267" t="s">
        <v>502</v>
      </c>
      <c r="CD1" s="268" t="s">
        <v>624</v>
      </c>
      <c r="CE1" s="268" t="s">
        <v>625</v>
      </c>
      <c r="CF1" s="267" t="s">
        <v>507</v>
      </c>
      <c r="CG1" s="266" t="s">
        <v>6</v>
      </c>
      <c r="CH1" s="266" t="s">
        <v>626</v>
      </c>
      <c r="CI1" s="267" t="s">
        <v>509</v>
      </c>
      <c r="CJ1" s="247" t="s">
        <v>117</v>
      </c>
      <c r="CK1" s="247">
        <v>28642</v>
      </c>
      <c r="CL1" s="267" t="s">
        <v>512</v>
      </c>
      <c r="CM1" s="247" t="s">
        <v>117</v>
      </c>
      <c r="CN1" s="247">
        <v>14120</v>
      </c>
      <c r="CO1" s="267" t="s">
        <v>515</v>
      </c>
      <c r="CP1" s="247" t="s">
        <v>117</v>
      </c>
      <c r="CQ1" s="247">
        <v>648</v>
      </c>
      <c r="CR1" s="267" t="s">
        <v>518</v>
      </c>
      <c r="CS1" s="276" t="s">
        <v>630</v>
      </c>
      <c r="CT1" s="275" t="s">
        <v>631</v>
      </c>
      <c r="CU1" s="275" t="s">
        <v>632</v>
      </c>
      <c r="CV1" s="275" t="s">
        <v>633</v>
      </c>
      <c r="CW1" s="275" t="s">
        <v>634</v>
      </c>
      <c r="CX1" s="275" t="s">
        <v>635</v>
      </c>
      <c r="CY1" s="275" t="s">
        <v>636</v>
      </c>
      <c r="CZ1" s="275" t="s">
        <v>637</v>
      </c>
      <c r="DA1" s="275" t="s">
        <v>638</v>
      </c>
      <c r="DB1" s="275" t="s">
        <v>639</v>
      </c>
      <c r="DC1" s="275" t="s">
        <v>640</v>
      </c>
      <c r="DD1" s="275" t="s">
        <v>641</v>
      </c>
      <c r="DF1" s="356" t="s">
        <v>529</v>
      </c>
      <c r="DG1" s="347" t="s">
        <v>651</v>
      </c>
      <c r="DH1" s="347" t="s">
        <v>652</v>
      </c>
      <c r="DI1" s="356" t="s">
        <v>530</v>
      </c>
      <c r="DJ1" s="354" t="s">
        <v>651</v>
      </c>
      <c r="DK1" s="354" t="s">
        <v>652</v>
      </c>
      <c r="DL1" s="356" t="s">
        <v>531</v>
      </c>
      <c r="DM1" s="349" t="s">
        <v>651</v>
      </c>
      <c r="DN1" s="349" t="s">
        <v>652</v>
      </c>
    </row>
    <row r="2" spans="1:118" x14ac:dyDescent="0.2">
      <c r="B2" s="188">
        <v>7764423667</v>
      </c>
      <c r="C2" s="188">
        <v>491609201117.34265</v>
      </c>
      <c r="D2" s="188">
        <v>6663609</v>
      </c>
      <c r="E2" s="209"/>
      <c r="F2" s="211">
        <v>3011</v>
      </c>
      <c r="G2" s="211">
        <v>476975955</v>
      </c>
      <c r="H2" s="211">
        <v>23889444305.412663</v>
      </c>
      <c r="J2" s="152" t="str">
        <f>K2&amp;L2</f>
        <v>ABuy</v>
      </c>
      <c r="K2" s="234" t="s">
        <v>541</v>
      </c>
      <c r="L2" s="234" t="s">
        <v>542</v>
      </c>
      <c r="M2" s="238">
        <v>225647507245.14597</v>
      </c>
      <c r="O2" s="241">
        <v>75396433378.610001</v>
      </c>
      <c r="P2" s="241">
        <v>-92713621692.970001</v>
      </c>
      <c r="Q2" s="241">
        <v>-17317188314.360001</v>
      </c>
      <c r="S2" s="253" t="s">
        <v>449</v>
      </c>
      <c r="T2" s="258">
        <v>2701762341.198</v>
      </c>
      <c r="U2" s="258">
        <v>11023624</v>
      </c>
      <c r="V2" s="258">
        <v>470</v>
      </c>
      <c r="W2" s="258">
        <v>14555497</v>
      </c>
      <c r="X2" s="258">
        <v>1</v>
      </c>
      <c r="Y2" s="245"/>
      <c r="Z2" s="253" t="s">
        <v>559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559</v>
      </c>
      <c r="AH2" s="253">
        <v>0</v>
      </c>
      <c r="AI2" s="253">
        <v>0</v>
      </c>
      <c r="AJ2" s="253">
        <v>0</v>
      </c>
      <c r="AK2" s="253">
        <v>0</v>
      </c>
      <c r="AL2" s="253">
        <v>1</v>
      </c>
      <c r="AM2" s="245"/>
      <c r="AN2" s="253" t="s">
        <v>560</v>
      </c>
      <c r="AO2" s="253">
        <v>0</v>
      </c>
      <c r="AP2" s="253">
        <v>0</v>
      </c>
      <c r="AQ2" s="253">
        <v>0</v>
      </c>
      <c r="AR2" s="253">
        <v>0</v>
      </c>
      <c r="AS2" s="253">
        <v>0</v>
      </c>
      <c r="AT2" s="245"/>
      <c r="AU2" s="253" t="s">
        <v>560</v>
      </c>
      <c r="AV2" s="253">
        <v>0</v>
      </c>
      <c r="AW2" s="253">
        <v>0</v>
      </c>
      <c r="AX2" s="253">
        <v>0</v>
      </c>
      <c r="AY2" s="253">
        <v>0</v>
      </c>
      <c r="AZ2" s="253">
        <v>0</v>
      </c>
      <c r="BA2" s="245"/>
      <c r="BB2" s="253"/>
      <c r="BC2" s="253"/>
      <c r="BD2" s="253"/>
      <c r="BE2" s="253"/>
      <c r="BF2" s="253"/>
      <c r="BG2" s="253"/>
      <c r="BH2" s="247" t="s">
        <v>560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1491290845649.3254</v>
      </c>
      <c r="BQ2" s="263">
        <v>40666191</v>
      </c>
      <c r="BR2" s="263">
        <v>795615</v>
      </c>
      <c r="BS2" s="245"/>
      <c r="BT2" s="265" t="s">
        <v>139</v>
      </c>
      <c r="BU2" s="265">
        <v>55</v>
      </c>
      <c r="BV2" s="265">
        <v>1</v>
      </c>
      <c r="BW2" s="265">
        <v>0</v>
      </c>
      <c r="BX2" s="265">
        <v>2</v>
      </c>
      <c r="BY2" s="265">
        <v>0</v>
      </c>
      <c r="BZ2" s="265">
        <v>54</v>
      </c>
      <c r="CA2" s="265">
        <v>40</v>
      </c>
      <c r="CB2" s="265">
        <v>15</v>
      </c>
      <c r="CC2" s="245"/>
      <c r="CD2" s="269">
        <v>823</v>
      </c>
      <c r="CE2" s="269">
        <v>13809413642996.107</v>
      </c>
      <c r="CF2" s="245"/>
      <c r="CG2" s="265">
        <v>2017</v>
      </c>
      <c r="CH2" s="265">
        <v>22</v>
      </c>
      <c r="CI2" s="245"/>
      <c r="CJ2" s="247" t="s">
        <v>628</v>
      </c>
      <c r="CK2" s="247">
        <v>697859884747</v>
      </c>
      <c r="CL2" s="247"/>
      <c r="CM2" s="247" t="s">
        <v>628</v>
      </c>
      <c r="CN2" s="247">
        <v>1819810026740</v>
      </c>
      <c r="CO2" s="247"/>
      <c r="CP2" s="247" t="s">
        <v>628</v>
      </c>
      <c r="CQ2" s="247">
        <v>42428173902</v>
      </c>
      <c r="CR2" s="245"/>
      <c r="CS2" s="277">
        <v>2017</v>
      </c>
      <c r="CT2" s="275">
        <v>33</v>
      </c>
      <c r="CU2" s="275" t="s">
        <v>642</v>
      </c>
      <c r="CV2" s="275">
        <v>0</v>
      </c>
      <c r="CW2" s="275">
        <v>9997208993</v>
      </c>
      <c r="CX2" s="275">
        <v>999</v>
      </c>
      <c r="CY2" s="275">
        <v>0</v>
      </c>
      <c r="CZ2" s="275">
        <v>42236013108</v>
      </c>
      <c r="DA2" s="275">
        <v>534</v>
      </c>
      <c r="DB2" s="275">
        <v>0</v>
      </c>
      <c r="DC2" s="275">
        <v>32238804115</v>
      </c>
      <c r="DD2" s="275">
        <v>465</v>
      </c>
      <c r="DG2" s="348" t="s">
        <v>653</v>
      </c>
      <c r="DH2" s="346">
        <v>2812238684.25</v>
      </c>
      <c r="DJ2" s="352" t="s">
        <v>653</v>
      </c>
      <c r="DK2" s="350">
        <v>3143640826.0100002</v>
      </c>
      <c r="DM2" s="351" t="s">
        <v>653</v>
      </c>
      <c r="DN2" s="353">
        <v>3624596778.9200001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543</v>
      </c>
      <c r="L3" s="234" t="s">
        <v>542</v>
      </c>
      <c r="M3" s="238">
        <v>265961693872.19672</v>
      </c>
      <c r="N3" s="136"/>
      <c r="O3" s="239"/>
      <c r="P3" s="239"/>
      <c r="Q3" s="239"/>
      <c r="S3" s="253" t="s">
        <v>447</v>
      </c>
      <c r="T3" s="258">
        <v>573713093.29999995</v>
      </c>
      <c r="U3" s="258">
        <v>1175983</v>
      </c>
      <c r="V3" s="258">
        <v>685</v>
      </c>
      <c r="W3" s="258">
        <v>1472774</v>
      </c>
      <c r="X3" s="258">
        <v>0</v>
      </c>
      <c r="Y3" s="245"/>
      <c r="Z3" s="253" t="s">
        <v>560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560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561</v>
      </c>
      <c r="AO3" s="253">
        <v>0</v>
      </c>
      <c r="AP3" s="253">
        <v>0</v>
      </c>
      <c r="AQ3" s="253">
        <v>0</v>
      </c>
      <c r="AR3" s="253">
        <v>17</v>
      </c>
      <c r="AS3" s="253">
        <v>0</v>
      </c>
      <c r="AT3" s="245"/>
      <c r="AU3" s="253" t="s">
        <v>561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/>
      <c r="BC3" s="253"/>
      <c r="BD3" s="253"/>
      <c r="BE3" s="253"/>
      <c r="BF3" s="253"/>
      <c r="BG3" s="253"/>
      <c r="BH3" s="247" t="s">
        <v>561</v>
      </c>
      <c r="BI3" s="253">
        <v>0</v>
      </c>
      <c r="BJ3" s="253">
        <v>0</v>
      </c>
      <c r="BK3" s="253">
        <v>0</v>
      </c>
      <c r="BL3" s="253">
        <v>90</v>
      </c>
      <c r="BM3" s="253">
        <v>0</v>
      </c>
      <c r="BN3" s="253"/>
      <c r="BO3" s="245"/>
      <c r="BP3" s="245"/>
      <c r="BQ3" s="245"/>
      <c r="BR3" s="245"/>
      <c r="BS3" s="245"/>
      <c r="BT3" s="265" t="s">
        <v>620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0</v>
      </c>
      <c r="CI3" s="245"/>
      <c r="CJ3" s="247" t="s">
        <v>629</v>
      </c>
      <c r="CK3" s="247">
        <v>749663404752.69031</v>
      </c>
      <c r="CL3" s="247"/>
      <c r="CM3" s="247" t="s">
        <v>629</v>
      </c>
      <c r="CN3" s="247">
        <v>1777341010234.6992</v>
      </c>
      <c r="CO3" s="247"/>
      <c r="CP3" s="247" t="s">
        <v>629</v>
      </c>
      <c r="CQ3" s="247">
        <v>9139674215.0400009</v>
      </c>
      <c r="CR3" s="245"/>
      <c r="CS3" s="277">
        <v>2017</v>
      </c>
      <c r="CT3" s="275">
        <v>2</v>
      </c>
      <c r="CU3" s="275" t="s">
        <v>643</v>
      </c>
      <c r="CV3" s="275">
        <v>294888623.24000001</v>
      </c>
      <c r="CW3" s="275">
        <v>300110000</v>
      </c>
      <c r="CX3" s="275">
        <v>2</v>
      </c>
      <c r="CY3" s="275">
        <v>294888623.24000001</v>
      </c>
      <c r="CZ3" s="275">
        <v>300110000</v>
      </c>
      <c r="DA3" s="275">
        <v>2</v>
      </c>
      <c r="DB3" s="275">
        <v>0</v>
      </c>
      <c r="DC3" s="275">
        <v>0</v>
      </c>
      <c r="DD3" s="275">
        <v>0</v>
      </c>
      <c r="DG3" s="348" t="s">
        <v>654</v>
      </c>
      <c r="DH3" s="346">
        <v>3155355891.3600001</v>
      </c>
      <c r="DJ3" s="352" t="s">
        <v>654</v>
      </c>
      <c r="DK3" s="350">
        <v>3990997645.4499998</v>
      </c>
      <c r="DM3" s="351" t="s">
        <v>654</v>
      </c>
      <c r="DN3" s="353">
        <v>5626359670.5200005</v>
      </c>
    </row>
    <row r="4" spans="1:118" x14ac:dyDescent="0.2">
      <c r="A4" s="148" t="s">
        <v>211</v>
      </c>
      <c r="B4" s="188" t="s">
        <v>536</v>
      </c>
      <c r="C4" s="188" t="s">
        <v>537</v>
      </c>
      <c r="D4" s="188" t="s">
        <v>538</v>
      </c>
      <c r="E4" s="209"/>
      <c r="F4" s="211" t="s">
        <v>538</v>
      </c>
      <c r="G4" s="211" t="s">
        <v>536</v>
      </c>
      <c r="H4" s="211" t="s">
        <v>537</v>
      </c>
      <c r="J4" s="152" t="str">
        <f t="shared" si="0"/>
        <v>ASell</v>
      </c>
      <c r="K4" s="234" t="s">
        <v>541</v>
      </c>
      <c r="L4" s="234" t="s">
        <v>544</v>
      </c>
      <c r="M4" s="238">
        <v>233392628728.20721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148503017.5</v>
      </c>
      <c r="U4" s="258">
        <v>433324</v>
      </c>
      <c r="V4" s="258">
        <v>841</v>
      </c>
      <c r="W4" s="258">
        <v>475662</v>
      </c>
      <c r="X4" s="258">
        <v>0</v>
      </c>
      <c r="Y4" s="245"/>
      <c r="Z4" s="253" t="s">
        <v>561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561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562</v>
      </c>
      <c r="AO4" s="253">
        <v>26527529.059999999</v>
      </c>
      <c r="AP4" s="253">
        <v>3193</v>
      </c>
      <c r="AQ4" s="253">
        <v>112</v>
      </c>
      <c r="AR4" s="253">
        <v>50457</v>
      </c>
      <c r="AS4" s="253">
        <v>0</v>
      </c>
      <c r="AT4" s="245"/>
      <c r="AU4" s="253" t="s">
        <v>562</v>
      </c>
      <c r="AV4" s="253">
        <v>4900200</v>
      </c>
      <c r="AW4" s="253">
        <v>300</v>
      </c>
      <c r="AX4" s="253">
        <v>4</v>
      </c>
      <c r="AY4" s="253">
        <v>3254</v>
      </c>
      <c r="AZ4" s="253">
        <v>0</v>
      </c>
      <c r="BA4" s="245"/>
      <c r="BB4" s="253"/>
      <c r="BC4" s="253"/>
      <c r="BD4" s="253"/>
      <c r="BE4" s="253"/>
      <c r="BF4" s="253"/>
      <c r="BG4" s="253"/>
      <c r="BH4" s="247" t="s">
        <v>563</v>
      </c>
      <c r="BI4" s="253">
        <v>0</v>
      </c>
      <c r="BJ4" s="253">
        <v>0</v>
      </c>
      <c r="BK4" s="253">
        <v>0</v>
      </c>
      <c r="BL4" s="253">
        <v>0</v>
      </c>
      <c r="BM4" s="253">
        <v>1</v>
      </c>
      <c r="BN4" s="253"/>
      <c r="BO4" s="252" t="s">
        <v>469</v>
      </c>
      <c r="BP4" s="264" t="s">
        <v>553</v>
      </c>
      <c r="BQ4" s="264" t="s">
        <v>554</v>
      </c>
      <c r="BR4" s="264" t="s">
        <v>555</v>
      </c>
      <c r="BS4" s="245"/>
      <c r="BT4" s="265" t="s">
        <v>621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624</v>
      </c>
      <c r="CE4" s="270" t="s">
        <v>625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2017</v>
      </c>
      <c r="CT4" s="275">
        <v>22</v>
      </c>
      <c r="CU4" s="275" t="s">
        <v>644</v>
      </c>
      <c r="CV4" s="275">
        <v>82559259254.720078</v>
      </c>
      <c r="CW4" s="275">
        <v>81452141000</v>
      </c>
      <c r="CX4" s="275">
        <v>1794</v>
      </c>
      <c r="CY4" s="275">
        <v>128750841508.11995</v>
      </c>
      <c r="CZ4" s="275">
        <v>128281335000</v>
      </c>
      <c r="DA4" s="275">
        <v>1356</v>
      </c>
      <c r="DB4" s="275">
        <v>46191582253.399994</v>
      </c>
      <c r="DC4" s="275">
        <v>46829194000</v>
      </c>
      <c r="DD4" s="275">
        <v>438</v>
      </c>
      <c r="DG4" s="348" t="s">
        <v>655</v>
      </c>
      <c r="DH4" s="346">
        <v>4484319776.8199997</v>
      </c>
      <c r="DJ4" s="352" t="s">
        <v>655</v>
      </c>
      <c r="DK4" s="350">
        <v>4733549710.9799995</v>
      </c>
      <c r="DM4" s="351" t="s">
        <v>655</v>
      </c>
      <c r="DN4" s="353">
        <v>347113182.81999999</v>
      </c>
    </row>
    <row r="5" spans="1:118" x14ac:dyDescent="0.2">
      <c r="B5" s="188">
        <v>20139949129</v>
      </c>
      <c r="C5" s="188">
        <v>1280657646356.856</v>
      </c>
      <c r="D5" s="194">
        <v>18041944</v>
      </c>
      <c r="E5" s="209"/>
      <c r="F5" s="211">
        <v>8110</v>
      </c>
      <c r="G5" s="211">
        <v>1809416573</v>
      </c>
      <c r="H5" s="225">
        <v>71935413473.451019</v>
      </c>
      <c r="J5" s="152" t="str">
        <f t="shared" si="0"/>
        <v>PSell</v>
      </c>
      <c r="K5" s="234" t="s">
        <v>543</v>
      </c>
      <c r="L5" s="234" t="s">
        <v>544</v>
      </c>
      <c r="M5" s="238">
        <v>258216572389.13547</v>
      </c>
      <c r="N5" s="136"/>
      <c r="O5" s="241">
        <v>204373978218.47</v>
      </c>
      <c r="P5" s="241">
        <v>-247415753112.98999</v>
      </c>
      <c r="Q5" s="241">
        <v>-43041774894.519997</v>
      </c>
      <c r="S5" s="253" t="s">
        <v>446</v>
      </c>
      <c r="T5" s="258">
        <v>4379370345.5</v>
      </c>
      <c r="U5" s="258">
        <v>586305</v>
      </c>
      <c r="V5" s="258">
        <v>2353</v>
      </c>
      <c r="W5" s="258">
        <v>901617</v>
      </c>
      <c r="X5" s="258">
        <v>0</v>
      </c>
      <c r="Y5" s="245"/>
      <c r="Z5" s="253" t="s">
        <v>562</v>
      </c>
      <c r="AA5" s="253">
        <v>32688299.399999999</v>
      </c>
      <c r="AB5" s="253">
        <v>3027</v>
      </c>
      <c r="AC5" s="253">
        <v>132</v>
      </c>
      <c r="AD5" s="253">
        <v>90033</v>
      </c>
      <c r="AE5" s="253">
        <v>0</v>
      </c>
      <c r="AF5" s="253"/>
      <c r="AG5" s="253" t="s">
        <v>562</v>
      </c>
      <c r="AH5" s="253">
        <v>2519900</v>
      </c>
      <c r="AI5" s="253">
        <v>304</v>
      </c>
      <c r="AJ5" s="253">
        <v>6</v>
      </c>
      <c r="AK5" s="253">
        <v>5248</v>
      </c>
      <c r="AL5" s="253">
        <v>0</v>
      </c>
      <c r="AM5" s="245"/>
      <c r="AN5" s="253" t="s">
        <v>563</v>
      </c>
      <c r="AO5" s="253">
        <v>0</v>
      </c>
      <c r="AP5" s="253">
        <v>0</v>
      </c>
      <c r="AQ5" s="253">
        <v>0</v>
      </c>
      <c r="AR5" s="253">
        <v>0</v>
      </c>
      <c r="AS5" s="253">
        <v>1</v>
      </c>
      <c r="AT5" s="245"/>
      <c r="AU5" s="253" t="s">
        <v>563</v>
      </c>
      <c r="AV5" s="253">
        <v>0</v>
      </c>
      <c r="AW5" s="253">
        <v>0</v>
      </c>
      <c r="AX5" s="253">
        <v>0</v>
      </c>
      <c r="AY5" s="253">
        <v>0</v>
      </c>
      <c r="AZ5" s="253">
        <v>1</v>
      </c>
      <c r="BA5" s="245"/>
      <c r="BB5" s="253"/>
      <c r="BC5" s="253"/>
      <c r="BD5" s="253"/>
      <c r="BE5" s="253"/>
      <c r="BF5" s="253"/>
      <c r="BG5" s="253"/>
      <c r="BH5" s="247" t="s">
        <v>562</v>
      </c>
      <c r="BI5" s="253">
        <v>99350</v>
      </c>
      <c r="BJ5" s="253">
        <v>66</v>
      </c>
      <c r="BK5" s="253">
        <v>25</v>
      </c>
      <c r="BL5" s="253">
        <v>5965</v>
      </c>
      <c r="BM5" s="253">
        <v>0</v>
      </c>
      <c r="BN5" s="253"/>
      <c r="BO5" s="245"/>
      <c r="BP5" s="263">
        <v>12361259485.620001</v>
      </c>
      <c r="BQ5" s="263">
        <v>6428728</v>
      </c>
      <c r="BR5" s="263">
        <v>9239</v>
      </c>
      <c r="BS5" s="245"/>
      <c r="BT5" s="265" t="s">
        <v>622</v>
      </c>
      <c r="BU5" s="265">
        <v>326</v>
      </c>
      <c r="BV5" s="265">
        <v>2</v>
      </c>
      <c r="BW5" s="265">
        <v>0</v>
      </c>
      <c r="BX5" s="265">
        <v>0</v>
      </c>
      <c r="BY5" s="265">
        <v>2</v>
      </c>
      <c r="BZ5" s="265">
        <v>330</v>
      </c>
      <c r="CA5" s="265">
        <v>266</v>
      </c>
      <c r="CB5" s="265">
        <v>60</v>
      </c>
      <c r="CC5" s="245"/>
      <c r="CD5" s="271">
        <v>869</v>
      </c>
      <c r="CE5" s="271">
        <v>15259928321529.75</v>
      </c>
      <c r="CF5" s="267" t="s">
        <v>508</v>
      </c>
      <c r="CG5" s="266" t="s">
        <v>6</v>
      </c>
      <c r="CH5" s="266" t="s">
        <v>626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2017</v>
      </c>
      <c r="CT5" s="275">
        <v>22</v>
      </c>
      <c r="CU5" s="275" t="s">
        <v>645</v>
      </c>
      <c r="CV5" s="275">
        <v>-84089106280.480103</v>
      </c>
      <c r="CW5" s="275">
        <v>-82798141000</v>
      </c>
      <c r="CX5" s="275">
        <v>1772</v>
      </c>
      <c r="CY5" s="275">
        <v>43528093371.689995</v>
      </c>
      <c r="CZ5" s="275">
        <v>44281194000</v>
      </c>
      <c r="DA5" s="275">
        <v>427</v>
      </c>
      <c r="DB5" s="275">
        <v>127617199652.17007</v>
      </c>
      <c r="DC5" s="275">
        <v>127079335000</v>
      </c>
      <c r="DD5" s="275">
        <v>1345</v>
      </c>
      <c r="DG5" s="348" t="s">
        <v>656</v>
      </c>
      <c r="DH5" s="346">
        <v>149793970.15000001</v>
      </c>
      <c r="DJ5" s="352" t="s">
        <v>656</v>
      </c>
      <c r="DK5" s="350">
        <v>512663908.05000001</v>
      </c>
      <c r="DM5" s="351" t="s">
        <v>656</v>
      </c>
      <c r="DN5" s="353">
        <v>413979370.31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558</v>
      </c>
      <c r="T6" s="258">
        <v>0</v>
      </c>
      <c r="U6" s="258">
        <v>0</v>
      </c>
      <c r="V6" s="258">
        <v>0</v>
      </c>
      <c r="W6" s="258">
        <v>0</v>
      </c>
      <c r="X6" s="258">
        <v>1</v>
      </c>
      <c r="Y6" s="245"/>
      <c r="Z6" s="253" t="s">
        <v>563</v>
      </c>
      <c r="AA6" s="253">
        <v>0</v>
      </c>
      <c r="AB6" s="253">
        <v>0</v>
      </c>
      <c r="AC6" s="253">
        <v>0</v>
      </c>
      <c r="AD6" s="253">
        <v>0</v>
      </c>
      <c r="AE6" s="253">
        <v>1</v>
      </c>
      <c r="AF6" s="253"/>
      <c r="AG6" s="253" t="s">
        <v>564</v>
      </c>
      <c r="AH6" s="253">
        <v>0</v>
      </c>
      <c r="AI6" s="253">
        <v>0</v>
      </c>
      <c r="AJ6" s="253">
        <v>0</v>
      </c>
      <c r="AK6" s="253">
        <v>190</v>
      </c>
      <c r="AL6" s="253">
        <v>1</v>
      </c>
      <c r="AM6" s="245"/>
      <c r="AN6" s="253" t="s">
        <v>564</v>
      </c>
      <c r="AO6" s="253">
        <v>318594586.66000003</v>
      </c>
      <c r="AP6" s="253">
        <v>4165</v>
      </c>
      <c r="AQ6" s="253">
        <v>127</v>
      </c>
      <c r="AR6" s="253">
        <v>25766</v>
      </c>
      <c r="AS6" s="253">
        <v>1</v>
      </c>
      <c r="AT6" s="245"/>
      <c r="AU6" s="253" t="s">
        <v>564</v>
      </c>
      <c r="AV6" s="253">
        <v>0</v>
      </c>
      <c r="AW6" s="253">
        <v>0</v>
      </c>
      <c r="AX6" s="253">
        <v>0</v>
      </c>
      <c r="AY6" s="253">
        <v>1711</v>
      </c>
      <c r="AZ6" s="253">
        <v>1</v>
      </c>
      <c r="BA6" s="245"/>
      <c r="BB6" s="253"/>
      <c r="BC6" s="253"/>
      <c r="BD6" s="253"/>
      <c r="BE6" s="253"/>
      <c r="BF6" s="253"/>
      <c r="BG6" s="253"/>
      <c r="BH6" s="247" t="s">
        <v>564</v>
      </c>
      <c r="BI6" s="253">
        <v>0</v>
      </c>
      <c r="BJ6" s="253">
        <v>0</v>
      </c>
      <c r="BK6" s="253">
        <v>0</v>
      </c>
      <c r="BL6" s="253">
        <v>4506</v>
      </c>
      <c r="BM6" s="253">
        <v>1</v>
      </c>
      <c r="BN6" s="253"/>
      <c r="BO6" s="247"/>
      <c r="BP6" s="263"/>
      <c r="BQ6" s="263"/>
      <c r="BR6" s="263"/>
      <c r="BS6" s="245"/>
      <c r="BT6" s="265" t="s">
        <v>623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2017</v>
      </c>
      <c r="CH6" s="265">
        <v>63</v>
      </c>
      <c r="CI6" s="267" t="s">
        <v>510</v>
      </c>
      <c r="CJ6" s="247" t="s">
        <v>117</v>
      </c>
      <c r="CK6" s="247">
        <v>72189</v>
      </c>
      <c r="CL6" s="267" t="s">
        <v>513</v>
      </c>
      <c r="CM6" s="247" t="s">
        <v>117</v>
      </c>
      <c r="CN6" s="247">
        <v>40286</v>
      </c>
      <c r="CO6" s="267" t="s">
        <v>516</v>
      </c>
      <c r="CP6" s="247" t="s">
        <v>117</v>
      </c>
      <c r="CQ6" s="247">
        <v>2000</v>
      </c>
      <c r="CR6" s="245"/>
      <c r="CS6" s="277">
        <v>2017</v>
      </c>
      <c r="CT6" s="275">
        <v>183</v>
      </c>
      <c r="CU6" s="275" t="s">
        <v>646</v>
      </c>
      <c r="CV6" s="275">
        <v>-13356363136.530001</v>
      </c>
      <c r="CW6" s="275">
        <v>-12538405825</v>
      </c>
      <c r="CX6" s="275">
        <v>2108</v>
      </c>
      <c r="CY6" s="275">
        <v>26029752872.009991</v>
      </c>
      <c r="CZ6" s="275">
        <v>25817927697</v>
      </c>
      <c r="DA6" s="275">
        <v>1192</v>
      </c>
      <c r="DB6" s="275">
        <v>39386116008.540092</v>
      </c>
      <c r="DC6" s="275">
        <v>38356333522</v>
      </c>
      <c r="DD6" s="275">
        <v>916</v>
      </c>
      <c r="DG6" s="348" t="s">
        <v>657</v>
      </c>
      <c r="DH6" s="346">
        <v>1911896556.0599999</v>
      </c>
      <c r="DJ6" s="352" t="s">
        <v>657</v>
      </c>
      <c r="DK6" s="350">
        <v>2285626018.9099998</v>
      </c>
      <c r="DM6" s="351" t="s">
        <v>657</v>
      </c>
      <c r="DN6" s="353">
        <v>1667796950.96</v>
      </c>
    </row>
    <row r="7" spans="1:118" x14ac:dyDescent="0.2">
      <c r="A7" s="148" t="s">
        <v>212</v>
      </c>
      <c r="B7" s="188" t="s">
        <v>536</v>
      </c>
      <c r="C7" s="188" t="s">
        <v>537</v>
      </c>
      <c r="D7" s="188" t="s">
        <v>538</v>
      </c>
      <c r="E7" s="209"/>
      <c r="F7" s="211" t="s">
        <v>538</v>
      </c>
      <c r="G7" s="211" t="s">
        <v>536</v>
      </c>
      <c r="H7" s="211" t="s">
        <v>537</v>
      </c>
      <c r="I7" s="153" t="s">
        <v>219</v>
      </c>
      <c r="J7" s="148" t="s">
        <v>220</v>
      </c>
      <c r="K7" s="235" t="s">
        <v>539</v>
      </c>
      <c r="L7" s="235" t="s">
        <v>540</v>
      </c>
      <c r="M7" s="237" t="s">
        <v>537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447</v>
      </c>
      <c r="T7" s="258">
        <v>24600766848.456001</v>
      </c>
      <c r="U7" s="258">
        <v>2214835</v>
      </c>
      <c r="V7" s="258">
        <v>9526</v>
      </c>
      <c r="W7" s="258">
        <v>988350</v>
      </c>
      <c r="X7" s="258">
        <v>1</v>
      </c>
      <c r="Y7" s="245"/>
      <c r="Z7" s="253" t="s">
        <v>564</v>
      </c>
      <c r="AA7" s="253">
        <v>513920892.55000001</v>
      </c>
      <c r="AB7" s="253">
        <v>7340</v>
      </c>
      <c r="AC7" s="253">
        <v>124</v>
      </c>
      <c r="AD7" s="253">
        <v>22257</v>
      </c>
      <c r="AE7" s="253">
        <v>1</v>
      </c>
      <c r="AF7" s="253"/>
      <c r="AG7" s="253" t="s">
        <v>565</v>
      </c>
      <c r="AH7" s="253">
        <v>0</v>
      </c>
      <c r="AI7" s="253">
        <v>0</v>
      </c>
      <c r="AJ7" s="253">
        <v>0</v>
      </c>
      <c r="AK7" s="253">
        <v>27</v>
      </c>
      <c r="AL7" s="253">
        <v>1</v>
      </c>
      <c r="AM7" s="245"/>
      <c r="AN7" s="253" t="s">
        <v>565</v>
      </c>
      <c r="AO7" s="253">
        <v>0</v>
      </c>
      <c r="AP7" s="253">
        <v>0</v>
      </c>
      <c r="AQ7" s="253">
        <v>0</v>
      </c>
      <c r="AR7" s="253">
        <v>17720</v>
      </c>
      <c r="AS7" s="253">
        <v>1</v>
      </c>
      <c r="AT7" s="245"/>
      <c r="AU7" s="253" t="s">
        <v>565</v>
      </c>
      <c r="AV7" s="253">
        <v>0</v>
      </c>
      <c r="AW7" s="253">
        <v>0</v>
      </c>
      <c r="AX7" s="253">
        <v>0</v>
      </c>
      <c r="AY7" s="253">
        <v>886</v>
      </c>
      <c r="AZ7" s="253">
        <v>1</v>
      </c>
      <c r="BA7" s="245"/>
      <c r="BB7" s="253"/>
      <c r="BC7" s="253"/>
      <c r="BD7" s="253"/>
      <c r="BE7" s="253"/>
      <c r="BF7" s="253"/>
      <c r="BG7" s="253"/>
      <c r="BH7" s="247" t="s">
        <v>565</v>
      </c>
      <c r="BI7" s="253">
        <v>244975</v>
      </c>
      <c r="BJ7" s="253">
        <v>10</v>
      </c>
      <c r="BK7" s="253">
        <v>1</v>
      </c>
      <c r="BL7" s="253">
        <v>2653</v>
      </c>
      <c r="BM7" s="253">
        <v>1</v>
      </c>
      <c r="BN7" s="253"/>
      <c r="BO7" s="252" t="s">
        <v>471</v>
      </c>
      <c r="BP7" s="264" t="s">
        <v>553</v>
      </c>
      <c r="BQ7" s="264" t="s">
        <v>554</v>
      </c>
      <c r="BR7" s="264" t="s">
        <v>555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2016</v>
      </c>
      <c r="CH7" s="265">
        <v>61</v>
      </c>
      <c r="CI7" s="245"/>
      <c r="CJ7" s="247" t="s">
        <v>628</v>
      </c>
      <c r="CK7" s="247">
        <v>1847605899506</v>
      </c>
      <c r="CL7" s="247"/>
      <c r="CM7" s="247" t="s">
        <v>628</v>
      </c>
      <c r="CN7" s="247">
        <v>4527766678982</v>
      </c>
      <c r="CO7" s="247"/>
      <c r="CP7" s="247" t="s">
        <v>628</v>
      </c>
      <c r="CQ7" s="247">
        <v>136476199437</v>
      </c>
      <c r="CR7" s="245"/>
      <c r="CS7" s="277">
        <v>2017</v>
      </c>
      <c r="CT7" s="275">
        <v>74</v>
      </c>
      <c r="CU7" s="275" t="s">
        <v>647</v>
      </c>
      <c r="CV7" s="275">
        <v>31840973360.919998</v>
      </c>
      <c r="CW7" s="275">
        <v>31767693358</v>
      </c>
      <c r="CX7" s="275">
        <v>8511</v>
      </c>
      <c r="CY7" s="275">
        <v>228697371129.75021</v>
      </c>
      <c r="CZ7" s="275">
        <v>218040895247</v>
      </c>
      <c r="DA7" s="275">
        <v>4686</v>
      </c>
      <c r="DB7" s="275">
        <v>196856397768.83005</v>
      </c>
      <c r="DC7" s="275">
        <v>186273201889</v>
      </c>
      <c r="DD7" s="275">
        <v>3825</v>
      </c>
      <c r="DJ7" s="10" t="s">
        <v>658</v>
      </c>
      <c r="DK7" s="366">
        <v>1901542729.21</v>
      </c>
      <c r="DM7" s="10" t="s">
        <v>658</v>
      </c>
      <c r="DN7" s="366">
        <v>5844363891.3800001</v>
      </c>
    </row>
    <row r="8" spans="1:118" x14ac:dyDescent="0.2">
      <c r="B8" s="188">
        <v>21448241672</v>
      </c>
      <c r="C8" s="188">
        <v>1530698207380.9077</v>
      </c>
      <c r="D8" s="194">
        <v>17493279</v>
      </c>
      <c r="E8" s="209"/>
      <c r="F8" s="211">
        <v>9348</v>
      </c>
      <c r="G8" s="211">
        <v>1445088424</v>
      </c>
      <c r="H8" s="225">
        <v>93684399656.497879</v>
      </c>
      <c r="J8" s="152" t="str">
        <f>K8&amp;L8</f>
        <v>ABuy</v>
      </c>
      <c r="K8" s="234" t="s">
        <v>541</v>
      </c>
      <c r="L8" s="234" t="s">
        <v>542</v>
      </c>
      <c r="M8" s="238">
        <v>186695412387.78564</v>
      </c>
      <c r="O8" s="244">
        <v>286133638399.32001</v>
      </c>
      <c r="P8" s="244">
        <v>-306155991328.98999</v>
      </c>
      <c r="Q8" s="241">
        <v>-20022352929.669998</v>
      </c>
      <c r="S8" s="253" t="s">
        <v>182</v>
      </c>
      <c r="T8" s="258">
        <v>222969121.32499999</v>
      </c>
      <c r="U8" s="258">
        <v>3586454</v>
      </c>
      <c r="V8" s="258">
        <v>600</v>
      </c>
      <c r="W8" s="258">
        <v>1503628</v>
      </c>
      <c r="X8" s="258">
        <v>1</v>
      </c>
      <c r="Y8" s="245"/>
      <c r="Z8" s="253" t="s">
        <v>565</v>
      </c>
      <c r="AA8" s="253">
        <v>45027894.049999997</v>
      </c>
      <c r="AB8" s="253">
        <v>1790</v>
      </c>
      <c r="AC8" s="253">
        <v>18</v>
      </c>
      <c r="AD8" s="253">
        <v>8669</v>
      </c>
      <c r="AE8" s="253">
        <v>1</v>
      </c>
      <c r="AF8" s="253"/>
      <c r="AG8" s="253" t="s">
        <v>566</v>
      </c>
      <c r="AH8" s="253">
        <v>0</v>
      </c>
      <c r="AI8" s="253">
        <v>0</v>
      </c>
      <c r="AJ8" s="253">
        <v>0</v>
      </c>
      <c r="AK8" s="253">
        <v>0</v>
      </c>
      <c r="AL8" s="253">
        <v>1</v>
      </c>
      <c r="AM8" s="245"/>
      <c r="AN8" s="253" t="s">
        <v>567</v>
      </c>
      <c r="AO8" s="253">
        <v>1296540.0049999999</v>
      </c>
      <c r="AP8" s="253">
        <v>12</v>
      </c>
      <c r="AQ8" s="253">
        <v>4</v>
      </c>
      <c r="AR8" s="253">
        <v>73</v>
      </c>
      <c r="AS8" s="253">
        <v>1</v>
      </c>
      <c r="AT8" s="245"/>
      <c r="AU8" s="253" t="s">
        <v>567</v>
      </c>
      <c r="AV8" s="253">
        <v>0</v>
      </c>
      <c r="AW8" s="253">
        <v>0</v>
      </c>
      <c r="AX8" s="253">
        <v>0</v>
      </c>
      <c r="AY8" s="253">
        <v>0</v>
      </c>
      <c r="AZ8" s="253">
        <v>1</v>
      </c>
      <c r="BA8" s="245"/>
      <c r="BB8" s="253"/>
      <c r="BC8" s="253"/>
      <c r="BD8" s="253"/>
      <c r="BE8" s="253"/>
      <c r="BF8" s="253"/>
      <c r="BG8" s="253"/>
      <c r="BH8" s="247" t="s">
        <v>567</v>
      </c>
      <c r="BI8" s="253">
        <v>0</v>
      </c>
      <c r="BJ8" s="253">
        <v>0</v>
      </c>
      <c r="BK8" s="253">
        <v>0</v>
      </c>
      <c r="BL8" s="253">
        <v>0</v>
      </c>
      <c r="BM8" s="253">
        <v>1</v>
      </c>
      <c r="BN8" s="253"/>
      <c r="BO8" s="247"/>
      <c r="BP8" s="263">
        <v>1848800739711.3591</v>
      </c>
      <c r="BQ8" s="263">
        <v>168711863</v>
      </c>
      <c r="BR8" s="263">
        <v>992852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625</v>
      </c>
      <c r="CE8" s="266" t="s">
        <v>627</v>
      </c>
      <c r="CF8" s="245"/>
      <c r="CG8" s="245"/>
      <c r="CH8" s="245"/>
      <c r="CI8" s="245"/>
      <c r="CJ8" s="247" t="s">
        <v>629</v>
      </c>
      <c r="CK8" s="247">
        <v>1968869823264.7786</v>
      </c>
      <c r="CL8" s="247"/>
      <c r="CM8" s="247" t="s">
        <v>629</v>
      </c>
      <c r="CN8" s="247">
        <v>4448092434771.1426</v>
      </c>
      <c r="CO8" s="247"/>
      <c r="CP8" s="247" t="s">
        <v>629</v>
      </c>
      <c r="CQ8" s="247">
        <v>49635534950.360001</v>
      </c>
      <c r="CR8" s="245"/>
      <c r="CS8" s="277">
        <v>2017</v>
      </c>
      <c r="CT8" s="275">
        <v>22</v>
      </c>
      <c r="CU8" s="275" t="s">
        <v>648</v>
      </c>
      <c r="CV8" s="275">
        <v>-3534215953.0299978</v>
      </c>
      <c r="CW8" s="275">
        <v>-3667643000</v>
      </c>
      <c r="CX8" s="275">
        <v>387</v>
      </c>
      <c r="CY8" s="275">
        <v>15303016189.279997</v>
      </c>
      <c r="CZ8" s="275">
        <v>16418372000</v>
      </c>
      <c r="DA8" s="275">
        <v>168</v>
      </c>
      <c r="DB8" s="275">
        <v>18837232142.309978</v>
      </c>
      <c r="DC8" s="275">
        <v>20086015000</v>
      </c>
      <c r="DD8" s="275">
        <v>219</v>
      </c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543</v>
      </c>
      <c r="L9" s="234" t="s">
        <v>542</v>
      </c>
      <c r="M9" s="238">
        <v>213150609069.32294</v>
      </c>
      <c r="N9" s="19"/>
      <c r="O9" s="239"/>
      <c r="P9" s="239"/>
      <c r="Q9" s="239"/>
      <c r="S9" s="253" t="s">
        <v>449</v>
      </c>
      <c r="T9" s="258">
        <v>0</v>
      </c>
      <c r="U9" s="258">
        <v>0</v>
      </c>
      <c r="V9" s="258">
        <v>0</v>
      </c>
      <c r="W9" s="258">
        <v>0</v>
      </c>
      <c r="X9" s="258">
        <v>0</v>
      </c>
      <c r="Y9" s="245"/>
      <c r="Z9" s="253" t="s">
        <v>566</v>
      </c>
      <c r="AA9" s="253">
        <v>0</v>
      </c>
      <c r="AB9" s="253">
        <v>0</v>
      </c>
      <c r="AC9" s="253">
        <v>0</v>
      </c>
      <c r="AD9" s="253">
        <v>0</v>
      </c>
      <c r="AE9" s="253">
        <v>1</v>
      </c>
      <c r="AF9" s="253"/>
      <c r="AG9" s="253" t="s">
        <v>567</v>
      </c>
      <c r="AH9" s="253">
        <v>0</v>
      </c>
      <c r="AI9" s="253">
        <v>0</v>
      </c>
      <c r="AJ9" s="253">
        <v>0</v>
      </c>
      <c r="AK9" s="253">
        <v>0</v>
      </c>
      <c r="AL9" s="253">
        <v>1</v>
      </c>
      <c r="AM9" s="245"/>
      <c r="AN9" s="253" t="s">
        <v>568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568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/>
      <c r="BC9" s="253"/>
      <c r="BD9" s="253"/>
      <c r="BE9" s="253"/>
      <c r="BF9" s="253"/>
      <c r="BG9" s="253"/>
      <c r="BH9" s="247" t="s">
        <v>568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611</v>
      </c>
      <c r="BU9" s="266" t="s">
        <v>612</v>
      </c>
      <c r="BV9" s="266" t="s">
        <v>613</v>
      </c>
      <c r="BW9" s="266" t="s">
        <v>614</v>
      </c>
      <c r="BX9" s="266" t="s">
        <v>615</v>
      </c>
      <c r="BY9" s="266" t="s">
        <v>616</v>
      </c>
      <c r="BZ9" s="266" t="s">
        <v>617</v>
      </c>
      <c r="CA9" s="266" t="s">
        <v>618</v>
      </c>
      <c r="CB9" s="266" t="s">
        <v>619</v>
      </c>
      <c r="CC9" s="245"/>
      <c r="CD9" s="269">
        <v>295762063910275.37</v>
      </c>
      <c r="CE9" s="272">
        <v>484519280212.8006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541</v>
      </c>
      <c r="L10" s="234" t="s">
        <v>544</v>
      </c>
      <c r="M10" s="238">
        <v>185916669966.03754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446</v>
      </c>
      <c r="T10" s="258">
        <v>794670051351.52673</v>
      </c>
      <c r="U10" s="258">
        <v>3015379</v>
      </c>
      <c r="V10" s="258">
        <v>280043</v>
      </c>
      <c r="W10" s="258">
        <v>839890</v>
      </c>
      <c r="X10" s="258">
        <v>1</v>
      </c>
      <c r="Y10" s="245"/>
      <c r="Z10" s="253" t="s">
        <v>567</v>
      </c>
      <c r="AA10" s="253">
        <v>1557990</v>
      </c>
      <c r="AB10" s="253">
        <v>15</v>
      </c>
      <c r="AC10" s="253">
        <v>5</v>
      </c>
      <c r="AD10" s="253">
        <v>26</v>
      </c>
      <c r="AE10" s="253">
        <v>1</v>
      </c>
      <c r="AF10" s="253"/>
      <c r="AG10" s="253" t="s">
        <v>568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569</v>
      </c>
      <c r="AO10" s="253">
        <v>398845099.66000003</v>
      </c>
      <c r="AP10" s="253">
        <v>775</v>
      </c>
      <c r="AQ10" s="253">
        <v>74</v>
      </c>
      <c r="AR10" s="253">
        <v>4901</v>
      </c>
      <c r="AS10" s="253">
        <v>1</v>
      </c>
      <c r="AT10" s="245"/>
      <c r="AU10" s="253" t="s">
        <v>569</v>
      </c>
      <c r="AV10" s="253">
        <v>1479000</v>
      </c>
      <c r="AW10" s="253">
        <v>3</v>
      </c>
      <c r="AX10" s="253">
        <v>1</v>
      </c>
      <c r="AY10" s="253">
        <v>124</v>
      </c>
      <c r="AZ10" s="253">
        <v>1</v>
      </c>
      <c r="BA10" s="245"/>
      <c r="BB10" s="253"/>
      <c r="BC10" s="253"/>
      <c r="BD10" s="253"/>
      <c r="BE10" s="253"/>
      <c r="BF10" s="253"/>
      <c r="BG10" s="253"/>
      <c r="BH10" s="247" t="s">
        <v>569</v>
      </c>
      <c r="BI10" s="253">
        <v>9942000</v>
      </c>
      <c r="BJ10" s="253">
        <v>20</v>
      </c>
      <c r="BK10" s="253">
        <v>2</v>
      </c>
      <c r="BL10" s="253">
        <v>118</v>
      </c>
      <c r="BM10" s="253">
        <v>1</v>
      </c>
      <c r="BN10" s="253"/>
      <c r="BO10" s="252" t="s">
        <v>472</v>
      </c>
      <c r="BP10" s="264" t="s">
        <v>553</v>
      </c>
      <c r="BQ10" s="264" t="s">
        <v>554</v>
      </c>
      <c r="BR10" s="264" t="s">
        <v>555</v>
      </c>
      <c r="BS10" s="245"/>
      <c r="BT10" s="265" t="s">
        <v>139</v>
      </c>
      <c r="BU10" s="265">
        <v>55</v>
      </c>
      <c r="BV10" s="265">
        <v>1</v>
      </c>
      <c r="BW10" s="265">
        <v>3</v>
      </c>
      <c r="BX10" s="265">
        <v>2</v>
      </c>
      <c r="BY10" s="265">
        <v>0</v>
      </c>
      <c r="BZ10" s="265">
        <v>51</v>
      </c>
      <c r="CA10" s="265">
        <v>40</v>
      </c>
      <c r="CB10" s="265">
        <v>15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543</v>
      </c>
      <c r="L11" s="234" t="s">
        <v>544</v>
      </c>
      <c r="M11" s="238">
        <v>213929351491.07104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451</v>
      </c>
      <c r="T11" s="258">
        <v>4020515799.1849999</v>
      </c>
      <c r="U11" s="258">
        <v>474154</v>
      </c>
      <c r="V11" s="258">
        <v>357</v>
      </c>
      <c r="W11" s="258">
        <v>338389</v>
      </c>
      <c r="X11" s="258">
        <v>1</v>
      </c>
      <c r="Y11" s="245"/>
      <c r="Z11" s="253" t="s">
        <v>568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569</v>
      </c>
      <c r="AH11" s="253">
        <v>2850000</v>
      </c>
      <c r="AI11" s="253">
        <v>6</v>
      </c>
      <c r="AJ11" s="253">
        <v>3</v>
      </c>
      <c r="AK11" s="253">
        <v>107</v>
      </c>
      <c r="AL11" s="253">
        <v>1</v>
      </c>
      <c r="AM11" s="245"/>
      <c r="AN11" s="253" t="s">
        <v>570</v>
      </c>
      <c r="AO11" s="253">
        <v>95950750</v>
      </c>
      <c r="AP11" s="253">
        <v>1052</v>
      </c>
      <c r="AQ11" s="253">
        <v>4</v>
      </c>
      <c r="AR11" s="253">
        <v>7012</v>
      </c>
      <c r="AS11" s="253">
        <v>1</v>
      </c>
      <c r="AT11" s="245"/>
      <c r="AU11" s="253" t="s">
        <v>570</v>
      </c>
      <c r="AV11" s="253">
        <v>0</v>
      </c>
      <c r="AW11" s="253">
        <v>0</v>
      </c>
      <c r="AX11" s="253">
        <v>0</v>
      </c>
      <c r="AY11" s="253">
        <v>352</v>
      </c>
      <c r="AZ11" s="253">
        <v>1</v>
      </c>
      <c r="BA11" s="245"/>
      <c r="BB11" s="253"/>
      <c r="BC11" s="253"/>
      <c r="BD11" s="253"/>
      <c r="BE11" s="253"/>
      <c r="BF11" s="253"/>
      <c r="BG11" s="253"/>
      <c r="BH11" s="247" t="s">
        <v>570</v>
      </c>
      <c r="BI11" s="253">
        <v>0</v>
      </c>
      <c r="BJ11" s="253">
        <v>0</v>
      </c>
      <c r="BK11" s="253">
        <v>0</v>
      </c>
      <c r="BL11" s="253">
        <v>381</v>
      </c>
      <c r="BM11" s="253">
        <v>1</v>
      </c>
      <c r="BN11" s="253"/>
      <c r="BO11" s="247"/>
      <c r="BP11" s="263">
        <v>10729055113.559999</v>
      </c>
      <c r="BQ11" s="263">
        <v>2850426</v>
      </c>
      <c r="BR11" s="263">
        <v>4335</v>
      </c>
      <c r="BS11" s="245"/>
      <c r="BT11" s="265" t="s">
        <v>620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625</v>
      </c>
      <c r="CE11" s="266" t="s">
        <v>627</v>
      </c>
      <c r="CF11" s="245"/>
      <c r="CG11" s="245"/>
      <c r="CH11" s="245"/>
      <c r="CI11" s="267" t="s">
        <v>511</v>
      </c>
      <c r="CJ11" s="247" t="s">
        <v>117</v>
      </c>
      <c r="CK11" s="247">
        <v>76341</v>
      </c>
      <c r="CL11" s="267" t="s">
        <v>514</v>
      </c>
      <c r="CM11" s="247" t="s">
        <v>117</v>
      </c>
      <c r="CN11" s="247">
        <v>43210</v>
      </c>
      <c r="CO11" s="267" t="s">
        <v>517</v>
      </c>
      <c r="CP11" s="247" t="s">
        <v>117</v>
      </c>
      <c r="CQ11" s="247">
        <v>1076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450</v>
      </c>
      <c r="T12" s="258">
        <v>0</v>
      </c>
      <c r="U12" s="258">
        <v>8887438</v>
      </c>
      <c r="V12" s="258">
        <v>435</v>
      </c>
      <c r="W12" s="258">
        <v>14102852</v>
      </c>
      <c r="X12" s="258">
        <v>1</v>
      </c>
      <c r="Y12" s="245"/>
      <c r="Z12" s="253" t="s">
        <v>569</v>
      </c>
      <c r="AA12" s="253">
        <v>126476244.12</v>
      </c>
      <c r="AB12" s="253">
        <v>262</v>
      </c>
      <c r="AC12" s="253">
        <v>34</v>
      </c>
      <c r="AD12" s="253">
        <v>1408</v>
      </c>
      <c r="AE12" s="253">
        <v>1</v>
      </c>
      <c r="AF12" s="253"/>
      <c r="AG12" s="253" t="s">
        <v>570</v>
      </c>
      <c r="AH12" s="253">
        <v>0</v>
      </c>
      <c r="AI12" s="253">
        <v>0</v>
      </c>
      <c r="AJ12" s="253">
        <v>0</v>
      </c>
      <c r="AK12" s="253">
        <v>137</v>
      </c>
      <c r="AL12" s="253">
        <v>1</v>
      </c>
      <c r="AM12" s="245"/>
      <c r="AN12" s="253" t="s">
        <v>571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571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/>
      <c r="BC12" s="253"/>
      <c r="BD12" s="253"/>
      <c r="BE12" s="253"/>
      <c r="BF12" s="253"/>
      <c r="BG12" s="253"/>
      <c r="BH12" s="247" t="s">
        <v>571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621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848871092940091.25</v>
      </c>
      <c r="CE12" s="272">
        <v>1262746901421.8411</v>
      </c>
      <c r="CF12" s="245"/>
      <c r="CG12" s="245"/>
      <c r="CH12" s="245"/>
      <c r="CI12" s="247"/>
      <c r="CJ12" s="247" t="s">
        <v>628</v>
      </c>
      <c r="CK12" s="247">
        <v>1854334307772</v>
      </c>
      <c r="CL12" s="247"/>
      <c r="CM12" s="247" t="s">
        <v>628</v>
      </c>
      <c r="CN12" s="247">
        <v>5146269967872</v>
      </c>
      <c r="CO12" s="247"/>
      <c r="CP12" s="247" t="s">
        <v>628</v>
      </c>
      <c r="CQ12" s="247">
        <v>141995848769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539</v>
      </c>
      <c r="L13" s="235" t="s">
        <v>540</v>
      </c>
      <c r="M13" s="237" t="s">
        <v>537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448</v>
      </c>
      <c r="T13" s="258">
        <v>1111841.3400000001</v>
      </c>
      <c r="U13" s="258">
        <v>1400209</v>
      </c>
      <c r="V13" s="258">
        <v>8999</v>
      </c>
      <c r="W13" s="258">
        <v>812188</v>
      </c>
      <c r="X13" s="258">
        <v>1</v>
      </c>
      <c r="Y13" s="245"/>
      <c r="Z13" s="253" t="s">
        <v>570</v>
      </c>
      <c r="AA13" s="253">
        <v>38909853.75</v>
      </c>
      <c r="AB13" s="253">
        <v>454</v>
      </c>
      <c r="AC13" s="253">
        <v>20</v>
      </c>
      <c r="AD13" s="253">
        <v>6998</v>
      </c>
      <c r="AE13" s="253">
        <v>1</v>
      </c>
      <c r="AF13" s="253"/>
      <c r="AG13" s="253" t="s">
        <v>571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572</v>
      </c>
      <c r="AO13" s="253">
        <v>9824620678.0900002</v>
      </c>
      <c r="AP13" s="253">
        <v>40611</v>
      </c>
      <c r="AQ13" s="253">
        <v>6290</v>
      </c>
      <c r="AR13" s="253">
        <v>302871</v>
      </c>
      <c r="AS13" s="253">
        <v>1</v>
      </c>
      <c r="AT13" s="245"/>
      <c r="AU13" s="253" t="s">
        <v>572</v>
      </c>
      <c r="AV13" s="253">
        <v>478047213.02999997</v>
      </c>
      <c r="AW13" s="253">
        <v>2112</v>
      </c>
      <c r="AX13" s="253">
        <v>275</v>
      </c>
      <c r="AY13" s="253">
        <v>15044</v>
      </c>
      <c r="AZ13" s="253">
        <v>1</v>
      </c>
      <c r="BA13" s="245"/>
      <c r="BB13" s="253"/>
      <c r="BC13" s="253"/>
      <c r="BD13" s="253"/>
      <c r="BE13" s="253"/>
      <c r="BF13" s="253"/>
      <c r="BG13" s="253"/>
      <c r="BH13" s="247" t="s">
        <v>572</v>
      </c>
      <c r="BI13" s="253">
        <v>647741474.88</v>
      </c>
      <c r="BJ13" s="253">
        <v>1988</v>
      </c>
      <c r="BK13" s="253">
        <v>275</v>
      </c>
      <c r="BL13" s="253">
        <v>16682</v>
      </c>
      <c r="BM13" s="253">
        <v>1</v>
      </c>
      <c r="BN13" s="253"/>
      <c r="BO13" s="252" t="s">
        <v>484</v>
      </c>
      <c r="BP13" s="264" t="s">
        <v>556</v>
      </c>
      <c r="BQ13" s="263"/>
      <c r="BR13" s="263"/>
      <c r="BS13" s="245"/>
      <c r="BT13" s="265" t="s">
        <v>622</v>
      </c>
      <c r="BU13" s="265">
        <v>326</v>
      </c>
      <c r="BV13" s="265">
        <v>2</v>
      </c>
      <c r="BW13" s="265">
        <v>2</v>
      </c>
      <c r="BX13" s="265">
        <v>0</v>
      </c>
      <c r="BY13" s="265">
        <v>2</v>
      </c>
      <c r="BZ13" s="265">
        <v>328</v>
      </c>
      <c r="CA13" s="265">
        <v>266</v>
      </c>
      <c r="CB13" s="265">
        <v>60</v>
      </c>
      <c r="CC13" s="245"/>
      <c r="CD13" s="245"/>
      <c r="CE13" s="245"/>
      <c r="CF13" s="245"/>
      <c r="CG13" s="245"/>
      <c r="CH13" s="245"/>
      <c r="CI13" s="247"/>
      <c r="CJ13" s="247" t="s">
        <v>629</v>
      </c>
      <c r="CK13" s="247">
        <v>1875322444522.5078</v>
      </c>
      <c r="CL13" s="247"/>
      <c r="CM13" s="247" t="s">
        <v>629</v>
      </c>
      <c r="CN13" s="247">
        <v>4890146714330.1895</v>
      </c>
      <c r="CO13" s="247"/>
      <c r="CP13" s="247" t="s">
        <v>629</v>
      </c>
      <c r="CQ13" s="247">
        <v>67552649716.349998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541</v>
      </c>
      <c r="L14" s="234" t="s">
        <v>542</v>
      </c>
      <c r="M14" s="238">
        <v>218703369545.595</v>
      </c>
      <c r="N14" s="156"/>
      <c r="O14" s="344">
        <v>784579000000</v>
      </c>
      <c r="P14" s="344">
        <v>-771216000000</v>
      </c>
      <c r="Q14" s="344">
        <v>13363000000</v>
      </c>
      <c r="S14" s="245"/>
      <c r="T14" s="245"/>
      <c r="U14" s="245"/>
      <c r="V14" s="245"/>
      <c r="W14" s="245"/>
      <c r="X14" s="245"/>
      <c r="Y14" s="245"/>
      <c r="Z14" s="253" t="s">
        <v>571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572</v>
      </c>
      <c r="AH14" s="253">
        <v>504634308.04000002</v>
      </c>
      <c r="AI14" s="253">
        <v>2471</v>
      </c>
      <c r="AJ14" s="253">
        <v>358</v>
      </c>
      <c r="AK14" s="253">
        <v>18009</v>
      </c>
      <c r="AL14" s="253">
        <v>1</v>
      </c>
      <c r="AM14" s="245"/>
      <c r="AN14" s="253" t="s">
        <v>573</v>
      </c>
      <c r="AO14" s="253">
        <v>0</v>
      </c>
      <c r="AP14" s="253">
        <v>0</v>
      </c>
      <c r="AQ14" s="253">
        <v>0</v>
      </c>
      <c r="AR14" s="253">
        <v>0</v>
      </c>
      <c r="AS14" s="253">
        <v>1</v>
      </c>
      <c r="AT14" s="245"/>
      <c r="AU14" s="253" t="s">
        <v>573</v>
      </c>
      <c r="AV14" s="253">
        <v>0</v>
      </c>
      <c r="AW14" s="253">
        <v>0</v>
      </c>
      <c r="AX14" s="253">
        <v>0</v>
      </c>
      <c r="AY14" s="253">
        <v>0</v>
      </c>
      <c r="AZ14" s="253">
        <v>1</v>
      </c>
      <c r="BA14" s="245"/>
      <c r="BB14" s="253"/>
      <c r="BC14" s="253"/>
      <c r="BD14" s="253"/>
      <c r="BE14" s="253"/>
      <c r="BF14" s="253"/>
      <c r="BG14" s="253"/>
      <c r="BH14" s="247" t="s">
        <v>573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55415220</v>
      </c>
      <c r="BQ14" s="263"/>
      <c r="BR14" s="263"/>
      <c r="BS14" s="245"/>
      <c r="BT14" s="265" t="s">
        <v>623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625</v>
      </c>
      <c r="CE14" s="273" t="s">
        <v>627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649</v>
      </c>
      <c r="CT14" s="275" t="s">
        <v>631</v>
      </c>
      <c r="CU14" s="275" t="s">
        <v>632</v>
      </c>
      <c r="CV14" s="275" t="s">
        <v>633</v>
      </c>
      <c r="CW14" s="275" t="s">
        <v>634</v>
      </c>
      <c r="CX14" s="275" t="s">
        <v>635</v>
      </c>
      <c r="CY14" s="275" t="s">
        <v>636</v>
      </c>
      <c r="CZ14" s="275" t="s">
        <v>637</v>
      </c>
      <c r="DA14" s="275" t="s">
        <v>638</v>
      </c>
      <c r="DB14" s="275" t="s">
        <v>639</v>
      </c>
      <c r="DC14" s="275" t="s">
        <v>640</v>
      </c>
      <c r="DD14" s="275" t="s">
        <v>641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543</v>
      </c>
      <c r="L15" s="234" t="s">
        <v>542</v>
      </c>
      <c r="M15" s="238">
        <v>249016387266.33502</v>
      </c>
      <c r="N15" s="156"/>
      <c r="O15" s="240"/>
      <c r="P15" s="240"/>
      <c r="Q15" s="240"/>
      <c r="R15" s="153" t="s">
        <v>453</v>
      </c>
      <c r="S15" s="254" t="s">
        <v>552</v>
      </c>
      <c r="T15" s="257" t="s">
        <v>553</v>
      </c>
      <c r="U15" s="257" t="s">
        <v>554</v>
      </c>
      <c r="V15" s="257" t="s">
        <v>555</v>
      </c>
      <c r="W15" s="257" t="s">
        <v>556</v>
      </c>
      <c r="X15" s="257" t="s">
        <v>557</v>
      </c>
      <c r="Y15" s="245"/>
      <c r="Z15" s="253" t="s">
        <v>572</v>
      </c>
      <c r="AA15" s="253">
        <v>8336893132.6199999</v>
      </c>
      <c r="AB15" s="253">
        <v>40908</v>
      </c>
      <c r="AC15" s="253">
        <v>6779</v>
      </c>
      <c r="AD15" s="253">
        <v>372783</v>
      </c>
      <c r="AE15" s="253">
        <v>1</v>
      </c>
      <c r="AF15" s="253"/>
      <c r="AG15" s="253" t="s">
        <v>573</v>
      </c>
      <c r="AH15" s="253">
        <v>0</v>
      </c>
      <c r="AI15" s="253">
        <v>0</v>
      </c>
      <c r="AJ15" s="253">
        <v>0</v>
      </c>
      <c r="AK15" s="253">
        <v>0</v>
      </c>
      <c r="AL15" s="253">
        <v>1</v>
      </c>
      <c r="AM15" s="245"/>
      <c r="AN15" s="253" t="s">
        <v>574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574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/>
      <c r="BC15" s="253"/>
      <c r="BD15" s="253"/>
      <c r="BE15" s="253"/>
      <c r="BF15" s="253"/>
      <c r="BG15" s="253"/>
      <c r="BH15" s="247" t="s">
        <v>574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853456026991917.62</v>
      </c>
      <c r="CE15" s="274">
        <v>1498462293432.4009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650</v>
      </c>
      <c r="CT15" s="275">
        <v>20</v>
      </c>
      <c r="CU15" s="275" t="s">
        <v>642</v>
      </c>
      <c r="CV15" s="275">
        <v>0</v>
      </c>
      <c r="CW15" s="275">
        <v>4495849541</v>
      </c>
      <c r="CX15" s="275">
        <v>409</v>
      </c>
      <c r="CY15" s="275">
        <v>0</v>
      </c>
      <c r="CZ15" s="275">
        <v>16881688287</v>
      </c>
      <c r="DA15" s="275">
        <v>216</v>
      </c>
      <c r="DB15" s="275">
        <v>0</v>
      </c>
      <c r="DC15" s="275">
        <v>12385838746</v>
      </c>
      <c r="DD15" s="275">
        <v>193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541</v>
      </c>
      <c r="L16" s="234" t="s">
        <v>544</v>
      </c>
      <c r="M16" s="238">
        <v>226135358294.04999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230472.67</v>
      </c>
      <c r="U16" s="258">
        <v>265</v>
      </c>
      <c r="V16" s="258">
        <v>2</v>
      </c>
      <c r="W16" s="258">
        <v>14555497</v>
      </c>
      <c r="X16" s="258">
        <v>1</v>
      </c>
      <c r="Y16" s="245"/>
      <c r="Z16" s="253" t="s">
        <v>573</v>
      </c>
      <c r="AA16" s="253">
        <v>0</v>
      </c>
      <c r="AB16" s="253">
        <v>0</v>
      </c>
      <c r="AC16" s="253">
        <v>0</v>
      </c>
      <c r="AD16" s="253">
        <v>0</v>
      </c>
      <c r="AE16" s="253">
        <v>1</v>
      </c>
      <c r="AF16" s="253"/>
      <c r="AG16" s="253" t="s">
        <v>574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599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575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/>
      <c r="BC16" s="253"/>
      <c r="BD16" s="253"/>
      <c r="BE16" s="253"/>
      <c r="BF16" s="253"/>
      <c r="BG16" s="253"/>
      <c r="BH16" s="247" t="s">
        <v>575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556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650</v>
      </c>
      <c r="CT16" s="275">
        <v>20</v>
      </c>
      <c r="CU16" s="275" t="s">
        <v>644</v>
      </c>
      <c r="CV16" s="275">
        <v>29529438289.209988</v>
      </c>
      <c r="CW16" s="275">
        <v>28822732000</v>
      </c>
      <c r="CX16" s="275">
        <v>642</v>
      </c>
      <c r="CY16" s="275">
        <v>44530346619.619995</v>
      </c>
      <c r="CZ16" s="275">
        <v>43716955000</v>
      </c>
      <c r="DA16" s="275">
        <v>502</v>
      </c>
      <c r="DB16" s="275">
        <v>15000908330.410004</v>
      </c>
      <c r="DC16" s="275">
        <v>14894223000</v>
      </c>
      <c r="DD16" s="275">
        <v>140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543</v>
      </c>
      <c r="L17" s="234" t="s">
        <v>544</v>
      </c>
      <c r="M17" s="238">
        <v>241584398517.88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149117.5</v>
      </c>
      <c r="U17" s="258">
        <v>500</v>
      </c>
      <c r="V17" s="258">
        <v>3</v>
      </c>
      <c r="W17" s="258">
        <v>1472774</v>
      </c>
      <c r="X17" s="258">
        <v>0</v>
      </c>
      <c r="Y17" s="245"/>
      <c r="Z17" s="253" t="s">
        <v>574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575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575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576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/>
      <c r="BC17" s="253"/>
      <c r="BD17" s="253"/>
      <c r="BE17" s="253"/>
      <c r="BF17" s="253"/>
      <c r="BG17" s="253"/>
      <c r="BH17" s="247" t="s">
        <v>576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1933663</v>
      </c>
      <c r="BQ17" s="263"/>
      <c r="BR17" s="263"/>
      <c r="BS17" s="256" t="s">
        <v>500</v>
      </c>
      <c r="BT17" s="266" t="s">
        <v>611</v>
      </c>
      <c r="BU17" s="266" t="s">
        <v>612</v>
      </c>
      <c r="BV17" s="266" t="s">
        <v>613</v>
      </c>
      <c r="BW17" s="266" t="s">
        <v>614</v>
      </c>
      <c r="BX17" s="266" t="s">
        <v>615</v>
      </c>
      <c r="BY17" s="266" t="s">
        <v>616</v>
      </c>
      <c r="BZ17" s="266" t="s">
        <v>617</v>
      </c>
      <c r="CA17" s="266" t="s">
        <v>618</v>
      </c>
      <c r="CB17" s="266" t="s">
        <v>619</v>
      </c>
      <c r="CC17" s="358" t="s">
        <v>528</v>
      </c>
      <c r="CD17" s="357" t="s">
        <v>625</v>
      </c>
      <c r="CE17" s="357" t="s">
        <v>627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650</v>
      </c>
      <c r="CT17" s="275">
        <v>20</v>
      </c>
      <c r="CU17" s="275" t="s">
        <v>645</v>
      </c>
      <c r="CV17" s="275">
        <v>-29504234657.749981</v>
      </c>
      <c r="CW17" s="275">
        <v>-28726732000</v>
      </c>
      <c r="CX17" s="275">
        <v>639</v>
      </c>
      <c r="CY17" s="275">
        <v>14952722425.110003</v>
      </c>
      <c r="CZ17" s="275">
        <v>14894223000</v>
      </c>
      <c r="DA17" s="275">
        <v>140</v>
      </c>
      <c r="DB17" s="275">
        <v>44456957082.860016</v>
      </c>
      <c r="DC17" s="275">
        <v>43620955000</v>
      </c>
      <c r="DD17" s="275">
        <v>499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1956915.94</v>
      </c>
      <c r="U18" s="258">
        <v>42478</v>
      </c>
      <c r="V18" s="258">
        <v>54</v>
      </c>
      <c r="W18" s="258">
        <v>475662</v>
      </c>
      <c r="X18" s="258">
        <v>0</v>
      </c>
      <c r="Y18" s="245"/>
      <c r="Z18" s="253" t="s">
        <v>575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576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576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577</v>
      </c>
      <c r="AV18" s="253">
        <v>0</v>
      </c>
      <c r="AW18" s="253">
        <v>0</v>
      </c>
      <c r="AX18" s="253">
        <v>0</v>
      </c>
      <c r="AY18" s="253">
        <v>305</v>
      </c>
      <c r="AZ18" s="253">
        <v>1</v>
      </c>
      <c r="BA18" s="245"/>
      <c r="BB18" s="253"/>
      <c r="BC18" s="253"/>
      <c r="BD18" s="253"/>
      <c r="BE18" s="253"/>
      <c r="BF18" s="253"/>
      <c r="BG18" s="253"/>
      <c r="BH18" s="247" t="s">
        <v>577</v>
      </c>
      <c r="BI18" s="253">
        <v>0</v>
      </c>
      <c r="BJ18" s="253">
        <v>0</v>
      </c>
      <c r="BK18" s="253">
        <v>0</v>
      </c>
      <c r="BL18" s="253">
        <v>364</v>
      </c>
      <c r="BM18" s="253">
        <v>1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65</v>
      </c>
      <c r="BV18" s="265">
        <v>2</v>
      </c>
      <c r="BW18" s="265">
        <v>0</v>
      </c>
      <c r="BX18" s="265">
        <v>1</v>
      </c>
      <c r="BY18" s="265">
        <v>0</v>
      </c>
      <c r="BZ18" s="265">
        <v>66</v>
      </c>
      <c r="CA18" s="265">
        <v>48</v>
      </c>
      <c r="CB18" s="265">
        <v>17</v>
      </c>
      <c r="CC18" s="355"/>
      <c r="CD18" s="359">
        <v>13650256438619.932</v>
      </c>
      <c r="CE18" s="360">
        <v>38502564811.483818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650</v>
      </c>
      <c r="CT18" s="275">
        <v>84</v>
      </c>
      <c r="CU18" s="275" t="s">
        <v>646</v>
      </c>
      <c r="CV18" s="275">
        <v>-2037918980.4299989</v>
      </c>
      <c r="CW18" s="275">
        <v>-1751823756</v>
      </c>
      <c r="CX18" s="275">
        <v>833</v>
      </c>
      <c r="CY18" s="275">
        <v>8342944411.729991</v>
      </c>
      <c r="CZ18" s="275">
        <v>8122567099</v>
      </c>
      <c r="DA18" s="275">
        <v>467</v>
      </c>
      <c r="DB18" s="275">
        <v>10380863392.159996</v>
      </c>
      <c r="DC18" s="275">
        <v>9874390855</v>
      </c>
      <c r="DD18" s="275">
        <v>366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539</v>
      </c>
      <c r="L19" s="235" t="s">
        <v>540</v>
      </c>
      <c r="M19" s="237" t="s">
        <v>537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446</v>
      </c>
      <c r="T19" s="258">
        <v>290456448</v>
      </c>
      <c r="U19" s="258">
        <v>81476</v>
      </c>
      <c r="V19" s="258">
        <v>34</v>
      </c>
      <c r="W19" s="258">
        <v>901617</v>
      </c>
      <c r="X19" s="258">
        <v>0</v>
      </c>
      <c r="Y19" s="245"/>
      <c r="Z19" s="253" t="s">
        <v>576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577</v>
      </c>
      <c r="AH19" s="253">
        <v>0</v>
      </c>
      <c r="AI19" s="253">
        <v>0</v>
      </c>
      <c r="AJ19" s="253">
        <v>0</v>
      </c>
      <c r="AK19" s="253">
        <v>305</v>
      </c>
      <c r="AL19" s="253">
        <v>1</v>
      </c>
      <c r="AM19" s="245"/>
      <c r="AN19" s="253" t="s">
        <v>577</v>
      </c>
      <c r="AO19" s="253">
        <v>96253644.530000001</v>
      </c>
      <c r="AP19" s="253">
        <v>945</v>
      </c>
      <c r="AQ19" s="253">
        <v>3</v>
      </c>
      <c r="AR19" s="253">
        <v>6310</v>
      </c>
      <c r="AS19" s="253">
        <v>1</v>
      </c>
      <c r="AT19" s="245"/>
      <c r="AU19" s="253" t="s">
        <v>578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/>
      <c r="BC19" s="253"/>
      <c r="BD19" s="253"/>
      <c r="BE19" s="253"/>
      <c r="BF19" s="253"/>
      <c r="BG19" s="253"/>
      <c r="BH19" s="247" t="s">
        <v>578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537</v>
      </c>
      <c r="BQ19" s="264" t="s">
        <v>554</v>
      </c>
      <c r="BR19" s="264" t="s">
        <v>555</v>
      </c>
      <c r="BS19" s="245"/>
      <c r="BT19" s="265" t="s">
        <v>620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650</v>
      </c>
      <c r="CT19" s="275">
        <v>52</v>
      </c>
      <c r="CU19" s="275" t="s">
        <v>647</v>
      </c>
      <c r="CV19" s="275">
        <v>20963047252.679996</v>
      </c>
      <c r="CW19" s="275">
        <v>20540380370</v>
      </c>
      <c r="CX19" s="275">
        <v>3461</v>
      </c>
      <c r="CY19" s="275">
        <v>97945777994.000015</v>
      </c>
      <c r="CZ19" s="275">
        <v>92132894264</v>
      </c>
      <c r="DA19" s="275">
        <v>1972</v>
      </c>
      <c r="DB19" s="275">
        <v>76982730741.319946</v>
      </c>
      <c r="DC19" s="275">
        <v>71592513894</v>
      </c>
      <c r="DD19" s="275">
        <v>1489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541</v>
      </c>
      <c r="L20" s="234" t="s">
        <v>542</v>
      </c>
      <c r="M20" s="238">
        <v>178222450788.04001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558</v>
      </c>
      <c r="T20" s="258">
        <v>0</v>
      </c>
      <c r="U20" s="258">
        <v>0</v>
      </c>
      <c r="V20" s="258">
        <v>0</v>
      </c>
      <c r="W20" s="258">
        <v>0</v>
      </c>
      <c r="X20" s="258">
        <v>1</v>
      </c>
      <c r="Y20" s="245"/>
      <c r="Z20" s="253" t="s">
        <v>577</v>
      </c>
      <c r="AA20" s="253">
        <v>0</v>
      </c>
      <c r="AB20" s="253">
        <v>0</v>
      </c>
      <c r="AC20" s="253">
        <v>0</v>
      </c>
      <c r="AD20" s="253">
        <v>6710</v>
      </c>
      <c r="AE20" s="253">
        <v>1</v>
      </c>
      <c r="AF20" s="253"/>
      <c r="AG20" s="253" t="s">
        <v>578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578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579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/>
      <c r="BC20" s="253"/>
      <c r="BD20" s="253"/>
      <c r="BE20" s="253"/>
      <c r="BF20" s="253"/>
      <c r="BG20" s="253"/>
      <c r="BH20" s="247" t="s">
        <v>579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16168477382.040001</v>
      </c>
      <c r="BQ20" s="263">
        <v>149213</v>
      </c>
      <c r="BR20" s="263">
        <v>514</v>
      </c>
      <c r="BS20" s="245"/>
      <c r="BT20" s="265" t="s">
        <v>621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625</v>
      </c>
      <c r="CE20" s="357" t="s">
        <v>627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650</v>
      </c>
      <c r="CT20" s="275">
        <v>11</v>
      </c>
      <c r="CU20" s="275" t="s">
        <v>648</v>
      </c>
      <c r="CV20" s="275">
        <v>-334412558.79000002</v>
      </c>
      <c r="CW20" s="275">
        <v>-366628000</v>
      </c>
      <c r="CX20" s="275">
        <v>23</v>
      </c>
      <c r="CY20" s="275">
        <v>675543483.96000004</v>
      </c>
      <c r="CZ20" s="275">
        <v>569372000</v>
      </c>
      <c r="DA20" s="275">
        <v>6</v>
      </c>
      <c r="DB20" s="275">
        <v>1009956042.75</v>
      </c>
      <c r="DC20" s="275">
        <v>936000000</v>
      </c>
      <c r="DD20" s="275">
        <v>17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543</v>
      </c>
      <c r="L21" s="234" t="s">
        <v>542</v>
      </c>
      <c r="M21" s="238">
        <v>196821623321.11002</v>
      </c>
      <c r="O21" s="239"/>
      <c r="P21" s="239"/>
      <c r="Q21" s="239"/>
      <c r="S21" s="253" t="s">
        <v>447</v>
      </c>
      <c r="T21" s="258">
        <v>298100139.77999997</v>
      </c>
      <c r="U21" s="258">
        <v>25317</v>
      </c>
      <c r="V21" s="258">
        <v>407</v>
      </c>
      <c r="W21" s="258">
        <v>988350</v>
      </c>
      <c r="X21" s="258">
        <v>1</v>
      </c>
      <c r="Y21" s="245"/>
      <c r="Z21" s="253" t="s">
        <v>578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579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579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580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/>
      <c r="BC21" s="253"/>
      <c r="BD21" s="253"/>
      <c r="BE21" s="253"/>
      <c r="BF21" s="253"/>
      <c r="BG21" s="253"/>
      <c r="BH21" s="247" t="s">
        <v>580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622</v>
      </c>
      <c r="BU21" s="265">
        <v>326</v>
      </c>
      <c r="BV21" s="265">
        <v>2</v>
      </c>
      <c r="BW21" s="265">
        <v>2</v>
      </c>
      <c r="BX21" s="265">
        <v>0</v>
      </c>
      <c r="BY21" s="265">
        <v>1</v>
      </c>
      <c r="BZ21" s="265">
        <v>327</v>
      </c>
      <c r="CA21" s="265">
        <v>270</v>
      </c>
      <c r="CB21" s="265">
        <v>56</v>
      </c>
      <c r="CC21" s="355"/>
      <c r="CD21" s="359">
        <v>3612590565919187</v>
      </c>
      <c r="CE21" s="360">
        <v>5591135774030.0078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541</v>
      </c>
      <c r="L22" s="234" t="s">
        <v>544</v>
      </c>
      <c r="M22" s="238">
        <v>177376381518.84998</v>
      </c>
      <c r="O22" s="239"/>
      <c r="P22" s="239"/>
      <c r="Q22" s="239"/>
      <c r="S22" s="253" t="s">
        <v>182</v>
      </c>
      <c r="T22" s="258">
        <v>6298037.4500000002</v>
      </c>
      <c r="U22" s="258">
        <v>181893</v>
      </c>
      <c r="V22" s="258">
        <v>49</v>
      </c>
      <c r="W22" s="258">
        <v>1503628</v>
      </c>
      <c r="X22" s="258">
        <v>1</v>
      </c>
      <c r="Y22" s="245"/>
      <c r="Z22" s="253" t="s">
        <v>579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580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580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582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/>
      <c r="BC22" s="253"/>
      <c r="BD22" s="253"/>
      <c r="BE22" s="253"/>
      <c r="BF22" s="253"/>
      <c r="BG22" s="253"/>
      <c r="BH22" s="247" t="s">
        <v>582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537</v>
      </c>
      <c r="BQ22" s="264" t="s">
        <v>554</v>
      </c>
      <c r="BR22" s="264" t="s">
        <v>555</v>
      </c>
      <c r="BS22" s="245"/>
      <c r="BT22" s="245" t="s">
        <v>623</v>
      </c>
      <c r="BU22" s="265">
        <v>2</v>
      </c>
      <c r="BV22" s="245">
        <v>0</v>
      </c>
      <c r="BW22" s="245">
        <v>0</v>
      </c>
      <c r="BX22" s="245">
        <v>0</v>
      </c>
      <c r="BY22" s="245">
        <v>0</v>
      </c>
      <c r="BZ22" s="245">
        <v>2</v>
      </c>
      <c r="CA22" s="245">
        <v>2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551</v>
      </c>
      <c r="F23" s="227" t="s">
        <v>444</v>
      </c>
      <c r="G23" s="224" t="s">
        <v>226</v>
      </c>
      <c r="H23" s="224" t="s">
        <v>545</v>
      </c>
      <c r="I23" s="165"/>
      <c r="J23" s="152" t="str">
        <f>K23&amp;L23</f>
        <v>PSell</v>
      </c>
      <c r="K23" s="234" t="s">
        <v>543</v>
      </c>
      <c r="L23" s="234" t="s">
        <v>544</v>
      </c>
      <c r="M23" s="238">
        <v>197667692590.29999</v>
      </c>
      <c r="N23" s="163" t="s">
        <v>445</v>
      </c>
      <c r="O23" s="242" t="s">
        <v>226</v>
      </c>
      <c r="P23" s="242" t="s">
        <v>545</v>
      </c>
      <c r="Q23" s="239"/>
      <c r="S23" s="253" t="s">
        <v>449</v>
      </c>
      <c r="T23" s="258">
        <v>0</v>
      </c>
      <c r="U23" s="258">
        <v>0</v>
      </c>
      <c r="V23" s="258">
        <v>0</v>
      </c>
      <c r="W23" s="258">
        <v>0</v>
      </c>
      <c r="X23" s="258">
        <v>0</v>
      </c>
      <c r="Y23" s="245"/>
      <c r="Z23" s="253" t="s">
        <v>580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581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582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583</v>
      </c>
      <c r="AV23" s="253">
        <v>7433818</v>
      </c>
      <c r="AW23" s="253">
        <v>460</v>
      </c>
      <c r="AX23" s="253">
        <v>5</v>
      </c>
      <c r="AY23" s="253">
        <v>2661</v>
      </c>
      <c r="AZ23" s="253">
        <v>0</v>
      </c>
      <c r="BA23" s="245"/>
      <c r="BB23" s="253"/>
      <c r="BC23" s="253"/>
      <c r="BD23" s="253"/>
      <c r="BE23" s="253"/>
      <c r="BF23" s="253"/>
      <c r="BG23" s="253"/>
      <c r="BH23" s="247" t="s">
        <v>583</v>
      </c>
      <c r="BI23" s="253">
        <v>47914</v>
      </c>
      <c r="BJ23" s="253">
        <v>7</v>
      </c>
      <c r="BK23" s="253">
        <v>4</v>
      </c>
      <c r="BL23" s="253">
        <v>4182</v>
      </c>
      <c r="BM23" s="253">
        <v>0</v>
      </c>
      <c r="BN23" s="253"/>
      <c r="BO23" s="247"/>
      <c r="BP23" s="263">
        <v>2348234839.3000002</v>
      </c>
      <c r="BQ23" s="263">
        <v>25538</v>
      </c>
      <c r="BR23" s="263">
        <v>21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10340.22864435</v>
      </c>
      <c r="I24" s="164"/>
      <c r="K24" s="231"/>
      <c r="L24" s="228"/>
      <c r="M24" s="228"/>
      <c r="O24" s="241" t="s">
        <v>271</v>
      </c>
      <c r="P24" s="241">
        <v>10413.955213069999</v>
      </c>
      <c r="Q24" s="239"/>
      <c r="S24" s="253" t="s">
        <v>446</v>
      </c>
      <c r="T24" s="258">
        <v>29907249786.901901</v>
      </c>
      <c r="U24" s="258">
        <v>170409</v>
      </c>
      <c r="V24" s="258">
        <v>12579</v>
      </c>
      <c r="W24" s="258">
        <v>839890</v>
      </c>
      <c r="X24" s="258">
        <v>1</v>
      </c>
      <c r="Y24" s="245"/>
      <c r="Z24" s="253" t="s">
        <v>581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582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583</v>
      </c>
      <c r="AO24" s="253">
        <v>26052889.800000001</v>
      </c>
      <c r="AP24" s="253">
        <v>1909</v>
      </c>
      <c r="AQ24" s="253">
        <v>98</v>
      </c>
      <c r="AR24" s="253">
        <v>57276</v>
      </c>
      <c r="AS24" s="253">
        <v>0</v>
      </c>
      <c r="AT24" s="245"/>
      <c r="AU24" s="253" t="s">
        <v>584</v>
      </c>
      <c r="AV24" s="253">
        <v>0</v>
      </c>
      <c r="AW24" s="253">
        <v>0</v>
      </c>
      <c r="AX24" s="253">
        <v>0</v>
      </c>
      <c r="AY24" s="253">
        <v>10</v>
      </c>
      <c r="AZ24" s="253">
        <v>0</v>
      </c>
      <c r="BA24" s="245"/>
      <c r="BB24" s="253"/>
      <c r="BC24" s="253"/>
      <c r="BD24" s="253"/>
      <c r="BE24" s="253"/>
      <c r="BF24" s="253"/>
      <c r="BG24" s="253"/>
      <c r="BH24" s="247" t="s">
        <v>584</v>
      </c>
      <c r="BI24" s="253">
        <v>395242.3</v>
      </c>
      <c r="BJ24" s="253">
        <v>35</v>
      </c>
      <c r="BK24" s="253">
        <v>8</v>
      </c>
      <c r="BL24" s="253">
        <v>3530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10095.112094149999</v>
      </c>
      <c r="I25" s="164"/>
      <c r="K25" s="231"/>
      <c r="L25" s="228"/>
      <c r="M25" s="228"/>
      <c r="O25" s="241" t="s">
        <v>272</v>
      </c>
      <c r="P25" s="241">
        <v>9915.0039526300006</v>
      </c>
      <c r="Q25" s="239"/>
      <c r="S25" s="253" t="s">
        <v>451</v>
      </c>
      <c r="T25" s="258">
        <v>97462713.400000006</v>
      </c>
      <c r="U25" s="258">
        <v>7894</v>
      </c>
      <c r="V25" s="258">
        <v>3</v>
      </c>
      <c r="W25" s="258">
        <v>338389</v>
      </c>
      <c r="X25" s="258">
        <v>1</v>
      </c>
      <c r="Y25" s="245"/>
      <c r="Z25" s="253" t="s">
        <v>582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583</v>
      </c>
      <c r="AH25" s="253">
        <v>198079</v>
      </c>
      <c r="AI25" s="253">
        <v>15</v>
      </c>
      <c r="AJ25" s="253">
        <v>7</v>
      </c>
      <c r="AK25" s="253">
        <v>4149</v>
      </c>
      <c r="AL25" s="253">
        <v>0</v>
      </c>
      <c r="AM25" s="245"/>
      <c r="AN25" s="253" t="s">
        <v>584</v>
      </c>
      <c r="AO25" s="253">
        <v>2025</v>
      </c>
      <c r="AP25" s="253">
        <v>3</v>
      </c>
      <c r="AQ25" s="253">
        <v>1</v>
      </c>
      <c r="AR25" s="253">
        <v>3020</v>
      </c>
      <c r="AS25" s="253">
        <v>0</v>
      </c>
      <c r="AT25" s="245"/>
      <c r="AU25" s="253" t="s">
        <v>585</v>
      </c>
      <c r="AV25" s="253">
        <v>1172575489.45</v>
      </c>
      <c r="AW25" s="253">
        <v>4997</v>
      </c>
      <c r="AX25" s="253">
        <v>530</v>
      </c>
      <c r="AY25" s="253">
        <v>18321</v>
      </c>
      <c r="AZ25" s="253">
        <v>1</v>
      </c>
      <c r="BA25" s="245"/>
      <c r="BB25" s="253"/>
      <c r="BC25" s="253"/>
      <c r="BD25" s="253"/>
      <c r="BE25" s="253"/>
      <c r="BF25" s="253"/>
      <c r="BG25" s="253"/>
      <c r="BH25" s="247" t="s">
        <v>585</v>
      </c>
      <c r="BI25" s="253">
        <v>1172695484.8699999</v>
      </c>
      <c r="BJ25" s="253">
        <v>2460</v>
      </c>
      <c r="BK25" s="253">
        <v>568</v>
      </c>
      <c r="BL25" s="253">
        <v>23341</v>
      </c>
      <c r="BM25" s="253">
        <v>1</v>
      </c>
      <c r="BN25" s="253"/>
      <c r="BO25" s="256" t="s">
        <v>486</v>
      </c>
      <c r="BP25" s="264" t="s">
        <v>556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20312.061946770002</v>
      </c>
      <c r="I26" s="164"/>
      <c r="J26" s="157"/>
      <c r="K26" s="232"/>
      <c r="L26" s="228"/>
      <c r="M26" s="228"/>
      <c r="O26" s="241" t="s">
        <v>273</v>
      </c>
      <c r="P26" s="241">
        <v>19488.973578270001</v>
      </c>
      <c r="Q26" s="239"/>
      <c r="S26" s="253" t="s">
        <v>450</v>
      </c>
      <c r="T26" s="258">
        <v>0</v>
      </c>
      <c r="U26" s="258">
        <v>225</v>
      </c>
      <c r="V26" s="258">
        <v>2</v>
      </c>
      <c r="W26" s="258">
        <v>14102852</v>
      </c>
      <c r="X26" s="258">
        <v>1</v>
      </c>
      <c r="Y26" s="245"/>
      <c r="Z26" s="253" t="s">
        <v>583</v>
      </c>
      <c r="AA26" s="253">
        <v>22427061.800000001</v>
      </c>
      <c r="AB26" s="253">
        <v>2262</v>
      </c>
      <c r="AC26" s="253">
        <v>132</v>
      </c>
      <c r="AD26" s="253">
        <v>77048</v>
      </c>
      <c r="AE26" s="253">
        <v>0</v>
      </c>
      <c r="AF26" s="253"/>
      <c r="AG26" s="253" t="s">
        <v>584</v>
      </c>
      <c r="AH26" s="253">
        <v>0</v>
      </c>
      <c r="AI26" s="253">
        <v>0</v>
      </c>
      <c r="AJ26" s="253">
        <v>0</v>
      </c>
      <c r="AK26" s="253">
        <v>19</v>
      </c>
      <c r="AL26" s="253">
        <v>0</v>
      </c>
      <c r="AM26" s="245"/>
      <c r="AN26" s="253" t="s">
        <v>585</v>
      </c>
      <c r="AO26" s="253">
        <v>19923172806.319988</v>
      </c>
      <c r="AP26" s="253">
        <v>79807</v>
      </c>
      <c r="AQ26" s="253">
        <v>14871</v>
      </c>
      <c r="AR26" s="253">
        <v>375491</v>
      </c>
      <c r="AS26" s="253">
        <v>1</v>
      </c>
      <c r="AT26" s="245"/>
      <c r="AU26" s="253" t="s">
        <v>586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/>
      <c r="BC26" s="253"/>
      <c r="BD26" s="253"/>
      <c r="BE26" s="253"/>
      <c r="BF26" s="253"/>
      <c r="BG26" s="253"/>
      <c r="BH26" s="247" t="s">
        <v>586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804067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2929.3811947999998</v>
      </c>
      <c r="I27" s="164"/>
      <c r="J27" s="157"/>
      <c r="K27" s="231"/>
      <c r="L27" s="228"/>
      <c r="M27" s="228"/>
      <c r="O27" s="241" t="s">
        <v>274</v>
      </c>
      <c r="P27" s="241">
        <v>2938.03082842</v>
      </c>
      <c r="Q27" s="239"/>
      <c r="S27" s="253" t="s">
        <v>448</v>
      </c>
      <c r="T27" s="258">
        <v>0</v>
      </c>
      <c r="U27" s="258">
        <v>18832</v>
      </c>
      <c r="V27" s="258">
        <v>393</v>
      </c>
      <c r="W27" s="258">
        <v>812188</v>
      </c>
      <c r="X27" s="258">
        <v>1</v>
      </c>
      <c r="Y27" s="245"/>
      <c r="Z27" s="253" t="s">
        <v>584</v>
      </c>
      <c r="AA27" s="253">
        <v>90950</v>
      </c>
      <c r="AB27" s="253">
        <v>9</v>
      </c>
      <c r="AC27" s="253">
        <v>3</v>
      </c>
      <c r="AD27" s="253">
        <v>265</v>
      </c>
      <c r="AE27" s="253">
        <v>0</v>
      </c>
      <c r="AF27" s="253"/>
      <c r="AG27" s="253" t="s">
        <v>585</v>
      </c>
      <c r="AH27" s="253">
        <v>821100712.58000004</v>
      </c>
      <c r="AI27" s="253">
        <v>4179</v>
      </c>
      <c r="AJ27" s="253">
        <v>792</v>
      </c>
      <c r="AK27" s="253">
        <v>21171</v>
      </c>
      <c r="AL27" s="253">
        <v>1</v>
      </c>
      <c r="AM27" s="245"/>
      <c r="AN27" s="253" t="s">
        <v>586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587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/>
      <c r="BC27" s="253"/>
      <c r="BD27" s="253"/>
      <c r="BE27" s="253"/>
      <c r="BF27" s="253"/>
      <c r="BG27" s="253"/>
      <c r="BH27" s="247" t="s">
        <v>588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630</v>
      </c>
      <c r="CT27" s="275" t="s">
        <v>631</v>
      </c>
      <c r="CU27" s="275" t="s">
        <v>632</v>
      </c>
      <c r="CV27" s="275" t="s">
        <v>633</v>
      </c>
      <c r="CW27" s="275" t="s">
        <v>634</v>
      </c>
      <c r="CX27" s="275" t="s">
        <v>635</v>
      </c>
      <c r="CY27" s="275" t="s">
        <v>636</v>
      </c>
      <c r="CZ27" s="275" t="s">
        <v>637</v>
      </c>
      <c r="DA27" s="275" t="s">
        <v>638</v>
      </c>
      <c r="DB27" s="275" t="s">
        <v>639</v>
      </c>
      <c r="DC27" s="275" t="s">
        <v>640</v>
      </c>
      <c r="DD27" s="275" t="s">
        <v>641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3201.9742787</v>
      </c>
      <c r="I28" s="164"/>
      <c r="J28" s="157"/>
      <c r="K28" s="231"/>
      <c r="L28" s="233"/>
      <c r="M28" s="236"/>
      <c r="O28" s="241" t="s">
        <v>275</v>
      </c>
      <c r="P28" s="241">
        <v>3224.6502339899998</v>
      </c>
      <c r="Q28" s="239"/>
      <c r="S28" s="245"/>
      <c r="T28" s="245"/>
      <c r="U28" s="245"/>
      <c r="V28" s="245"/>
      <c r="W28" s="245"/>
      <c r="X28" s="245"/>
      <c r="Y28" s="245"/>
      <c r="Z28" s="253" t="s">
        <v>585</v>
      </c>
      <c r="AA28" s="253">
        <v>12570439202.56999</v>
      </c>
      <c r="AB28" s="253">
        <v>63367</v>
      </c>
      <c r="AC28" s="253">
        <v>11284</v>
      </c>
      <c r="AD28" s="253">
        <v>404860</v>
      </c>
      <c r="AE28" s="253">
        <v>1</v>
      </c>
      <c r="AF28" s="253"/>
      <c r="AG28" s="253" t="s">
        <v>586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587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588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/>
      <c r="BC28" s="253"/>
      <c r="BD28" s="253"/>
      <c r="BE28" s="253"/>
      <c r="BF28" s="253"/>
      <c r="BG28" s="253"/>
      <c r="BH28" s="247" t="s">
        <v>589</v>
      </c>
      <c r="BI28" s="253">
        <v>0</v>
      </c>
      <c r="BJ28" s="253">
        <v>0</v>
      </c>
      <c r="BK28" s="253">
        <v>0</v>
      </c>
      <c r="BL28" s="253">
        <v>49</v>
      </c>
      <c r="BM28" s="253">
        <v>1</v>
      </c>
      <c r="BN28" s="253"/>
      <c r="BO28" s="256" t="s">
        <v>487</v>
      </c>
      <c r="BP28" s="264" t="s">
        <v>556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2016</v>
      </c>
      <c r="CT28" s="275">
        <v>17</v>
      </c>
      <c r="CU28" s="275" t="s">
        <v>642</v>
      </c>
      <c r="CV28" s="275">
        <v>0</v>
      </c>
      <c r="CW28" s="275">
        <v>-1367433430</v>
      </c>
      <c r="CX28" s="275">
        <v>179</v>
      </c>
      <c r="CY28" s="275">
        <v>0</v>
      </c>
      <c r="CZ28" s="275">
        <v>8702236989</v>
      </c>
      <c r="DA28" s="275">
        <v>85</v>
      </c>
      <c r="DB28" s="275">
        <v>0</v>
      </c>
      <c r="DC28" s="275">
        <v>10069670419</v>
      </c>
      <c r="DD28" s="275">
        <v>94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3353.5300850200001</v>
      </c>
      <c r="I29" s="164"/>
      <c r="J29" s="157"/>
      <c r="K29" s="231"/>
      <c r="L29" s="228"/>
      <c r="M29" s="228"/>
      <c r="O29" s="241" t="s">
        <v>93</v>
      </c>
      <c r="P29" s="241">
        <v>3359.9859017399999</v>
      </c>
      <c r="Q29" s="239"/>
      <c r="S29" s="245"/>
      <c r="T29" s="245"/>
      <c r="U29" s="245"/>
      <c r="V29" s="245"/>
      <c r="W29" s="245"/>
      <c r="X29" s="245"/>
      <c r="Y29" s="245"/>
      <c r="Z29" s="253" t="s">
        <v>586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587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588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589</v>
      </c>
      <c r="AV29" s="253">
        <v>0</v>
      </c>
      <c r="AW29" s="253">
        <v>0</v>
      </c>
      <c r="AX29" s="253">
        <v>0</v>
      </c>
      <c r="AY29" s="253">
        <v>24</v>
      </c>
      <c r="AZ29" s="253">
        <v>1</v>
      </c>
      <c r="BA29" s="245"/>
      <c r="BB29" s="253"/>
      <c r="BC29" s="253"/>
      <c r="BD29" s="253"/>
      <c r="BE29" s="253"/>
      <c r="BF29" s="253"/>
      <c r="BG29" s="253"/>
      <c r="BH29" s="247" t="s">
        <v>590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32319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2016</v>
      </c>
      <c r="CT29" s="275">
        <v>1</v>
      </c>
      <c r="CU29" s="275" t="s">
        <v>643</v>
      </c>
      <c r="CV29" s="275">
        <v>-18175146</v>
      </c>
      <c r="CW29" s="275">
        <v>-20000000</v>
      </c>
      <c r="CX29" s="275">
        <v>1</v>
      </c>
      <c r="CY29" s="275">
        <v>0</v>
      </c>
      <c r="CZ29" s="275">
        <v>0</v>
      </c>
      <c r="DA29" s="275">
        <v>0</v>
      </c>
      <c r="DB29" s="275">
        <v>18175146</v>
      </c>
      <c r="DC29" s="275">
        <v>20000000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1380.8936204500001</v>
      </c>
      <c r="I30" s="164"/>
      <c r="J30" s="157"/>
      <c r="K30" s="231"/>
      <c r="L30" s="228"/>
      <c r="M30" s="228"/>
      <c r="O30" s="241" t="s">
        <v>63</v>
      </c>
      <c r="P30" s="241">
        <v>1315.97711205</v>
      </c>
      <c r="Q30" s="239"/>
      <c r="R30" s="153" t="s">
        <v>454</v>
      </c>
      <c r="S30" s="254" t="s">
        <v>552</v>
      </c>
      <c r="T30" s="257" t="s">
        <v>553</v>
      </c>
      <c r="U30" s="257" t="s">
        <v>554</v>
      </c>
      <c r="V30" s="257" t="s">
        <v>555</v>
      </c>
      <c r="W30" s="257" t="s">
        <v>556</v>
      </c>
      <c r="X30" s="257" t="s">
        <v>557</v>
      </c>
      <c r="Y30" s="245"/>
      <c r="Z30" s="253" t="s">
        <v>587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588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589</v>
      </c>
      <c r="AO30" s="253">
        <v>930000</v>
      </c>
      <c r="AP30" s="253">
        <v>3</v>
      </c>
      <c r="AQ30" s="253">
        <v>1</v>
      </c>
      <c r="AR30" s="253">
        <v>453</v>
      </c>
      <c r="AS30" s="253">
        <v>1</v>
      </c>
      <c r="AT30" s="245"/>
      <c r="AU30" s="253" t="s">
        <v>590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/>
      <c r="BC30" s="253"/>
      <c r="BD30" s="253"/>
      <c r="BE30" s="253"/>
      <c r="BF30" s="253"/>
      <c r="BG30" s="253"/>
      <c r="BH30" s="247" t="s">
        <v>574</v>
      </c>
      <c r="BI30" s="253">
        <v>0</v>
      </c>
      <c r="BJ30" s="253">
        <v>0</v>
      </c>
      <c r="BK30" s="253">
        <v>0</v>
      </c>
      <c r="BL30" s="253">
        <v>0</v>
      </c>
      <c r="BM30" s="253">
        <v>1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2016</v>
      </c>
      <c r="CT30" s="275">
        <v>24</v>
      </c>
      <c r="CU30" s="275" t="s">
        <v>644</v>
      </c>
      <c r="CV30" s="275">
        <v>-850678379.90999115</v>
      </c>
      <c r="CW30" s="275">
        <v>-670549300</v>
      </c>
      <c r="CX30" s="275">
        <v>2488</v>
      </c>
      <c r="CY30" s="275">
        <v>160772235011.1799</v>
      </c>
      <c r="CZ30" s="275">
        <v>174206775000</v>
      </c>
      <c r="DA30" s="275">
        <v>1401</v>
      </c>
      <c r="DB30" s="275">
        <v>161622913391.08987</v>
      </c>
      <c r="DC30" s="275">
        <v>174877324300</v>
      </c>
      <c r="DD30" s="275">
        <v>1087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14903.368138260001</v>
      </c>
      <c r="I31" s="164"/>
      <c r="J31" s="158"/>
      <c r="K31" s="229"/>
      <c r="L31" s="228"/>
      <c r="M31" s="228"/>
      <c r="O31" s="241" t="s">
        <v>276</v>
      </c>
      <c r="P31" s="241">
        <v>13642.984896780001</v>
      </c>
      <c r="Q31" s="239"/>
      <c r="R31" s="157"/>
      <c r="S31" s="253" t="s">
        <v>449</v>
      </c>
      <c r="T31" s="258">
        <v>221028371.52900001</v>
      </c>
      <c r="U31" s="258">
        <v>1234637</v>
      </c>
      <c r="V31" s="258">
        <v>76</v>
      </c>
      <c r="W31" s="258">
        <v>16754326</v>
      </c>
      <c r="X31" s="258">
        <v>1</v>
      </c>
      <c r="Y31" s="245"/>
      <c r="Z31" s="253" t="s">
        <v>588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589</v>
      </c>
      <c r="AH31" s="253">
        <v>0</v>
      </c>
      <c r="AI31" s="253">
        <v>0</v>
      </c>
      <c r="AJ31" s="253">
        <v>0</v>
      </c>
      <c r="AK31" s="253">
        <v>26</v>
      </c>
      <c r="AL31" s="253">
        <v>1</v>
      </c>
      <c r="AM31" s="245"/>
      <c r="AN31" s="253" t="s">
        <v>590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574</v>
      </c>
      <c r="AV31" s="253">
        <v>0</v>
      </c>
      <c r="AW31" s="253">
        <v>0</v>
      </c>
      <c r="AX31" s="253">
        <v>0</v>
      </c>
      <c r="AY31" s="253">
        <v>0</v>
      </c>
      <c r="AZ31" s="253">
        <v>1</v>
      </c>
      <c r="BA31" s="245"/>
      <c r="BB31" s="253"/>
      <c r="BC31" s="253"/>
      <c r="BD31" s="253"/>
      <c r="BE31" s="253"/>
      <c r="BF31" s="253"/>
      <c r="BG31" s="253"/>
      <c r="BH31" s="247" t="s">
        <v>591</v>
      </c>
      <c r="BI31" s="253">
        <v>0</v>
      </c>
      <c r="BJ31" s="253">
        <v>0</v>
      </c>
      <c r="BK31" s="253">
        <v>0</v>
      </c>
      <c r="BL31" s="253">
        <v>58</v>
      </c>
      <c r="BM31" s="253">
        <v>1</v>
      </c>
      <c r="BN31" s="253"/>
      <c r="BO31" s="256" t="s">
        <v>470</v>
      </c>
      <c r="BP31" s="264" t="s">
        <v>537</v>
      </c>
      <c r="BQ31" s="264" t="s">
        <v>554</v>
      </c>
      <c r="BR31" s="264" t="s">
        <v>555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2016</v>
      </c>
      <c r="CT31" s="275">
        <v>24</v>
      </c>
      <c r="CU31" s="275" t="s">
        <v>645</v>
      </c>
      <c r="CV31" s="275">
        <v>-398358695.92001992</v>
      </c>
      <c r="CW31" s="275">
        <v>-888150700</v>
      </c>
      <c r="CX31" s="275">
        <v>2466</v>
      </c>
      <c r="CY31" s="275">
        <v>159898519495.55981</v>
      </c>
      <c r="CZ31" s="275">
        <v>172885324300</v>
      </c>
      <c r="DA31" s="275">
        <v>1072</v>
      </c>
      <c r="DB31" s="275">
        <v>160296878191.47989</v>
      </c>
      <c r="DC31" s="275">
        <v>173773475000</v>
      </c>
      <c r="DD31" s="275">
        <v>1394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21.264419849999999</v>
      </c>
      <c r="I32" s="164"/>
      <c r="J32" s="157"/>
      <c r="K32" s="229"/>
      <c r="L32" s="228"/>
      <c r="M32" s="228"/>
      <c r="O32" s="241" t="s">
        <v>106</v>
      </c>
      <c r="P32" s="241">
        <v>21.662298669999998</v>
      </c>
      <c r="Q32" s="239"/>
      <c r="R32" s="157"/>
      <c r="S32" s="253" t="s">
        <v>447</v>
      </c>
      <c r="T32" s="258">
        <v>295115355.94999999</v>
      </c>
      <c r="U32" s="258">
        <v>529268</v>
      </c>
      <c r="V32" s="258">
        <v>497</v>
      </c>
      <c r="W32" s="258">
        <v>1744649</v>
      </c>
      <c r="X32" s="258">
        <v>0</v>
      </c>
      <c r="Y32" s="245"/>
      <c r="Z32" s="253" t="s">
        <v>589</v>
      </c>
      <c r="AA32" s="253">
        <v>1823200</v>
      </c>
      <c r="AB32" s="253">
        <v>6</v>
      </c>
      <c r="AC32" s="253">
        <v>2</v>
      </c>
      <c r="AD32" s="253">
        <v>552</v>
      </c>
      <c r="AE32" s="253">
        <v>1</v>
      </c>
      <c r="AF32" s="253"/>
      <c r="AG32" s="253" t="s">
        <v>590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574</v>
      </c>
      <c r="AO32" s="253">
        <v>0</v>
      </c>
      <c r="AP32" s="253">
        <v>0</v>
      </c>
      <c r="AQ32" s="253">
        <v>0</v>
      </c>
      <c r="AR32" s="253">
        <v>0</v>
      </c>
      <c r="AS32" s="253">
        <v>1</v>
      </c>
      <c r="AT32" s="245"/>
      <c r="AU32" s="253" t="s">
        <v>591</v>
      </c>
      <c r="AV32" s="253">
        <v>0</v>
      </c>
      <c r="AW32" s="253">
        <v>0</v>
      </c>
      <c r="AX32" s="253">
        <v>0</v>
      </c>
      <c r="AY32" s="253">
        <v>34</v>
      </c>
      <c r="AZ32" s="253">
        <v>1</v>
      </c>
      <c r="BA32" s="245"/>
      <c r="BB32" s="253"/>
      <c r="BC32" s="253"/>
      <c r="BD32" s="253"/>
      <c r="BE32" s="253"/>
      <c r="BF32" s="253"/>
      <c r="BG32" s="253"/>
      <c r="BH32" s="247" t="s">
        <v>592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301427781586.88</v>
      </c>
      <c r="BQ32" s="263">
        <v>2612088</v>
      </c>
      <c r="BR32" s="263">
        <v>2439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2016</v>
      </c>
      <c r="CT32" s="275">
        <v>267</v>
      </c>
      <c r="CU32" s="275" t="s">
        <v>646</v>
      </c>
      <c r="CV32" s="275">
        <v>-1034179072.5900023</v>
      </c>
      <c r="CW32" s="275">
        <v>-711108452</v>
      </c>
      <c r="CX32" s="275">
        <v>2672</v>
      </c>
      <c r="CY32" s="275">
        <v>33074199359.180004</v>
      </c>
      <c r="CZ32" s="275">
        <v>34316762015</v>
      </c>
      <c r="DA32" s="275">
        <v>1641</v>
      </c>
      <c r="DB32" s="275">
        <v>34108378431.770039</v>
      </c>
      <c r="DC32" s="275">
        <v>35027870467</v>
      </c>
      <c r="DD32" s="275">
        <v>1031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6804.6301256200004</v>
      </c>
      <c r="I33" s="164"/>
      <c r="J33" s="157"/>
      <c r="K33" s="228"/>
      <c r="L33" s="228"/>
      <c r="M33" s="228"/>
      <c r="O33" s="241" t="s">
        <v>108</v>
      </c>
      <c r="P33" s="241">
        <v>6845.1807264199997</v>
      </c>
      <c r="Q33" s="239"/>
      <c r="R33" s="157"/>
      <c r="S33" s="253" t="s">
        <v>451</v>
      </c>
      <c r="T33" s="258">
        <v>72205871.700000003</v>
      </c>
      <c r="U33" s="258">
        <v>1657356</v>
      </c>
      <c r="V33" s="258">
        <v>394</v>
      </c>
      <c r="W33" s="258">
        <v>1479581</v>
      </c>
      <c r="X33" s="258">
        <v>0</v>
      </c>
      <c r="Y33" s="245"/>
      <c r="Z33" s="253" t="s">
        <v>590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574</v>
      </c>
      <c r="AH33" s="253">
        <v>0</v>
      </c>
      <c r="AI33" s="253">
        <v>0</v>
      </c>
      <c r="AJ33" s="253">
        <v>0</v>
      </c>
      <c r="AK33" s="253">
        <v>6</v>
      </c>
      <c r="AL33" s="253">
        <v>1</v>
      </c>
      <c r="AM33" s="245"/>
      <c r="AN33" s="253" t="s">
        <v>591</v>
      </c>
      <c r="AO33" s="253">
        <v>554760</v>
      </c>
      <c r="AP33" s="253">
        <v>13</v>
      </c>
      <c r="AQ33" s="253">
        <v>9</v>
      </c>
      <c r="AR33" s="253">
        <v>666</v>
      </c>
      <c r="AS33" s="253">
        <v>1</v>
      </c>
      <c r="AT33" s="245"/>
      <c r="AU33" s="253" t="s">
        <v>592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/>
      <c r="BC33" s="253"/>
      <c r="BD33" s="253"/>
      <c r="BE33" s="253"/>
      <c r="BF33" s="253"/>
      <c r="BG33" s="253"/>
      <c r="BH33" s="247" t="s">
        <v>593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2016</v>
      </c>
      <c r="CT33" s="275">
        <v>99</v>
      </c>
      <c r="CU33" s="275" t="s">
        <v>647</v>
      </c>
      <c r="CV33" s="275">
        <v>17935211091.249992</v>
      </c>
      <c r="CW33" s="275">
        <v>19190095108</v>
      </c>
      <c r="CX33" s="275">
        <v>9183</v>
      </c>
      <c r="CY33" s="275">
        <v>213744134801.76028</v>
      </c>
      <c r="CZ33" s="275">
        <v>217891979657</v>
      </c>
      <c r="DA33" s="275">
        <v>4831</v>
      </c>
      <c r="DB33" s="275">
        <v>195808923710.51025</v>
      </c>
      <c r="DC33" s="275">
        <v>198701884549</v>
      </c>
      <c r="DD33" s="275">
        <v>4352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58603.390885790002</v>
      </c>
      <c r="I34" s="164"/>
      <c r="J34" s="157"/>
      <c r="K34" s="228"/>
      <c r="L34" s="228"/>
      <c r="M34" s="228"/>
      <c r="O34" s="241" t="s">
        <v>279</v>
      </c>
      <c r="P34" s="241">
        <v>54551.284768669997</v>
      </c>
      <c r="Q34" s="239"/>
      <c r="R34" s="157"/>
      <c r="S34" s="253" t="s">
        <v>446</v>
      </c>
      <c r="T34" s="258">
        <v>2405953482.3899999</v>
      </c>
      <c r="U34" s="258">
        <v>278252</v>
      </c>
      <c r="V34" s="258">
        <v>2375</v>
      </c>
      <c r="W34" s="258">
        <v>1010308</v>
      </c>
      <c r="X34" s="258">
        <v>0</v>
      </c>
      <c r="Y34" s="245"/>
      <c r="Z34" s="253" t="s">
        <v>574</v>
      </c>
      <c r="AA34" s="253">
        <v>205210</v>
      </c>
      <c r="AB34" s="253">
        <v>10</v>
      </c>
      <c r="AC34" s="253">
        <v>5</v>
      </c>
      <c r="AD34" s="253">
        <v>34</v>
      </c>
      <c r="AE34" s="253">
        <v>1</v>
      </c>
      <c r="AF34" s="253"/>
      <c r="AG34" s="253" t="s">
        <v>591</v>
      </c>
      <c r="AH34" s="253">
        <v>0</v>
      </c>
      <c r="AI34" s="253">
        <v>0</v>
      </c>
      <c r="AJ34" s="253">
        <v>0</v>
      </c>
      <c r="AK34" s="253">
        <v>16</v>
      </c>
      <c r="AL34" s="253">
        <v>1</v>
      </c>
      <c r="AM34" s="245"/>
      <c r="AN34" s="253" t="s">
        <v>592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593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/>
      <c r="BC34" s="253"/>
      <c r="BD34" s="253"/>
      <c r="BE34" s="253"/>
      <c r="BF34" s="253"/>
      <c r="BG34" s="253"/>
      <c r="BH34" s="247" t="s">
        <v>575</v>
      </c>
      <c r="BI34" s="253">
        <v>0</v>
      </c>
      <c r="BJ34" s="253">
        <v>0</v>
      </c>
      <c r="BK34" s="253">
        <v>0</v>
      </c>
      <c r="BL34" s="253">
        <v>0</v>
      </c>
      <c r="BM34" s="253">
        <v>1</v>
      </c>
      <c r="BN34" s="253"/>
      <c r="BO34" s="256" t="s">
        <v>481</v>
      </c>
      <c r="BP34" s="264" t="s">
        <v>537</v>
      </c>
      <c r="BQ34" s="264" t="s">
        <v>554</v>
      </c>
      <c r="BR34" s="264" t="s">
        <v>555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2016</v>
      </c>
      <c r="CT34" s="275">
        <v>20</v>
      </c>
      <c r="CU34" s="275" t="s">
        <v>648</v>
      </c>
      <c r="CV34" s="275">
        <v>-1985309059.0600042</v>
      </c>
      <c r="CW34" s="275">
        <v>-2497472468</v>
      </c>
      <c r="CX34" s="275">
        <v>420</v>
      </c>
      <c r="CY34" s="275">
        <v>12751699977.920006</v>
      </c>
      <c r="CZ34" s="275">
        <v>13553995000</v>
      </c>
      <c r="DA34" s="275">
        <v>188</v>
      </c>
      <c r="DB34" s="275">
        <v>14737009036.979988</v>
      </c>
      <c r="DC34" s="275">
        <v>16051467468</v>
      </c>
      <c r="DD34" s="275">
        <v>232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11814.063819720001</v>
      </c>
      <c r="I35" s="164"/>
      <c r="J35" s="157"/>
      <c r="K35" s="228"/>
      <c r="L35" s="228"/>
      <c r="M35" s="228"/>
      <c r="O35" s="241" t="s">
        <v>280</v>
      </c>
      <c r="P35" s="241">
        <v>12224.90001266</v>
      </c>
      <c r="Q35" s="239"/>
      <c r="R35" s="157"/>
      <c r="S35" s="253" t="s">
        <v>558</v>
      </c>
      <c r="T35" s="258">
        <v>0</v>
      </c>
      <c r="U35" s="258">
        <v>0</v>
      </c>
      <c r="V35" s="258">
        <v>0</v>
      </c>
      <c r="W35" s="258">
        <v>0</v>
      </c>
      <c r="X35" s="258">
        <v>1</v>
      </c>
      <c r="Y35" s="245"/>
      <c r="Z35" s="253" t="s">
        <v>591</v>
      </c>
      <c r="AA35" s="253">
        <v>1922900</v>
      </c>
      <c r="AB35" s="253">
        <v>43</v>
      </c>
      <c r="AC35" s="253">
        <v>6</v>
      </c>
      <c r="AD35" s="253">
        <v>370</v>
      </c>
      <c r="AE35" s="253">
        <v>1</v>
      </c>
      <c r="AF35" s="253"/>
      <c r="AG35" s="253" t="s">
        <v>592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593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575</v>
      </c>
      <c r="AV35" s="253">
        <v>0</v>
      </c>
      <c r="AW35" s="253">
        <v>0</v>
      </c>
      <c r="AX35" s="253">
        <v>0</v>
      </c>
      <c r="AY35" s="253">
        <v>0</v>
      </c>
      <c r="AZ35" s="253">
        <v>1</v>
      </c>
      <c r="BA35" s="245"/>
      <c r="BB35" s="253"/>
      <c r="BC35" s="253"/>
      <c r="BD35" s="253"/>
      <c r="BE35" s="253"/>
      <c r="BF35" s="253"/>
      <c r="BG35" s="253"/>
      <c r="BH35" s="247" t="s">
        <v>584</v>
      </c>
      <c r="BI35" s="253">
        <v>134389348.72499999</v>
      </c>
      <c r="BJ35" s="253">
        <v>588</v>
      </c>
      <c r="BK35" s="253">
        <v>87</v>
      </c>
      <c r="BL35" s="253">
        <v>16289</v>
      </c>
      <c r="BM35" s="253">
        <v>1</v>
      </c>
      <c r="BN35" s="253"/>
      <c r="BO35" s="251"/>
      <c r="BP35" s="263">
        <v>5057429756.25</v>
      </c>
      <c r="BQ35" s="263">
        <v>51436</v>
      </c>
      <c r="BR35" s="263">
        <v>110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23556.965567399999</v>
      </c>
      <c r="I36" s="164"/>
      <c r="J36" s="157"/>
      <c r="K36" s="228"/>
      <c r="L36" s="228"/>
      <c r="M36" s="228"/>
      <c r="O36" s="241" t="s">
        <v>281</v>
      </c>
      <c r="P36" s="241">
        <v>23506.216571500001</v>
      </c>
      <c r="Q36" s="239"/>
      <c r="R36" s="157"/>
      <c r="S36" s="253" t="s">
        <v>447</v>
      </c>
      <c r="T36" s="258">
        <v>8003715699.4399996</v>
      </c>
      <c r="U36" s="258">
        <v>517135</v>
      </c>
      <c r="V36" s="258">
        <v>4298</v>
      </c>
      <c r="W36" s="258">
        <v>1063804</v>
      </c>
      <c r="X36" s="258">
        <v>1</v>
      </c>
      <c r="Y36" s="245"/>
      <c r="Z36" s="253" t="s">
        <v>592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593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575</v>
      </c>
      <c r="AO36" s="253">
        <v>0</v>
      </c>
      <c r="AP36" s="253">
        <v>0</v>
      </c>
      <c r="AQ36" s="253">
        <v>0</v>
      </c>
      <c r="AR36" s="253">
        <v>0</v>
      </c>
      <c r="AS36" s="253">
        <v>1</v>
      </c>
      <c r="AT36" s="245"/>
      <c r="AU36" s="253" t="s">
        <v>584</v>
      </c>
      <c r="AV36" s="253">
        <v>316669259.72500002</v>
      </c>
      <c r="AW36" s="253">
        <v>1594</v>
      </c>
      <c r="AX36" s="253">
        <v>91</v>
      </c>
      <c r="AY36" s="253">
        <v>18150</v>
      </c>
      <c r="AZ36" s="253">
        <v>1</v>
      </c>
      <c r="BA36" s="245"/>
      <c r="BB36" s="253"/>
      <c r="BC36" s="253"/>
      <c r="BD36" s="253"/>
      <c r="BE36" s="253"/>
      <c r="BF36" s="253"/>
      <c r="BG36" s="253"/>
      <c r="BH36" s="247" t="s">
        <v>561</v>
      </c>
      <c r="BI36" s="253">
        <v>128384958.45999999</v>
      </c>
      <c r="BJ36" s="253">
        <v>572</v>
      </c>
      <c r="BK36" s="253">
        <v>33</v>
      </c>
      <c r="BL36" s="253">
        <v>4162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45167.148358209997</v>
      </c>
      <c r="I37" s="164"/>
      <c r="J37" s="157"/>
      <c r="K37" s="228"/>
      <c r="L37" s="228"/>
      <c r="M37" s="228"/>
      <c r="O37" s="241" t="s">
        <v>56</v>
      </c>
      <c r="P37" s="241">
        <v>44131.366288329998</v>
      </c>
      <c r="Q37" s="239"/>
      <c r="R37" s="157"/>
      <c r="S37" s="253" t="s">
        <v>182</v>
      </c>
      <c r="T37" s="258">
        <v>51566107.215000004</v>
      </c>
      <c r="U37" s="258">
        <v>517883</v>
      </c>
      <c r="V37" s="258">
        <v>294</v>
      </c>
      <c r="W37" s="258">
        <v>1596052</v>
      </c>
      <c r="X37" s="258">
        <v>1</v>
      </c>
      <c r="Y37" s="245"/>
      <c r="Z37" s="253" t="s">
        <v>593</v>
      </c>
      <c r="AA37" s="253">
        <v>0</v>
      </c>
      <c r="AB37" s="253">
        <v>0</v>
      </c>
      <c r="AC37" s="253">
        <v>0</v>
      </c>
      <c r="AD37" s="253">
        <v>0</v>
      </c>
      <c r="AE37" s="253">
        <v>0</v>
      </c>
      <c r="AF37" s="253"/>
      <c r="AG37" s="253" t="s">
        <v>575</v>
      </c>
      <c r="AH37" s="253">
        <v>0</v>
      </c>
      <c r="AI37" s="253">
        <v>0</v>
      </c>
      <c r="AJ37" s="253">
        <v>0</v>
      </c>
      <c r="AK37" s="253">
        <v>0</v>
      </c>
      <c r="AL37" s="253">
        <v>1</v>
      </c>
      <c r="AM37" s="245"/>
      <c r="AN37" s="253" t="s">
        <v>584</v>
      </c>
      <c r="AO37" s="253">
        <v>10238221200.66</v>
      </c>
      <c r="AP37" s="253">
        <v>50861</v>
      </c>
      <c r="AQ37" s="253">
        <v>4002</v>
      </c>
      <c r="AR37" s="253">
        <v>380891</v>
      </c>
      <c r="AS37" s="253">
        <v>1</v>
      </c>
      <c r="AT37" s="245"/>
      <c r="AU37" s="253" t="s">
        <v>594</v>
      </c>
      <c r="AV37" s="253">
        <v>0</v>
      </c>
      <c r="AW37" s="253">
        <v>0</v>
      </c>
      <c r="AX37" s="253">
        <v>0</v>
      </c>
      <c r="AY37" s="253">
        <v>0</v>
      </c>
      <c r="AZ37" s="253">
        <v>1</v>
      </c>
      <c r="BA37" s="245"/>
      <c r="BB37" s="253"/>
      <c r="BC37" s="253"/>
      <c r="BD37" s="253"/>
      <c r="BE37" s="253"/>
      <c r="BF37" s="253"/>
      <c r="BG37" s="253"/>
      <c r="BH37" s="247" t="s">
        <v>595</v>
      </c>
      <c r="BI37" s="253">
        <v>0</v>
      </c>
      <c r="BJ37" s="253">
        <v>0</v>
      </c>
      <c r="BK37" s="253">
        <v>0</v>
      </c>
      <c r="BL37" s="253">
        <v>0</v>
      </c>
      <c r="BM37" s="253">
        <v>0</v>
      </c>
      <c r="BN37" s="253"/>
      <c r="BO37" s="256" t="s">
        <v>473</v>
      </c>
      <c r="BP37" s="264" t="s">
        <v>537</v>
      </c>
      <c r="BQ37" s="264" t="s">
        <v>554</v>
      </c>
      <c r="BR37" s="264" t="s">
        <v>555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77396.758956360005</v>
      </c>
      <c r="I38" s="164"/>
      <c r="J38" s="157"/>
      <c r="K38" s="228"/>
      <c r="L38" s="228"/>
      <c r="M38" s="228"/>
      <c r="O38" s="241" t="s">
        <v>45</v>
      </c>
      <c r="P38" s="241">
        <v>78073.931568279993</v>
      </c>
      <c r="Q38" s="239"/>
      <c r="R38" s="157"/>
      <c r="S38" s="253" t="s">
        <v>449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575</v>
      </c>
      <c r="AA38" s="253">
        <v>0</v>
      </c>
      <c r="AB38" s="253">
        <v>0</v>
      </c>
      <c r="AC38" s="253">
        <v>0</v>
      </c>
      <c r="AD38" s="253">
        <v>0</v>
      </c>
      <c r="AE38" s="253">
        <v>1</v>
      </c>
      <c r="AF38" s="253"/>
      <c r="AG38" s="253" t="s">
        <v>584</v>
      </c>
      <c r="AH38" s="253">
        <v>461676324.97500002</v>
      </c>
      <c r="AI38" s="253">
        <v>2159</v>
      </c>
      <c r="AJ38" s="253">
        <v>152</v>
      </c>
      <c r="AK38" s="253">
        <v>16396</v>
      </c>
      <c r="AL38" s="253">
        <v>1</v>
      </c>
      <c r="AM38" s="245"/>
      <c r="AN38" s="253" t="s">
        <v>594</v>
      </c>
      <c r="AO38" s="253">
        <v>0</v>
      </c>
      <c r="AP38" s="253">
        <v>0</v>
      </c>
      <c r="AQ38" s="253">
        <v>0</v>
      </c>
      <c r="AR38" s="253">
        <v>0</v>
      </c>
      <c r="AS38" s="253">
        <v>1</v>
      </c>
      <c r="AT38" s="245"/>
      <c r="AU38" s="253" t="s">
        <v>561</v>
      </c>
      <c r="AV38" s="253">
        <v>27057098.52</v>
      </c>
      <c r="AW38" s="253">
        <v>137</v>
      </c>
      <c r="AX38" s="253">
        <v>11</v>
      </c>
      <c r="AY38" s="253">
        <v>7901</v>
      </c>
      <c r="AZ38" s="253">
        <v>1</v>
      </c>
      <c r="BA38" s="245"/>
      <c r="BB38" s="253"/>
      <c r="BC38" s="253"/>
      <c r="BD38" s="253"/>
      <c r="BE38" s="253"/>
      <c r="BF38" s="253"/>
      <c r="BG38" s="253"/>
      <c r="BH38" s="247" t="s">
        <v>597</v>
      </c>
      <c r="BI38" s="253">
        <v>188000</v>
      </c>
      <c r="BJ38" s="253">
        <v>10</v>
      </c>
      <c r="BK38" s="253">
        <v>1</v>
      </c>
      <c r="BL38" s="253">
        <v>2169</v>
      </c>
      <c r="BM38" s="253">
        <v>1</v>
      </c>
      <c r="BN38" s="253"/>
      <c r="BO38" s="247"/>
      <c r="BP38" s="263">
        <v>205455199081.83002</v>
      </c>
      <c r="BQ38" s="263">
        <v>1797726</v>
      </c>
      <c r="BR38" s="263">
        <v>3319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64059.531728239999</v>
      </c>
      <c r="I39" s="164"/>
      <c r="J39" s="157"/>
      <c r="K39" s="228"/>
      <c r="L39" s="228"/>
      <c r="M39" s="228"/>
      <c r="O39" s="241" t="s">
        <v>47</v>
      </c>
      <c r="P39" s="241">
        <v>64241.887846450001</v>
      </c>
      <c r="Q39" s="239"/>
      <c r="R39" s="157"/>
      <c r="S39" s="253" t="s">
        <v>446</v>
      </c>
      <c r="T39" s="258">
        <v>306678920502.02991</v>
      </c>
      <c r="U39" s="258">
        <v>1107256</v>
      </c>
      <c r="V39" s="258">
        <v>230727</v>
      </c>
      <c r="W39" s="258">
        <v>860138</v>
      </c>
      <c r="X39" s="258">
        <v>1</v>
      </c>
      <c r="Y39" s="245"/>
      <c r="Z39" s="253" t="s">
        <v>584</v>
      </c>
      <c r="AA39" s="253">
        <v>5902369339.4650002</v>
      </c>
      <c r="AB39" s="253">
        <v>28888</v>
      </c>
      <c r="AC39" s="253">
        <v>2205</v>
      </c>
      <c r="AD39" s="253">
        <v>374232</v>
      </c>
      <c r="AE39" s="253">
        <v>1</v>
      </c>
      <c r="AF39" s="253"/>
      <c r="AG39" s="253" t="s">
        <v>594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561</v>
      </c>
      <c r="AO39" s="253">
        <v>3060553541.6999998</v>
      </c>
      <c r="AP39" s="253">
        <v>15305</v>
      </c>
      <c r="AQ39" s="253">
        <v>655</v>
      </c>
      <c r="AR39" s="253">
        <v>149742</v>
      </c>
      <c r="AS39" s="253">
        <v>1</v>
      </c>
      <c r="AT39" s="245"/>
      <c r="AU39" s="253" t="s">
        <v>595</v>
      </c>
      <c r="AV39" s="253">
        <v>0</v>
      </c>
      <c r="AW39" s="253">
        <v>0</v>
      </c>
      <c r="AX39" s="253">
        <v>0</v>
      </c>
      <c r="AY39" s="253">
        <v>0</v>
      </c>
      <c r="AZ39" s="253">
        <v>0</v>
      </c>
      <c r="BA39" s="245"/>
      <c r="BB39" s="253"/>
      <c r="BC39" s="253"/>
      <c r="BD39" s="253"/>
      <c r="BE39" s="253"/>
      <c r="BF39" s="253"/>
      <c r="BG39" s="253"/>
      <c r="BH39" s="247" t="s">
        <v>598</v>
      </c>
      <c r="BI39" s="253">
        <v>0</v>
      </c>
      <c r="BJ39" s="253">
        <v>0</v>
      </c>
      <c r="BK39" s="253">
        <v>0</v>
      </c>
      <c r="BL39" s="253">
        <v>4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52056.057170990003</v>
      </c>
      <c r="I40" s="164"/>
      <c r="J40" s="157"/>
      <c r="K40" s="228"/>
      <c r="L40" s="228"/>
      <c r="M40" s="228"/>
      <c r="O40" s="241" t="s">
        <v>43</v>
      </c>
      <c r="P40" s="241">
        <v>51146.045398219998</v>
      </c>
      <c r="Q40" s="239"/>
      <c r="R40" s="157"/>
      <c r="S40" s="253" t="s">
        <v>451</v>
      </c>
      <c r="T40" s="258">
        <v>730870581.20000005</v>
      </c>
      <c r="U40" s="258">
        <v>64741</v>
      </c>
      <c r="V40" s="258">
        <v>105</v>
      </c>
      <c r="W40" s="258">
        <v>151714</v>
      </c>
      <c r="X40" s="258">
        <v>1</v>
      </c>
      <c r="Y40" s="245"/>
      <c r="Z40" s="253" t="s">
        <v>594</v>
      </c>
      <c r="AA40" s="253">
        <v>0</v>
      </c>
      <c r="AB40" s="253">
        <v>0</v>
      </c>
      <c r="AC40" s="253">
        <v>0</v>
      </c>
      <c r="AD40" s="253">
        <v>0</v>
      </c>
      <c r="AE40" s="253">
        <v>1</v>
      </c>
      <c r="AF40" s="253"/>
      <c r="AG40" s="253" t="s">
        <v>561</v>
      </c>
      <c r="AH40" s="253">
        <v>203311041.09999999</v>
      </c>
      <c r="AI40" s="253">
        <v>1000</v>
      </c>
      <c r="AJ40" s="253">
        <v>64</v>
      </c>
      <c r="AK40" s="253">
        <v>8614</v>
      </c>
      <c r="AL40" s="253">
        <v>1</v>
      </c>
      <c r="AM40" s="245"/>
      <c r="AN40" s="253" t="s">
        <v>595</v>
      </c>
      <c r="AO40" s="253">
        <v>0</v>
      </c>
      <c r="AP40" s="253">
        <v>0</v>
      </c>
      <c r="AQ40" s="253">
        <v>0</v>
      </c>
      <c r="AR40" s="253">
        <v>0</v>
      </c>
      <c r="AS40" s="253">
        <v>0</v>
      </c>
      <c r="AT40" s="245"/>
      <c r="AU40" s="253" t="s">
        <v>596</v>
      </c>
      <c r="AV40" s="253">
        <v>0</v>
      </c>
      <c r="AW40" s="253">
        <v>0</v>
      </c>
      <c r="AX40" s="253">
        <v>0</v>
      </c>
      <c r="AY40" s="253">
        <v>0</v>
      </c>
      <c r="AZ40" s="253">
        <v>1</v>
      </c>
      <c r="BA40" s="245"/>
      <c r="BB40" s="253"/>
      <c r="BC40" s="253"/>
      <c r="BD40" s="253"/>
      <c r="BE40" s="253"/>
      <c r="BF40" s="253"/>
      <c r="BG40" s="253"/>
      <c r="BH40" s="247" t="s">
        <v>568</v>
      </c>
      <c r="BI40" s="253">
        <v>1115039.97</v>
      </c>
      <c r="BJ40" s="253">
        <v>9</v>
      </c>
      <c r="BK40" s="253">
        <v>1</v>
      </c>
      <c r="BL40" s="253">
        <v>189</v>
      </c>
      <c r="BM40" s="253">
        <v>1</v>
      </c>
      <c r="BN40" s="253"/>
      <c r="BO40" s="256" t="s">
        <v>474</v>
      </c>
      <c r="BP40" s="264" t="s">
        <v>537</v>
      </c>
      <c r="BQ40" s="264" t="s">
        <v>554</v>
      </c>
      <c r="BR40" s="264" t="s">
        <v>555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7928.8577273499995</v>
      </c>
      <c r="I41" s="164"/>
      <c r="J41" s="157"/>
      <c r="K41" s="228"/>
      <c r="L41" s="228"/>
      <c r="M41" s="228"/>
      <c r="O41" s="241" t="s">
        <v>49</v>
      </c>
      <c r="P41" s="241">
        <v>8134.9574866200001</v>
      </c>
      <c r="Q41" s="239"/>
      <c r="R41" s="157"/>
      <c r="S41" s="253" t="s">
        <v>450</v>
      </c>
      <c r="T41" s="258">
        <v>2239.29</v>
      </c>
      <c r="U41" s="258">
        <v>1192433</v>
      </c>
      <c r="V41" s="258">
        <v>71</v>
      </c>
      <c r="W41" s="258">
        <v>16296559</v>
      </c>
      <c r="X41" s="258">
        <v>1</v>
      </c>
      <c r="Y41" s="245"/>
      <c r="Z41" s="253" t="s">
        <v>561</v>
      </c>
      <c r="AA41" s="253">
        <v>2194880659.4099998</v>
      </c>
      <c r="AB41" s="253">
        <v>10929</v>
      </c>
      <c r="AC41" s="253">
        <v>872</v>
      </c>
      <c r="AD41" s="253">
        <v>181622</v>
      </c>
      <c r="AE41" s="253">
        <v>1</v>
      </c>
      <c r="AF41" s="253"/>
      <c r="AG41" s="253" t="s">
        <v>595</v>
      </c>
      <c r="AH41" s="253">
        <v>0</v>
      </c>
      <c r="AI41" s="253">
        <v>0</v>
      </c>
      <c r="AJ41" s="253">
        <v>0</v>
      </c>
      <c r="AK41" s="253">
        <v>0</v>
      </c>
      <c r="AL41" s="253">
        <v>0</v>
      </c>
      <c r="AM41" s="245"/>
      <c r="AN41" s="253" t="s">
        <v>596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597</v>
      </c>
      <c r="AV41" s="253">
        <v>94500</v>
      </c>
      <c r="AW41" s="253">
        <v>5</v>
      </c>
      <c r="AX41" s="253">
        <v>1</v>
      </c>
      <c r="AY41" s="253">
        <v>206</v>
      </c>
      <c r="AZ41" s="253">
        <v>1</v>
      </c>
      <c r="BA41" s="245"/>
      <c r="BB41" s="253"/>
      <c r="BC41" s="253"/>
      <c r="BD41" s="253"/>
      <c r="BE41" s="253"/>
      <c r="BF41" s="253"/>
      <c r="BG41" s="253"/>
      <c r="BH41" s="247" t="s">
        <v>569</v>
      </c>
      <c r="BI41" s="253">
        <v>0</v>
      </c>
      <c r="BJ41" s="253">
        <v>0</v>
      </c>
      <c r="BK41" s="253">
        <v>0</v>
      </c>
      <c r="BL41" s="253">
        <v>0</v>
      </c>
      <c r="BM41" s="253">
        <v>0</v>
      </c>
      <c r="BN41" s="253"/>
      <c r="BO41" s="245"/>
      <c r="BP41" s="263">
        <v>2564886705.2199998</v>
      </c>
      <c r="BQ41" s="263">
        <v>26348</v>
      </c>
      <c r="BR41" s="263">
        <v>101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546</v>
      </c>
      <c r="H42" s="223">
        <v>49927.920356180002</v>
      </c>
      <c r="I42" s="164"/>
      <c r="J42" s="157"/>
      <c r="K42" s="228"/>
      <c r="L42" s="228"/>
      <c r="M42" s="228"/>
      <c r="O42" s="241" t="s">
        <v>546</v>
      </c>
      <c r="P42" s="241">
        <v>48811.1212772</v>
      </c>
      <c r="Q42" s="239"/>
      <c r="R42" s="157"/>
      <c r="S42" s="253" t="s">
        <v>448</v>
      </c>
      <c r="T42" s="258">
        <v>39587</v>
      </c>
      <c r="U42" s="258">
        <v>295475</v>
      </c>
      <c r="V42" s="258">
        <v>4144</v>
      </c>
      <c r="W42" s="258">
        <v>831427</v>
      </c>
      <c r="X42" s="258">
        <v>1</v>
      </c>
      <c r="Y42" s="245"/>
      <c r="Z42" s="253" t="s">
        <v>595</v>
      </c>
      <c r="AA42" s="253">
        <v>0</v>
      </c>
      <c r="AB42" s="253">
        <v>0</v>
      </c>
      <c r="AC42" s="253">
        <v>0</v>
      </c>
      <c r="AD42" s="253">
        <v>0</v>
      </c>
      <c r="AE42" s="253">
        <v>0</v>
      </c>
      <c r="AF42" s="253"/>
      <c r="AG42" s="253" t="s">
        <v>596</v>
      </c>
      <c r="AH42" s="253">
        <v>0</v>
      </c>
      <c r="AI42" s="253">
        <v>0</v>
      </c>
      <c r="AJ42" s="253">
        <v>0</v>
      </c>
      <c r="AK42" s="253">
        <v>0</v>
      </c>
      <c r="AL42" s="253">
        <v>1</v>
      </c>
      <c r="AM42" s="245"/>
      <c r="AN42" s="253" t="s">
        <v>597</v>
      </c>
      <c r="AO42" s="253">
        <v>8039210.4000000004</v>
      </c>
      <c r="AP42" s="253">
        <v>424</v>
      </c>
      <c r="AQ42" s="253">
        <v>57</v>
      </c>
      <c r="AR42" s="253">
        <v>4182</v>
      </c>
      <c r="AS42" s="253">
        <v>1</v>
      </c>
      <c r="AT42" s="245"/>
      <c r="AU42" s="253" t="s">
        <v>598</v>
      </c>
      <c r="AV42" s="253">
        <v>0</v>
      </c>
      <c r="AW42" s="253">
        <v>0</v>
      </c>
      <c r="AX42" s="253">
        <v>0</v>
      </c>
      <c r="AY42" s="253">
        <v>0</v>
      </c>
      <c r="AZ42" s="253">
        <v>1</v>
      </c>
      <c r="BA42" s="245"/>
      <c r="BB42" s="253"/>
      <c r="BC42" s="253"/>
      <c r="BD42" s="253"/>
      <c r="BE42" s="253"/>
      <c r="BF42" s="253"/>
      <c r="BG42" s="253"/>
      <c r="BH42" s="247" t="s">
        <v>570</v>
      </c>
      <c r="BI42" s="253">
        <v>0</v>
      </c>
      <c r="BJ42" s="253">
        <v>0</v>
      </c>
      <c r="BK42" s="253">
        <v>0</v>
      </c>
      <c r="BL42" s="253">
        <v>0</v>
      </c>
      <c r="BM42" s="253">
        <v>0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50178.995581609997</v>
      </c>
      <c r="I43" s="164"/>
      <c r="J43" s="157"/>
      <c r="K43" s="228"/>
      <c r="L43" s="228"/>
      <c r="M43" s="228"/>
      <c r="O43" s="241" t="s">
        <v>547</v>
      </c>
      <c r="P43" s="241">
        <v>49264.234465059999</v>
      </c>
      <c r="Q43" s="239"/>
      <c r="S43" s="245"/>
      <c r="T43" s="245"/>
      <c r="U43" s="245"/>
      <c r="V43" s="245"/>
      <c r="W43" s="245"/>
      <c r="X43" s="245"/>
      <c r="Y43" s="245"/>
      <c r="Z43" s="253" t="s">
        <v>596</v>
      </c>
      <c r="AA43" s="253">
        <v>0</v>
      </c>
      <c r="AB43" s="253">
        <v>0</v>
      </c>
      <c r="AC43" s="253">
        <v>0</v>
      </c>
      <c r="AD43" s="253">
        <v>0</v>
      </c>
      <c r="AE43" s="253">
        <v>1</v>
      </c>
      <c r="AF43" s="253"/>
      <c r="AG43" s="253" t="s">
        <v>597</v>
      </c>
      <c r="AH43" s="253">
        <v>1924660.5</v>
      </c>
      <c r="AI43" s="253">
        <v>105</v>
      </c>
      <c r="AJ43" s="253">
        <v>3</v>
      </c>
      <c r="AK43" s="253">
        <v>985</v>
      </c>
      <c r="AL43" s="253">
        <v>1</v>
      </c>
      <c r="AM43" s="245"/>
      <c r="AN43" s="253" t="s">
        <v>598</v>
      </c>
      <c r="AO43" s="253">
        <v>0</v>
      </c>
      <c r="AP43" s="253">
        <v>0</v>
      </c>
      <c r="AQ43" s="253">
        <v>0</v>
      </c>
      <c r="AR43" s="253">
        <v>0</v>
      </c>
      <c r="AS43" s="253">
        <v>1</v>
      </c>
      <c r="AT43" s="245"/>
      <c r="AU43" s="253" t="s">
        <v>568</v>
      </c>
      <c r="AV43" s="253">
        <v>0</v>
      </c>
      <c r="AW43" s="253">
        <v>0</v>
      </c>
      <c r="AX43" s="253">
        <v>0</v>
      </c>
      <c r="AY43" s="253">
        <v>58</v>
      </c>
      <c r="AZ43" s="253">
        <v>1</v>
      </c>
      <c r="BA43" s="245"/>
      <c r="BB43" s="253"/>
      <c r="BC43" s="253"/>
      <c r="BD43" s="253"/>
      <c r="BE43" s="253"/>
      <c r="BF43" s="253"/>
      <c r="BG43" s="253"/>
      <c r="BH43" s="247" t="s">
        <v>571</v>
      </c>
      <c r="BI43" s="253">
        <v>0</v>
      </c>
      <c r="BJ43" s="253">
        <v>0</v>
      </c>
      <c r="BK43" s="253">
        <v>0</v>
      </c>
      <c r="BL43" s="253">
        <v>2</v>
      </c>
      <c r="BM43" s="253">
        <v>1</v>
      </c>
      <c r="BN43" s="253"/>
      <c r="BO43" s="252" t="s">
        <v>488</v>
      </c>
      <c r="BP43" s="264" t="s">
        <v>556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3620.9092221999999</v>
      </c>
      <c r="I44" s="164"/>
      <c r="J44" s="157"/>
      <c r="K44" s="228"/>
      <c r="L44" s="228"/>
      <c r="M44" s="228"/>
      <c r="O44" s="241" t="s">
        <v>282</v>
      </c>
      <c r="P44" s="241">
        <v>3626.7939931199999</v>
      </c>
      <c r="Q44" s="239"/>
      <c r="S44" s="245"/>
      <c r="T44" s="245"/>
      <c r="U44" s="245"/>
      <c r="V44" s="245"/>
      <c r="W44" s="245"/>
      <c r="X44" s="245"/>
      <c r="Y44" s="245"/>
      <c r="Z44" s="253" t="s">
        <v>597</v>
      </c>
      <c r="AA44" s="253">
        <v>17470847.75</v>
      </c>
      <c r="AB44" s="253">
        <v>929</v>
      </c>
      <c r="AC44" s="253">
        <v>84</v>
      </c>
      <c r="AD44" s="253">
        <v>13921</v>
      </c>
      <c r="AE44" s="253">
        <v>1</v>
      </c>
      <c r="AF44" s="253"/>
      <c r="AG44" s="253" t="s">
        <v>598</v>
      </c>
      <c r="AH44" s="253">
        <v>0</v>
      </c>
      <c r="AI44" s="253">
        <v>0</v>
      </c>
      <c r="AJ44" s="253">
        <v>0</v>
      </c>
      <c r="AK44" s="253">
        <v>6</v>
      </c>
      <c r="AL44" s="253">
        <v>1</v>
      </c>
      <c r="AM44" s="245"/>
      <c r="AN44" s="253" t="s">
        <v>568</v>
      </c>
      <c r="AO44" s="253">
        <v>13327160</v>
      </c>
      <c r="AP44" s="253">
        <v>108</v>
      </c>
      <c r="AQ44" s="253">
        <v>23</v>
      </c>
      <c r="AR44" s="253">
        <v>1226</v>
      </c>
      <c r="AS44" s="253">
        <v>1</v>
      </c>
      <c r="AT44" s="245"/>
      <c r="AU44" s="253" t="s">
        <v>569</v>
      </c>
      <c r="AV44" s="253">
        <v>0</v>
      </c>
      <c r="AW44" s="253">
        <v>0</v>
      </c>
      <c r="AX44" s="253">
        <v>0</v>
      </c>
      <c r="AY44" s="253">
        <v>0</v>
      </c>
      <c r="AZ44" s="253">
        <v>0</v>
      </c>
      <c r="BA44" s="245"/>
      <c r="BB44" s="253"/>
      <c r="BC44" s="253"/>
      <c r="BD44" s="253"/>
      <c r="BE44" s="253"/>
      <c r="BF44" s="253"/>
      <c r="BG44" s="253"/>
      <c r="BH44" s="247" t="s">
        <v>573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652693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32322.782164479999</v>
      </c>
      <c r="I45" s="164"/>
      <c r="J45" s="157"/>
      <c r="K45" s="228"/>
      <c r="L45" s="228"/>
      <c r="M45" s="228"/>
      <c r="O45" s="241" t="s">
        <v>61</v>
      </c>
      <c r="P45" s="241">
        <v>31652.598346809998</v>
      </c>
      <c r="Q45" s="239"/>
      <c r="R45" s="153" t="s">
        <v>455</v>
      </c>
      <c r="S45" s="254" t="s">
        <v>552</v>
      </c>
      <c r="T45" s="257" t="s">
        <v>553</v>
      </c>
      <c r="U45" s="257" t="s">
        <v>554</v>
      </c>
      <c r="V45" s="257" t="s">
        <v>555</v>
      </c>
      <c r="W45" s="257" t="s">
        <v>556</v>
      </c>
      <c r="X45" s="257" t="s">
        <v>557</v>
      </c>
      <c r="Y45" s="245"/>
      <c r="Z45" s="253" t="s">
        <v>598</v>
      </c>
      <c r="AA45" s="253">
        <v>120198.39999999999</v>
      </c>
      <c r="AB45" s="253">
        <v>6</v>
      </c>
      <c r="AC45" s="253">
        <v>4</v>
      </c>
      <c r="AD45" s="253">
        <v>32</v>
      </c>
      <c r="AE45" s="253">
        <v>1</v>
      </c>
      <c r="AF45" s="253"/>
      <c r="AG45" s="253" t="s">
        <v>568</v>
      </c>
      <c r="AH45" s="253">
        <v>0</v>
      </c>
      <c r="AI45" s="253">
        <v>0</v>
      </c>
      <c r="AJ45" s="253">
        <v>0</v>
      </c>
      <c r="AK45" s="253">
        <v>81</v>
      </c>
      <c r="AL45" s="253">
        <v>1</v>
      </c>
      <c r="AM45" s="245"/>
      <c r="AN45" s="253" t="s">
        <v>569</v>
      </c>
      <c r="AO45" s="253">
        <v>0</v>
      </c>
      <c r="AP45" s="253">
        <v>0</v>
      </c>
      <c r="AQ45" s="253">
        <v>0</v>
      </c>
      <c r="AR45" s="253">
        <v>0</v>
      </c>
      <c r="AS45" s="253">
        <v>0</v>
      </c>
      <c r="AT45" s="245"/>
      <c r="AU45" s="253" t="s">
        <v>570</v>
      </c>
      <c r="AV45" s="253">
        <v>0</v>
      </c>
      <c r="AW45" s="253">
        <v>0</v>
      </c>
      <c r="AX45" s="253">
        <v>0</v>
      </c>
      <c r="AY45" s="253">
        <v>0</v>
      </c>
      <c r="AZ45" s="253">
        <v>0</v>
      </c>
      <c r="BA45" s="245"/>
      <c r="BB45" s="253"/>
      <c r="BC45" s="253"/>
      <c r="BD45" s="253"/>
      <c r="BE45" s="253"/>
      <c r="BF45" s="253"/>
      <c r="BG45" s="253"/>
      <c r="BH45" s="247" t="s">
        <v>572</v>
      </c>
      <c r="BI45" s="253">
        <v>1921129.6</v>
      </c>
      <c r="BJ45" s="253">
        <v>175</v>
      </c>
      <c r="BK45" s="253">
        <v>15</v>
      </c>
      <c r="BL45" s="253">
        <v>18806</v>
      </c>
      <c r="BM45" s="253">
        <v>0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68354.203265529999</v>
      </c>
      <c r="I46" s="164"/>
      <c r="J46" s="157"/>
      <c r="K46" s="228"/>
      <c r="L46" s="228"/>
      <c r="M46" s="228"/>
      <c r="O46" s="241" t="s">
        <v>65</v>
      </c>
      <c r="P46" s="241">
        <v>65717.920410539999</v>
      </c>
      <c r="Q46" s="239"/>
      <c r="S46" s="253" t="s">
        <v>449</v>
      </c>
      <c r="T46" s="258">
        <v>5784631.2599999998</v>
      </c>
      <c r="U46" s="258">
        <v>7016</v>
      </c>
      <c r="V46" s="258">
        <v>3</v>
      </c>
      <c r="W46" s="258">
        <v>16754326</v>
      </c>
      <c r="X46" s="258">
        <v>1</v>
      </c>
      <c r="Y46" s="245"/>
      <c r="Z46" s="253" t="s">
        <v>568</v>
      </c>
      <c r="AA46" s="253">
        <v>7945420</v>
      </c>
      <c r="AB46" s="253">
        <v>64</v>
      </c>
      <c r="AC46" s="253">
        <v>23</v>
      </c>
      <c r="AD46" s="253">
        <v>1535</v>
      </c>
      <c r="AE46" s="253">
        <v>1</v>
      </c>
      <c r="AF46" s="253"/>
      <c r="AG46" s="253" t="s">
        <v>569</v>
      </c>
      <c r="AH46" s="253">
        <v>0</v>
      </c>
      <c r="AI46" s="253">
        <v>0</v>
      </c>
      <c r="AJ46" s="253">
        <v>0</v>
      </c>
      <c r="AK46" s="253">
        <v>0</v>
      </c>
      <c r="AL46" s="253">
        <v>0</v>
      </c>
      <c r="AM46" s="245"/>
      <c r="AN46" s="253" t="s">
        <v>570</v>
      </c>
      <c r="AO46" s="253">
        <v>0</v>
      </c>
      <c r="AP46" s="253">
        <v>0</v>
      </c>
      <c r="AQ46" s="253">
        <v>0</v>
      </c>
      <c r="AR46" s="253">
        <v>0</v>
      </c>
      <c r="AS46" s="253">
        <v>0</v>
      </c>
      <c r="AT46" s="245"/>
      <c r="AU46" s="253" t="s">
        <v>571</v>
      </c>
      <c r="AV46" s="253">
        <v>0</v>
      </c>
      <c r="AW46" s="253">
        <v>0</v>
      </c>
      <c r="AX46" s="253">
        <v>0</v>
      </c>
      <c r="AY46" s="253">
        <v>0</v>
      </c>
      <c r="AZ46" s="253">
        <v>1</v>
      </c>
      <c r="BA46" s="245"/>
      <c r="BB46" s="253"/>
      <c r="BC46" s="253"/>
      <c r="BD46" s="253"/>
      <c r="BE46" s="253"/>
      <c r="BF46" s="253"/>
      <c r="BG46" s="253"/>
      <c r="BH46" s="247" t="s">
        <v>595</v>
      </c>
      <c r="BI46" s="253">
        <v>0</v>
      </c>
      <c r="BJ46" s="253">
        <v>0</v>
      </c>
      <c r="BK46" s="253">
        <v>0</v>
      </c>
      <c r="BL46" s="253">
        <v>2016</v>
      </c>
      <c r="BM46" s="253">
        <v>1</v>
      </c>
      <c r="BN46" s="253"/>
      <c r="BO46" s="260" t="s">
        <v>489</v>
      </c>
      <c r="BP46" s="264" t="s">
        <v>556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14583.349527079999</v>
      </c>
      <c r="I47" s="164"/>
      <c r="J47" s="159"/>
      <c r="K47" s="228"/>
      <c r="L47" s="228"/>
      <c r="M47" s="228"/>
      <c r="O47" s="241" t="s">
        <v>67</v>
      </c>
      <c r="P47" s="241">
        <v>14914.803943729999</v>
      </c>
      <c r="Q47" s="239"/>
      <c r="S47" s="253" t="s">
        <v>447</v>
      </c>
      <c r="T47" s="258">
        <v>27835</v>
      </c>
      <c r="U47" s="258">
        <v>95</v>
      </c>
      <c r="V47" s="258">
        <v>5</v>
      </c>
      <c r="W47" s="258">
        <v>1744649</v>
      </c>
      <c r="X47" s="258">
        <v>0</v>
      </c>
      <c r="Y47" s="245"/>
      <c r="Z47" s="253" t="s">
        <v>569</v>
      </c>
      <c r="AA47" s="253">
        <v>0</v>
      </c>
      <c r="AB47" s="253">
        <v>0</v>
      </c>
      <c r="AC47" s="253">
        <v>0</v>
      </c>
      <c r="AD47" s="253">
        <v>0</v>
      </c>
      <c r="AE47" s="253">
        <v>0</v>
      </c>
      <c r="AF47" s="253"/>
      <c r="AG47" s="253" t="s">
        <v>570</v>
      </c>
      <c r="AH47" s="253">
        <v>0</v>
      </c>
      <c r="AI47" s="253">
        <v>0</v>
      </c>
      <c r="AJ47" s="253">
        <v>0</v>
      </c>
      <c r="AK47" s="253">
        <v>0</v>
      </c>
      <c r="AL47" s="253">
        <v>0</v>
      </c>
      <c r="AM47" s="245"/>
      <c r="AN47" s="253" t="s">
        <v>571</v>
      </c>
      <c r="AO47" s="253">
        <v>2278500</v>
      </c>
      <c r="AP47" s="253">
        <v>21</v>
      </c>
      <c r="AQ47" s="253">
        <v>3</v>
      </c>
      <c r="AR47" s="253">
        <v>11</v>
      </c>
      <c r="AS47" s="253">
        <v>1</v>
      </c>
      <c r="AT47" s="245"/>
      <c r="AU47" s="253" t="s">
        <v>573</v>
      </c>
      <c r="AV47" s="253">
        <v>0</v>
      </c>
      <c r="AW47" s="253">
        <v>0</v>
      </c>
      <c r="AX47" s="253">
        <v>0</v>
      </c>
      <c r="AY47" s="253">
        <v>0</v>
      </c>
      <c r="AZ47" s="253">
        <v>0</v>
      </c>
      <c r="BA47" s="245"/>
      <c r="BB47" s="253"/>
      <c r="BC47" s="253"/>
      <c r="BD47" s="253"/>
      <c r="BE47" s="253"/>
      <c r="BF47" s="253"/>
      <c r="BG47" s="253"/>
      <c r="BH47" s="247" t="s">
        <v>578</v>
      </c>
      <c r="BI47" s="253">
        <v>0</v>
      </c>
      <c r="BJ47" s="253">
        <v>0</v>
      </c>
      <c r="BK47" s="253">
        <v>0</v>
      </c>
      <c r="BL47" s="253">
        <v>20</v>
      </c>
      <c r="BM47" s="253">
        <v>1</v>
      </c>
      <c r="BN47" s="253"/>
      <c r="BO47" s="247"/>
      <c r="BP47" s="263">
        <v>64765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71172.764843829995</v>
      </c>
      <c r="I48" s="164"/>
      <c r="J48" s="159"/>
      <c r="K48" s="228"/>
      <c r="L48" s="228"/>
      <c r="M48" s="228"/>
      <c r="O48" s="241" t="s">
        <v>69</v>
      </c>
      <c r="P48" s="241">
        <v>69398.731166900005</v>
      </c>
      <c r="Q48" s="239"/>
      <c r="S48" s="253" t="s">
        <v>451</v>
      </c>
      <c r="T48" s="258">
        <v>0</v>
      </c>
      <c r="U48" s="258">
        <v>0</v>
      </c>
      <c r="V48" s="258">
        <v>0</v>
      </c>
      <c r="W48" s="258">
        <v>1479581</v>
      </c>
      <c r="X48" s="258">
        <v>0</v>
      </c>
      <c r="Y48" s="245"/>
      <c r="Z48" s="253" t="s">
        <v>570</v>
      </c>
      <c r="AA48" s="253">
        <v>0</v>
      </c>
      <c r="AB48" s="253">
        <v>0</v>
      </c>
      <c r="AC48" s="253">
        <v>0</v>
      </c>
      <c r="AD48" s="253">
        <v>0</v>
      </c>
      <c r="AE48" s="253">
        <v>0</v>
      </c>
      <c r="AF48" s="253"/>
      <c r="AG48" s="253" t="s">
        <v>571</v>
      </c>
      <c r="AH48" s="253">
        <v>0</v>
      </c>
      <c r="AI48" s="253">
        <v>0</v>
      </c>
      <c r="AJ48" s="253">
        <v>0</v>
      </c>
      <c r="AK48" s="253">
        <v>1</v>
      </c>
      <c r="AL48" s="253">
        <v>1</v>
      </c>
      <c r="AM48" s="245"/>
      <c r="AN48" s="253" t="s">
        <v>573</v>
      </c>
      <c r="AO48" s="253">
        <v>0</v>
      </c>
      <c r="AP48" s="253">
        <v>0</v>
      </c>
      <c r="AQ48" s="253">
        <v>0</v>
      </c>
      <c r="AR48" s="253">
        <v>0</v>
      </c>
      <c r="AS48" s="253">
        <v>0</v>
      </c>
      <c r="AT48" s="245"/>
      <c r="AU48" s="253" t="s">
        <v>572</v>
      </c>
      <c r="AV48" s="253">
        <v>2198826.7000000002</v>
      </c>
      <c r="AW48" s="253">
        <v>230</v>
      </c>
      <c r="AX48" s="253">
        <v>17</v>
      </c>
      <c r="AY48" s="253">
        <v>8286</v>
      </c>
      <c r="AZ48" s="253">
        <v>0</v>
      </c>
      <c r="BA48" s="245"/>
      <c r="BB48" s="253"/>
      <c r="BC48" s="253"/>
      <c r="BD48" s="253"/>
      <c r="BE48" s="253"/>
      <c r="BF48" s="253"/>
      <c r="BG48" s="253"/>
      <c r="BH48" s="247" t="s">
        <v>579</v>
      </c>
      <c r="BI48" s="253">
        <v>0</v>
      </c>
      <c r="BJ48" s="253">
        <v>0</v>
      </c>
      <c r="BK48" s="253">
        <v>0</v>
      </c>
      <c r="BL48" s="253">
        <v>0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111</v>
      </c>
      <c r="H49" s="223">
        <v>1317.2032144699999</v>
      </c>
      <c r="I49" s="164"/>
      <c r="J49" s="159"/>
      <c r="K49" s="228"/>
      <c r="L49" s="228"/>
      <c r="M49" s="228"/>
      <c r="O49" s="241" t="s">
        <v>111</v>
      </c>
      <c r="P49" s="241">
        <v>1310.64996464</v>
      </c>
      <c r="Q49" s="239"/>
      <c r="S49" s="253" t="s">
        <v>446</v>
      </c>
      <c r="T49" s="258">
        <v>56024900</v>
      </c>
      <c r="U49" s="258">
        <v>11700</v>
      </c>
      <c r="V49" s="258">
        <v>10</v>
      </c>
      <c r="W49" s="258">
        <v>1010308</v>
      </c>
      <c r="X49" s="258">
        <v>0</v>
      </c>
      <c r="Y49" s="245"/>
      <c r="Z49" s="253" t="s">
        <v>571</v>
      </c>
      <c r="AA49" s="253">
        <v>216487.5</v>
      </c>
      <c r="AB49" s="253">
        <v>2</v>
      </c>
      <c r="AC49" s="253">
        <v>2</v>
      </c>
      <c r="AD49" s="253">
        <v>12</v>
      </c>
      <c r="AE49" s="253">
        <v>1</v>
      </c>
      <c r="AF49" s="253"/>
      <c r="AG49" s="253" t="s">
        <v>573</v>
      </c>
      <c r="AH49" s="253">
        <v>0</v>
      </c>
      <c r="AI49" s="253">
        <v>0</v>
      </c>
      <c r="AJ49" s="253">
        <v>0</v>
      </c>
      <c r="AK49" s="253">
        <v>0</v>
      </c>
      <c r="AL49" s="253">
        <v>0</v>
      </c>
      <c r="AM49" s="245"/>
      <c r="AN49" s="253" t="s">
        <v>572</v>
      </c>
      <c r="AO49" s="253">
        <v>44702600.770000003</v>
      </c>
      <c r="AP49" s="253">
        <v>4816</v>
      </c>
      <c r="AQ49" s="253">
        <v>373</v>
      </c>
      <c r="AR49" s="253">
        <v>192688</v>
      </c>
      <c r="AS49" s="253">
        <v>0</v>
      </c>
      <c r="AT49" s="245"/>
      <c r="AU49" s="253" t="s">
        <v>595</v>
      </c>
      <c r="AV49" s="253">
        <v>0</v>
      </c>
      <c r="AW49" s="253">
        <v>0</v>
      </c>
      <c r="AX49" s="253">
        <v>0</v>
      </c>
      <c r="AY49" s="253">
        <v>125</v>
      </c>
      <c r="AZ49" s="253">
        <v>1</v>
      </c>
      <c r="BA49" s="245"/>
      <c r="BB49" s="253"/>
      <c r="BC49" s="253"/>
      <c r="BD49" s="253"/>
      <c r="BE49" s="253"/>
      <c r="BF49" s="253"/>
      <c r="BG49" s="253"/>
      <c r="BH49" s="247" t="s">
        <v>582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491</v>
      </c>
      <c r="BP49" s="264" t="s">
        <v>537</v>
      </c>
      <c r="BQ49" s="264" t="s">
        <v>554</v>
      </c>
      <c r="BR49" s="264" t="s">
        <v>555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113</v>
      </c>
      <c r="H50" s="223">
        <v>269.14584920999999</v>
      </c>
      <c r="I50" s="164"/>
      <c r="J50" s="159"/>
      <c r="K50" s="228"/>
      <c r="L50" s="228"/>
      <c r="M50" s="228"/>
      <c r="O50" s="241" t="s">
        <v>113</v>
      </c>
      <c r="P50" s="241">
        <v>274.87235664000002</v>
      </c>
      <c r="Q50" s="239"/>
      <c r="S50" s="253" t="s">
        <v>558</v>
      </c>
      <c r="T50" s="258">
        <v>0</v>
      </c>
      <c r="U50" s="258">
        <v>0</v>
      </c>
      <c r="V50" s="258">
        <v>0</v>
      </c>
      <c r="W50" s="258">
        <v>0</v>
      </c>
      <c r="X50" s="258">
        <v>1</v>
      </c>
      <c r="Y50" s="245"/>
      <c r="Z50" s="253" t="s">
        <v>573</v>
      </c>
      <c r="AA50" s="253">
        <v>0</v>
      </c>
      <c r="AB50" s="253">
        <v>0</v>
      </c>
      <c r="AC50" s="253">
        <v>0</v>
      </c>
      <c r="AD50" s="253">
        <v>0</v>
      </c>
      <c r="AE50" s="253">
        <v>0</v>
      </c>
      <c r="AF50" s="253"/>
      <c r="AG50" s="253" t="s">
        <v>572</v>
      </c>
      <c r="AH50" s="253">
        <v>1803409.05</v>
      </c>
      <c r="AI50" s="253">
        <v>141</v>
      </c>
      <c r="AJ50" s="253">
        <v>40</v>
      </c>
      <c r="AK50" s="253">
        <v>10996</v>
      </c>
      <c r="AL50" s="253">
        <v>0</v>
      </c>
      <c r="AM50" s="245"/>
      <c r="AN50" s="253" t="s">
        <v>595</v>
      </c>
      <c r="AO50" s="253">
        <v>10516402.4</v>
      </c>
      <c r="AP50" s="253">
        <v>184</v>
      </c>
      <c r="AQ50" s="253">
        <v>11</v>
      </c>
      <c r="AR50" s="253">
        <v>2566</v>
      </c>
      <c r="AS50" s="253">
        <v>1</v>
      </c>
      <c r="AT50" s="245"/>
      <c r="AU50" s="253" t="s">
        <v>599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/>
      <c r="BC50" s="253"/>
      <c r="BD50" s="253"/>
      <c r="BE50" s="253"/>
      <c r="BF50" s="253"/>
      <c r="BG50" s="253"/>
      <c r="BH50" s="247" t="s">
        <v>580</v>
      </c>
      <c r="BI50" s="253">
        <v>0</v>
      </c>
      <c r="BJ50" s="253">
        <v>0</v>
      </c>
      <c r="BK50" s="253">
        <v>0</v>
      </c>
      <c r="BL50" s="253">
        <v>1262</v>
      </c>
      <c r="BM50" s="253">
        <v>1</v>
      </c>
      <c r="BN50" s="253"/>
      <c r="BO50" s="247"/>
      <c r="BP50" s="263">
        <v>64640547039.5</v>
      </c>
      <c r="BQ50" s="263">
        <v>4886838</v>
      </c>
      <c r="BR50" s="263">
        <v>8216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115</v>
      </c>
      <c r="H51" s="223">
        <v>1354.5592292700001</v>
      </c>
      <c r="I51" s="164"/>
      <c r="J51" s="157"/>
      <c r="K51" s="228"/>
      <c r="L51" s="228"/>
      <c r="M51" s="228"/>
      <c r="O51" s="241" t="s">
        <v>115</v>
      </c>
      <c r="P51" s="241">
        <v>1390.45627341</v>
      </c>
      <c r="Q51" s="239"/>
      <c r="S51" s="253" t="s">
        <v>447</v>
      </c>
      <c r="T51" s="258">
        <v>188300986.80000001</v>
      </c>
      <c r="U51" s="258">
        <v>17350</v>
      </c>
      <c r="V51" s="258">
        <v>172</v>
      </c>
      <c r="W51" s="258">
        <v>1063804</v>
      </c>
      <c r="X51" s="258">
        <v>1</v>
      </c>
      <c r="Y51" s="245"/>
      <c r="Z51" s="253" t="s">
        <v>572</v>
      </c>
      <c r="AA51" s="253">
        <v>58596467.210000001</v>
      </c>
      <c r="AB51" s="253">
        <v>5442</v>
      </c>
      <c r="AC51" s="253">
        <v>412</v>
      </c>
      <c r="AD51" s="253">
        <v>206833</v>
      </c>
      <c r="AE51" s="253">
        <v>0</v>
      </c>
      <c r="AF51" s="253"/>
      <c r="AG51" s="253" t="s">
        <v>595</v>
      </c>
      <c r="AH51" s="253">
        <v>0</v>
      </c>
      <c r="AI51" s="253">
        <v>0</v>
      </c>
      <c r="AJ51" s="253">
        <v>0</v>
      </c>
      <c r="AK51" s="253">
        <v>157</v>
      </c>
      <c r="AL51" s="253">
        <v>1</v>
      </c>
      <c r="AM51" s="245"/>
      <c r="AN51" s="253" t="s">
        <v>599</v>
      </c>
      <c r="AO51" s="253">
        <v>0</v>
      </c>
      <c r="AP51" s="253">
        <v>0</v>
      </c>
      <c r="AQ51" s="253">
        <v>0</v>
      </c>
      <c r="AR51" s="253">
        <v>0</v>
      </c>
      <c r="AS51" s="253">
        <v>1</v>
      </c>
      <c r="AT51" s="245"/>
      <c r="AU51" s="253" t="s">
        <v>600</v>
      </c>
      <c r="AV51" s="253">
        <v>0</v>
      </c>
      <c r="AW51" s="253">
        <v>0</v>
      </c>
      <c r="AX51" s="253">
        <v>0</v>
      </c>
      <c r="AY51" s="253">
        <v>2</v>
      </c>
      <c r="AZ51" s="253">
        <v>1</v>
      </c>
      <c r="BA51" s="245"/>
      <c r="BB51" s="253"/>
      <c r="BC51" s="253"/>
      <c r="BD51" s="253"/>
      <c r="BE51" s="253"/>
      <c r="BF51" s="253"/>
      <c r="BG51" s="253"/>
      <c r="BH51" s="247" t="s">
        <v>576</v>
      </c>
      <c r="BI51" s="253">
        <v>0</v>
      </c>
      <c r="BJ51" s="253">
        <v>0</v>
      </c>
      <c r="BK51" s="253">
        <v>0</v>
      </c>
      <c r="BL51" s="253">
        <v>33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283</v>
      </c>
      <c r="H52" s="223">
        <v>524.51614362999999</v>
      </c>
      <c r="I52" s="164"/>
      <c r="J52" s="157"/>
      <c r="K52" s="228"/>
      <c r="L52" s="228"/>
      <c r="M52" s="228"/>
      <c r="O52" s="241" t="s">
        <v>283</v>
      </c>
      <c r="P52" s="241">
        <v>516.41612763000001</v>
      </c>
      <c r="Q52" s="239"/>
      <c r="S52" s="253" t="s">
        <v>182</v>
      </c>
      <c r="T52" s="258">
        <v>424776.10800000001</v>
      </c>
      <c r="U52" s="258">
        <v>3838</v>
      </c>
      <c r="V52" s="258">
        <v>6</v>
      </c>
      <c r="W52" s="258">
        <v>1596052</v>
      </c>
      <c r="X52" s="258">
        <v>1</v>
      </c>
      <c r="Y52" s="245"/>
      <c r="Z52" s="253" t="s">
        <v>595</v>
      </c>
      <c r="AA52" s="253">
        <v>2145080</v>
      </c>
      <c r="AB52" s="253">
        <v>40</v>
      </c>
      <c r="AC52" s="253">
        <v>11</v>
      </c>
      <c r="AD52" s="253">
        <v>3224</v>
      </c>
      <c r="AE52" s="253">
        <v>1</v>
      </c>
      <c r="AF52" s="253"/>
      <c r="AG52" s="253" t="s">
        <v>600</v>
      </c>
      <c r="AH52" s="253">
        <v>0</v>
      </c>
      <c r="AI52" s="253">
        <v>0</v>
      </c>
      <c r="AJ52" s="253">
        <v>0</v>
      </c>
      <c r="AK52" s="253">
        <v>6</v>
      </c>
      <c r="AL52" s="253">
        <v>1</v>
      </c>
      <c r="AM52" s="245"/>
      <c r="AN52" s="253" t="s">
        <v>600</v>
      </c>
      <c r="AO52" s="253">
        <v>-28050</v>
      </c>
      <c r="AP52" s="253">
        <v>2</v>
      </c>
      <c r="AQ52" s="253">
        <v>1</v>
      </c>
      <c r="AR52" s="253">
        <v>6</v>
      </c>
      <c r="AS52" s="253">
        <v>1</v>
      </c>
      <c r="AT52" s="245"/>
      <c r="AU52" s="253" t="s">
        <v>578</v>
      </c>
      <c r="AV52" s="253">
        <v>54375</v>
      </c>
      <c r="AW52" s="253">
        <v>1</v>
      </c>
      <c r="AX52" s="253">
        <v>1</v>
      </c>
      <c r="AY52" s="253">
        <v>23</v>
      </c>
      <c r="AZ52" s="253">
        <v>1</v>
      </c>
      <c r="BA52" s="245"/>
      <c r="BB52" s="253"/>
      <c r="BC52" s="253"/>
      <c r="BD52" s="253"/>
      <c r="BE52" s="253"/>
      <c r="BF52" s="253"/>
      <c r="BG52" s="253"/>
      <c r="BH52" s="247" t="s">
        <v>601</v>
      </c>
      <c r="BI52" s="253">
        <v>0</v>
      </c>
      <c r="BJ52" s="253">
        <v>0</v>
      </c>
      <c r="BK52" s="253">
        <v>0</v>
      </c>
      <c r="BL52" s="253">
        <v>47</v>
      </c>
      <c r="BM52" s="253">
        <v>1</v>
      </c>
      <c r="BN52" s="253"/>
      <c r="BO52" s="259" t="s">
        <v>492</v>
      </c>
      <c r="BP52" s="264" t="s">
        <v>537</v>
      </c>
      <c r="BQ52" s="264" t="s">
        <v>554</v>
      </c>
      <c r="BR52" s="264" t="s">
        <v>555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284</v>
      </c>
      <c r="H53" s="223">
        <v>23.595653120000001</v>
      </c>
      <c r="I53" s="164"/>
      <c r="J53" s="157"/>
      <c r="K53" s="228"/>
      <c r="L53" s="228"/>
      <c r="M53" s="228"/>
      <c r="O53" s="241" t="s">
        <v>284</v>
      </c>
      <c r="P53" s="241">
        <v>22.800764839999999</v>
      </c>
      <c r="Q53" s="239"/>
      <c r="S53" s="253" t="s">
        <v>449</v>
      </c>
      <c r="T53" s="258">
        <v>0</v>
      </c>
      <c r="U53" s="258">
        <v>0</v>
      </c>
      <c r="V53" s="258">
        <v>0</v>
      </c>
      <c r="W53" s="258">
        <v>0</v>
      </c>
      <c r="X53" s="258">
        <v>0</v>
      </c>
      <c r="Y53" s="245"/>
      <c r="Z53" s="253" t="s">
        <v>599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578</v>
      </c>
      <c r="AH53" s="253">
        <v>0</v>
      </c>
      <c r="AI53" s="253">
        <v>0</v>
      </c>
      <c r="AJ53" s="253">
        <v>0</v>
      </c>
      <c r="AK53" s="253">
        <v>21</v>
      </c>
      <c r="AL53" s="253">
        <v>1</v>
      </c>
      <c r="AM53" s="245"/>
      <c r="AN53" s="253" t="s">
        <v>578</v>
      </c>
      <c r="AO53" s="253">
        <v>54375</v>
      </c>
      <c r="AP53" s="253">
        <v>1</v>
      </c>
      <c r="AQ53" s="253">
        <v>1</v>
      </c>
      <c r="AR53" s="253">
        <v>441</v>
      </c>
      <c r="AS53" s="253">
        <v>1</v>
      </c>
      <c r="AT53" s="245"/>
      <c r="AU53" s="253" t="s">
        <v>579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/>
      <c r="BC53" s="253"/>
      <c r="BD53" s="253"/>
      <c r="BE53" s="253"/>
      <c r="BF53" s="253"/>
      <c r="BG53" s="253"/>
      <c r="BH53" s="247" t="s">
        <v>586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23843920364.5</v>
      </c>
      <c r="BQ53" s="263">
        <v>1784267</v>
      </c>
      <c r="BR53" s="263">
        <v>367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285</v>
      </c>
      <c r="H54" s="223">
        <v>315.01778489999998</v>
      </c>
      <c r="I54" s="164"/>
      <c r="J54" s="157"/>
      <c r="K54" s="228"/>
      <c r="L54" s="228"/>
      <c r="M54" s="228"/>
      <c r="O54" s="241" t="s">
        <v>285</v>
      </c>
      <c r="P54" s="241">
        <v>304.60162905999999</v>
      </c>
      <c r="Q54" s="239"/>
      <c r="S54" s="253" t="s">
        <v>446</v>
      </c>
      <c r="T54" s="258">
        <v>18209224450.8335</v>
      </c>
      <c r="U54" s="258">
        <v>69804</v>
      </c>
      <c r="V54" s="258">
        <v>16667</v>
      </c>
      <c r="W54" s="258">
        <v>860138</v>
      </c>
      <c r="X54" s="258">
        <v>1</v>
      </c>
      <c r="Y54" s="245"/>
      <c r="Z54" s="253" t="s">
        <v>600</v>
      </c>
      <c r="AA54" s="253">
        <v>122400</v>
      </c>
      <c r="AB54" s="253">
        <v>8</v>
      </c>
      <c r="AC54" s="253">
        <v>3</v>
      </c>
      <c r="AD54" s="253">
        <v>52</v>
      </c>
      <c r="AE54" s="253">
        <v>1</v>
      </c>
      <c r="AF54" s="253"/>
      <c r="AG54" s="253" t="s">
        <v>579</v>
      </c>
      <c r="AH54" s="253">
        <v>0</v>
      </c>
      <c r="AI54" s="253">
        <v>0</v>
      </c>
      <c r="AJ54" s="253">
        <v>0</v>
      </c>
      <c r="AK54" s="253">
        <v>0</v>
      </c>
      <c r="AL54" s="253">
        <v>1</v>
      </c>
      <c r="AM54" s="245"/>
      <c r="AN54" s="253" t="s">
        <v>579</v>
      </c>
      <c r="AO54" s="253">
        <v>0</v>
      </c>
      <c r="AP54" s="253">
        <v>0</v>
      </c>
      <c r="AQ54" s="253">
        <v>0</v>
      </c>
      <c r="AR54" s="253">
        <v>0</v>
      </c>
      <c r="AS54" s="253">
        <v>1</v>
      </c>
      <c r="AT54" s="245"/>
      <c r="AU54" s="253" t="s">
        <v>582</v>
      </c>
      <c r="AV54" s="253">
        <v>0</v>
      </c>
      <c r="AW54" s="253">
        <v>0</v>
      </c>
      <c r="AX54" s="253">
        <v>0</v>
      </c>
      <c r="AY54" s="253">
        <v>2</v>
      </c>
      <c r="AZ54" s="253">
        <v>1</v>
      </c>
      <c r="BA54" s="245"/>
      <c r="BB54" s="253"/>
      <c r="BC54" s="253"/>
      <c r="BD54" s="253"/>
      <c r="BE54" s="253"/>
      <c r="BF54" s="253"/>
      <c r="BG54" s="253"/>
      <c r="BH54" s="247" t="s">
        <v>606</v>
      </c>
      <c r="BI54" s="253">
        <v>0</v>
      </c>
      <c r="BJ54" s="253">
        <v>0</v>
      </c>
      <c r="BK54" s="253">
        <v>0</v>
      </c>
      <c r="BL54" s="253">
        <v>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286</v>
      </c>
      <c r="H55" s="223">
        <v>238.88296455</v>
      </c>
      <c r="I55" s="164"/>
      <c r="J55" s="157"/>
      <c r="K55" s="228"/>
      <c r="L55" s="228"/>
      <c r="M55" s="228"/>
      <c r="O55" s="241" t="s">
        <v>286</v>
      </c>
      <c r="P55" s="241">
        <v>232.33628307999999</v>
      </c>
      <c r="Q55" s="239"/>
      <c r="S55" s="253" t="s">
        <v>451</v>
      </c>
      <c r="T55" s="258">
        <v>10350535</v>
      </c>
      <c r="U55" s="258">
        <v>986</v>
      </c>
      <c r="V55" s="258">
        <v>1</v>
      </c>
      <c r="W55" s="258">
        <v>151714</v>
      </c>
      <c r="X55" s="258">
        <v>1</v>
      </c>
      <c r="Y55" s="245"/>
      <c r="Z55" s="253" t="s">
        <v>578</v>
      </c>
      <c r="AA55" s="253">
        <v>109500</v>
      </c>
      <c r="AB55" s="253">
        <v>2</v>
      </c>
      <c r="AC55" s="253">
        <v>1</v>
      </c>
      <c r="AD55" s="253">
        <v>466</v>
      </c>
      <c r="AE55" s="253">
        <v>1</v>
      </c>
      <c r="AF55" s="253"/>
      <c r="AG55" s="253" t="s">
        <v>581</v>
      </c>
      <c r="AH55" s="253">
        <v>0</v>
      </c>
      <c r="AI55" s="253">
        <v>0</v>
      </c>
      <c r="AJ55" s="253">
        <v>0</v>
      </c>
      <c r="AK55" s="253">
        <v>0</v>
      </c>
      <c r="AL55" s="253">
        <v>1</v>
      </c>
      <c r="AM55" s="245"/>
      <c r="AN55" s="253" t="s">
        <v>582</v>
      </c>
      <c r="AO55" s="253">
        <v>11254700</v>
      </c>
      <c r="AP55" s="253">
        <v>22</v>
      </c>
      <c r="AQ55" s="253">
        <v>7</v>
      </c>
      <c r="AR55" s="253">
        <v>86</v>
      </c>
      <c r="AS55" s="253">
        <v>1</v>
      </c>
      <c r="AT55" s="245"/>
      <c r="AU55" s="253" t="s">
        <v>580</v>
      </c>
      <c r="AV55" s="253">
        <v>0</v>
      </c>
      <c r="AW55" s="253">
        <v>0</v>
      </c>
      <c r="AX55" s="253">
        <v>0</v>
      </c>
      <c r="AY55" s="253">
        <v>54</v>
      </c>
      <c r="AZ55" s="253">
        <v>1</v>
      </c>
      <c r="BA55" s="245"/>
      <c r="BB55" s="253"/>
      <c r="BC55" s="253"/>
      <c r="BD55" s="253"/>
      <c r="BE55" s="253"/>
      <c r="BF55" s="253"/>
      <c r="BG55" s="253"/>
      <c r="BH55" s="247" t="s">
        <v>560</v>
      </c>
      <c r="BI55" s="253">
        <v>0</v>
      </c>
      <c r="BJ55" s="253">
        <v>0</v>
      </c>
      <c r="BK55" s="253">
        <v>0</v>
      </c>
      <c r="BL55" s="253">
        <v>20</v>
      </c>
      <c r="BM55" s="253">
        <v>1</v>
      </c>
      <c r="BN55" s="253"/>
      <c r="BO55" s="256" t="s">
        <v>493</v>
      </c>
      <c r="BP55" s="264" t="s">
        <v>608</v>
      </c>
      <c r="BQ55" s="264" t="s">
        <v>556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287</v>
      </c>
      <c r="H56" s="223">
        <v>183.19340464999999</v>
      </c>
      <c r="I56" s="164"/>
      <c r="J56" s="157"/>
      <c r="K56" s="228"/>
      <c r="L56" s="228"/>
      <c r="M56" s="228"/>
      <c r="O56" s="241" t="s">
        <v>287</v>
      </c>
      <c r="P56" s="241">
        <v>179.18217921999999</v>
      </c>
      <c r="Q56" s="239"/>
      <c r="S56" s="253" t="s">
        <v>450</v>
      </c>
      <c r="T56" s="258">
        <v>0</v>
      </c>
      <c r="U56" s="258">
        <v>4095</v>
      </c>
      <c r="V56" s="258">
        <v>2</v>
      </c>
      <c r="W56" s="258">
        <v>16296559</v>
      </c>
      <c r="X56" s="258">
        <v>1</v>
      </c>
      <c r="Y56" s="245"/>
      <c r="Z56" s="253" t="s">
        <v>579</v>
      </c>
      <c r="AA56" s="253">
        <v>0</v>
      </c>
      <c r="AB56" s="253">
        <v>0</v>
      </c>
      <c r="AC56" s="253">
        <v>0</v>
      </c>
      <c r="AD56" s="253">
        <v>0</v>
      </c>
      <c r="AE56" s="253">
        <v>1</v>
      </c>
      <c r="AF56" s="253"/>
      <c r="AG56" s="253" t="s">
        <v>582</v>
      </c>
      <c r="AH56" s="253">
        <v>0</v>
      </c>
      <c r="AI56" s="253">
        <v>0</v>
      </c>
      <c r="AJ56" s="253">
        <v>0</v>
      </c>
      <c r="AK56" s="253">
        <v>2</v>
      </c>
      <c r="AL56" s="253">
        <v>1</v>
      </c>
      <c r="AM56" s="245"/>
      <c r="AN56" s="253" t="s">
        <v>580</v>
      </c>
      <c r="AO56" s="253">
        <v>26792920.013999999</v>
      </c>
      <c r="AP56" s="253">
        <v>164</v>
      </c>
      <c r="AQ56" s="253">
        <v>21</v>
      </c>
      <c r="AR56" s="253">
        <v>926</v>
      </c>
      <c r="AS56" s="253">
        <v>1</v>
      </c>
      <c r="AT56" s="245"/>
      <c r="AU56" s="253" t="s">
        <v>576</v>
      </c>
      <c r="AV56" s="253">
        <v>0</v>
      </c>
      <c r="AW56" s="253">
        <v>0</v>
      </c>
      <c r="AX56" s="253">
        <v>0</v>
      </c>
      <c r="AY56" s="253">
        <v>31</v>
      </c>
      <c r="AZ56" s="253">
        <v>1</v>
      </c>
      <c r="BA56" s="245"/>
      <c r="BB56" s="253"/>
      <c r="BC56" s="253"/>
      <c r="BD56" s="253"/>
      <c r="BE56" s="253"/>
      <c r="BF56" s="253"/>
      <c r="BG56" s="253"/>
      <c r="BH56" s="247" t="s">
        <v>577</v>
      </c>
      <c r="BI56" s="253">
        <v>0</v>
      </c>
      <c r="BJ56" s="253">
        <v>0</v>
      </c>
      <c r="BK56" s="253">
        <v>0</v>
      </c>
      <c r="BL56" s="253">
        <v>0</v>
      </c>
      <c r="BM56" s="253">
        <v>0</v>
      </c>
      <c r="BN56" s="253"/>
      <c r="BO56" s="247"/>
      <c r="BP56" s="263" t="s">
        <v>609</v>
      </c>
      <c r="BQ56" s="263">
        <v>1147239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288</v>
      </c>
      <c r="H57" s="223">
        <v>404.31588988999999</v>
      </c>
      <c r="I57" s="164"/>
      <c r="J57" s="157"/>
      <c r="K57" s="228"/>
      <c r="L57" s="228"/>
      <c r="M57" s="228"/>
      <c r="O57" s="241" t="s">
        <v>288</v>
      </c>
      <c r="P57" s="241">
        <v>389.11759445000001</v>
      </c>
      <c r="Q57" s="239"/>
      <c r="S57" s="253" t="s">
        <v>448</v>
      </c>
      <c r="T57" s="258">
        <v>0</v>
      </c>
      <c r="U57" s="258">
        <v>10614</v>
      </c>
      <c r="V57" s="258">
        <v>160</v>
      </c>
      <c r="W57" s="258">
        <v>831427</v>
      </c>
      <c r="X57" s="258">
        <v>1</v>
      </c>
      <c r="Y57" s="245"/>
      <c r="Z57" s="253" t="s">
        <v>581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580</v>
      </c>
      <c r="AH57" s="253">
        <v>1013100</v>
      </c>
      <c r="AI57" s="253">
        <v>6</v>
      </c>
      <c r="AJ57" s="253">
        <v>2</v>
      </c>
      <c r="AK57" s="253">
        <v>25</v>
      </c>
      <c r="AL57" s="253">
        <v>1</v>
      </c>
      <c r="AM57" s="245"/>
      <c r="AN57" s="253" t="s">
        <v>576</v>
      </c>
      <c r="AO57" s="253">
        <v>5676730.5</v>
      </c>
      <c r="AP57" s="253">
        <v>64</v>
      </c>
      <c r="AQ57" s="253">
        <v>5</v>
      </c>
      <c r="AR57" s="253">
        <v>704</v>
      </c>
      <c r="AS57" s="253">
        <v>1</v>
      </c>
      <c r="AT57" s="245"/>
      <c r="AU57" s="253" t="s">
        <v>601</v>
      </c>
      <c r="AV57" s="253">
        <v>0</v>
      </c>
      <c r="AW57" s="253">
        <v>0</v>
      </c>
      <c r="AX57" s="253">
        <v>0</v>
      </c>
      <c r="AY57" s="253">
        <v>76</v>
      </c>
      <c r="AZ57" s="253">
        <v>1</v>
      </c>
      <c r="BA57" s="245"/>
      <c r="BB57" s="253"/>
      <c r="BC57" s="253"/>
      <c r="BD57" s="253"/>
      <c r="BE57" s="253"/>
      <c r="BF57" s="253"/>
      <c r="BG57" s="253"/>
      <c r="BH57" s="247" t="s">
        <v>564</v>
      </c>
      <c r="BI57" s="253">
        <v>0</v>
      </c>
      <c r="BJ57" s="253">
        <v>0</v>
      </c>
      <c r="BK57" s="253">
        <v>0</v>
      </c>
      <c r="BL57" s="253">
        <v>0</v>
      </c>
      <c r="BM57" s="253">
        <v>0</v>
      </c>
      <c r="BN57" s="253"/>
      <c r="BO57" s="247"/>
      <c r="BP57" s="263" t="s">
        <v>610</v>
      </c>
      <c r="BQ57" s="263">
        <v>1513236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289</v>
      </c>
      <c r="H58" s="223">
        <v>7603.9094990900003</v>
      </c>
      <c r="I58" s="164"/>
      <c r="J58" s="157"/>
      <c r="K58" s="228"/>
      <c r="L58" s="228"/>
      <c r="M58" s="228"/>
      <c r="O58" s="241" t="s">
        <v>289</v>
      </c>
      <c r="P58" s="241">
        <v>7470.6555592100003</v>
      </c>
      <c r="Q58" s="239"/>
      <c r="S58" s="245"/>
      <c r="T58" s="245"/>
      <c r="U58" s="245"/>
      <c r="V58" s="245"/>
      <c r="W58" s="245"/>
      <c r="X58" s="245"/>
      <c r="Y58" s="245"/>
      <c r="Z58" s="253" t="s">
        <v>582</v>
      </c>
      <c r="AA58" s="253">
        <v>0</v>
      </c>
      <c r="AB58" s="253">
        <v>0</v>
      </c>
      <c r="AC58" s="253">
        <v>0</v>
      </c>
      <c r="AD58" s="253">
        <v>44</v>
      </c>
      <c r="AE58" s="253">
        <v>1</v>
      </c>
      <c r="AF58" s="253"/>
      <c r="AG58" s="253" t="s">
        <v>576</v>
      </c>
      <c r="AH58" s="253">
        <v>0</v>
      </c>
      <c r="AI58" s="253">
        <v>0</v>
      </c>
      <c r="AJ58" s="253">
        <v>0</v>
      </c>
      <c r="AK58" s="253">
        <v>44</v>
      </c>
      <c r="AL58" s="253">
        <v>1</v>
      </c>
      <c r="AM58" s="245"/>
      <c r="AN58" s="253" t="s">
        <v>601</v>
      </c>
      <c r="AO58" s="253">
        <v>9541500</v>
      </c>
      <c r="AP58" s="253">
        <v>94</v>
      </c>
      <c r="AQ58" s="253">
        <v>40</v>
      </c>
      <c r="AR58" s="253">
        <v>1714</v>
      </c>
      <c r="AS58" s="253">
        <v>1</v>
      </c>
      <c r="AT58" s="245"/>
      <c r="AU58" s="253" t="s">
        <v>586</v>
      </c>
      <c r="AV58" s="253">
        <v>0</v>
      </c>
      <c r="AW58" s="253">
        <v>0</v>
      </c>
      <c r="AX58" s="253">
        <v>0</v>
      </c>
      <c r="AY58" s="253">
        <v>2</v>
      </c>
      <c r="AZ58" s="253">
        <v>1</v>
      </c>
      <c r="BA58" s="245"/>
      <c r="BB58" s="253"/>
      <c r="BC58" s="253"/>
      <c r="BD58" s="253"/>
      <c r="BE58" s="253"/>
      <c r="BF58" s="253"/>
      <c r="BG58" s="253"/>
      <c r="BH58" s="247" t="s">
        <v>602</v>
      </c>
      <c r="BI58" s="253">
        <v>0</v>
      </c>
      <c r="BJ58" s="253">
        <v>0</v>
      </c>
      <c r="BK58" s="253">
        <v>0</v>
      </c>
      <c r="BL58" s="253">
        <v>80</v>
      </c>
      <c r="BM58" s="253">
        <v>0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290</v>
      </c>
      <c r="H59" s="223">
        <v>905.69210951000002</v>
      </c>
      <c r="I59" s="164"/>
      <c r="J59" s="157"/>
      <c r="K59" s="228"/>
      <c r="L59" s="228"/>
      <c r="M59" s="228"/>
      <c r="O59" s="241" t="s">
        <v>290</v>
      </c>
      <c r="P59" s="241">
        <v>910.75910202</v>
      </c>
      <c r="Q59" s="239"/>
      <c r="S59" s="245"/>
      <c r="T59" s="245"/>
      <c r="U59" s="245"/>
      <c r="V59" s="245"/>
      <c r="W59" s="245"/>
      <c r="X59" s="245"/>
      <c r="Y59" s="245"/>
      <c r="Z59" s="253" t="s">
        <v>580</v>
      </c>
      <c r="AA59" s="253">
        <v>27157040.002</v>
      </c>
      <c r="AB59" s="253">
        <v>169</v>
      </c>
      <c r="AC59" s="253">
        <v>33</v>
      </c>
      <c r="AD59" s="253">
        <v>994</v>
      </c>
      <c r="AE59" s="253">
        <v>1</v>
      </c>
      <c r="AF59" s="253"/>
      <c r="AG59" s="253" t="s">
        <v>601</v>
      </c>
      <c r="AH59" s="253">
        <v>0</v>
      </c>
      <c r="AI59" s="253">
        <v>0</v>
      </c>
      <c r="AJ59" s="253">
        <v>0</v>
      </c>
      <c r="AK59" s="253">
        <v>56</v>
      </c>
      <c r="AL59" s="253">
        <v>1</v>
      </c>
      <c r="AM59" s="245"/>
      <c r="AN59" s="253" t="s">
        <v>586</v>
      </c>
      <c r="AO59" s="253">
        <v>3282512.5</v>
      </c>
      <c r="AP59" s="253">
        <v>13</v>
      </c>
      <c r="AQ59" s="253">
        <v>7</v>
      </c>
      <c r="AR59" s="253">
        <v>77</v>
      </c>
      <c r="AS59" s="253">
        <v>1</v>
      </c>
      <c r="AT59" s="245"/>
      <c r="AU59" s="253" t="s">
        <v>587</v>
      </c>
      <c r="AV59" s="253">
        <v>0</v>
      </c>
      <c r="AW59" s="253">
        <v>0</v>
      </c>
      <c r="AX59" s="253">
        <v>0</v>
      </c>
      <c r="AY59" s="253">
        <v>13</v>
      </c>
      <c r="AZ59" s="253">
        <v>1</v>
      </c>
      <c r="BA59" s="245"/>
      <c r="BB59" s="253"/>
      <c r="BC59" s="253"/>
      <c r="BD59" s="253"/>
      <c r="BE59" s="253"/>
      <c r="BF59" s="253"/>
      <c r="BG59" s="253"/>
      <c r="BH59" s="247" t="s">
        <v>603</v>
      </c>
      <c r="BI59" s="253">
        <v>0</v>
      </c>
      <c r="BJ59" s="253">
        <v>0</v>
      </c>
      <c r="BK59" s="253">
        <v>0</v>
      </c>
      <c r="BL59" s="253">
        <v>0</v>
      </c>
      <c r="BM59" s="253">
        <v>0</v>
      </c>
      <c r="BN59" s="253"/>
      <c r="BO59" s="256" t="s">
        <v>475</v>
      </c>
      <c r="BP59" s="264" t="s">
        <v>537</v>
      </c>
      <c r="BQ59" s="264" t="s">
        <v>554</v>
      </c>
      <c r="BR59" s="264" t="s">
        <v>555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95</v>
      </c>
      <c r="H60" s="223">
        <v>627.60609939000005</v>
      </c>
      <c r="I60" s="164"/>
      <c r="J60" s="157"/>
      <c r="K60" s="228"/>
      <c r="L60" s="228"/>
      <c r="M60" s="228"/>
      <c r="O60" s="241" t="s">
        <v>95</v>
      </c>
      <c r="P60" s="241">
        <v>639.78915185000005</v>
      </c>
      <c r="Q60" s="239"/>
      <c r="R60" s="153" t="s">
        <v>456</v>
      </c>
      <c r="S60" s="254"/>
      <c r="T60" s="257"/>
      <c r="U60" s="257"/>
      <c r="V60" s="257"/>
      <c r="W60" s="257"/>
      <c r="X60" s="257"/>
      <c r="Y60" s="245"/>
      <c r="Z60" s="253" t="s">
        <v>576</v>
      </c>
      <c r="AA60" s="253">
        <v>2023375</v>
      </c>
      <c r="AB60" s="253">
        <v>23</v>
      </c>
      <c r="AC60" s="253">
        <v>7</v>
      </c>
      <c r="AD60" s="253">
        <v>817</v>
      </c>
      <c r="AE60" s="253">
        <v>1</v>
      </c>
      <c r="AF60" s="253"/>
      <c r="AG60" s="253" t="s">
        <v>586</v>
      </c>
      <c r="AH60" s="253">
        <v>0</v>
      </c>
      <c r="AI60" s="253">
        <v>0</v>
      </c>
      <c r="AJ60" s="253">
        <v>0</v>
      </c>
      <c r="AK60" s="253">
        <v>2</v>
      </c>
      <c r="AL60" s="253">
        <v>1</v>
      </c>
      <c r="AM60" s="245"/>
      <c r="AN60" s="253" t="s">
        <v>587</v>
      </c>
      <c r="AO60" s="253">
        <v>1645112.5</v>
      </c>
      <c r="AP60" s="253">
        <v>31</v>
      </c>
      <c r="AQ60" s="253">
        <v>3</v>
      </c>
      <c r="AR60" s="253">
        <v>272</v>
      </c>
      <c r="AS60" s="253">
        <v>1</v>
      </c>
      <c r="AT60" s="245"/>
      <c r="AU60" s="253" t="s">
        <v>560</v>
      </c>
      <c r="AV60" s="253">
        <v>0</v>
      </c>
      <c r="AW60" s="253">
        <v>0</v>
      </c>
      <c r="AX60" s="253">
        <v>0</v>
      </c>
      <c r="AY60" s="253">
        <v>4</v>
      </c>
      <c r="AZ60" s="253">
        <v>1</v>
      </c>
      <c r="BA60" s="245"/>
      <c r="BB60" s="253"/>
      <c r="BC60" s="253"/>
      <c r="BD60" s="253"/>
      <c r="BE60" s="253"/>
      <c r="BF60" s="253"/>
      <c r="BG60" s="253"/>
      <c r="BH60" s="247" t="s">
        <v>565</v>
      </c>
      <c r="BI60" s="253">
        <v>0</v>
      </c>
      <c r="BJ60" s="253">
        <v>0</v>
      </c>
      <c r="BK60" s="253">
        <v>0</v>
      </c>
      <c r="BL60" s="253">
        <v>0</v>
      </c>
      <c r="BM60" s="253">
        <v>0</v>
      </c>
      <c r="BN60" s="253"/>
      <c r="BO60" s="247"/>
      <c r="BP60" s="263">
        <v>103216262507.8</v>
      </c>
      <c r="BQ60" s="263">
        <v>7781204</v>
      </c>
      <c r="BR60" s="263">
        <v>15986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97</v>
      </c>
      <c r="H61" s="223">
        <v>511.13928121999999</v>
      </c>
      <c r="I61" s="164"/>
      <c r="J61" s="157"/>
      <c r="K61" s="228"/>
      <c r="L61" s="228"/>
      <c r="M61" s="228"/>
      <c r="O61" s="241" t="s">
        <v>97</v>
      </c>
      <c r="P61" s="241">
        <v>519.25334095000005</v>
      </c>
      <c r="Q61" s="239"/>
      <c r="R61" s="157"/>
      <c r="S61" s="253"/>
      <c r="T61" s="258"/>
      <c r="U61" s="258"/>
      <c r="V61" s="258"/>
      <c r="W61" s="258"/>
      <c r="X61" s="258"/>
      <c r="Y61" s="245"/>
      <c r="Z61" s="253" t="s">
        <v>601</v>
      </c>
      <c r="AA61" s="253">
        <v>7679210.04</v>
      </c>
      <c r="AB61" s="253">
        <v>79</v>
      </c>
      <c r="AC61" s="253">
        <v>28</v>
      </c>
      <c r="AD61" s="253">
        <v>1449</v>
      </c>
      <c r="AE61" s="253">
        <v>1</v>
      </c>
      <c r="AF61" s="253"/>
      <c r="AG61" s="253" t="s">
        <v>587</v>
      </c>
      <c r="AH61" s="253">
        <v>633100</v>
      </c>
      <c r="AI61" s="253">
        <v>13</v>
      </c>
      <c r="AJ61" s="253">
        <v>1</v>
      </c>
      <c r="AK61" s="253">
        <v>21</v>
      </c>
      <c r="AL61" s="253">
        <v>1</v>
      </c>
      <c r="AM61" s="245"/>
      <c r="AN61" s="253" t="s">
        <v>560</v>
      </c>
      <c r="AO61" s="253">
        <v>1644301</v>
      </c>
      <c r="AP61" s="253">
        <v>24</v>
      </c>
      <c r="AQ61" s="253">
        <v>13</v>
      </c>
      <c r="AR61" s="253">
        <v>76</v>
      </c>
      <c r="AS61" s="253">
        <v>1</v>
      </c>
      <c r="AT61" s="245"/>
      <c r="AU61" s="253" t="s">
        <v>577</v>
      </c>
      <c r="AV61" s="253">
        <v>0</v>
      </c>
      <c r="AW61" s="253">
        <v>0</v>
      </c>
      <c r="AX61" s="253">
        <v>0</v>
      </c>
      <c r="AY61" s="253">
        <v>0</v>
      </c>
      <c r="AZ61" s="253">
        <v>0</v>
      </c>
      <c r="BA61" s="245"/>
      <c r="BB61" s="253"/>
      <c r="BC61" s="253"/>
      <c r="BD61" s="253"/>
      <c r="BE61" s="253"/>
      <c r="BF61" s="253"/>
      <c r="BG61" s="253"/>
      <c r="BH61" s="247" t="s">
        <v>604</v>
      </c>
      <c r="BI61" s="253">
        <v>0</v>
      </c>
      <c r="BJ61" s="253">
        <v>0</v>
      </c>
      <c r="BK61" s="253">
        <v>0</v>
      </c>
      <c r="BL61" s="253">
        <v>0</v>
      </c>
      <c r="BM61" s="253">
        <v>0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293</v>
      </c>
      <c r="H62" s="223">
        <v>76744.165641800006</v>
      </c>
      <c r="I62" s="164"/>
      <c r="J62" s="157"/>
      <c r="K62" s="228"/>
      <c r="L62" s="228"/>
      <c r="M62" s="228"/>
      <c r="O62" s="241" t="s">
        <v>293</v>
      </c>
      <c r="P62" s="241">
        <v>74090.684725280007</v>
      </c>
      <c r="Q62" s="239"/>
      <c r="R62" s="157"/>
      <c r="S62" s="253"/>
      <c r="T62" s="258"/>
      <c r="U62" s="258"/>
      <c r="V62" s="258"/>
      <c r="W62" s="258"/>
      <c r="X62" s="258"/>
      <c r="Y62" s="245"/>
      <c r="Z62" s="253" t="s">
        <v>586</v>
      </c>
      <c r="AA62" s="253">
        <v>0</v>
      </c>
      <c r="AB62" s="253">
        <v>0</v>
      </c>
      <c r="AC62" s="253">
        <v>0</v>
      </c>
      <c r="AD62" s="253">
        <v>44</v>
      </c>
      <c r="AE62" s="253">
        <v>1</v>
      </c>
      <c r="AF62" s="253"/>
      <c r="AG62" s="253" t="s">
        <v>560</v>
      </c>
      <c r="AH62" s="253">
        <v>0</v>
      </c>
      <c r="AI62" s="253">
        <v>0</v>
      </c>
      <c r="AJ62" s="253">
        <v>0</v>
      </c>
      <c r="AK62" s="253">
        <v>4</v>
      </c>
      <c r="AL62" s="253">
        <v>1</v>
      </c>
      <c r="AM62" s="245"/>
      <c r="AN62" s="253" t="s">
        <v>577</v>
      </c>
      <c r="AO62" s="253">
        <v>0</v>
      </c>
      <c r="AP62" s="253">
        <v>0</v>
      </c>
      <c r="AQ62" s="253">
        <v>0</v>
      </c>
      <c r="AR62" s="253">
        <v>0</v>
      </c>
      <c r="AS62" s="253">
        <v>0</v>
      </c>
      <c r="AT62" s="245"/>
      <c r="AU62" s="253" t="s">
        <v>564</v>
      </c>
      <c r="AV62" s="253">
        <v>0</v>
      </c>
      <c r="AW62" s="253">
        <v>0</v>
      </c>
      <c r="AX62" s="253">
        <v>0</v>
      </c>
      <c r="AY62" s="253">
        <v>0</v>
      </c>
      <c r="AZ62" s="253">
        <v>0</v>
      </c>
      <c r="BA62" s="245"/>
      <c r="BB62" s="253"/>
      <c r="BC62" s="253"/>
      <c r="BD62" s="253"/>
      <c r="BE62" s="253"/>
      <c r="BF62" s="253"/>
      <c r="BG62" s="253"/>
      <c r="BH62" s="247" t="s">
        <v>567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490</v>
      </c>
      <c r="BP62" s="264" t="s">
        <v>537</v>
      </c>
      <c r="BQ62" s="264" t="s">
        <v>554</v>
      </c>
      <c r="BR62" s="264" t="s">
        <v>555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99</v>
      </c>
      <c r="H63" s="223">
        <v>18401.032114770001</v>
      </c>
      <c r="I63" s="164"/>
      <c r="J63" s="157"/>
      <c r="K63" s="228"/>
      <c r="L63" s="228"/>
      <c r="M63" s="228"/>
      <c r="O63" s="241" t="s">
        <v>99</v>
      </c>
      <c r="P63" s="241">
        <v>18079.640464669999</v>
      </c>
      <c r="Q63" s="239"/>
      <c r="R63" s="157"/>
      <c r="S63" s="253"/>
      <c r="T63" s="258"/>
      <c r="U63" s="258"/>
      <c r="V63" s="258"/>
      <c r="W63" s="258"/>
      <c r="X63" s="258"/>
      <c r="Y63" s="245"/>
      <c r="Z63" s="253" t="s">
        <v>587</v>
      </c>
      <c r="AA63" s="253">
        <v>1940625</v>
      </c>
      <c r="AB63" s="253">
        <v>39</v>
      </c>
      <c r="AC63" s="253">
        <v>4</v>
      </c>
      <c r="AD63" s="253">
        <v>526</v>
      </c>
      <c r="AE63" s="253">
        <v>1</v>
      </c>
      <c r="AF63" s="253"/>
      <c r="AG63" s="253" t="s">
        <v>577</v>
      </c>
      <c r="AH63" s="253">
        <v>0</v>
      </c>
      <c r="AI63" s="253">
        <v>0</v>
      </c>
      <c r="AJ63" s="253">
        <v>0</v>
      </c>
      <c r="AK63" s="253">
        <v>0</v>
      </c>
      <c r="AL63" s="253">
        <v>0</v>
      </c>
      <c r="AM63" s="245"/>
      <c r="AN63" s="253" t="s">
        <v>564</v>
      </c>
      <c r="AO63" s="253">
        <v>0</v>
      </c>
      <c r="AP63" s="253">
        <v>0</v>
      </c>
      <c r="AQ63" s="253">
        <v>0</v>
      </c>
      <c r="AR63" s="253">
        <v>0</v>
      </c>
      <c r="AS63" s="253">
        <v>0</v>
      </c>
      <c r="AT63" s="245"/>
      <c r="AU63" s="253" t="s">
        <v>602</v>
      </c>
      <c r="AV63" s="253">
        <v>0</v>
      </c>
      <c r="AW63" s="253">
        <v>0</v>
      </c>
      <c r="AX63" s="253">
        <v>0</v>
      </c>
      <c r="AY63" s="253">
        <v>20</v>
      </c>
      <c r="AZ63" s="253">
        <v>0</v>
      </c>
      <c r="BA63" s="245"/>
      <c r="BB63" s="253"/>
      <c r="BC63" s="253"/>
      <c r="BD63" s="253"/>
      <c r="BE63" s="253"/>
      <c r="BF63" s="253"/>
      <c r="BG63" s="253"/>
      <c r="BH63" s="247" t="s">
        <v>606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41028449336.699997</v>
      </c>
      <c r="BQ63" s="263">
        <v>3055285</v>
      </c>
      <c r="BR63" s="263">
        <v>708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294</v>
      </c>
      <c r="H64" s="223">
        <v>212.36386003000001</v>
      </c>
      <c r="I64" s="164"/>
      <c r="J64" s="3"/>
      <c r="K64" s="228"/>
      <c r="L64" s="228"/>
      <c r="M64" s="228"/>
      <c r="O64" s="241" t="s">
        <v>294</v>
      </c>
      <c r="P64" s="241">
        <v>210.51770157999999</v>
      </c>
      <c r="Q64" s="239"/>
      <c r="R64" s="157"/>
      <c r="S64" s="253"/>
      <c r="T64" s="258"/>
      <c r="U64" s="258"/>
      <c r="V64" s="258"/>
      <c r="W64" s="258"/>
      <c r="X64" s="258"/>
      <c r="Y64" s="245"/>
      <c r="Z64" s="253" t="s">
        <v>560</v>
      </c>
      <c r="AA64" s="253">
        <v>0</v>
      </c>
      <c r="AB64" s="253">
        <v>0</v>
      </c>
      <c r="AC64" s="253">
        <v>0</v>
      </c>
      <c r="AD64" s="253">
        <v>88</v>
      </c>
      <c r="AE64" s="253">
        <v>1</v>
      </c>
      <c r="AF64" s="253"/>
      <c r="AG64" s="253" t="s">
        <v>564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602</v>
      </c>
      <c r="AO64" s="253">
        <v>0</v>
      </c>
      <c r="AP64" s="253">
        <v>0</v>
      </c>
      <c r="AQ64" s="253">
        <v>0</v>
      </c>
      <c r="AR64" s="253">
        <v>400</v>
      </c>
      <c r="AS64" s="253">
        <v>0</v>
      </c>
      <c r="AT64" s="245"/>
      <c r="AU64" s="253" t="s">
        <v>603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/>
      <c r="BC64" s="253"/>
      <c r="BD64" s="253"/>
      <c r="BE64" s="253"/>
      <c r="BF64" s="253"/>
      <c r="BG64" s="253"/>
      <c r="BH64" s="247" t="s">
        <v>603</v>
      </c>
      <c r="BI64" s="253">
        <v>0</v>
      </c>
      <c r="BJ64" s="253">
        <v>0</v>
      </c>
      <c r="BK64" s="253">
        <v>0</v>
      </c>
      <c r="BL64" s="253">
        <v>577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295</v>
      </c>
      <c r="H65" s="223">
        <v>9751.1547102599998</v>
      </c>
      <c r="I65" s="164"/>
      <c r="J65" s="3"/>
      <c r="K65" s="228"/>
      <c r="L65" s="228"/>
      <c r="M65" s="228"/>
      <c r="O65" s="241" t="s">
        <v>295</v>
      </c>
      <c r="P65" s="241">
        <v>9611.2830022599992</v>
      </c>
      <c r="Q65" s="239"/>
      <c r="R65" s="157"/>
      <c r="S65" s="253"/>
      <c r="T65" s="258"/>
      <c r="U65" s="258"/>
      <c r="V65" s="258"/>
      <c r="W65" s="258"/>
      <c r="X65" s="258"/>
      <c r="Y65" s="245"/>
      <c r="Z65" s="253" t="s">
        <v>577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602</v>
      </c>
      <c r="AH65" s="253">
        <v>0</v>
      </c>
      <c r="AI65" s="253">
        <v>0</v>
      </c>
      <c r="AJ65" s="253">
        <v>0</v>
      </c>
      <c r="AK65" s="253">
        <v>60</v>
      </c>
      <c r="AL65" s="253">
        <v>0</v>
      </c>
      <c r="AM65" s="245"/>
      <c r="AN65" s="253" t="s">
        <v>603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565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/>
      <c r="BC65" s="253"/>
      <c r="BD65" s="253"/>
      <c r="BE65" s="253"/>
      <c r="BF65" s="253"/>
      <c r="BG65" s="253"/>
      <c r="BH65" s="247" t="s">
        <v>602</v>
      </c>
      <c r="BI65" s="253">
        <v>0</v>
      </c>
      <c r="BJ65" s="253">
        <v>0</v>
      </c>
      <c r="BK65" s="253">
        <v>0</v>
      </c>
      <c r="BL65" s="253">
        <v>463</v>
      </c>
      <c r="BM65" s="253">
        <v>1</v>
      </c>
      <c r="BN65" s="253"/>
      <c r="BO65" s="256" t="s">
        <v>476</v>
      </c>
      <c r="BP65" s="264" t="s">
        <v>537</v>
      </c>
      <c r="BQ65" s="264" t="s">
        <v>554</v>
      </c>
      <c r="BR65" s="264" t="s">
        <v>555</v>
      </c>
    </row>
    <row r="66" spans="1:70" x14ac:dyDescent="0.2">
      <c r="A66" s="83"/>
      <c r="B66" s="190" t="s">
        <v>271</v>
      </c>
      <c r="C66" s="193">
        <v>42761</v>
      </c>
      <c r="D66" s="190">
        <v>10880.162418039999</v>
      </c>
      <c r="E66" s="223">
        <v>1</v>
      </c>
      <c r="F66" s="220"/>
      <c r="G66" s="223" t="s">
        <v>296</v>
      </c>
      <c r="H66" s="223">
        <v>9273.3603848900002</v>
      </c>
      <c r="I66" s="164"/>
      <c r="J66" s="3"/>
      <c r="K66" s="228"/>
      <c r="L66" s="228"/>
      <c r="M66" s="228"/>
      <c r="O66" s="241" t="s">
        <v>296</v>
      </c>
      <c r="P66" s="241">
        <v>9215.3832909400007</v>
      </c>
      <c r="Q66" s="239"/>
      <c r="R66" s="157"/>
      <c r="S66" s="253"/>
      <c r="T66" s="258"/>
      <c r="U66" s="258"/>
      <c r="V66" s="258"/>
      <c r="W66" s="258"/>
      <c r="X66" s="258"/>
      <c r="Y66" s="245"/>
      <c r="Z66" s="253" t="s">
        <v>564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603</v>
      </c>
      <c r="AH66" s="253">
        <v>0</v>
      </c>
      <c r="AI66" s="253">
        <v>0</v>
      </c>
      <c r="AJ66" s="253">
        <v>0</v>
      </c>
      <c r="AK66" s="253">
        <v>0</v>
      </c>
      <c r="AL66" s="253">
        <v>0</v>
      </c>
      <c r="AM66" s="245"/>
      <c r="AN66" s="253" t="s">
        <v>565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604</v>
      </c>
      <c r="AV66" s="253">
        <v>0</v>
      </c>
      <c r="AW66" s="253">
        <v>0</v>
      </c>
      <c r="AX66" s="253">
        <v>0</v>
      </c>
      <c r="AY66" s="253">
        <v>0</v>
      </c>
      <c r="AZ66" s="253">
        <v>0</v>
      </c>
      <c r="BA66" s="245"/>
      <c r="BB66" s="253"/>
      <c r="BC66" s="253"/>
      <c r="BD66" s="253"/>
      <c r="BE66" s="253"/>
      <c r="BF66" s="253"/>
      <c r="BG66" s="253"/>
      <c r="BH66" s="247" t="s">
        <v>597</v>
      </c>
      <c r="BI66" s="253">
        <v>0</v>
      </c>
      <c r="BJ66" s="253">
        <v>0</v>
      </c>
      <c r="BK66" s="253">
        <v>0</v>
      </c>
      <c r="BL66" s="253">
        <v>0</v>
      </c>
      <c r="BM66" s="253">
        <v>0</v>
      </c>
      <c r="BN66" s="253"/>
      <c r="BO66" s="247"/>
      <c r="BP66" s="263">
        <v>136989108693.3</v>
      </c>
      <c r="BQ66" s="263">
        <v>8457040</v>
      </c>
      <c r="BR66" s="263">
        <v>15234</v>
      </c>
    </row>
    <row r="67" spans="1:70" x14ac:dyDescent="0.2">
      <c r="A67" s="83"/>
      <c r="B67" s="190" t="s">
        <v>272</v>
      </c>
      <c r="C67" s="193">
        <v>42578</v>
      </c>
      <c r="D67" s="190">
        <v>10687.982633170001</v>
      </c>
      <c r="E67" s="223">
        <v>1</v>
      </c>
      <c r="F67" s="213"/>
      <c r="G67" s="223" t="s">
        <v>297</v>
      </c>
      <c r="H67" s="223">
        <v>171.02992892</v>
      </c>
      <c r="I67" s="164"/>
      <c r="J67" s="3"/>
      <c r="K67" s="228"/>
      <c r="L67" s="228"/>
      <c r="M67" s="228"/>
      <c r="O67" s="241" t="s">
        <v>297</v>
      </c>
      <c r="P67" s="241">
        <v>178.53287037999999</v>
      </c>
      <c r="Q67" s="239"/>
      <c r="R67" s="157"/>
      <c r="S67" s="253"/>
      <c r="T67" s="258"/>
      <c r="U67" s="258"/>
      <c r="V67" s="258"/>
      <c r="W67" s="258"/>
      <c r="X67" s="258"/>
      <c r="Y67" s="245"/>
      <c r="Z67" s="253" t="s">
        <v>602</v>
      </c>
      <c r="AA67" s="253">
        <v>361296.8</v>
      </c>
      <c r="AB67" s="253">
        <v>60</v>
      </c>
      <c r="AC67" s="253">
        <v>4</v>
      </c>
      <c r="AD67" s="253">
        <v>1040</v>
      </c>
      <c r="AE67" s="253">
        <v>0</v>
      </c>
      <c r="AF67" s="253"/>
      <c r="AG67" s="253" t="s">
        <v>565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604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567</v>
      </c>
      <c r="AV67" s="253">
        <v>0</v>
      </c>
      <c r="AW67" s="253">
        <v>0</v>
      </c>
      <c r="AX67" s="253">
        <v>0</v>
      </c>
      <c r="AY67" s="253">
        <v>0</v>
      </c>
      <c r="AZ67" s="253">
        <v>0</v>
      </c>
      <c r="BA67" s="245"/>
      <c r="BB67" s="253"/>
      <c r="BC67" s="253"/>
      <c r="BD67" s="253"/>
      <c r="BE67" s="253"/>
      <c r="BF67" s="253"/>
      <c r="BG67" s="253"/>
      <c r="BH67" s="247" t="s">
        <v>598</v>
      </c>
      <c r="BI67" s="253">
        <v>0</v>
      </c>
      <c r="BJ67" s="253">
        <v>0</v>
      </c>
      <c r="BK67" s="253">
        <v>0</v>
      </c>
      <c r="BL67" s="253">
        <v>0</v>
      </c>
      <c r="BM67" s="253">
        <v>0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298</v>
      </c>
      <c r="H68" s="223">
        <v>14959.54253072</v>
      </c>
      <c r="I68" s="164"/>
      <c r="J68" s="3"/>
      <c r="K68" s="228"/>
      <c r="L68" s="228"/>
      <c r="M68" s="228"/>
      <c r="O68" s="241" t="s">
        <v>298</v>
      </c>
      <c r="P68" s="241">
        <v>15059.381533150001</v>
      </c>
      <c r="Q68" s="239"/>
      <c r="R68" s="157"/>
      <c r="S68" s="253"/>
      <c r="T68" s="258"/>
      <c r="U68" s="258"/>
      <c r="V68" s="258"/>
      <c r="W68" s="258"/>
      <c r="X68" s="258"/>
      <c r="Y68" s="245"/>
      <c r="Z68" s="253" t="s">
        <v>603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/>
      <c r="AG68" s="253" t="s">
        <v>604</v>
      </c>
      <c r="AH68" s="253">
        <v>0</v>
      </c>
      <c r="AI68" s="253">
        <v>0</v>
      </c>
      <c r="AJ68" s="253">
        <v>0</v>
      </c>
      <c r="AK68" s="253">
        <v>0</v>
      </c>
      <c r="AL68" s="253">
        <v>0</v>
      </c>
      <c r="AM68" s="245"/>
      <c r="AN68" s="253" t="s">
        <v>567</v>
      </c>
      <c r="AO68" s="253">
        <v>0</v>
      </c>
      <c r="AP68" s="253">
        <v>0</v>
      </c>
      <c r="AQ68" s="253">
        <v>0</v>
      </c>
      <c r="AR68" s="253">
        <v>0</v>
      </c>
      <c r="AS68" s="253">
        <v>0</v>
      </c>
      <c r="AT68" s="245"/>
      <c r="AU68" s="253" t="s">
        <v>603</v>
      </c>
      <c r="AV68" s="253">
        <v>0</v>
      </c>
      <c r="AW68" s="253">
        <v>0</v>
      </c>
      <c r="AX68" s="253">
        <v>0</v>
      </c>
      <c r="AY68" s="253">
        <v>194</v>
      </c>
      <c r="AZ68" s="253">
        <v>1</v>
      </c>
      <c r="BA68" s="245"/>
      <c r="BB68" s="253"/>
      <c r="BC68" s="253"/>
      <c r="BD68" s="253"/>
      <c r="BE68" s="253"/>
      <c r="BF68" s="253"/>
      <c r="BG68" s="253"/>
      <c r="BH68" s="247" t="s">
        <v>583</v>
      </c>
      <c r="BI68" s="253">
        <v>148460143.11000001</v>
      </c>
      <c r="BJ68" s="253">
        <v>459</v>
      </c>
      <c r="BK68" s="253">
        <v>70</v>
      </c>
      <c r="BL68" s="253">
        <v>4456</v>
      </c>
      <c r="BM68" s="253">
        <v>1</v>
      </c>
      <c r="BN68" s="253"/>
      <c r="BO68" s="256" t="s">
        <v>477</v>
      </c>
      <c r="BP68" s="264" t="s">
        <v>537</v>
      </c>
      <c r="BQ68" s="264" t="s">
        <v>554</v>
      </c>
      <c r="BR68" s="264" t="s">
        <v>555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299</v>
      </c>
      <c r="H69" s="223">
        <v>7094.8273263199999</v>
      </c>
      <c r="I69" s="164"/>
      <c r="J69" s="3"/>
      <c r="K69" s="228"/>
      <c r="L69" s="228"/>
      <c r="M69" s="228"/>
      <c r="O69" s="241" t="s">
        <v>299</v>
      </c>
      <c r="P69" s="241">
        <v>7732.7818270600001</v>
      </c>
      <c r="Q69" s="239"/>
      <c r="R69" s="157"/>
      <c r="S69" s="253"/>
      <c r="T69" s="258"/>
      <c r="U69" s="258"/>
      <c r="V69" s="258"/>
      <c r="W69" s="258"/>
      <c r="X69" s="258"/>
      <c r="Y69" s="245"/>
      <c r="Z69" s="253" t="s">
        <v>565</v>
      </c>
      <c r="AA69" s="253">
        <v>0</v>
      </c>
      <c r="AB69" s="253">
        <v>0</v>
      </c>
      <c r="AC69" s="253">
        <v>0</v>
      </c>
      <c r="AD69" s="253">
        <v>0</v>
      </c>
      <c r="AE69" s="253">
        <v>0</v>
      </c>
      <c r="AF69" s="253"/>
      <c r="AG69" s="253" t="s">
        <v>567</v>
      </c>
      <c r="AH69" s="253">
        <v>0</v>
      </c>
      <c r="AI69" s="253">
        <v>0</v>
      </c>
      <c r="AJ69" s="253">
        <v>0</v>
      </c>
      <c r="AK69" s="253">
        <v>0</v>
      </c>
      <c r="AL69" s="253">
        <v>0</v>
      </c>
      <c r="AM69" s="245"/>
      <c r="AN69" s="253" t="s">
        <v>603</v>
      </c>
      <c r="AO69" s="253">
        <v>21397186.600000001</v>
      </c>
      <c r="AP69" s="253">
        <v>176</v>
      </c>
      <c r="AQ69" s="253">
        <v>4</v>
      </c>
      <c r="AR69" s="253">
        <v>1258</v>
      </c>
      <c r="AS69" s="253">
        <v>1</v>
      </c>
      <c r="AT69" s="245"/>
      <c r="AU69" s="253" t="s">
        <v>602</v>
      </c>
      <c r="AV69" s="253">
        <v>269450</v>
      </c>
      <c r="AW69" s="253">
        <v>2</v>
      </c>
      <c r="AX69" s="253">
        <v>2</v>
      </c>
      <c r="AY69" s="253">
        <v>186</v>
      </c>
      <c r="AZ69" s="253">
        <v>1</v>
      </c>
      <c r="BA69" s="245"/>
      <c r="BB69" s="253"/>
      <c r="BC69" s="253"/>
      <c r="BD69" s="253"/>
      <c r="BE69" s="253"/>
      <c r="BF69" s="253"/>
      <c r="BG69" s="253"/>
      <c r="BH69" s="247" t="s">
        <v>604</v>
      </c>
      <c r="BI69" s="253">
        <v>369620.01</v>
      </c>
      <c r="BJ69" s="253">
        <v>6</v>
      </c>
      <c r="BK69" s="253">
        <v>2</v>
      </c>
      <c r="BL69" s="253">
        <v>230</v>
      </c>
      <c r="BM69" s="253">
        <v>1</v>
      </c>
      <c r="BN69" s="253"/>
      <c r="BO69" s="247"/>
      <c r="BP69" s="263">
        <v>50983081775.800003</v>
      </c>
      <c r="BQ69" s="263">
        <v>3135595</v>
      </c>
      <c r="BR69" s="263">
        <v>704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300</v>
      </c>
      <c r="H70" s="223">
        <v>157.60787245</v>
      </c>
      <c r="I70" s="164"/>
      <c r="J70" s="3"/>
      <c r="K70" s="228"/>
      <c r="L70" s="228"/>
      <c r="M70" s="228"/>
      <c r="O70" s="241" t="s">
        <v>300</v>
      </c>
      <c r="P70" s="241">
        <v>156.13792874999999</v>
      </c>
      <c r="Q70" s="239"/>
      <c r="R70" s="157"/>
      <c r="S70" s="253"/>
      <c r="T70" s="258"/>
      <c r="U70" s="258"/>
      <c r="V70" s="258"/>
      <c r="W70" s="258"/>
      <c r="X70" s="258"/>
      <c r="Y70" s="245"/>
      <c r="Z70" s="253" t="s">
        <v>604</v>
      </c>
      <c r="AA70" s="253">
        <v>0</v>
      </c>
      <c r="AB70" s="253">
        <v>0</v>
      </c>
      <c r="AC70" s="253">
        <v>0</v>
      </c>
      <c r="AD70" s="253">
        <v>0</v>
      </c>
      <c r="AE70" s="253">
        <v>0</v>
      </c>
      <c r="AF70" s="253"/>
      <c r="AG70" s="253" t="s">
        <v>603</v>
      </c>
      <c r="AH70" s="253">
        <v>0</v>
      </c>
      <c r="AI70" s="253">
        <v>0</v>
      </c>
      <c r="AJ70" s="253">
        <v>0</v>
      </c>
      <c r="AK70" s="253">
        <v>21</v>
      </c>
      <c r="AL70" s="253">
        <v>1</v>
      </c>
      <c r="AM70" s="245"/>
      <c r="AN70" s="253" t="s">
        <v>602</v>
      </c>
      <c r="AO70" s="253">
        <v>69150589.840000004</v>
      </c>
      <c r="AP70" s="253">
        <v>520</v>
      </c>
      <c r="AQ70" s="253">
        <v>34</v>
      </c>
      <c r="AR70" s="253">
        <v>3709</v>
      </c>
      <c r="AS70" s="253">
        <v>1</v>
      </c>
      <c r="AT70" s="245"/>
      <c r="AU70" s="253" t="s">
        <v>597</v>
      </c>
      <c r="AV70" s="253">
        <v>0</v>
      </c>
      <c r="AW70" s="253">
        <v>0</v>
      </c>
      <c r="AX70" s="253">
        <v>0</v>
      </c>
      <c r="AY70" s="253">
        <v>0</v>
      </c>
      <c r="AZ70" s="253">
        <v>0</v>
      </c>
      <c r="BA70" s="245"/>
      <c r="BB70" s="253"/>
      <c r="BC70" s="253"/>
      <c r="BD70" s="253"/>
      <c r="BE70" s="253"/>
      <c r="BF70" s="253"/>
      <c r="BG70" s="253"/>
      <c r="BH70" s="247" t="s">
        <v>588</v>
      </c>
      <c r="BI70" s="253">
        <v>0</v>
      </c>
      <c r="BJ70" s="253">
        <v>0</v>
      </c>
      <c r="BK70" s="253">
        <v>0</v>
      </c>
      <c r="BL70" s="253">
        <v>10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301</v>
      </c>
      <c r="H71" s="223">
        <v>2278.8230477699999</v>
      </c>
      <c r="I71" s="164"/>
      <c r="J71" s="3"/>
      <c r="K71" s="228"/>
      <c r="L71" s="228"/>
      <c r="M71" s="228"/>
      <c r="O71" s="241" t="s">
        <v>301</v>
      </c>
      <c r="P71" s="241">
        <v>2333.12093061</v>
      </c>
      <c r="Q71" s="239"/>
      <c r="R71" s="157"/>
      <c r="S71" s="253"/>
      <c r="T71" s="258"/>
      <c r="U71" s="258"/>
      <c r="V71" s="258"/>
      <c r="W71" s="258"/>
      <c r="X71" s="258"/>
      <c r="Y71" s="245"/>
      <c r="Z71" s="253" t="s">
        <v>567</v>
      </c>
      <c r="AA71" s="253">
        <v>0</v>
      </c>
      <c r="AB71" s="253">
        <v>0</v>
      </c>
      <c r="AC71" s="253">
        <v>0</v>
      </c>
      <c r="AD71" s="253">
        <v>0</v>
      </c>
      <c r="AE71" s="253">
        <v>0</v>
      </c>
      <c r="AF71" s="253"/>
      <c r="AG71" s="253" t="s">
        <v>602</v>
      </c>
      <c r="AH71" s="253">
        <v>0</v>
      </c>
      <c r="AI71" s="253">
        <v>0</v>
      </c>
      <c r="AJ71" s="253">
        <v>0</v>
      </c>
      <c r="AK71" s="253">
        <v>54</v>
      </c>
      <c r="AL71" s="253">
        <v>1</v>
      </c>
      <c r="AM71" s="245"/>
      <c r="AN71" s="253" t="s">
        <v>597</v>
      </c>
      <c r="AO71" s="253">
        <v>0</v>
      </c>
      <c r="AP71" s="253">
        <v>0</v>
      </c>
      <c r="AQ71" s="253">
        <v>0</v>
      </c>
      <c r="AR71" s="253">
        <v>0</v>
      </c>
      <c r="AS71" s="253">
        <v>0</v>
      </c>
      <c r="AT71" s="245"/>
      <c r="AU71" s="253" t="s">
        <v>596</v>
      </c>
      <c r="AV71" s="253">
        <v>0</v>
      </c>
      <c r="AW71" s="253">
        <v>0</v>
      </c>
      <c r="AX71" s="253">
        <v>0</v>
      </c>
      <c r="AY71" s="253">
        <v>0</v>
      </c>
      <c r="AZ71" s="253">
        <v>0</v>
      </c>
      <c r="BA71" s="245"/>
      <c r="BB71" s="253"/>
      <c r="BC71" s="253"/>
      <c r="BD71" s="253"/>
      <c r="BE71" s="253"/>
      <c r="BF71" s="253"/>
      <c r="BG71" s="253"/>
      <c r="BH71" s="247" t="s">
        <v>585</v>
      </c>
      <c r="BI71" s="253">
        <v>7000629.8200000003</v>
      </c>
      <c r="BJ71" s="253">
        <v>435</v>
      </c>
      <c r="BK71" s="253">
        <v>40</v>
      </c>
      <c r="BL71" s="253">
        <v>65902</v>
      </c>
      <c r="BM71" s="253">
        <v>0</v>
      </c>
      <c r="BN71" s="253"/>
      <c r="BO71" s="256" t="s">
        <v>494</v>
      </c>
      <c r="BP71" s="264" t="s">
        <v>608</v>
      </c>
      <c r="BQ71" s="264" t="s">
        <v>556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302</v>
      </c>
      <c r="H72" s="223">
        <v>9698.7431373399995</v>
      </c>
      <c r="I72" s="164"/>
      <c r="J72" s="3"/>
      <c r="K72" s="228"/>
      <c r="L72" s="228"/>
      <c r="M72" s="228"/>
      <c r="O72" s="241" t="s">
        <v>302</v>
      </c>
      <c r="P72" s="241">
        <v>9605.9270900499996</v>
      </c>
      <c r="Q72" s="239"/>
      <c r="R72" s="157"/>
      <c r="S72" s="253"/>
      <c r="T72" s="258"/>
      <c r="U72" s="258"/>
      <c r="V72" s="258"/>
      <c r="W72" s="258"/>
      <c r="X72" s="258"/>
      <c r="Y72" s="245"/>
      <c r="Z72" s="253" t="s">
        <v>603</v>
      </c>
      <c r="AA72" s="253">
        <v>44111244</v>
      </c>
      <c r="AB72" s="253">
        <v>390</v>
      </c>
      <c r="AC72" s="253">
        <v>20</v>
      </c>
      <c r="AD72" s="253">
        <v>2106</v>
      </c>
      <c r="AE72" s="253">
        <v>1</v>
      </c>
      <c r="AF72" s="253"/>
      <c r="AG72" s="253" t="s">
        <v>597</v>
      </c>
      <c r="AH72" s="253">
        <v>0</v>
      </c>
      <c r="AI72" s="253">
        <v>0</v>
      </c>
      <c r="AJ72" s="253">
        <v>0</v>
      </c>
      <c r="AK72" s="253">
        <v>0</v>
      </c>
      <c r="AL72" s="253">
        <v>0</v>
      </c>
      <c r="AM72" s="245"/>
      <c r="AN72" s="253" t="s">
        <v>596</v>
      </c>
      <c r="AO72" s="253">
        <v>0</v>
      </c>
      <c r="AP72" s="253">
        <v>0</v>
      </c>
      <c r="AQ72" s="253">
        <v>0</v>
      </c>
      <c r="AR72" s="253">
        <v>13600</v>
      </c>
      <c r="AS72" s="253">
        <v>0</v>
      </c>
      <c r="AT72" s="245"/>
      <c r="AU72" s="253" t="s">
        <v>598</v>
      </c>
      <c r="AV72" s="253">
        <v>0</v>
      </c>
      <c r="AW72" s="253">
        <v>0</v>
      </c>
      <c r="AX72" s="253">
        <v>0</v>
      </c>
      <c r="AY72" s="253">
        <v>0</v>
      </c>
      <c r="AZ72" s="253">
        <v>0</v>
      </c>
      <c r="BA72" s="245"/>
      <c r="BB72" s="253"/>
      <c r="BC72" s="253"/>
      <c r="BD72" s="253"/>
      <c r="BE72" s="253"/>
      <c r="BF72" s="253"/>
      <c r="BG72" s="253"/>
      <c r="BH72" s="247" t="s">
        <v>607</v>
      </c>
      <c r="BI72" s="253">
        <v>0</v>
      </c>
      <c r="BJ72" s="253">
        <v>0</v>
      </c>
      <c r="BK72" s="253">
        <v>0</v>
      </c>
      <c r="BL72" s="253">
        <v>350</v>
      </c>
      <c r="BM72" s="253">
        <v>1</v>
      </c>
      <c r="BN72" s="253"/>
      <c r="BO72" s="247"/>
      <c r="BP72" s="263" t="s">
        <v>609</v>
      </c>
      <c r="BQ72" s="263">
        <v>1217161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303</v>
      </c>
      <c r="H73" s="223">
        <v>11384.528200000001</v>
      </c>
      <c r="I73" s="164"/>
      <c r="J73" s="3"/>
      <c r="K73" s="228"/>
      <c r="L73" s="228"/>
      <c r="M73" s="228"/>
      <c r="O73" s="241" t="s">
        <v>303</v>
      </c>
      <c r="P73" s="241">
        <v>10967.483899999999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602</v>
      </c>
      <c r="AA73" s="253">
        <v>50393609.542000003</v>
      </c>
      <c r="AB73" s="253">
        <v>400</v>
      </c>
      <c r="AC73" s="253">
        <v>29</v>
      </c>
      <c r="AD73" s="253">
        <v>2545</v>
      </c>
      <c r="AE73" s="253">
        <v>1</v>
      </c>
      <c r="AF73" s="253"/>
      <c r="AG73" s="253" t="s">
        <v>596</v>
      </c>
      <c r="AH73" s="253">
        <v>0</v>
      </c>
      <c r="AI73" s="253">
        <v>0</v>
      </c>
      <c r="AJ73" s="253">
        <v>0</v>
      </c>
      <c r="AK73" s="253">
        <v>800</v>
      </c>
      <c r="AL73" s="253">
        <v>0</v>
      </c>
      <c r="AM73" s="245"/>
      <c r="AN73" s="253" t="s">
        <v>598</v>
      </c>
      <c r="AO73" s="253">
        <v>0</v>
      </c>
      <c r="AP73" s="253">
        <v>0</v>
      </c>
      <c r="AQ73" s="253">
        <v>0</v>
      </c>
      <c r="AR73" s="253">
        <v>0</v>
      </c>
      <c r="AS73" s="253">
        <v>0</v>
      </c>
      <c r="AT73" s="245"/>
      <c r="AU73" s="253" t="s">
        <v>583</v>
      </c>
      <c r="AV73" s="253">
        <v>343865754.88</v>
      </c>
      <c r="AW73" s="253">
        <v>1461</v>
      </c>
      <c r="AX73" s="253">
        <v>86</v>
      </c>
      <c r="AY73" s="253">
        <v>4925</v>
      </c>
      <c r="AZ73" s="253">
        <v>1</v>
      </c>
      <c r="BA73" s="245"/>
      <c r="BB73" s="253"/>
      <c r="BC73" s="253"/>
      <c r="BD73" s="253"/>
      <c r="BE73" s="253"/>
      <c r="BF73" s="253"/>
      <c r="BG73" s="253"/>
      <c r="BH73" s="247" t="s">
        <v>589</v>
      </c>
      <c r="BI73" s="253">
        <v>0</v>
      </c>
      <c r="BJ73" s="253">
        <v>0</v>
      </c>
      <c r="BK73" s="253">
        <v>0</v>
      </c>
      <c r="BL73" s="253">
        <v>0</v>
      </c>
      <c r="BM73" s="253">
        <v>0</v>
      </c>
      <c r="BN73" s="253"/>
      <c r="BO73" s="247"/>
      <c r="BP73" s="263" t="s">
        <v>610</v>
      </c>
      <c r="BQ73" s="263">
        <v>1827448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304</v>
      </c>
      <c r="H74" s="223">
        <v>23630.322242710001</v>
      </c>
      <c r="I74" s="164"/>
      <c r="J74" s="3"/>
      <c r="K74" s="228"/>
      <c r="L74" s="228"/>
      <c r="M74" s="228"/>
      <c r="O74" s="241" t="s">
        <v>304</v>
      </c>
      <c r="P74" s="241">
        <v>23674.194639000001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597</v>
      </c>
      <c r="AA74" s="253">
        <v>0</v>
      </c>
      <c r="AB74" s="253">
        <v>0</v>
      </c>
      <c r="AC74" s="253">
        <v>0</v>
      </c>
      <c r="AD74" s="253">
        <v>0</v>
      </c>
      <c r="AE74" s="253">
        <v>0</v>
      </c>
      <c r="AF74" s="253"/>
      <c r="AG74" s="253" t="s">
        <v>598</v>
      </c>
      <c r="AH74" s="253">
        <v>0</v>
      </c>
      <c r="AI74" s="253">
        <v>0</v>
      </c>
      <c r="AJ74" s="253">
        <v>0</v>
      </c>
      <c r="AK74" s="253">
        <v>0</v>
      </c>
      <c r="AL74" s="253">
        <v>0</v>
      </c>
      <c r="AM74" s="245"/>
      <c r="AN74" s="253" t="s">
        <v>583</v>
      </c>
      <c r="AO74" s="253">
        <v>3271854107.2199998</v>
      </c>
      <c r="AP74" s="253">
        <v>13108</v>
      </c>
      <c r="AQ74" s="253">
        <v>1852</v>
      </c>
      <c r="AR74" s="253">
        <v>99094</v>
      </c>
      <c r="AS74" s="253">
        <v>1</v>
      </c>
      <c r="AT74" s="245"/>
      <c r="AU74" s="253" t="s">
        <v>604</v>
      </c>
      <c r="AV74" s="253">
        <v>70560</v>
      </c>
      <c r="AW74" s="253">
        <v>1</v>
      </c>
      <c r="AX74" s="253">
        <v>1</v>
      </c>
      <c r="AY74" s="253">
        <v>52</v>
      </c>
      <c r="AZ74" s="253">
        <v>1</v>
      </c>
      <c r="BA74" s="245"/>
      <c r="BB74" s="253"/>
      <c r="BC74" s="253"/>
      <c r="BD74" s="253"/>
      <c r="BE74" s="253"/>
      <c r="BF74" s="253"/>
      <c r="BG74" s="253"/>
      <c r="BH74" s="247" t="s">
        <v>562</v>
      </c>
      <c r="BI74" s="253">
        <v>179494475.49000001</v>
      </c>
      <c r="BJ74" s="253">
        <v>622</v>
      </c>
      <c r="BK74" s="253">
        <v>97</v>
      </c>
      <c r="BL74" s="253">
        <v>5173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58</v>
      </c>
      <c r="H75" s="223">
        <v>24063.049847779999</v>
      </c>
      <c r="I75" s="164"/>
      <c r="J75" s="3"/>
      <c r="K75" s="228"/>
      <c r="L75" s="228"/>
      <c r="M75" s="228"/>
      <c r="O75" s="241" t="s">
        <v>58</v>
      </c>
      <c r="P75" s="241">
        <v>23680.155233630001</v>
      </c>
      <c r="Q75" s="239"/>
      <c r="R75" s="153" t="s">
        <v>457</v>
      </c>
      <c r="S75" s="254" t="s">
        <v>552</v>
      </c>
      <c r="T75" s="257" t="s">
        <v>553</v>
      </c>
      <c r="U75" s="257" t="s">
        <v>554</v>
      </c>
      <c r="V75" s="257" t="s">
        <v>555</v>
      </c>
      <c r="W75" s="257" t="s">
        <v>556</v>
      </c>
      <c r="X75" s="257" t="s">
        <v>557</v>
      </c>
      <c r="Y75" s="245"/>
      <c r="Z75" s="253" t="s">
        <v>596</v>
      </c>
      <c r="AA75" s="253">
        <v>1361000</v>
      </c>
      <c r="AB75" s="253">
        <v>800</v>
      </c>
      <c r="AC75" s="253">
        <v>4</v>
      </c>
      <c r="AD75" s="253">
        <v>16000</v>
      </c>
      <c r="AE75" s="253">
        <v>0</v>
      </c>
      <c r="AF75" s="253"/>
      <c r="AG75" s="253" t="s">
        <v>583</v>
      </c>
      <c r="AH75" s="253">
        <v>179916398.96000001</v>
      </c>
      <c r="AI75" s="253">
        <v>784</v>
      </c>
      <c r="AJ75" s="253">
        <v>111</v>
      </c>
      <c r="AK75" s="253">
        <v>6536</v>
      </c>
      <c r="AL75" s="253">
        <v>1</v>
      </c>
      <c r="AM75" s="245"/>
      <c r="AN75" s="253" t="s">
        <v>604</v>
      </c>
      <c r="AO75" s="253">
        <v>1728780</v>
      </c>
      <c r="AP75" s="253">
        <v>24</v>
      </c>
      <c r="AQ75" s="253">
        <v>9</v>
      </c>
      <c r="AR75" s="253">
        <v>1014</v>
      </c>
      <c r="AS75" s="253">
        <v>1</v>
      </c>
      <c r="AT75" s="245"/>
      <c r="AU75" s="253" t="s">
        <v>588</v>
      </c>
      <c r="AV75" s="253">
        <v>0</v>
      </c>
      <c r="AW75" s="253">
        <v>0</v>
      </c>
      <c r="AX75" s="253">
        <v>0</v>
      </c>
      <c r="AY75" s="253">
        <v>0</v>
      </c>
      <c r="AZ75" s="253">
        <v>1</v>
      </c>
      <c r="BA75" s="245"/>
      <c r="BB75" s="253"/>
      <c r="BC75" s="253"/>
      <c r="BD75" s="253"/>
      <c r="BE75" s="253"/>
      <c r="BF75" s="253"/>
      <c r="BG75" s="253"/>
      <c r="BH75" s="247" t="s">
        <v>590</v>
      </c>
      <c r="BI75" s="253">
        <v>0</v>
      </c>
      <c r="BJ75" s="253">
        <v>0</v>
      </c>
      <c r="BK75" s="253">
        <v>0</v>
      </c>
      <c r="BL75" s="253">
        <v>0</v>
      </c>
      <c r="BM75" s="253">
        <v>1</v>
      </c>
      <c r="BN75" s="253"/>
      <c r="BO75" s="256" t="s">
        <v>478</v>
      </c>
      <c r="BP75" s="264" t="s">
        <v>553</v>
      </c>
      <c r="BQ75" s="264" t="s">
        <v>554</v>
      </c>
      <c r="BR75" s="264" t="s">
        <v>555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51</v>
      </c>
      <c r="H76" s="223">
        <v>26578.46443575</v>
      </c>
      <c r="I76" s="164"/>
      <c r="J76" s="3"/>
      <c r="K76" s="228"/>
      <c r="L76" s="228"/>
      <c r="M76" s="228"/>
      <c r="O76" s="241" t="s">
        <v>51</v>
      </c>
      <c r="P76" s="241">
        <v>26217.788057329999</v>
      </c>
      <c r="Q76" s="239"/>
      <c r="R76" s="157"/>
      <c r="S76" s="253" t="s">
        <v>449</v>
      </c>
      <c r="T76" s="258">
        <v>13851626.131999999</v>
      </c>
      <c r="U76" s="258">
        <v>33574</v>
      </c>
      <c r="V76" s="258">
        <v>11</v>
      </c>
      <c r="W76" s="258">
        <v>25440838</v>
      </c>
      <c r="X76" s="258">
        <v>1</v>
      </c>
      <c r="Y76" s="245"/>
      <c r="Z76" s="253" t="s">
        <v>598</v>
      </c>
      <c r="AA76" s="253">
        <v>0</v>
      </c>
      <c r="AB76" s="253">
        <v>0</v>
      </c>
      <c r="AC76" s="253">
        <v>0</v>
      </c>
      <c r="AD76" s="253">
        <v>0</v>
      </c>
      <c r="AE76" s="253">
        <v>0</v>
      </c>
      <c r="AF76" s="253"/>
      <c r="AG76" s="253" t="s">
        <v>604</v>
      </c>
      <c r="AH76" s="253">
        <v>834619.96</v>
      </c>
      <c r="AI76" s="253">
        <v>12</v>
      </c>
      <c r="AJ76" s="253">
        <v>2</v>
      </c>
      <c r="AK76" s="253">
        <v>495</v>
      </c>
      <c r="AL76" s="253">
        <v>1</v>
      </c>
      <c r="AM76" s="245"/>
      <c r="AN76" s="253" t="s">
        <v>588</v>
      </c>
      <c r="AO76" s="253">
        <v>0</v>
      </c>
      <c r="AP76" s="253">
        <v>0</v>
      </c>
      <c r="AQ76" s="253">
        <v>0</v>
      </c>
      <c r="AR76" s="253">
        <v>1</v>
      </c>
      <c r="AS76" s="253">
        <v>1</v>
      </c>
      <c r="AT76" s="245"/>
      <c r="AU76" s="253" t="s">
        <v>585</v>
      </c>
      <c r="AV76" s="253">
        <v>8041949.8899999997</v>
      </c>
      <c r="AW76" s="253">
        <v>731</v>
      </c>
      <c r="AX76" s="253">
        <v>48</v>
      </c>
      <c r="AY76" s="253">
        <v>22195</v>
      </c>
      <c r="AZ76" s="253">
        <v>0</v>
      </c>
      <c r="BA76" s="245"/>
      <c r="BB76" s="253"/>
      <c r="BC76" s="253"/>
      <c r="BD76" s="253"/>
      <c r="BE76" s="253"/>
      <c r="BF76" s="253"/>
      <c r="BG76" s="253"/>
      <c r="BH76" s="245" t="s">
        <v>593</v>
      </c>
      <c r="BI76" s="253">
        <v>0</v>
      </c>
      <c r="BJ76" s="253">
        <v>0</v>
      </c>
      <c r="BK76" s="253">
        <v>0</v>
      </c>
      <c r="BL76" s="253">
        <v>0</v>
      </c>
      <c r="BM76" s="253">
        <v>1</v>
      </c>
      <c r="BN76" s="253"/>
      <c r="BO76" s="247"/>
      <c r="BP76" s="263">
        <v>134434756700.24396</v>
      </c>
      <c r="BQ76" s="263">
        <v>590933</v>
      </c>
      <c r="BR76" s="263">
        <v>81894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305</v>
      </c>
      <c r="H77" s="223">
        <v>11963.33</v>
      </c>
      <c r="I77" s="164"/>
      <c r="J77" s="3"/>
      <c r="K77" s="228"/>
      <c r="L77" s="228"/>
      <c r="M77" s="228"/>
      <c r="O77" s="241" t="s">
        <v>305</v>
      </c>
      <c r="P77" s="241">
        <v>11689.51</v>
      </c>
      <c r="Q77" s="239"/>
      <c r="R77" s="157"/>
      <c r="S77" s="253" t="s">
        <v>447</v>
      </c>
      <c r="T77" s="258">
        <v>39957427.299999997</v>
      </c>
      <c r="U77" s="258">
        <v>21991</v>
      </c>
      <c r="V77" s="258">
        <v>27</v>
      </c>
      <c r="W77" s="258">
        <v>837867</v>
      </c>
      <c r="X77" s="258">
        <v>0</v>
      </c>
      <c r="Y77" s="245"/>
      <c r="Z77" s="253" t="s">
        <v>583</v>
      </c>
      <c r="AA77" s="253">
        <v>3985888316.2350001</v>
      </c>
      <c r="AB77" s="253">
        <v>17416</v>
      </c>
      <c r="AC77" s="253">
        <v>2398</v>
      </c>
      <c r="AD77" s="253">
        <v>128549</v>
      </c>
      <c r="AE77" s="253">
        <v>1</v>
      </c>
      <c r="AF77" s="253"/>
      <c r="AG77" s="253" t="s">
        <v>588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585</v>
      </c>
      <c r="AO77" s="253">
        <v>209815853.88999999</v>
      </c>
      <c r="AP77" s="253">
        <v>16193</v>
      </c>
      <c r="AQ77" s="253">
        <v>1718</v>
      </c>
      <c r="AR77" s="253">
        <v>590553</v>
      </c>
      <c r="AS77" s="253">
        <v>0</v>
      </c>
      <c r="AT77" s="245"/>
      <c r="AU77" s="253" t="s">
        <v>589</v>
      </c>
      <c r="AV77" s="253">
        <v>0</v>
      </c>
      <c r="AW77" s="253">
        <v>0</v>
      </c>
      <c r="AX77" s="253">
        <v>0</v>
      </c>
      <c r="AY77" s="253">
        <v>0</v>
      </c>
      <c r="AZ77" s="253">
        <v>0</v>
      </c>
      <c r="BA77" s="245"/>
      <c r="BB77" s="253"/>
      <c r="BC77" s="253"/>
      <c r="BD77" s="253"/>
      <c r="BE77" s="253"/>
      <c r="BF77" s="253"/>
      <c r="BG77" s="253"/>
      <c r="BH77" s="245" t="s">
        <v>592</v>
      </c>
      <c r="BI77" s="253">
        <v>0</v>
      </c>
      <c r="BJ77" s="253">
        <v>0</v>
      </c>
      <c r="BK77" s="253">
        <v>0</v>
      </c>
      <c r="BL77" s="253">
        <v>1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42825</v>
      </c>
      <c r="D78" s="190">
        <v>58603.390885790002</v>
      </c>
      <c r="E78" s="223">
        <v>1</v>
      </c>
      <c r="F78" s="209"/>
      <c r="G78" s="223" t="s">
        <v>548</v>
      </c>
      <c r="H78" s="223">
        <v>68352.942770540001</v>
      </c>
      <c r="I78" s="164"/>
      <c r="J78" s="63"/>
      <c r="K78" s="228"/>
      <c r="L78" s="228"/>
      <c r="M78" s="228"/>
      <c r="O78" s="241" t="s">
        <v>101</v>
      </c>
      <c r="P78" s="241">
        <v>356.39996464000001</v>
      </c>
      <c r="Q78" s="239"/>
      <c r="R78" s="157"/>
      <c r="S78" s="253" t="s">
        <v>451</v>
      </c>
      <c r="T78" s="258">
        <v>4632338.05</v>
      </c>
      <c r="U78" s="258">
        <v>861</v>
      </c>
      <c r="V78" s="258">
        <v>3</v>
      </c>
      <c r="W78" s="258">
        <v>491733</v>
      </c>
      <c r="X78" s="258">
        <v>0</v>
      </c>
      <c r="Y78" s="245"/>
      <c r="Z78" s="253" t="s">
        <v>604</v>
      </c>
      <c r="AA78" s="253">
        <v>69078156.959999993</v>
      </c>
      <c r="AB78" s="253">
        <v>1091</v>
      </c>
      <c r="AC78" s="253">
        <v>47</v>
      </c>
      <c r="AD78" s="253">
        <v>4196</v>
      </c>
      <c r="AE78" s="253">
        <v>1</v>
      </c>
      <c r="AF78" s="253"/>
      <c r="AG78" s="253" t="s">
        <v>585</v>
      </c>
      <c r="AH78" s="253">
        <v>9116968.7100000009</v>
      </c>
      <c r="AI78" s="253">
        <v>806</v>
      </c>
      <c r="AJ78" s="253">
        <v>106</v>
      </c>
      <c r="AK78" s="253">
        <v>30376</v>
      </c>
      <c r="AL78" s="253">
        <v>0</v>
      </c>
      <c r="AM78" s="245"/>
      <c r="AN78" s="253" t="s">
        <v>589</v>
      </c>
      <c r="AO78" s="253">
        <v>0</v>
      </c>
      <c r="AP78" s="253">
        <v>0</v>
      </c>
      <c r="AQ78" s="253">
        <v>0</v>
      </c>
      <c r="AR78" s="253">
        <v>0</v>
      </c>
      <c r="AS78" s="253">
        <v>0</v>
      </c>
      <c r="AT78" s="245"/>
      <c r="AU78" s="253" t="s">
        <v>605</v>
      </c>
      <c r="AV78" s="253">
        <v>0</v>
      </c>
      <c r="AW78" s="253">
        <v>0</v>
      </c>
      <c r="AX78" s="253">
        <v>0</v>
      </c>
      <c r="AY78" s="253">
        <v>0</v>
      </c>
      <c r="AZ78" s="253">
        <v>1</v>
      </c>
      <c r="BA78" s="245"/>
      <c r="BB78" s="253"/>
      <c r="BC78" s="253"/>
      <c r="BD78" s="253"/>
      <c r="BE78" s="253"/>
      <c r="BF78" s="253"/>
      <c r="BG78" s="253"/>
      <c r="BH78" s="245" t="s">
        <v>601</v>
      </c>
      <c r="BI78" s="253">
        <v>0</v>
      </c>
      <c r="BJ78" s="253">
        <v>0</v>
      </c>
      <c r="BK78" s="253">
        <v>0</v>
      </c>
      <c r="BL78" s="253">
        <v>0</v>
      </c>
      <c r="BM78" s="253">
        <v>0</v>
      </c>
      <c r="BN78" s="253"/>
      <c r="BO78" s="256" t="s">
        <v>497</v>
      </c>
      <c r="BP78" s="264" t="s">
        <v>553</v>
      </c>
      <c r="BQ78" s="264" t="s">
        <v>554</v>
      </c>
      <c r="BR78" s="264" t="s">
        <v>555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101</v>
      </c>
      <c r="H79" s="223">
        <v>358.78521240999999</v>
      </c>
      <c r="I79" s="164"/>
      <c r="J79" s="63"/>
      <c r="K79" s="228"/>
      <c r="L79" s="228"/>
      <c r="M79" s="228"/>
      <c r="O79" s="241" t="s">
        <v>103</v>
      </c>
      <c r="P79" s="241">
        <v>583.77137608999999</v>
      </c>
      <c r="Q79" s="239"/>
      <c r="R79" s="157"/>
      <c r="S79" s="253" t="s">
        <v>446</v>
      </c>
      <c r="T79" s="258">
        <v>11421976.300000001</v>
      </c>
      <c r="U79" s="258">
        <v>1254</v>
      </c>
      <c r="V79" s="258">
        <v>16</v>
      </c>
      <c r="W79" s="258">
        <v>604063</v>
      </c>
      <c r="X79" s="258">
        <v>0</v>
      </c>
      <c r="Y79" s="245"/>
      <c r="Z79" s="253" t="s">
        <v>588</v>
      </c>
      <c r="AA79" s="253">
        <v>0</v>
      </c>
      <c r="AB79" s="253">
        <v>0</v>
      </c>
      <c r="AC79" s="253">
        <v>0</v>
      </c>
      <c r="AD79" s="253">
        <v>0</v>
      </c>
      <c r="AE79" s="253">
        <v>1</v>
      </c>
      <c r="AF79" s="253"/>
      <c r="AG79" s="253" t="s">
        <v>589</v>
      </c>
      <c r="AH79" s="253">
        <v>0</v>
      </c>
      <c r="AI79" s="253">
        <v>0</v>
      </c>
      <c r="AJ79" s="253">
        <v>0</v>
      </c>
      <c r="AK79" s="253">
        <v>0</v>
      </c>
      <c r="AL79" s="253">
        <v>0</v>
      </c>
      <c r="AM79" s="245"/>
      <c r="AN79" s="253" t="s">
        <v>605</v>
      </c>
      <c r="AO79" s="253">
        <v>0</v>
      </c>
      <c r="AP79" s="253">
        <v>0</v>
      </c>
      <c r="AQ79" s="253">
        <v>0</v>
      </c>
      <c r="AR79" s="253">
        <v>0</v>
      </c>
      <c r="AS79" s="253">
        <v>1</v>
      </c>
      <c r="AT79" s="245"/>
      <c r="AU79" s="253" t="s">
        <v>562</v>
      </c>
      <c r="AV79" s="253">
        <v>913795817.54999995</v>
      </c>
      <c r="AW79" s="253">
        <v>3301</v>
      </c>
      <c r="AX79" s="253">
        <v>53</v>
      </c>
      <c r="AY79" s="253">
        <v>6740</v>
      </c>
      <c r="AZ79" s="253">
        <v>1</v>
      </c>
      <c r="BA79" s="245"/>
      <c r="BB79" s="253"/>
      <c r="BC79" s="253"/>
      <c r="BD79" s="253"/>
      <c r="BE79" s="253"/>
      <c r="BF79" s="253"/>
      <c r="BG79" s="253"/>
      <c r="BH79" s="245"/>
      <c r="BI79" s="253"/>
      <c r="BJ79" s="253"/>
      <c r="BK79" s="253"/>
      <c r="BL79" s="253"/>
      <c r="BM79" s="253"/>
      <c r="BN79" s="253"/>
      <c r="BO79" s="251"/>
      <c r="BP79" s="263">
        <v>1212734664.3099999</v>
      </c>
      <c r="BQ79" s="263">
        <v>82007</v>
      </c>
      <c r="BR79" s="263">
        <v>8675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103</v>
      </c>
      <c r="H80" s="223">
        <v>597.60721380999996</v>
      </c>
      <c r="I80" s="164"/>
      <c r="J80" s="3"/>
      <c r="K80" s="228"/>
      <c r="L80" s="228"/>
      <c r="M80" s="228"/>
      <c r="O80" s="241" t="s">
        <v>306</v>
      </c>
      <c r="P80" s="241">
        <v>5371.2956145999997</v>
      </c>
      <c r="Q80" s="239"/>
      <c r="R80" s="157"/>
      <c r="S80" s="253" t="s">
        <v>558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585</v>
      </c>
      <c r="AA80" s="245">
        <v>148405748.97999999</v>
      </c>
      <c r="AB80" s="245">
        <v>15385</v>
      </c>
      <c r="AC80" s="245">
        <v>1907</v>
      </c>
      <c r="AD80" s="245">
        <v>577419</v>
      </c>
      <c r="AE80" s="245">
        <v>0</v>
      </c>
      <c r="AF80" s="245"/>
      <c r="AG80" s="245" t="s">
        <v>559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/>
      <c r="AN80" s="245" t="s">
        <v>562</v>
      </c>
      <c r="AO80" s="245">
        <v>4514518221.8149996</v>
      </c>
      <c r="AP80" s="245">
        <v>15915</v>
      </c>
      <c r="AQ80" s="245">
        <v>1350</v>
      </c>
      <c r="AR80" s="245">
        <v>117905</v>
      </c>
      <c r="AS80" s="245">
        <v>1</v>
      </c>
      <c r="AT80" s="245"/>
      <c r="AU80" s="245" t="s">
        <v>590</v>
      </c>
      <c r="AV80" s="245">
        <v>0</v>
      </c>
      <c r="AW80" s="245">
        <v>0</v>
      </c>
      <c r="AX80" s="245">
        <v>0</v>
      </c>
      <c r="AY80" s="245">
        <v>0</v>
      </c>
      <c r="AZ80" s="245">
        <v>1</v>
      </c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42312</v>
      </c>
      <c r="D81" s="190">
        <v>49081.0138716</v>
      </c>
      <c r="E81" s="223">
        <v>1</v>
      </c>
      <c r="F81" s="209"/>
      <c r="G81" s="223" t="s">
        <v>306</v>
      </c>
      <c r="H81" s="223">
        <v>5740.4023537200001</v>
      </c>
      <c r="I81" s="164"/>
      <c r="J81" s="3"/>
      <c r="K81" s="228"/>
      <c r="L81" s="228"/>
      <c r="M81" s="228"/>
      <c r="O81" s="241" t="s">
        <v>307</v>
      </c>
      <c r="P81" s="241">
        <v>238.89792245999999</v>
      </c>
      <c r="Q81" s="239"/>
      <c r="R81" s="157"/>
      <c r="S81" s="253" t="s">
        <v>447</v>
      </c>
      <c r="T81" s="258">
        <v>138075513.16800001</v>
      </c>
      <c r="U81" s="258">
        <v>19179</v>
      </c>
      <c r="V81" s="258">
        <v>667</v>
      </c>
      <c r="W81" s="258">
        <v>959208</v>
      </c>
      <c r="X81" s="258">
        <v>1</v>
      </c>
      <c r="Y81" s="245"/>
      <c r="Z81" s="245" t="s">
        <v>589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/>
      <c r="AG81" s="245" t="s">
        <v>605</v>
      </c>
      <c r="AH81" s="245">
        <v>0</v>
      </c>
      <c r="AI81" s="245">
        <v>0</v>
      </c>
      <c r="AJ81" s="245">
        <v>0</v>
      </c>
      <c r="AK81" s="245">
        <v>0</v>
      </c>
      <c r="AL81" s="245">
        <v>1</v>
      </c>
      <c r="AM81" s="245"/>
      <c r="AN81" s="245" t="s">
        <v>590</v>
      </c>
      <c r="AO81" s="245">
        <v>0</v>
      </c>
      <c r="AP81" s="245">
        <v>0</v>
      </c>
      <c r="AQ81" s="245">
        <v>0</v>
      </c>
      <c r="AR81" s="245">
        <v>0</v>
      </c>
      <c r="AS81" s="245">
        <v>1</v>
      </c>
      <c r="AT81" s="245"/>
      <c r="AU81" s="245" t="s">
        <v>593</v>
      </c>
      <c r="AV81" s="245">
        <v>0</v>
      </c>
      <c r="AW81" s="245">
        <v>0</v>
      </c>
      <c r="AX81" s="245">
        <v>0</v>
      </c>
      <c r="AY81" s="245">
        <v>0</v>
      </c>
      <c r="AZ81" s="245">
        <v>1</v>
      </c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56" t="s">
        <v>479</v>
      </c>
      <c r="BP81" s="264" t="s">
        <v>553</v>
      </c>
      <c r="BQ81" s="264" t="s">
        <v>554</v>
      </c>
      <c r="BR81" s="264" t="s">
        <v>555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307</v>
      </c>
      <c r="H82" s="223">
        <v>226.74182384</v>
      </c>
      <c r="I82" s="164"/>
      <c r="J82" s="157"/>
      <c r="K82" s="228"/>
      <c r="L82" s="228"/>
      <c r="M82" s="228"/>
      <c r="O82" s="241" t="s">
        <v>308</v>
      </c>
      <c r="P82" s="241">
        <v>10209.45050137</v>
      </c>
      <c r="Q82" s="239"/>
      <c r="R82" s="157"/>
      <c r="S82" s="253" t="s">
        <v>182</v>
      </c>
      <c r="T82" s="258">
        <v>67094869.100000001</v>
      </c>
      <c r="U82" s="258">
        <v>846700</v>
      </c>
      <c r="V82" s="258">
        <v>25</v>
      </c>
      <c r="W82" s="258">
        <v>2283274</v>
      </c>
      <c r="X82" s="258">
        <v>1</v>
      </c>
      <c r="Y82" s="245"/>
      <c r="Z82" s="245" t="s">
        <v>559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/>
      <c r="AG82" s="245" t="s">
        <v>562</v>
      </c>
      <c r="AH82" s="245">
        <v>222746365.41999999</v>
      </c>
      <c r="AI82" s="245">
        <v>895</v>
      </c>
      <c r="AJ82" s="245">
        <v>105</v>
      </c>
      <c r="AK82" s="245">
        <v>8246</v>
      </c>
      <c r="AL82" s="245">
        <v>1</v>
      </c>
      <c r="AM82" s="245"/>
      <c r="AN82" s="245" t="s">
        <v>593</v>
      </c>
      <c r="AO82" s="245">
        <v>0</v>
      </c>
      <c r="AP82" s="245">
        <v>0</v>
      </c>
      <c r="AQ82" s="245">
        <v>0</v>
      </c>
      <c r="AR82" s="245">
        <v>0</v>
      </c>
      <c r="AS82" s="245">
        <v>1</v>
      </c>
      <c r="AT82" s="245"/>
      <c r="AU82" s="245" t="s">
        <v>592</v>
      </c>
      <c r="AV82" s="245">
        <v>0</v>
      </c>
      <c r="AW82" s="245">
        <v>0</v>
      </c>
      <c r="AX82" s="245">
        <v>0</v>
      </c>
      <c r="AY82" s="245">
        <v>0</v>
      </c>
      <c r="AZ82" s="245">
        <v>1</v>
      </c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7"/>
      <c r="BP82" s="263">
        <v>255690075414.39899</v>
      </c>
      <c r="BQ82" s="263">
        <v>704125</v>
      </c>
      <c r="BR82" s="263">
        <v>78354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308</v>
      </c>
      <c r="H83" s="223">
        <v>10181.72986836</v>
      </c>
      <c r="I83" s="164"/>
      <c r="J83" s="157"/>
      <c r="K83" s="228"/>
      <c r="L83" s="228"/>
      <c r="M83" s="228"/>
      <c r="O83" s="241" t="s">
        <v>309</v>
      </c>
      <c r="P83" s="241">
        <v>479.22862738999999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605</v>
      </c>
      <c r="AA83" s="245">
        <v>0</v>
      </c>
      <c r="AB83" s="245">
        <v>0</v>
      </c>
      <c r="AC83" s="245">
        <v>0</v>
      </c>
      <c r="AD83" s="245">
        <v>0</v>
      </c>
      <c r="AE83" s="245">
        <v>1</v>
      </c>
      <c r="AF83" s="245"/>
      <c r="AG83" s="245" t="s">
        <v>590</v>
      </c>
      <c r="AH83" s="245">
        <v>0</v>
      </c>
      <c r="AI83" s="245">
        <v>0</v>
      </c>
      <c r="AJ83" s="245">
        <v>0</v>
      </c>
      <c r="AK83" s="245">
        <v>0</v>
      </c>
      <c r="AL83" s="245">
        <v>1</v>
      </c>
      <c r="AM83" s="245"/>
      <c r="AN83" s="245" t="s">
        <v>592</v>
      </c>
      <c r="AO83" s="245">
        <v>0</v>
      </c>
      <c r="AP83" s="245">
        <v>0</v>
      </c>
      <c r="AQ83" s="245">
        <v>0</v>
      </c>
      <c r="AR83" s="245">
        <v>0</v>
      </c>
      <c r="AS83" s="245">
        <v>1</v>
      </c>
      <c r="AT83" s="245"/>
      <c r="AU83" s="245" t="s">
        <v>601</v>
      </c>
      <c r="AV83" s="245">
        <v>0</v>
      </c>
      <c r="AW83" s="245">
        <v>0</v>
      </c>
      <c r="AX83" s="245">
        <v>0</v>
      </c>
      <c r="AY83" s="245">
        <v>0</v>
      </c>
      <c r="AZ83" s="245">
        <v>0</v>
      </c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42118</v>
      </c>
      <c r="D84" s="190">
        <v>55188.336977819999</v>
      </c>
      <c r="E84" s="223">
        <v>1</v>
      </c>
      <c r="F84" s="213"/>
      <c r="G84" s="223" t="s">
        <v>309</v>
      </c>
      <c r="H84" s="223">
        <v>440.38523585000002</v>
      </c>
      <c r="I84" s="164"/>
      <c r="J84" s="157"/>
      <c r="K84" s="228"/>
      <c r="L84" s="228"/>
      <c r="M84" s="228"/>
      <c r="O84" s="241" t="s">
        <v>311</v>
      </c>
      <c r="P84" s="241">
        <v>954.11837816000002</v>
      </c>
      <c r="Q84" s="239"/>
      <c r="R84" s="157"/>
      <c r="S84" s="253" t="s">
        <v>446</v>
      </c>
      <c r="T84" s="258">
        <v>20868529256.664902</v>
      </c>
      <c r="U84" s="258">
        <v>49877</v>
      </c>
      <c r="V84" s="258">
        <v>10660</v>
      </c>
      <c r="W84" s="258">
        <v>534340</v>
      </c>
      <c r="X84" s="258">
        <v>1</v>
      </c>
      <c r="Y84" s="245"/>
      <c r="Z84" s="245" t="s">
        <v>562</v>
      </c>
      <c r="AA84" s="245">
        <v>4575713367.6899996</v>
      </c>
      <c r="AB84" s="245">
        <v>18077</v>
      </c>
      <c r="AC84" s="245">
        <v>2046</v>
      </c>
      <c r="AD84" s="245">
        <v>172369</v>
      </c>
      <c r="AE84" s="245">
        <v>1</v>
      </c>
      <c r="AF84" s="245"/>
      <c r="AG84" s="245" t="s">
        <v>593</v>
      </c>
      <c r="AH84" s="245">
        <v>0</v>
      </c>
      <c r="AI84" s="245">
        <v>0</v>
      </c>
      <c r="AJ84" s="245">
        <v>0</v>
      </c>
      <c r="AK84" s="245">
        <v>0</v>
      </c>
      <c r="AL84" s="245">
        <v>1</v>
      </c>
      <c r="AM84" s="245"/>
      <c r="AN84" s="245" t="s">
        <v>601</v>
      </c>
      <c r="AO84" s="245">
        <v>0</v>
      </c>
      <c r="AP84" s="245">
        <v>0</v>
      </c>
      <c r="AQ84" s="245">
        <v>0</v>
      </c>
      <c r="AR84" s="245">
        <v>0</v>
      </c>
      <c r="AS84" s="245">
        <v>0</v>
      </c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553</v>
      </c>
      <c r="BQ84" s="264" t="s">
        <v>554</v>
      </c>
      <c r="BR84" s="264" t="s">
        <v>555</v>
      </c>
    </row>
    <row r="85" spans="1:70" x14ac:dyDescent="0.2">
      <c r="A85" s="149"/>
      <c r="B85" s="190" t="s">
        <v>49</v>
      </c>
      <c r="C85" s="193">
        <v>42783</v>
      </c>
      <c r="D85" s="190">
        <v>8292.5284918300003</v>
      </c>
      <c r="E85" s="223">
        <v>1</v>
      </c>
      <c r="F85" s="213"/>
      <c r="G85" s="223" t="s">
        <v>311</v>
      </c>
      <c r="H85" s="223">
        <v>1058.8886261099999</v>
      </c>
      <c r="I85" s="164"/>
      <c r="J85" s="157"/>
      <c r="K85" s="228"/>
      <c r="L85" s="228"/>
      <c r="M85" s="228"/>
      <c r="O85" s="241" t="s">
        <v>312</v>
      </c>
      <c r="P85" s="241">
        <v>10495.02705678</v>
      </c>
      <c r="Q85" s="239"/>
      <c r="R85" s="157"/>
      <c r="S85" s="253" t="s">
        <v>451</v>
      </c>
      <c r="T85" s="258">
        <v>288693845</v>
      </c>
      <c r="U85" s="258">
        <v>2686</v>
      </c>
      <c r="V85" s="258">
        <v>12</v>
      </c>
      <c r="W85" s="258">
        <v>215232</v>
      </c>
      <c r="X85" s="258">
        <v>1</v>
      </c>
      <c r="Y85" s="245"/>
      <c r="Z85" s="245" t="s">
        <v>590</v>
      </c>
      <c r="AA85" s="245">
        <v>0</v>
      </c>
      <c r="AB85" s="245">
        <v>0</v>
      </c>
      <c r="AC85" s="245">
        <v>0</v>
      </c>
      <c r="AD85" s="245">
        <v>0</v>
      </c>
      <c r="AE85" s="245">
        <v>1</v>
      </c>
      <c r="AF85" s="245"/>
      <c r="AG85" s="245" t="s">
        <v>592</v>
      </c>
      <c r="AH85" s="245">
        <v>0</v>
      </c>
      <c r="AI85" s="245">
        <v>0</v>
      </c>
      <c r="AJ85" s="245">
        <v>0</v>
      </c>
      <c r="AK85" s="245">
        <v>2</v>
      </c>
      <c r="AL85" s="245">
        <v>1</v>
      </c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7621764710.7600002</v>
      </c>
      <c r="BQ85" s="263">
        <v>163462</v>
      </c>
      <c r="BR85" s="263">
        <v>12165</v>
      </c>
    </row>
    <row r="86" spans="1:70" x14ac:dyDescent="0.2">
      <c r="A86" s="149"/>
      <c r="B86" s="190" t="s">
        <v>546</v>
      </c>
      <c r="C86" s="193">
        <v>42761</v>
      </c>
      <c r="D86" s="190">
        <v>51345.86236942</v>
      </c>
      <c r="E86" s="223">
        <v>1</v>
      </c>
      <c r="F86" s="213"/>
      <c r="G86" s="223" t="s">
        <v>312</v>
      </c>
      <c r="H86" s="223">
        <v>11263.255063709999</v>
      </c>
      <c r="I86" s="164"/>
      <c r="J86" s="157"/>
      <c r="K86" s="228"/>
      <c r="L86" s="228"/>
      <c r="M86" s="228"/>
      <c r="O86" s="241" t="s">
        <v>313</v>
      </c>
      <c r="P86" s="241">
        <v>1029.8353830000001</v>
      </c>
      <c r="Q86" s="239"/>
      <c r="R86" s="157"/>
      <c r="S86" s="253" t="s">
        <v>450</v>
      </c>
      <c r="T86" s="258">
        <v>0</v>
      </c>
      <c r="U86" s="258">
        <v>32542</v>
      </c>
      <c r="V86" s="258">
        <v>11</v>
      </c>
      <c r="W86" s="258">
        <v>25207958</v>
      </c>
      <c r="X86" s="258">
        <v>1</v>
      </c>
      <c r="Y86" s="245"/>
      <c r="Z86" s="245" t="s">
        <v>593</v>
      </c>
      <c r="AA86" s="245">
        <v>0</v>
      </c>
      <c r="AB86" s="245">
        <v>0</v>
      </c>
      <c r="AC86" s="245">
        <v>0</v>
      </c>
      <c r="AD86" s="245">
        <v>0</v>
      </c>
      <c r="AE86" s="245">
        <v>1</v>
      </c>
      <c r="AF86" s="245"/>
      <c r="AG86" s="245" t="s">
        <v>566</v>
      </c>
      <c r="AH86" s="245">
        <v>0</v>
      </c>
      <c r="AI86" s="245">
        <v>0</v>
      </c>
      <c r="AJ86" s="245">
        <v>0</v>
      </c>
      <c r="AK86" s="245">
        <v>0</v>
      </c>
      <c r="AL86" s="245">
        <v>0</v>
      </c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547</v>
      </c>
      <c r="C87" s="193">
        <v>42761</v>
      </c>
      <c r="D87" s="190">
        <v>51558.82856853</v>
      </c>
      <c r="E87" s="223">
        <v>1</v>
      </c>
      <c r="F87" s="213"/>
      <c r="G87" s="223" t="s">
        <v>313</v>
      </c>
      <c r="H87" s="223">
        <v>1075.20166973</v>
      </c>
      <c r="I87" s="164"/>
      <c r="J87" s="157"/>
      <c r="K87" s="228"/>
      <c r="L87" s="228"/>
      <c r="M87" s="228"/>
      <c r="O87" s="241" t="s">
        <v>60</v>
      </c>
      <c r="P87" s="241">
        <v>9947.5645125800002</v>
      </c>
      <c r="Q87" s="239"/>
      <c r="R87" s="157"/>
      <c r="S87" s="253" t="s">
        <v>448</v>
      </c>
      <c r="T87" s="258">
        <v>0</v>
      </c>
      <c r="U87" s="258">
        <v>9553</v>
      </c>
      <c r="V87" s="258">
        <v>665</v>
      </c>
      <c r="W87" s="258">
        <v>774370</v>
      </c>
      <c r="X87" s="258">
        <v>1</v>
      </c>
      <c r="Y87" s="245"/>
      <c r="Z87" s="245" t="s">
        <v>592</v>
      </c>
      <c r="AA87" s="245">
        <v>500200</v>
      </c>
      <c r="AB87" s="245">
        <v>2</v>
      </c>
      <c r="AC87" s="245">
        <v>1</v>
      </c>
      <c r="AD87" s="245">
        <v>4</v>
      </c>
      <c r="AE87" s="245">
        <v>1</v>
      </c>
      <c r="AF87" s="245"/>
      <c r="AG87" s="245" t="s">
        <v>601</v>
      </c>
      <c r="AH87" s="245">
        <v>0</v>
      </c>
      <c r="AI87" s="245">
        <v>0</v>
      </c>
      <c r="AJ87" s="245">
        <v>0</v>
      </c>
      <c r="AK87" s="245">
        <v>0</v>
      </c>
      <c r="AL87" s="245">
        <v>0</v>
      </c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556</v>
      </c>
      <c r="BQ87" s="245"/>
      <c r="BR87" s="245"/>
    </row>
    <row r="88" spans="1:70" x14ac:dyDescent="0.2">
      <c r="A88" s="151"/>
      <c r="B88" s="190" t="s">
        <v>282</v>
      </c>
      <c r="C88" s="193">
        <v>40662</v>
      </c>
      <c r="D88" s="190">
        <v>4825.42</v>
      </c>
      <c r="E88" s="223">
        <v>1</v>
      </c>
      <c r="F88" s="209"/>
      <c r="G88" s="223" t="s">
        <v>60</v>
      </c>
      <c r="H88" s="223">
        <v>10123.53589012</v>
      </c>
      <c r="I88" s="164"/>
      <c r="J88" s="157"/>
      <c r="K88" s="228"/>
      <c r="L88" s="228"/>
      <c r="M88" s="228"/>
      <c r="O88" s="241" t="s">
        <v>53</v>
      </c>
      <c r="P88" s="241">
        <v>11394.56601995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 t="s">
        <v>566</v>
      </c>
      <c r="AA88" s="245">
        <v>0</v>
      </c>
      <c r="AB88" s="245">
        <v>0</v>
      </c>
      <c r="AC88" s="245">
        <v>0</v>
      </c>
      <c r="AD88" s="245">
        <v>0</v>
      </c>
      <c r="AE88" s="245">
        <v>0</v>
      </c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85625</v>
      </c>
      <c r="BQ88" s="245"/>
      <c r="BR88" s="245"/>
    </row>
    <row r="89" spans="1:70" x14ac:dyDescent="0.2">
      <c r="A89" s="14"/>
      <c r="B89" s="190" t="s">
        <v>61</v>
      </c>
      <c r="C89" s="193">
        <v>39590</v>
      </c>
      <c r="D89" s="190">
        <v>77308.45</v>
      </c>
      <c r="E89" s="223">
        <v>1</v>
      </c>
      <c r="F89" s="209"/>
      <c r="G89" s="223" t="s">
        <v>53</v>
      </c>
      <c r="H89" s="223">
        <v>11548.71514385</v>
      </c>
      <c r="I89" s="164"/>
      <c r="J89" s="157"/>
      <c r="K89" s="228"/>
      <c r="L89" s="228"/>
      <c r="M89" s="228"/>
      <c r="O89" s="241" t="s">
        <v>549</v>
      </c>
      <c r="P89" s="241">
        <v>16631.9036576</v>
      </c>
      <c r="Q89" s="239"/>
      <c r="S89" s="245"/>
      <c r="T89" s="245"/>
      <c r="U89" s="245"/>
      <c r="V89" s="245"/>
      <c r="W89" s="245"/>
      <c r="X89" s="245"/>
      <c r="Y89" s="245"/>
      <c r="Z89" s="245" t="s">
        <v>601</v>
      </c>
      <c r="AA89" s="245">
        <v>0</v>
      </c>
      <c r="AB89" s="245">
        <v>0</v>
      </c>
      <c r="AC89" s="245">
        <v>0</v>
      </c>
      <c r="AD89" s="245">
        <v>0</v>
      </c>
      <c r="AE89" s="245">
        <v>0</v>
      </c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65</v>
      </c>
      <c r="C90" s="193">
        <v>42520</v>
      </c>
      <c r="D90" s="190">
        <v>74332.170788069998</v>
      </c>
      <c r="E90" s="223">
        <v>1</v>
      </c>
      <c r="F90" s="213"/>
      <c r="G90" s="223" t="s">
        <v>549</v>
      </c>
      <c r="H90" s="223">
        <v>16708.033385980001</v>
      </c>
      <c r="I90" s="164"/>
      <c r="J90" s="157"/>
      <c r="K90" s="228"/>
      <c r="L90" s="228"/>
      <c r="M90" s="228"/>
      <c r="O90" s="241" t="s">
        <v>550</v>
      </c>
      <c r="P90" s="241">
        <v>17539.007732589998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556</v>
      </c>
      <c r="BQ90" s="245"/>
      <c r="BR90" s="245"/>
    </row>
    <row r="91" spans="1:70" x14ac:dyDescent="0.2">
      <c r="A91" s="149"/>
      <c r="B91" s="190" t="s">
        <v>67</v>
      </c>
      <c r="C91" s="193">
        <v>42118</v>
      </c>
      <c r="D91" s="190">
        <v>17911.36431723</v>
      </c>
      <c r="E91" s="223">
        <v>1</v>
      </c>
      <c r="F91" s="213"/>
      <c r="G91" s="223" t="s">
        <v>550</v>
      </c>
      <c r="H91" s="223">
        <v>17642.010169019999</v>
      </c>
      <c r="I91" s="164"/>
      <c r="J91" s="157"/>
      <c r="K91" s="228"/>
      <c r="L91" s="228"/>
      <c r="M91" s="228"/>
      <c r="O91" s="241" t="s">
        <v>314</v>
      </c>
      <c r="P91" s="241">
        <v>8985.7474531200005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98555</v>
      </c>
      <c r="BQ91" s="245"/>
      <c r="BR91" s="245"/>
    </row>
    <row r="92" spans="1:70" x14ac:dyDescent="0.2">
      <c r="A92" s="149"/>
      <c r="B92" s="190" t="s">
        <v>69</v>
      </c>
      <c r="C92" s="193">
        <v>42312</v>
      </c>
      <c r="D92" s="190">
        <v>77813.852225080002</v>
      </c>
      <c r="E92" s="223">
        <v>1</v>
      </c>
      <c r="F92" s="213"/>
      <c r="G92" s="223" t="s">
        <v>314</v>
      </c>
      <c r="H92" s="223">
        <v>8146.5485691800004</v>
      </c>
      <c r="I92" s="164"/>
      <c r="J92" s="157"/>
      <c r="K92" s="228"/>
      <c r="L92" s="228"/>
      <c r="M92" s="228"/>
      <c r="O92" s="241" t="s">
        <v>315</v>
      </c>
      <c r="P92" s="241">
        <v>28608.55158385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111</v>
      </c>
      <c r="C93" s="193">
        <v>42346</v>
      </c>
      <c r="D93" s="190">
        <v>1703.8449540300001</v>
      </c>
      <c r="E93" s="223">
        <v>1</v>
      </c>
      <c r="F93" s="213"/>
      <c r="G93" s="223" t="s">
        <v>315</v>
      </c>
      <c r="H93" s="223">
        <v>27949.35409954</v>
      </c>
      <c r="I93" s="164"/>
      <c r="J93" s="157"/>
      <c r="K93" s="228"/>
      <c r="L93" s="228"/>
      <c r="M93" s="228"/>
      <c r="O93" s="241" t="s">
        <v>316</v>
      </c>
      <c r="P93" s="241">
        <v>5055.3862859399997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113</v>
      </c>
      <c r="C94" s="193">
        <v>38723</v>
      </c>
      <c r="D94" s="190">
        <v>641.64</v>
      </c>
      <c r="E94" s="223">
        <v>1</v>
      </c>
      <c r="F94" s="209"/>
      <c r="G94" s="223" t="s">
        <v>316</v>
      </c>
      <c r="H94" s="223">
        <v>4969.5932929099999</v>
      </c>
      <c r="I94" s="164"/>
      <c r="J94" s="157"/>
      <c r="K94" s="228"/>
      <c r="L94" s="228"/>
      <c r="M94" s="228"/>
      <c r="O94" s="241" t="s">
        <v>74</v>
      </c>
      <c r="P94" s="241">
        <v>22659.078191870001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115</v>
      </c>
      <c r="C95" s="193">
        <v>39400</v>
      </c>
      <c r="D95" s="190">
        <v>5041.9399999999996</v>
      </c>
      <c r="E95" s="223">
        <v>1</v>
      </c>
      <c r="F95" s="209"/>
      <c r="G95" s="223" t="s">
        <v>74</v>
      </c>
      <c r="H95" s="223">
        <v>23061.875943530002</v>
      </c>
      <c r="I95" s="164"/>
      <c r="J95" s="157"/>
      <c r="K95" s="228"/>
      <c r="L95" s="228"/>
      <c r="M95" s="228"/>
      <c r="O95" s="241" t="s">
        <v>76</v>
      </c>
      <c r="P95" s="241">
        <v>47368.480979690001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283</v>
      </c>
      <c r="C96" s="193">
        <v>39400</v>
      </c>
      <c r="D96" s="190">
        <v>2186.16</v>
      </c>
      <c r="E96" s="223">
        <v>1</v>
      </c>
      <c r="F96" s="213"/>
      <c r="G96" s="223" t="s">
        <v>76</v>
      </c>
      <c r="H96" s="223">
        <v>46170.515642619997</v>
      </c>
      <c r="I96" s="164"/>
      <c r="J96" s="157"/>
      <c r="K96" s="228"/>
      <c r="L96" s="228"/>
      <c r="M96" s="228"/>
      <c r="O96" s="241" t="s">
        <v>78</v>
      </c>
      <c r="P96" s="241">
        <v>72497.003425210001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284</v>
      </c>
      <c r="C97" s="193">
        <v>39384</v>
      </c>
      <c r="D97" s="190">
        <v>92.671239999999997</v>
      </c>
      <c r="E97" s="223">
        <v>1</v>
      </c>
      <c r="F97" s="213"/>
      <c r="G97" s="223" t="s">
        <v>78</v>
      </c>
      <c r="H97" s="223">
        <v>76179.093311019999</v>
      </c>
      <c r="I97" s="164"/>
      <c r="K97" s="228"/>
      <c r="L97" s="228"/>
      <c r="M97" s="228"/>
      <c r="O97" s="241" t="s">
        <v>317</v>
      </c>
      <c r="P97" s="241">
        <v>10490.325302409999</v>
      </c>
    </row>
    <row r="98" spans="1:16" x14ac:dyDescent="0.2">
      <c r="A98" s="149"/>
      <c r="B98" s="190" t="s">
        <v>285</v>
      </c>
      <c r="C98" s="193">
        <v>42520</v>
      </c>
      <c r="D98" s="190">
        <v>335.62757864000002</v>
      </c>
      <c r="E98" s="223">
        <v>1</v>
      </c>
      <c r="F98" s="213"/>
      <c r="G98" s="223" t="s">
        <v>317</v>
      </c>
      <c r="H98" s="223">
        <v>10446.002188320001</v>
      </c>
      <c r="I98" s="164"/>
      <c r="K98" s="228"/>
      <c r="L98" s="228"/>
      <c r="M98" s="228"/>
      <c r="O98" s="241" t="s">
        <v>318</v>
      </c>
      <c r="P98" s="241">
        <v>7333.1501968100001</v>
      </c>
    </row>
    <row r="99" spans="1:16" x14ac:dyDescent="0.2">
      <c r="A99" s="149"/>
      <c r="B99" s="190" t="s">
        <v>286</v>
      </c>
      <c r="C99" s="193">
        <v>41824</v>
      </c>
      <c r="D99" s="190">
        <v>253.72994224000001</v>
      </c>
      <c r="E99" s="223">
        <v>1</v>
      </c>
      <c r="F99" s="213"/>
      <c r="G99" s="223" t="s">
        <v>318</v>
      </c>
      <c r="H99" s="223">
        <v>7162.1439369199998</v>
      </c>
      <c r="I99" s="164"/>
      <c r="K99" s="228"/>
      <c r="L99" s="228"/>
      <c r="M99" s="228"/>
      <c r="O99" s="241" t="s">
        <v>88</v>
      </c>
      <c r="P99" s="241">
        <v>7955.1418809099996</v>
      </c>
    </row>
    <row r="100" spans="1:16" x14ac:dyDescent="0.2">
      <c r="B100" s="190" t="s">
        <v>287</v>
      </c>
      <c r="C100" s="193">
        <v>42349</v>
      </c>
      <c r="D100" s="190">
        <v>193.77286846000001</v>
      </c>
      <c r="E100" s="223">
        <v>1</v>
      </c>
      <c r="F100" s="209"/>
      <c r="G100" s="223" t="s">
        <v>88</v>
      </c>
      <c r="H100" s="223">
        <v>7462.83473349</v>
      </c>
      <c r="I100" s="164"/>
      <c r="K100" s="228"/>
      <c r="L100" s="228"/>
      <c r="M100" s="228"/>
      <c r="O100" s="241" t="s">
        <v>80</v>
      </c>
      <c r="P100" s="241">
        <v>17634.985740700002</v>
      </c>
    </row>
    <row r="101" spans="1:16" x14ac:dyDescent="0.2">
      <c r="B101" s="190" t="s">
        <v>288</v>
      </c>
      <c r="C101" s="193">
        <v>42520</v>
      </c>
      <c r="D101" s="190">
        <v>435.48899929999999</v>
      </c>
      <c r="E101" s="223">
        <v>1</v>
      </c>
      <c r="F101" s="213"/>
      <c r="G101" s="223" t="s">
        <v>80</v>
      </c>
      <c r="H101" s="223">
        <v>18682.543017979999</v>
      </c>
      <c r="I101" s="164"/>
      <c r="K101" s="228"/>
      <c r="L101" s="228"/>
      <c r="M101" s="228"/>
      <c r="O101" s="241" t="s">
        <v>319</v>
      </c>
      <c r="P101" s="241">
        <v>456.51575329000002</v>
      </c>
    </row>
    <row r="102" spans="1:16" x14ac:dyDescent="0.2">
      <c r="B102" s="190" t="s">
        <v>289</v>
      </c>
      <c r="C102" s="193">
        <v>42312</v>
      </c>
      <c r="D102" s="190">
        <v>8236.4463907900008</v>
      </c>
      <c r="E102" s="223">
        <v>1</v>
      </c>
      <c r="F102" s="209"/>
      <c r="G102" s="223" t="s">
        <v>319</v>
      </c>
      <c r="H102" s="223">
        <v>503.52761218000001</v>
      </c>
      <c r="I102" s="164"/>
      <c r="K102" s="228"/>
      <c r="L102" s="228"/>
      <c r="M102" s="228"/>
      <c r="O102" s="241" t="s">
        <v>86</v>
      </c>
      <c r="P102" s="241">
        <v>6751.1909092300002</v>
      </c>
    </row>
    <row r="103" spans="1:16" x14ac:dyDescent="0.2">
      <c r="A103" s="14"/>
      <c r="B103" s="190" t="s">
        <v>290</v>
      </c>
      <c r="C103" s="193">
        <v>40926</v>
      </c>
      <c r="D103" s="190">
        <v>1131.78</v>
      </c>
      <c r="E103" s="223">
        <v>1</v>
      </c>
      <c r="F103" s="213"/>
      <c r="G103" s="223" t="s">
        <v>86</v>
      </c>
      <c r="H103" s="223">
        <v>6914.4127710000002</v>
      </c>
      <c r="I103" s="164"/>
      <c r="K103" s="228"/>
      <c r="L103" s="228"/>
      <c r="M103" s="228"/>
      <c r="O103" s="241" t="s">
        <v>320</v>
      </c>
      <c r="P103" s="241">
        <v>6329.0306423900001</v>
      </c>
    </row>
    <row r="104" spans="1:16" x14ac:dyDescent="0.2">
      <c r="B104" s="190" t="s">
        <v>95</v>
      </c>
      <c r="C104" s="193">
        <v>42578</v>
      </c>
      <c r="D104" s="190">
        <v>678.08424324999999</v>
      </c>
      <c r="E104" s="223">
        <v>1</v>
      </c>
      <c r="F104" s="213"/>
      <c r="G104" s="223" t="s">
        <v>320</v>
      </c>
      <c r="H104" s="223">
        <v>6181.3716114199997</v>
      </c>
      <c r="I104" s="164"/>
      <c r="K104" s="228"/>
      <c r="L104" s="228"/>
      <c r="M104" s="228"/>
      <c r="O104" s="241" t="s">
        <v>82</v>
      </c>
      <c r="P104" s="241">
        <v>41076.490667320002</v>
      </c>
    </row>
    <row r="105" spans="1:16" x14ac:dyDescent="0.2">
      <c r="B105" s="190" t="s">
        <v>97</v>
      </c>
      <c r="C105" s="193">
        <v>42305</v>
      </c>
      <c r="D105" s="190">
        <v>597.8558587</v>
      </c>
      <c r="E105" s="223">
        <v>1</v>
      </c>
      <c r="F105" s="213"/>
      <c r="G105" s="223" t="s">
        <v>82</v>
      </c>
      <c r="H105" s="223">
        <v>40260.921326379997</v>
      </c>
      <c r="I105" s="164"/>
      <c r="K105" s="228"/>
      <c r="L105" s="228"/>
      <c r="M105" s="228"/>
      <c r="O105" s="241" t="s">
        <v>84</v>
      </c>
      <c r="P105" s="241">
        <v>55668.500661700004</v>
      </c>
    </row>
    <row r="106" spans="1:16" x14ac:dyDescent="0.2">
      <c r="B106" s="190" t="s">
        <v>291</v>
      </c>
      <c r="C106" s="193">
        <v>42032</v>
      </c>
      <c r="D106" s="190">
        <v>695.5143372</v>
      </c>
      <c r="E106" s="223">
        <v>1</v>
      </c>
      <c r="F106" s="213"/>
      <c r="G106" s="223" t="s">
        <v>84</v>
      </c>
      <c r="H106" s="223">
        <v>53977.811363770001</v>
      </c>
      <c r="I106" s="164"/>
      <c r="K106" s="228"/>
      <c r="L106" s="228"/>
      <c r="M106" s="228"/>
      <c r="O106" s="241" t="s">
        <v>321</v>
      </c>
      <c r="P106" s="241">
        <v>8859.5530106799997</v>
      </c>
    </row>
    <row r="107" spans="1:16" x14ac:dyDescent="0.2">
      <c r="B107" s="190" t="s">
        <v>292</v>
      </c>
      <c r="C107" s="193">
        <v>41411</v>
      </c>
      <c r="D107" s="190">
        <v>2240.63</v>
      </c>
      <c r="E107" s="223">
        <v>1</v>
      </c>
      <c r="F107" s="213"/>
      <c r="G107" s="223" t="s">
        <v>321</v>
      </c>
      <c r="H107" s="223">
        <v>8770.9123600500006</v>
      </c>
      <c r="I107" s="164"/>
      <c r="K107" s="228"/>
      <c r="L107" s="228"/>
      <c r="M107" s="228"/>
      <c r="O107" s="241" t="s">
        <v>322</v>
      </c>
      <c r="P107" s="241">
        <v>2188.1441453000002</v>
      </c>
    </row>
    <row r="108" spans="1:16" x14ac:dyDescent="0.2">
      <c r="B108" s="190" t="s">
        <v>293</v>
      </c>
      <c r="C108" s="193">
        <v>42520</v>
      </c>
      <c r="D108" s="190">
        <v>82077.662416840001</v>
      </c>
      <c r="E108" s="223">
        <v>1</v>
      </c>
      <c r="F108" s="209"/>
      <c r="G108" s="223" t="s">
        <v>322</v>
      </c>
      <c r="H108" s="223">
        <v>2408.3387886400001</v>
      </c>
      <c r="I108" s="164"/>
      <c r="K108" s="228"/>
      <c r="L108" s="228"/>
      <c r="M108" s="228"/>
      <c r="O108" s="241" t="s">
        <v>323</v>
      </c>
      <c r="P108" s="241">
        <v>219.21188444000001</v>
      </c>
    </row>
    <row r="109" spans="1:16" x14ac:dyDescent="0.2">
      <c r="B109" s="190" t="s">
        <v>99</v>
      </c>
      <c r="C109" s="193">
        <v>39590</v>
      </c>
      <c r="D109" s="190">
        <v>42495.61</v>
      </c>
      <c r="E109" s="223">
        <v>1</v>
      </c>
      <c r="F109" s="209"/>
      <c r="G109" s="223" t="s">
        <v>323</v>
      </c>
      <c r="H109" s="223">
        <v>223.31531034</v>
      </c>
      <c r="I109" s="164"/>
      <c r="K109" s="228"/>
      <c r="L109" s="228"/>
      <c r="M109" s="228"/>
      <c r="O109" s="241" t="s">
        <v>324</v>
      </c>
      <c r="P109" s="241">
        <v>7374.6466464699997</v>
      </c>
    </row>
    <row r="110" spans="1:16" x14ac:dyDescent="0.2">
      <c r="B110" s="190" t="s">
        <v>294</v>
      </c>
      <c r="C110" s="193">
        <v>42048</v>
      </c>
      <c r="D110" s="190">
        <v>246.82307969999999</v>
      </c>
      <c r="E110" s="223">
        <v>1</v>
      </c>
      <c r="F110" s="209"/>
      <c r="G110" s="223" t="s">
        <v>324</v>
      </c>
      <c r="H110" s="223">
        <v>7135.2534319400002</v>
      </c>
      <c r="I110" s="164"/>
      <c r="K110" s="228"/>
      <c r="L110" s="228"/>
      <c r="M110" s="228"/>
      <c r="O110" s="241" t="s">
        <v>325</v>
      </c>
      <c r="P110" s="241">
        <v>64099.479300229999</v>
      </c>
    </row>
    <row r="111" spans="1:16" x14ac:dyDescent="0.2">
      <c r="B111" s="190" t="s">
        <v>295</v>
      </c>
      <c r="C111" s="193">
        <v>42122</v>
      </c>
      <c r="D111" s="190">
        <v>10462.682748179999</v>
      </c>
      <c r="E111" s="223">
        <v>1</v>
      </c>
      <c r="F111" s="209"/>
      <c r="G111" s="223" t="s">
        <v>325</v>
      </c>
      <c r="H111" s="223">
        <v>67287.140511560006</v>
      </c>
      <c r="I111" s="164"/>
      <c r="K111" s="228"/>
      <c r="L111" s="228"/>
      <c r="M111" s="228"/>
      <c r="O111" s="241" t="s">
        <v>326</v>
      </c>
      <c r="P111" s="241">
        <v>37295.044381510001</v>
      </c>
    </row>
    <row r="112" spans="1:16" x14ac:dyDescent="0.2">
      <c r="B112" s="190" t="s">
        <v>296</v>
      </c>
      <c r="C112" s="193">
        <v>42122</v>
      </c>
      <c r="D112" s="190">
        <v>9914.4898120199996</v>
      </c>
      <c r="E112" s="223">
        <v>1</v>
      </c>
      <c r="F112" s="209"/>
      <c r="G112" s="223" t="s">
        <v>326</v>
      </c>
      <c r="H112" s="223">
        <v>36501.435417189998</v>
      </c>
      <c r="I112" s="164"/>
      <c r="K112" s="228"/>
      <c r="L112" s="228"/>
      <c r="M112" s="228"/>
      <c r="O112" s="241" t="s">
        <v>327</v>
      </c>
      <c r="P112" s="241">
        <v>1328.42465356</v>
      </c>
    </row>
    <row r="113" spans="2:16" x14ac:dyDescent="0.2">
      <c r="B113" s="190" t="s">
        <v>297</v>
      </c>
      <c r="C113" s="193">
        <v>42594</v>
      </c>
      <c r="D113" s="190">
        <v>194.38269908999999</v>
      </c>
      <c r="E113" s="223">
        <v>1</v>
      </c>
      <c r="F113" s="209"/>
      <c r="G113" s="223" t="s">
        <v>327</v>
      </c>
      <c r="H113" s="223">
        <v>1289.5580075600001</v>
      </c>
      <c r="I113" s="164"/>
      <c r="K113" s="228"/>
      <c r="L113" s="228"/>
      <c r="M113" s="228"/>
      <c r="O113" s="241" t="s">
        <v>190</v>
      </c>
      <c r="P113" s="241">
        <v>925.37430224000002</v>
      </c>
    </row>
    <row r="114" spans="2:16" x14ac:dyDescent="0.2">
      <c r="B114" s="190" t="s">
        <v>298</v>
      </c>
      <c r="C114" s="193">
        <v>39226</v>
      </c>
      <c r="D114" s="190">
        <v>30904.43</v>
      </c>
      <c r="E114" s="223">
        <v>1</v>
      </c>
      <c r="F114" s="209"/>
      <c r="G114" s="223" t="s">
        <v>190</v>
      </c>
      <c r="H114" s="223">
        <v>915.30211276</v>
      </c>
      <c r="I114" s="164"/>
      <c r="K114" s="228"/>
      <c r="L114" s="228"/>
      <c r="M114" s="228"/>
      <c r="O114" s="241" t="s">
        <v>329</v>
      </c>
      <c r="P114" s="241">
        <v>3915.0924052599999</v>
      </c>
    </row>
    <row r="115" spans="2:16" x14ac:dyDescent="0.2">
      <c r="B115" s="190" t="s">
        <v>299</v>
      </c>
      <c r="C115" s="193">
        <v>41655</v>
      </c>
      <c r="D115" s="190">
        <v>9348.2787054399996</v>
      </c>
      <c r="E115" s="223">
        <v>1</v>
      </c>
      <c r="F115" s="209"/>
      <c r="G115" s="223" t="s">
        <v>329</v>
      </c>
      <c r="H115" s="223">
        <v>3840.7443163299999</v>
      </c>
      <c r="I115" s="164"/>
      <c r="K115" s="228"/>
      <c r="L115" s="228"/>
      <c r="M115" s="228"/>
      <c r="O115" s="241" t="s">
        <v>330</v>
      </c>
      <c r="P115" s="241">
        <v>4688.5686793300001</v>
      </c>
    </row>
    <row r="116" spans="2:16" x14ac:dyDescent="0.2">
      <c r="B116" s="190" t="s">
        <v>300</v>
      </c>
      <c r="C116" s="193">
        <v>41800</v>
      </c>
      <c r="D116" s="190">
        <v>210.35973263</v>
      </c>
      <c r="E116" s="223">
        <v>1</v>
      </c>
      <c r="F116" s="209"/>
      <c r="G116" s="223" t="s">
        <v>330</v>
      </c>
      <c r="H116" s="223">
        <v>4968.4392531399999</v>
      </c>
      <c r="I116" s="164"/>
      <c r="K116" s="228"/>
      <c r="L116" s="228"/>
      <c r="M116" s="228"/>
      <c r="O116" s="241" t="s">
        <v>331</v>
      </c>
      <c r="P116" s="241">
        <v>1193.4317344000001</v>
      </c>
    </row>
    <row r="117" spans="2:16" x14ac:dyDescent="0.2">
      <c r="B117" s="190" t="s">
        <v>301</v>
      </c>
      <c r="C117" s="193">
        <v>42193</v>
      </c>
      <c r="D117" s="190">
        <v>3470.8482101700001</v>
      </c>
      <c r="E117" s="223">
        <v>1</v>
      </c>
      <c r="F117" s="209"/>
      <c r="G117" s="223" t="s">
        <v>331</v>
      </c>
      <c r="H117" s="223">
        <v>1157.1864208500001</v>
      </c>
      <c r="I117" s="164"/>
      <c r="K117" s="228"/>
      <c r="L117" s="228"/>
      <c r="M117" s="228"/>
      <c r="O117" s="241" t="s">
        <v>333</v>
      </c>
      <c r="P117" s="241">
        <v>59.832225029999996</v>
      </c>
    </row>
    <row r="118" spans="2:16" x14ac:dyDescent="0.2">
      <c r="B118" s="190" t="s">
        <v>302</v>
      </c>
      <c r="C118" s="193">
        <v>42122</v>
      </c>
      <c r="D118" s="190">
        <v>10348.20134439</v>
      </c>
      <c r="E118" s="223">
        <v>1</v>
      </c>
      <c r="F118" s="209"/>
      <c r="G118" s="223" t="s">
        <v>333</v>
      </c>
      <c r="H118" s="223">
        <v>60.21741686</v>
      </c>
      <c r="I118" s="164"/>
      <c r="K118" s="228"/>
      <c r="L118" s="228"/>
      <c r="M118" s="228"/>
      <c r="O118" s="241" t="s">
        <v>334</v>
      </c>
      <c r="P118" s="241">
        <v>101.38912388</v>
      </c>
    </row>
    <row r="119" spans="2:16" x14ac:dyDescent="0.2">
      <c r="B119" s="190" t="s">
        <v>303</v>
      </c>
      <c r="C119" s="193">
        <v>42823</v>
      </c>
      <c r="D119" s="190">
        <v>11384.528200000001</v>
      </c>
      <c r="E119" s="223">
        <v>1</v>
      </c>
      <c r="F119" s="209"/>
      <c r="G119" s="223" t="s">
        <v>334</v>
      </c>
      <c r="H119" s="223">
        <v>104.60655216000001</v>
      </c>
      <c r="I119" s="164"/>
      <c r="K119" s="228"/>
      <c r="L119" s="228"/>
      <c r="M119" s="228"/>
      <c r="O119" s="241" t="s">
        <v>335</v>
      </c>
      <c r="P119" s="241">
        <v>44.076077929999997</v>
      </c>
    </row>
    <row r="120" spans="2:16" x14ac:dyDescent="0.2">
      <c r="B120" s="190" t="s">
        <v>304</v>
      </c>
      <c r="C120" s="193">
        <v>42122</v>
      </c>
      <c r="D120" s="190">
        <v>26558.425318059999</v>
      </c>
      <c r="E120" s="223">
        <v>1</v>
      </c>
      <c r="F120" s="209"/>
      <c r="G120" s="223" t="s">
        <v>335</v>
      </c>
      <c r="H120" s="223">
        <v>43.862112670000002</v>
      </c>
      <c r="I120" s="164"/>
      <c r="K120" s="228"/>
      <c r="L120" s="228"/>
      <c r="M120" s="228"/>
      <c r="O120" s="241" t="s">
        <v>336</v>
      </c>
      <c r="P120" s="241">
        <v>71.577883009999994</v>
      </c>
    </row>
    <row r="121" spans="2:16" x14ac:dyDescent="0.2">
      <c r="B121" s="190" t="s">
        <v>58</v>
      </c>
      <c r="C121" s="193">
        <v>42118</v>
      </c>
      <c r="D121" s="190">
        <v>26143.228642859998</v>
      </c>
      <c r="E121" s="223">
        <v>1</v>
      </c>
      <c r="F121" s="209"/>
      <c r="G121" s="223" t="s">
        <v>336</v>
      </c>
      <c r="H121" s="223">
        <v>73.020701889999998</v>
      </c>
      <c r="I121" s="164"/>
      <c r="K121" s="228"/>
      <c r="L121" s="228"/>
      <c r="M121" s="228"/>
      <c r="O121" s="241" t="s">
        <v>337</v>
      </c>
      <c r="P121" s="241">
        <v>44131.366288329998</v>
      </c>
    </row>
    <row r="122" spans="2:16" x14ac:dyDescent="0.2">
      <c r="B122" s="190" t="s">
        <v>51</v>
      </c>
      <c r="C122" s="193">
        <v>42118</v>
      </c>
      <c r="D122" s="190">
        <v>27992.528654580001</v>
      </c>
      <c r="E122" s="223">
        <v>1</v>
      </c>
      <c r="F122" s="209"/>
      <c r="G122" s="223" t="s">
        <v>337</v>
      </c>
      <c r="H122" s="223">
        <v>45167.148358209997</v>
      </c>
      <c r="I122" s="164"/>
      <c r="K122" s="228"/>
      <c r="L122" s="228"/>
      <c r="M122" s="228"/>
      <c r="O122" s="241" t="s">
        <v>338</v>
      </c>
      <c r="P122" s="241">
        <v>3626.7939931199999</v>
      </c>
    </row>
    <row r="123" spans="2:16" x14ac:dyDescent="0.2">
      <c r="B123" s="190" t="s">
        <v>305</v>
      </c>
      <c r="C123" s="193">
        <v>40588</v>
      </c>
      <c r="D123" s="190">
        <v>24209.279999999999</v>
      </c>
      <c r="E123" s="223">
        <v>1</v>
      </c>
      <c r="F123" s="209"/>
      <c r="G123" s="223" t="s">
        <v>338</v>
      </c>
      <c r="H123" s="223">
        <v>3620.9092221999999</v>
      </c>
      <c r="I123" s="164"/>
      <c r="K123" s="228"/>
      <c r="L123" s="228"/>
      <c r="M123" s="228"/>
      <c r="O123" s="241" t="s">
        <v>339</v>
      </c>
      <c r="P123" s="241">
        <v>51146.045398219998</v>
      </c>
    </row>
    <row r="124" spans="2:16" x14ac:dyDescent="0.2">
      <c r="B124" s="190" t="s">
        <v>548</v>
      </c>
      <c r="C124" s="193">
        <v>42823</v>
      </c>
      <c r="D124" s="190">
        <v>68936.572801300004</v>
      </c>
      <c r="E124" s="223">
        <v>1</v>
      </c>
      <c r="F124" s="209"/>
      <c r="G124" s="223" t="s">
        <v>339</v>
      </c>
      <c r="H124" s="223">
        <v>52056.057170990003</v>
      </c>
      <c r="I124" s="164"/>
      <c r="K124" s="228"/>
      <c r="L124" s="228"/>
      <c r="M124" s="228"/>
      <c r="O124" s="241" t="s">
        <v>340</v>
      </c>
      <c r="P124" s="241">
        <v>11394.56601995</v>
      </c>
    </row>
    <row r="125" spans="2:16" x14ac:dyDescent="0.2">
      <c r="B125" s="190" t="s">
        <v>101</v>
      </c>
      <c r="C125" s="193">
        <v>42129</v>
      </c>
      <c r="D125" s="190">
        <v>431.46959335999998</v>
      </c>
      <c r="E125" s="223">
        <v>1</v>
      </c>
      <c r="F125" s="209"/>
      <c r="G125" s="223" t="s">
        <v>340</v>
      </c>
      <c r="H125" s="223">
        <v>11548.71514385</v>
      </c>
      <c r="I125" s="164"/>
      <c r="K125" s="228"/>
      <c r="L125" s="228"/>
      <c r="M125" s="228"/>
      <c r="O125" s="241" t="s">
        <v>341</v>
      </c>
      <c r="P125" s="241">
        <v>910.75910202</v>
      </c>
    </row>
    <row r="126" spans="2:16" x14ac:dyDescent="0.2">
      <c r="B126" s="190" t="s">
        <v>103</v>
      </c>
      <c r="C126" s="193">
        <v>42520</v>
      </c>
      <c r="D126" s="190">
        <v>635.35784243000001</v>
      </c>
      <c r="E126" s="223">
        <v>1</v>
      </c>
      <c r="F126" s="209"/>
      <c r="G126" s="223" t="s">
        <v>341</v>
      </c>
      <c r="H126" s="223">
        <v>905.69210951000002</v>
      </c>
      <c r="I126" s="164"/>
      <c r="K126" s="228"/>
      <c r="L126" s="228"/>
      <c r="M126" s="228"/>
      <c r="O126" s="241" t="s">
        <v>342</v>
      </c>
      <c r="P126" s="241">
        <v>9611.2830022599992</v>
      </c>
    </row>
    <row r="127" spans="2:16" x14ac:dyDescent="0.2">
      <c r="B127" s="190" t="s">
        <v>306</v>
      </c>
      <c r="C127" s="193">
        <v>41689</v>
      </c>
      <c r="D127" s="190">
        <v>10314.608568510001</v>
      </c>
      <c r="E127" s="223">
        <v>1</v>
      </c>
      <c r="F127" s="209"/>
      <c r="G127" s="223" t="s">
        <v>342</v>
      </c>
      <c r="H127" s="223">
        <v>9751.1547102599998</v>
      </c>
      <c r="I127" s="164"/>
      <c r="K127" s="228"/>
      <c r="L127" s="228"/>
      <c r="M127" s="228"/>
      <c r="O127" s="241" t="s">
        <v>343</v>
      </c>
      <c r="P127" s="241">
        <v>2938.03082842</v>
      </c>
    </row>
    <row r="128" spans="2:16" x14ac:dyDescent="0.2">
      <c r="B128" s="190" t="s">
        <v>307</v>
      </c>
      <c r="C128" s="193">
        <v>42520</v>
      </c>
      <c r="D128" s="190">
        <v>335.45749834999998</v>
      </c>
      <c r="E128" s="223">
        <v>1</v>
      </c>
      <c r="F128" s="209"/>
      <c r="G128" s="223" t="s">
        <v>343</v>
      </c>
      <c r="H128" s="223">
        <v>2929.3811947999998</v>
      </c>
      <c r="I128" s="164"/>
      <c r="K128" s="228"/>
      <c r="L128" s="228"/>
      <c r="M128" s="228"/>
      <c r="O128" s="241" t="s">
        <v>344</v>
      </c>
      <c r="P128" s="241">
        <v>9947.5645125800002</v>
      </c>
    </row>
    <row r="129" spans="2:16" x14ac:dyDescent="0.2">
      <c r="B129" s="190" t="s">
        <v>308</v>
      </c>
      <c r="C129" s="193">
        <v>41893</v>
      </c>
      <c r="D129" s="190">
        <v>83071.234493240001</v>
      </c>
      <c r="E129" s="223">
        <v>1</v>
      </c>
      <c r="F129" s="209"/>
      <c r="G129" s="223" t="s">
        <v>344</v>
      </c>
      <c r="H129" s="223">
        <v>10123.53589012</v>
      </c>
      <c r="I129" s="164"/>
      <c r="K129" s="228"/>
      <c r="L129" s="228"/>
      <c r="M129" s="228"/>
      <c r="O129" s="241" t="s">
        <v>346</v>
      </c>
      <c r="P129" s="241">
        <v>7486.13</v>
      </c>
    </row>
    <row r="130" spans="2:16" x14ac:dyDescent="0.2">
      <c r="B130" s="190" t="s">
        <v>309</v>
      </c>
      <c r="C130" s="193">
        <v>42460</v>
      </c>
      <c r="D130" s="190">
        <v>664.66121383999996</v>
      </c>
      <c r="E130" s="223">
        <v>1</v>
      </c>
      <c r="F130" s="209"/>
      <c r="G130" s="223" t="s">
        <v>346</v>
      </c>
      <c r="H130" s="223">
        <v>7802.26</v>
      </c>
      <c r="I130" s="164"/>
      <c r="K130" s="228"/>
      <c r="L130" s="228"/>
      <c r="M130" s="228"/>
      <c r="O130" s="241" t="s">
        <v>347</v>
      </c>
      <c r="P130" s="241">
        <v>13894.27</v>
      </c>
    </row>
    <row r="131" spans="2:16" x14ac:dyDescent="0.2">
      <c r="B131" s="190" t="s">
        <v>310</v>
      </c>
      <c r="C131" s="193">
        <v>38840</v>
      </c>
      <c r="D131" s="190">
        <v>2905.13</v>
      </c>
      <c r="E131" s="223">
        <v>1</v>
      </c>
      <c r="F131" s="209"/>
      <c r="G131" s="223" t="s">
        <v>347</v>
      </c>
      <c r="H131" s="223">
        <v>15045.32</v>
      </c>
      <c r="I131" s="164"/>
      <c r="K131" s="228"/>
      <c r="L131" s="228"/>
      <c r="M131" s="228"/>
      <c r="O131" s="241" t="s">
        <v>348</v>
      </c>
      <c r="P131" s="241">
        <v>3384.2</v>
      </c>
    </row>
    <row r="132" spans="2:16" x14ac:dyDescent="0.2">
      <c r="B132" s="190" t="s">
        <v>311</v>
      </c>
      <c r="C132" s="193">
        <v>42312</v>
      </c>
      <c r="D132" s="190">
        <v>1204.3085317499999</v>
      </c>
      <c r="E132" s="223">
        <v>1</v>
      </c>
      <c r="F132" s="209"/>
      <c r="G132" s="223" t="s">
        <v>348</v>
      </c>
      <c r="H132" s="223">
        <v>3270.47</v>
      </c>
      <c r="I132" s="164"/>
      <c r="K132" s="228"/>
      <c r="L132" s="228"/>
      <c r="M132" s="228"/>
      <c r="O132" s="241" t="s">
        <v>349</v>
      </c>
      <c r="P132" s="241">
        <v>3920.95</v>
      </c>
    </row>
    <row r="133" spans="2:16" x14ac:dyDescent="0.2">
      <c r="B133" s="190" t="s">
        <v>312</v>
      </c>
      <c r="C133" s="193">
        <v>42521</v>
      </c>
      <c r="D133" s="190">
        <v>12393.618495070001</v>
      </c>
      <c r="E133" s="223">
        <v>1</v>
      </c>
      <c r="F133" s="209"/>
      <c r="G133" s="223" t="s">
        <v>349</v>
      </c>
      <c r="H133" s="223">
        <v>3957.69</v>
      </c>
      <c r="I133" s="164"/>
      <c r="K133" s="228"/>
      <c r="L133" s="228"/>
      <c r="M133" s="228"/>
      <c r="O133" s="241" t="s">
        <v>350</v>
      </c>
      <c r="P133" s="241">
        <v>3099.2</v>
      </c>
    </row>
    <row r="134" spans="2:16" x14ac:dyDescent="0.2">
      <c r="B134" s="190" t="s">
        <v>313</v>
      </c>
      <c r="C134" s="193">
        <v>40934</v>
      </c>
      <c r="D134" s="190">
        <v>2257.3200000000002</v>
      </c>
      <c r="E134" s="223">
        <v>1</v>
      </c>
      <c r="F134" s="209"/>
      <c r="G134" s="223" t="s">
        <v>350</v>
      </c>
      <c r="H134" s="223">
        <v>3207.24</v>
      </c>
      <c r="I134" s="164"/>
      <c r="K134" s="228"/>
      <c r="L134" s="228"/>
      <c r="M134" s="228"/>
      <c r="O134" s="241" t="s">
        <v>351</v>
      </c>
      <c r="P134" s="241">
        <v>20784.2</v>
      </c>
    </row>
    <row r="135" spans="2:16" x14ac:dyDescent="0.2">
      <c r="B135" s="190" t="s">
        <v>60</v>
      </c>
      <c r="C135" s="193">
        <v>42118</v>
      </c>
      <c r="D135" s="190">
        <v>11199.97726648</v>
      </c>
      <c r="E135" s="223">
        <v>1</v>
      </c>
      <c r="F135" s="209"/>
      <c r="G135" s="223" t="s">
        <v>351</v>
      </c>
      <c r="H135" s="223">
        <v>19910.73</v>
      </c>
      <c r="I135" s="164"/>
      <c r="K135" s="228"/>
      <c r="L135" s="228"/>
      <c r="M135" s="228"/>
      <c r="O135" s="241" t="s">
        <v>352</v>
      </c>
      <c r="P135" s="241">
        <v>3257.73</v>
      </c>
    </row>
    <row r="136" spans="2:16" x14ac:dyDescent="0.2">
      <c r="B136" s="190" t="s">
        <v>53</v>
      </c>
      <c r="C136" s="193">
        <v>42118</v>
      </c>
      <c r="D136" s="190">
        <v>12381.899096659999</v>
      </c>
      <c r="E136" s="223">
        <v>1</v>
      </c>
      <c r="F136" s="209"/>
      <c r="G136" s="223" t="s">
        <v>352</v>
      </c>
      <c r="H136" s="223">
        <v>3236.14</v>
      </c>
      <c r="I136" s="164"/>
      <c r="K136" s="228"/>
      <c r="L136" s="228"/>
      <c r="M136" s="228"/>
      <c r="O136" s="241" t="s">
        <v>353</v>
      </c>
      <c r="P136" s="241">
        <v>11118.66</v>
      </c>
    </row>
    <row r="137" spans="2:16" x14ac:dyDescent="0.2">
      <c r="B137" s="190" t="s">
        <v>549</v>
      </c>
      <c r="C137" s="193">
        <v>42600</v>
      </c>
      <c r="D137" s="190">
        <v>17971.219546740002</v>
      </c>
      <c r="E137" s="223">
        <v>1</v>
      </c>
      <c r="F137" s="209"/>
      <c r="G137" s="223" t="s">
        <v>353</v>
      </c>
      <c r="H137" s="223">
        <v>10201.370000000001</v>
      </c>
      <c r="I137" s="164"/>
      <c r="K137" s="228"/>
      <c r="L137" s="228"/>
      <c r="M137" s="228"/>
      <c r="O137" s="241" t="s">
        <v>354</v>
      </c>
      <c r="P137" s="241">
        <v>5624.84</v>
      </c>
    </row>
    <row r="138" spans="2:16" x14ac:dyDescent="0.2">
      <c r="B138" s="190" t="s">
        <v>550</v>
      </c>
      <c r="C138" s="193">
        <v>42600</v>
      </c>
      <c r="D138" s="190">
        <v>18564.14654872</v>
      </c>
      <c r="E138" s="223">
        <v>1</v>
      </c>
      <c r="F138" s="209"/>
      <c r="G138" s="223" t="s">
        <v>354</v>
      </c>
      <c r="H138" s="223">
        <v>5677.8</v>
      </c>
      <c r="I138" s="164"/>
      <c r="K138" s="228"/>
      <c r="L138" s="228"/>
      <c r="M138" s="228"/>
      <c r="O138" s="241" t="s">
        <v>355</v>
      </c>
      <c r="P138" s="241">
        <v>6294.51</v>
      </c>
    </row>
    <row r="139" spans="2:16" x14ac:dyDescent="0.2">
      <c r="B139" s="190" t="s">
        <v>314</v>
      </c>
      <c r="C139" s="193">
        <v>42117</v>
      </c>
      <c r="D139" s="190">
        <v>12915.166717239999</v>
      </c>
      <c r="E139" s="223">
        <v>1</v>
      </c>
      <c r="F139" s="209"/>
      <c r="G139" s="223" t="s">
        <v>355</v>
      </c>
      <c r="H139" s="223">
        <v>6148.02</v>
      </c>
      <c r="I139" s="164"/>
      <c r="K139" s="228"/>
      <c r="L139" s="228"/>
      <c r="M139" s="228"/>
      <c r="O139" s="241" t="s">
        <v>356</v>
      </c>
      <c r="P139" s="241">
        <v>9538.17</v>
      </c>
    </row>
    <row r="140" spans="2:16" x14ac:dyDescent="0.2">
      <c r="B140" s="190" t="s">
        <v>315</v>
      </c>
      <c r="C140" s="193">
        <v>42030</v>
      </c>
      <c r="D140" s="190">
        <v>42581.471937620001</v>
      </c>
      <c r="E140" s="223">
        <v>1</v>
      </c>
      <c r="F140" s="209"/>
      <c r="G140" s="223" t="s">
        <v>356</v>
      </c>
      <c r="H140" s="223">
        <v>10193.61</v>
      </c>
      <c r="I140" s="164"/>
      <c r="K140" s="228"/>
      <c r="L140" s="228"/>
      <c r="M140" s="228"/>
      <c r="O140" s="241" t="s">
        <v>357</v>
      </c>
      <c r="P140" s="241">
        <v>22840.87</v>
      </c>
    </row>
    <row r="141" spans="2:16" x14ac:dyDescent="0.2">
      <c r="B141" s="190" t="s">
        <v>316</v>
      </c>
      <c r="C141" s="193">
        <v>42221</v>
      </c>
      <c r="D141" s="190">
        <v>5959.86148727</v>
      </c>
      <c r="E141" s="223">
        <v>1</v>
      </c>
      <c r="F141" s="209"/>
      <c r="G141" s="223" t="s">
        <v>357</v>
      </c>
      <c r="H141" s="223">
        <v>21678.63</v>
      </c>
      <c r="I141" s="164"/>
      <c r="K141" s="228"/>
      <c r="L141" s="228"/>
      <c r="M141" s="228"/>
      <c r="O141" s="241" t="s">
        <v>358</v>
      </c>
      <c r="P141" s="241">
        <v>15339.29</v>
      </c>
    </row>
    <row r="142" spans="2:16" x14ac:dyDescent="0.2">
      <c r="B142" s="190" t="s">
        <v>72</v>
      </c>
      <c r="C142" s="193">
        <v>42195</v>
      </c>
      <c r="D142" s="190">
        <v>12613.61476217</v>
      </c>
      <c r="E142" s="223">
        <v>1</v>
      </c>
      <c r="F142" s="209"/>
      <c r="G142" s="223" t="s">
        <v>358</v>
      </c>
      <c r="H142" s="223">
        <v>15297.64</v>
      </c>
      <c r="I142" s="164"/>
      <c r="K142" s="228"/>
      <c r="L142" s="228"/>
      <c r="M142" s="228"/>
      <c r="O142" s="241" t="s">
        <v>359</v>
      </c>
      <c r="P142" s="241">
        <v>18517.98</v>
      </c>
    </row>
    <row r="143" spans="2:16" x14ac:dyDescent="0.2">
      <c r="B143" s="190" t="s">
        <v>74</v>
      </c>
      <c r="C143" s="193">
        <v>39590</v>
      </c>
      <c r="D143" s="190">
        <v>42763.39</v>
      </c>
      <c r="E143" s="223">
        <v>1</v>
      </c>
      <c r="F143" s="209"/>
      <c r="G143" s="223" t="s">
        <v>359</v>
      </c>
      <c r="H143" s="223">
        <v>17017.03</v>
      </c>
      <c r="I143" s="164"/>
      <c r="K143" s="228"/>
      <c r="L143" s="228"/>
      <c r="M143" s="228"/>
      <c r="O143" s="241" t="s">
        <v>360</v>
      </c>
      <c r="P143" s="241">
        <v>36868.31</v>
      </c>
    </row>
    <row r="144" spans="2:16" x14ac:dyDescent="0.2">
      <c r="B144" s="190" t="s">
        <v>76</v>
      </c>
      <c r="C144" s="193">
        <v>42594</v>
      </c>
      <c r="D144" s="190">
        <v>49802.0548605</v>
      </c>
      <c r="E144" s="223">
        <v>1</v>
      </c>
      <c r="F144" s="209"/>
      <c r="G144" s="223" t="s">
        <v>360</v>
      </c>
      <c r="H144" s="223">
        <v>40916.76</v>
      </c>
      <c r="I144" s="164"/>
      <c r="K144" s="228"/>
      <c r="L144" s="228"/>
      <c r="M144" s="228"/>
      <c r="O144" s="241" t="s">
        <v>361</v>
      </c>
      <c r="P144" s="241">
        <v>10304.76</v>
      </c>
    </row>
    <row r="145" spans="2:16" x14ac:dyDescent="0.2">
      <c r="B145" s="190" t="s">
        <v>78</v>
      </c>
      <c r="C145" s="193">
        <v>42520</v>
      </c>
      <c r="D145" s="190">
        <v>82900.72771716</v>
      </c>
      <c r="E145" s="223">
        <v>1</v>
      </c>
      <c r="F145" s="209"/>
      <c r="G145" s="223" t="s">
        <v>361</v>
      </c>
      <c r="H145" s="223">
        <v>11059.06</v>
      </c>
      <c r="I145" s="164"/>
      <c r="K145" s="228"/>
      <c r="L145" s="228"/>
      <c r="M145" s="228"/>
      <c r="O145" s="241" t="s">
        <v>362</v>
      </c>
      <c r="P145" s="241">
        <v>19070.37</v>
      </c>
    </row>
    <row r="146" spans="2:16" x14ac:dyDescent="0.2">
      <c r="B146" s="190" t="s">
        <v>317</v>
      </c>
      <c r="C146" s="193">
        <v>42577</v>
      </c>
      <c r="D146" s="190">
        <v>11298.64179541</v>
      </c>
      <c r="E146" s="223">
        <v>1</v>
      </c>
      <c r="F146" s="209"/>
      <c r="G146" s="223" t="s">
        <v>362</v>
      </c>
      <c r="H146" s="223">
        <v>17289.34</v>
      </c>
      <c r="I146" s="164"/>
      <c r="K146" s="228"/>
      <c r="L146" s="228"/>
      <c r="M146" s="228"/>
      <c r="O146" s="241" t="s">
        <v>363</v>
      </c>
      <c r="P146" s="241">
        <v>24602.63</v>
      </c>
    </row>
    <row r="147" spans="2:16" x14ac:dyDescent="0.2">
      <c r="B147" s="190" t="s">
        <v>318</v>
      </c>
      <c r="C147" s="193">
        <v>42104</v>
      </c>
      <c r="D147" s="190">
        <v>8893.6030994499997</v>
      </c>
      <c r="E147" s="223">
        <v>1</v>
      </c>
      <c r="F147" s="209"/>
      <c r="G147" s="223" t="s">
        <v>363</v>
      </c>
      <c r="H147" s="223">
        <v>24035.74</v>
      </c>
      <c r="I147" s="164"/>
      <c r="K147" s="228"/>
      <c r="L147" s="228"/>
      <c r="M147" s="228"/>
      <c r="O147" s="241" t="s">
        <v>364</v>
      </c>
      <c r="P147" s="241">
        <v>27280.19</v>
      </c>
    </row>
    <row r="148" spans="2:16" x14ac:dyDescent="0.2">
      <c r="B148" s="190" t="s">
        <v>88</v>
      </c>
      <c r="C148" s="193">
        <v>41893</v>
      </c>
      <c r="D148" s="190">
        <v>95446.135778840006</v>
      </c>
      <c r="E148" s="223">
        <v>1</v>
      </c>
      <c r="F148" s="209"/>
      <c r="G148" s="223" t="s">
        <v>364</v>
      </c>
      <c r="H148" s="223">
        <v>27164.92</v>
      </c>
      <c r="I148" s="164"/>
      <c r="K148" s="228"/>
      <c r="L148" s="228"/>
      <c r="M148" s="228"/>
      <c r="O148" s="241" t="s">
        <v>365</v>
      </c>
      <c r="P148" s="241">
        <v>12536.76</v>
      </c>
    </row>
    <row r="149" spans="2:16" x14ac:dyDescent="0.2">
      <c r="B149" s="190" t="s">
        <v>80</v>
      </c>
      <c r="C149" s="193">
        <v>42619</v>
      </c>
      <c r="D149" s="190">
        <v>20032.83576052</v>
      </c>
      <c r="E149" s="223">
        <v>1</v>
      </c>
      <c r="F149" s="209"/>
      <c r="G149" s="223" t="s">
        <v>365</v>
      </c>
      <c r="H149" s="223">
        <v>12244.41</v>
      </c>
      <c r="I149" s="164"/>
      <c r="K149" s="228"/>
      <c r="L149" s="228"/>
      <c r="M149" s="228"/>
      <c r="O149" s="241" t="s">
        <v>366</v>
      </c>
      <c r="P149" s="241">
        <v>62820.04</v>
      </c>
    </row>
    <row r="150" spans="2:16" x14ac:dyDescent="0.2">
      <c r="B150" s="190" t="s">
        <v>319</v>
      </c>
      <c r="C150" s="193">
        <v>42620</v>
      </c>
      <c r="D150" s="190">
        <v>550.37530643000002</v>
      </c>
      <c r="E150" s="223">
        <v>1</v>
      </c>
      <c r="F150" s="209"/>
      <c r="G150" s="223" t="s">
        <v>366</v>
      </c>
      <c r="H150" s="223">
        <v>69289.23</v>
      </c>
      <c r="I150" s="164"/>
      <c r="K150" s="228"/>
      <c r="L150" s="228"/>
      <c r="M150" s="228"/>
      <c r="O150" s="241" t="s">
        <v>367</v>
      </c>
      <c r="P150" s="241">
        <v>8448.25</v>
      </c>
    </row>
    <row r="151" spans="2:16" x14ac:dyDescent="0.2">
      <c r="B151" s="190" t="s">
        <v>86</v>
      </c>
      <c r="C151" s="193">
        <v>41887</v>
      </c>
      <c r="D151" s="190">
        <v>12367.595227940001</v>
      </c>
      <c r="E151" s="223">
        <v>1</v>
      </c>
      <c r="F151" s="209"/>
      <c r="G151" s="223" t="s">
        <v>367</v>
      </c>
      <c r="H151" s="223">
        <v>8251.15</v>
      </c>
      <c r="I151" s="164"/>
      <c r="K151" s="228"/>
      <c r="L151" s="228"/>
      <c r="M151" s="228"/>
      <c r="O151" s="241" t="s">
        <v>368</v>
      </c>
      <c r="P151" s="241">
        <v>6407.36</v>
      </c>
    </row>
    <row r="152" spans="2:16" x14ac:dyDescent="0.2">
      <c r="B152" s="190" t="s">
        <v>320</v>
      </c>
      <c r="C152" s="193">
        <v>42655</v>
      </c>
      <c r="D152" s="190">
        <v>6829.7257960500001</v>
      </c>
      <c r="E152" s="223">
        <v>1</v>
      </c>
      <c r="F152" s="209"/>
      <c r="G152" s="223" t="s">
        <v>368</v>
      </c>
      <c r="H152" s="223">
        <v>7052.13</v>
      </c>
      <c r="I152" s="164"/>
      <c r="K152" s="228"/>
      <c r="L152" s="228"/>
      <c r="M152" s="228"/>
      <c r="O152" s="241" t="s">
        <v>369</v>
      </c>
      <c r="P152" s="241">
        <v>8470.6200000000008</v>
      </c>
    </row>
    <row r="153" spans="2:16" x14ac:dyDescent="0.2">
      <c r="B153" s="190" t="s">
        <v>82</v>
      </c>
      <c r="C153" s="193">
        <v>42117</v>
      </c>
      <c r="D153" s="190">
        <v>46982.462386940002</v>
      </c>
      <c r="E153" s="223">
        <v>1</v>
      </c>
      <c r="F153" s="209"/>
      <c r="G153" s="223" t="s">
        <v>369</v>
      </c>
      <c r="H153" s="223">
        <v>8629.18</v>
      </c>
      <c r="I153" s="164"/>
      <c r="K153" s="228"/>
      <c r="L153" s="228"/>
      <c r="M153" s="228"/>
      <c r="O153" s="241" t="s">
        <v>370</v>
      </c>
      <c r="P153" s="241">
        <v>9966.81</v>
      </c>
    </row>
    <row r="154" spans="2:16" x14ac:dyDescent="0.2">
      <c r="B154" s="190" t="s">
        <v>84</v>
      </c>
      <c r="C154" s="193">
        <v>42222</v>
      </c>
      <c r="D154" s="190">
        <v>71088.506129760004</v>
      </c>
      <c r="E154" s="223">
        <v>1</v>
      </c>
      <c r="F154" s="209"/>
      <c r="G154" s="223" t="s">
        <v>370</v>
      </c>
      <c r="H154" s="223">
        <v>9643.27</v>
      </c>
      <c r="I154" s="164"/>
      <c r="K154" s="228"/>
      <c r="L154" s="228"/>
      <c r="M154" s="228"/>
      <c r="O154" s="241" t="s">
        <v>371</v>
      </c>
      <c r="P154" s="241">
        <v>15145.05</v>
      </c>
    </row>
    <row r="155" spans="2:16" x14ac:dyDescent="0.2">
      <c r="B155" s="190" t="s">
        <v>321</v>
      </c>
      <c r="C155" s="193">
        <v>42577</v>
      </c>
      <c r="D155" s="190">
        <v>9766.8870944299997</v>
      </c>
      <c r="E155" s="223">
        <v>1</v>
      </c>
      <c r="F155" s="209"/>
      <c r="G155" s="223" t="s">
        <v>371</v>
      </c>
      <c r="H155" s="223">
        <v>15898.22</v>
      </c>
      <c r="I155" s="164"/>
      <c r="K155" s="228"/>
      <c r="L155" s="228"/>
      <c r="M155" s="228"/>
      <c r="O155" s="241" t="s">
        <v>372</v>
      </c>
      <c r="P155" s="241">
        <v>11712.03</v>
      </c>
    </row>
    <row r="156" spans="2:16" x14ac:dyDescent="0.2">
      <c r="B156" s="190" t="s">
        <v>322</v>
      </c>
      <c r="C156" s="193">
        <v>42066</v>
      </c>
      <c r="D156" s="190">
        <v>2714.9080461899998</v>
      </c>
      <c r="E156" s="223">
        <v>1</v>
      </c>
      <c r="F156" s="209"/>
      <c r="G156" s="223" t="s">
        <v>372</v>
      </c>
      <c r="H156" s="223">
        <v>11506.89</v>
      </c>
      <c r="I156" s="164"/>
      <c r="K156" s="228"/>
      <c r="L156" s="228"/>
      <c r="M156" s="228"/>
      <c r="O156" s="241" t="s">
        <v>373</v>
      </c>
      <c r="P156" s="241">
        <v>9970.93</v>
      </c>
    </row>
    <row r="157" spans="2:16" x14ac:dyDescent="0.2">
      <c r="B157" s="190" t="s">
        <v>323</v>
      </c>
      <c r="C157" s="193">
        <v>41887</v>
      </c>
      <c r="D157" s="190">
        <v>417.67220522999997</v>
      </c>
      <c r="E157" s="223">
        <v>1</v>
      </c>
      <c r="F157" s="209"/>
      <c r="G157" s="223" t="s">
        <v>373</v>
      </c>
      <c r="H157" s="223">
        <v>9679.2099999999991</v>
      </c>
      <c r="I157" s="164"/>
      <c r="K157" s="228"/>
      <c r="L157" s="228"/>
      <c r="M157" s="228"/>
      <c r="O157" s="241" t="s">
        <v>374</v>
      </c>
      <c r="P157" s="241">
        <v>7296.93</v>
      </c>
    </row>
    <row r="158" spans="2:16" x14ac:dyDescent="0.2">
      <c r="B158" s="190" t="s">
        <v>324</v>
      </c>
      <c r="C158" s="193">
        <v>42117</v>
      </c>
      <c r="D158" s="190">
        <v>8514.8808759999993</v>
      </c>
      <c r="E158" s="223">
        <v>1</v>
      </c>
      <c r="F158" s="209"/>
      <c r="G158" s="223" t="s">
        <v>374</v>
      </c>
      <c r="H158" s="223">
        <v>7211.48</v>
      </c>
      <c r="I158" s="164"/>
      <c r="K158" s="228"/>
      <c r="L158" s="228"/>
      <c r="M158" s="228"/>
      <c r="O158" s="241" t="s">
        <v>375</v>
      </c>
      <c r="P158" s="241">
        <v>8774.07</v>
      </c>
    </row>
    <row r="159" spans="2:16" x14ac:dyDescent="0.2">
      <c r="B159" s="190" t="s">
        <v>325</v>
      </c>
      <c r="C159" s="193">
        <v>42814</v>
      </c>
      <c r="D159" s="190">
        <v>69251.014707270006</v>
      </c>
      <c r="E159" s="223">
        <v>1</v>
      </c>
      <c r="F159" s="209"/>
      <c r="G159" s="223" t="s">
        <v>375</v>
      </c>
      <c r="H159" s="223">
        <v>8594.43</v>
      </c>
      <c r="I159" s="164"/>
      <c r="K159" s="228"/>
      <c r="L159" s="228"/>
      <c r="M159" s="228"/>
      <c r="O159" s="241" t="s">
        <v>376</v>
      </c>
      <c r="P159" s="241">
        <v>10641.47</v>
      </c>
    </row>
    <row r="160" spans="2:16" x14ac:dyDescent="0.2">
      <c r="B160" s="190" t="s">
        <v>326</v>
      </c>
      <c r="C160" s="193">
        <v>42110</v>
      </c>
      <c r="D160" s="190">
        <v>45023.057854029998</v>
      </c>
      <c r="E160" s="223">
        <v>1</v>
      </c>
      <c r="F160" s="209"/>
      <c r="G160" s="223" t="s">
        <v>376</v>
      </c>
      <c r="H160" s="223">
        <v>11276.68</v>
      </c>
      <c r="I160" s="164"/>
      <c r="K160" s="228"/>
      <c r="L160" s="228"/>
      <c r="M160" s="228"/>
      <c r="O160" s="241" t="s">
        <v>377</v>
      </c>
      <c r="P160" s="241">
        <v>21992.19</v>
      </c>
    </row>
    <row r="161" spans="2:16" x14ac:dyDescent="0.2">
      <c r="B161" s="190" t="s">
        <v>327</v>
      </c>
      <c r="C161" s="193">
        <v>42374</v>
      </c>
      <c r="D161" s="190">
        <v>1792.3439825099999</v>
      </c>
      <c r="E161" s="223">
        <v>1</v>
      </c>
      <c r="F161" s="209"/>
      <c r="G161" s="223" t="s">
        <v>377</v>
      </c>
      <c r="H161" s="223">
        <v>21324.28</v>
      </c>
      <c r="I161" s="164"/>
      <c r="K161" s="228"/>
      <c r="L161" s="228"/>
      <c r="M161" s="228"/>
      <c r="O161" s="241" t="s">
        <v>380</v>
      </c>
      <c r="P161" s="241">
        <v>4658.97</v>
      </c>
    </row>
    <row r="162" spans="2:16" x14ac:dyDescent="0.2">
      <c r="B162" s="190" t="s">
        <v>190</v>
      </c>
      <c r="C162" s="193">
        <v>42303</v>
      </c>
      <c r="D162" s="190">
        <v>1035.8389392900001</v>
      </c>
      <c r="E162" s="223">
        <v>1</v>
      </c>
      <c r="F162" s="209"/>
      <c r="G162" s="223" t="s">
        <v>380</v>
      </c>
      <c r="H162" s="223">
        <v>4791.55</v>
      </c>
      <c r="I162" s="164"/>
      <c r="K162" s="228"/>
      <c r="L162" s="228"/>
      <c r="M162" s="228"/>
      <c r="O162" s="241" t="s">
        <v>381</v>
      </c>
      <c r="P162" s="241">
        <v>10581.54</v>
      </c>
    </row>
    <row r="163" spans="2:16" x14ac:dyDescent="0.2">
      <c r="B163" s="190" t="s">
        <v>328</v>
      </c>
      <c r="C163" s="193">
        <v>39209</v>
      </c>
      <c r="D163" s="190">
        <v>910.48</v>
      </c>
      <c r="E163" s="223">
        <v>1</v>
      </c>
      <c r="F163" s="209"/>
      <c r="G163" s="223" t="s">
        <v>381</v>
      </c>
      <c r="H163" s="223">
        <v>10313.93</v>
      </c>
      <c r="I163" s="164"/>
      <c r="K163" s="228"/>
      <c r="L163" s="228"/>
      <c r="M163" s="228"/>
      <c r="O163" s="241" t="s">
        <v>382</v>
      </c>
      <c r="P163" s="241">
        <v>22756.400000000001</v>
      </c>
    </row>
    <row r="164" spans="2:16" x14ac:dyDescent="0.2">
      <c r="B164" s="190" t="s">
        <v>329</v>
      </c>
      <c r="C164" s="193">
        <v>42334</v>
      </c>
      <c r="D164" s="190">
        <v>5012.4318484900004</v>
      </c>
      <c r="E164" s="223">
        <v>1</v>
      </c>
      <c r="F164" s="209"/>
      <c r="G164" s="223" t="s">
        <v>382</v>
      </c>
      <c r="H164" s="223">
        <v>23117.31</v>
      </c>
      <c r="I164" s="164"/>
      <c r="K164" s="228"/>
      <c r="L164" s="228"/>
      <c r="M164" s="228"/>
      <c r="O164" s="241" t="s">
        <v>383</v>
      </c>
      <c r="P164" s="241">
        <v>21962.75</v>
      </c>
    </row>
    <row r="165" spans="2:16" x14ac:dyDescent="0.2">
      <c r="B165" s="190" t="s">
        <v>330</v>
      </c>
      <c r="C165" s="193">
        <v>42520</v>
      </c>
      <c r="D165" s="190">
        <v>5225.9532321799998</v>
      </c>
      <c r="E165" s="223">
        <v>1</v>
      </c>
      <c r="F165" s="209"/>
      <c r="G165" s="223" t="s">
        <v>383</v>
      </c>
      <c r="H165" s="223">
        <v>20603.580000000002</v>
      </c>
      <c r="I165" s="164"/>
      <c r="K165" s="228"/>
      <c r="L165" s="228"/>
      <c r="M165" s="228"/>
      <c r="O165" s="241" t="s">
        <v>384</v>
      </c>
      <c r="P165" s="241">
        <v>29767.9</v>
      </c>
    </row>
    <row r="166" spans="2:16" x14ac:dyDescent="0.2">
      <c r="B166" s="190" t="s">
        <v>331</v>
      </c>
      <c r="C166" s="193">
        <v>42222</v>
      </c>
      <c r="D166" s="190">
        <v>1524.0086971600001</v>
      </c>
      <c r="E166" s="223">
        <v>1</v>
      </c>
      <c r="F166" s="209"/>
      <c r="G166" s="223" t="s">
        <v>384</v>
      </c>
      <c r="H166" s="223">
        <v>31536.18</v>
      </c>
      <c r="I166" s="164"/>
      <c r="K166" s="228"/>
      <c r="L166" s="228"/>
      <c r="M166" s="228"/>
      <c r="O166" s="241" t="s">
        <v>385</v>
      </c>
      <c r="P166" s="241">
        <v>7765.48</v>
      </c>
    </row>
    <row r="167" spans="2:16" x14ac:dyDescent="0.2">
      <c r="B167" s="190" t="s">
        <v>332</v>
      </c>
      <c r="C167" s="193">
        <v>41492</v>
      </c>
      <c r="D167" s="190">
        <v>4293.55</v>
      </c>
      <c r="E167" s="223">
        <v>1</v>
      </c>
      <c r="F167" s="209"/>
      <c r="G167" s="223" t="s">
        <v>385</v>
      </c>
      <c r="H167" s="223">
        <v>7953.22</v>
      </c>
      <c r="I167" s="164"/>
      <c r="K167" s="228"/>
      <c r="L167" s="228"/>
      <c r="M167" s="228"/>
      <c r="O167" s="241" t="s">
        <v>386</v>
      </c>
      <c r="P167" s="241">
        <v>9881.2800000000007</v>
      </c>
    </row>
    <row r="168" spans="2:16" x14ac:dyDescent="0.2">
      <c r="B168" s="190" t="s">
        <v>333</v>
      </c>
      <c r="C168" s="193">
        <v>41849</v>
      </c>
      <c r="D168" s="190">
        <v>92.959638409999997</v>
      </c>
      <c r="E168" s="223">
        <v>1</v>
      </c>
      <c r="F168" s="209"/>
      <c r="G168" s="223" t="s">
        <v>386</v>
      </c>
      <c r="H168" s="223">
        <v>9687.99</v>
      </c>
      <c r="I168" s="164"/>
      <c r="K168" s="228"/>
      <c r="L168" s="228"/>
      <c r="M168" s="228"/>
      <c r="O168" s="241" t="s">
        <v>387</v>
      </c>
      <c r="P168" s="241">
        <v>20452.25</v>
      </c>
    </row>
    <row r="169" spans="2:16" x14ac:dyDescent="0.2">
      <c r="B169" s="190" t="s">
        <v>334</v>
      </c>
      <c r="C169" s="193">
        <v>41901</v>
      </c>
      <c r="D169" s="190">
        <v>131.8028965</v>
      </c>
      <c r="E169" s="223">
        <v>1</v>
      </c>
      <c r="F169" s="209"/>
      <c r="G169" s="223" t="s">
        <v>387</v>
      </c>
      <c r="H169" s="223">
        <v>19831.11</v>
      </c>
      <c r="I169" s="164"/>
      <c r="K169" s="228"/>
      <c r="L169" s="228"/>
      <c r="M169" s="228"/>
      <c r="O169" s="241" t="s">
        <v>388</v>
      </c>
      <c r="P169" s="241">
        <v>3326.7</v>
      </c>
    </row>
    <row r="170" spans="2:16" x14ac:dyDescent="0.2">
      <c r="B170" s="190" t="s">
        <v>335</v>
      </c>
      <c r="C170" s="193">
        <v>41901</v>
      </c>
      <c r="D170" s="190">
        <v>76.32416241</v>
      </c>
      <c r="E170" s="223">
        <v>1</v>
      </c>
      <c r="F170" s="209"/>
      <c r="G170" s="223" t="s">
        <v>388</v>
      </c>
      <c r="H170" s="223">
        <v>3447.33</v>
      </c>
      <c r="I170" s="164"/>
      <c r="K170" s="228"/>
      <c r="L170" s="228"/>
      <c r="M170" s="228"/>
      <c r="O170" s="241" t="s">
        <v>389</v>
      </c>
      <c r="P170" s="241">
        <v>17963.95</v>
      </c>
    </row>
    <row r="171" spans="2:16" x14ac:dyDescent="0.2">
      <c r="B171" s="190" t="s">
        <v>336</v>
      </c>
      <c r="C171" s="193">
        <v>41912</v>
      </c>
      <c r="D171" s="190">
        <v>106.4349371</v>
      </c>
      <c r="E171" s="223">
        <v>1</v>
      </c>
      <c r="F171" s="209"/>
      <c r="G171" s="223" t="s">
        <v>389</v>
      </c>
      <c r="H171" s="223">
        <v>18501.919999999998</v>
      </c>
      <c r="I171" s="164"/>
      <c r="K171" s="228"/>
      <c r="L171" s="228"/>
      <c r="M171" s="228"/>
      <c r="O171" s="241" t="s">
        <v>390</v>
      </c>
      <c r="P171" s="241">
        <v>12245.59</v>
      </c>
    </row>
    <row r="172" spans="2:16" x14ac:dyDescent="0.2">
      <c r="B172" s="190" t="s">
        <v>337</v>
      </c>
      <c r="C172" s="193">
        <v>42312</v>
      </c>
      <c r="D172" s="190">
        <v>49081.0138716</v>
      </c>
      <c r="E172" s="223">
        <v>1</v>
      </c>
      <c r="F172" s="209"/>
      <c r="G172" s="223" t="s">
        <v>390</v>
      </c>
      <c r="H172" s="223">
        <v>11956.76</v>
      </c>
      <c r="I172" s="164"/>
      <c r="K172" s="228"/>
      <c r="L172" s="228"/>
      <c r="M172" s="228"/>
      <c r="O172" s="241" t="s">
        <v>391</v>
      </c>
      <c r="P172" s="241">
        <v>16055.62</v>
      </c>
    </row>
    <row r="173" spans="2:16" x14ac:dyDescent="0.2">
      <c r="B173" s="190" t="s">
        <v>338</v>
      </c>
      <c r="C173" s="193">
        <v>41849</v>
      </c>
      <c r="D173" s="190">
        <v>4781.8624027899996</v>
      </c>
      <c r="E173" s="223">
        <v>1</v>
      </c>
      <c r="F173" s="209"/>
      <c r="G173" s="223" t="s">
        <v>391</v>
      </c>
      <c r="H173" s="223">
        <v>16327.15</v>
      </c>
      <c r="I173" s="164"/>
      <c r="K173" s="228"/>
      <c r="L173" s="228"/>
      <c r="M173" s="228"/>
      <c r="O173" s="241" t="s">
        <v>392</v>
      </c>
      <c r="P173" s="241">
        <v>3684.41</v>
      </c>
    </row>
    <row r="174" spans="2:16" x14ac:dyDescent="0.2">
      <c r="B174" s="190" t="s">
        <v>339</v>
      </c>
      <c r="C174" s="193">
        <v>42118</v>
      </c>
      <c r="D174" s="190">
        <v>55188.336977819999</v>
      </c>
      <c r="E174" s="223">
        <v>1</v>
      </c>
      <c r="F174" s="209"/>
      <c r="G174" s="223" t="s">
        <v>392</v>
      </c>
      <c r="H174" s="223">
        <v>3789.26</v>
      </c>
      <c r="I174" s="164"/>
      <c r="K174" s="228"/>
      <c r="L174" s="228"/>
      <c r="M174" s="228"/>
      <c r="O174" s="241" t="s">
        <v>393</v>
      </c>
      <c r="P174" s="241">
        <v>16773.759999999998</v>
      </c>
    </row>
    <row r="175" spans="2:16" x14ac:dyDescent="0.2">
      <c r="B175" s="190" t="s">
        <v>340</v>
      </c>
      <c r="C175" s="193">
        <v>42118</v>
      </c>
      <c r="D175" s="190">
        <v>12381.899096659999</v>
      </c>
      <c r="E175" s="223">
        <v>1</v>
      </c>
      <c r="F175" s="209"/>
      <c r="G175" s="223" t="s">
        <v>393</v>
      </c>
      <c r="H175" s="223">
        <v>17214.57</v>
      </c>
      <c r="I175" s="164"/>
      <c r="K175" s="228"/>
      <c r="L175" s="228"/>
      <c r="M175" s="228"/>
      <c r="O175" s="241" t="s">
        <v>394</v>
      </c>
      <c r="P175" s="241">
        <v>12918.56</v>
      </c>
    </row>
    <row r="176" spans="2:16" x14ac:dyDescent="0.2">
      <c r="B176" s="190" t="s">
        <v>341</v>
      </c>
      <c r="C176" s="193">
        <v>41065</v>
      </c>
      <c r="D176" s="190">
        <v>1120.92</v>
      </c>
      <c r="E176" s="223">
        <v>1</v>
      </c>
      <c r="F176" s="209"/>
      <c r="G176" s="223" t="s">
        <v>394</v>
      </c>
      <c r="H176" s="223">
        <v>12665.85</v>
      </c>
      <c r="I176" s="164"/>
      <c r="K176" s="228"/>
      <c r="L176" s="228"/>
      <c r="M176" s="228"/>
      <c r="O176" s="241" t="s">
        <v>395</v>
      </c>
      <c r="P176" s="241">
        <v>15423.46</v>
      </c>
    </row>
    <row r="177" spans="2:16" x14ac:dyDescent="0.2">
      <c r="B177" s="190" t="s">
        <v>342</v>
      </c>
      <c r="C177" s="193">
        <v>42122</v>
      </c>
      <c r="D177" s="190">
        <v>10462.682748179999</v>
      </c>
      <c r="E177" s="223">
        <v>1</v>
      </c>
      <c r="F177" s="209"/>
      <c r="G177" s="223" t="s">
        <v>395</v>
      </c>
      <c r="H177" s="223">
        <v>15592.52</v>
      </c>
      <c r="I177" s="164"/>
      <c r="K177" s="228"/>
      <c r="L177" s="228"/>
      <c r="M177" s="228"/>
      <c r="O177" s="241" t="s">
        <v>396</v>
      </c>
      <c r="P177" s="241">
        <v>38682.232985620001</v>
      </c>
    </row>
    <row r="178" spans="2:16" x14ac:dyDescent="0.2">
      <c r="B178" s="190" t="s">
        <v>343</v>
      </c>
      <c r="C178" s="193">
        <v>41849</v>
      </c>
      <c r="D178" s="190">
        <v>4482.8823280400002</v>
      </c>
      <c r="E178" s="223">
        <v>1</v>
      </c>
      <c r="F178" s="209"/>
      <c r="G178" s="223" t="s">
        <v>396</v>
      </c>
      <c r="H178" s="223">
        <v>39212.174449639999</v>
      </c>
      <c r="I178" s="164"/>
      <c r="K178" s="228"/>
      <c r="L178" s="228"/>
      <c r="M178" s="228"/>
      <c r="O178" s="241"/>
      <c r="P178" s="241"/>
    </row>
    <row r="179" spans="2:16" x14ac:dyDescent="0.2">
      <c r="B179" s="190" t="s">
        <v>344</v>
      </c>
      <c r="C179" s="193">
        <v>42118</v>
      </c>
      <c r="D179" s="190">
        <v>11199.97726648</v>
      </c>
      <c r="E179" s="223">
        <v>1</v>
      </c>
      <c r="F179" s="209"/>
      <c r="G179" s="223"/>
      <c r="H179" s="223"/>
      <c r="I179" s="164"/>
      <c r="K179" s="228"/>
      <c r="L179" s="228"/>
      <c r="M179" s="228"/>
      <c r="O179" s="241"/>
      <c r="P179" s="241"/>
    </row>
    <row r="180" spans="2:16" x14ac:dyDescent="0.2">
      <c r="B180" s="190" t="s">
        <v>345</v>
      </c>
      <c r="C180" s="193">
        <v>42195</v>
      </c>
      <c r="D180" s="190">
        <v>28365.040000000001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346</v>
      </c>
      <c r="C181" s="193">
        <v>41967</v>
      </c>
      <c r="D181" s="190">
        <v>9721.7199999999993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347</v>
      </c>
      <c r="C182" s="193">
        <v>42825</v>
      </c>
      <c r="D182" s="190">
        <v>15045.32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348</v>
      </c>
      <c r="C183" s="193">
        <v>41929</v>
      </c>
      <c r="D183" s="190">
        <v>4841.3999999999996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349</v>
      </c>
      <c r="C184" s="193">
        <v>41904</v>
      </c>
      <c r="D184" s="190">
        <v>4959.92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350</v>
      </c>
      <c r="C185" s="193">
        <v>41904</v>
      </c>
      <c r="D185" s="190">
        <v>5684.71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351</v>
      </c>
      <c r="C186" s="193">
        <v>42594</v>
      </c>
      <c r="D186" s="190">
        <v>22629.39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352</v>
      </c>
      <c r="C187" s="193">
        <v>41904</v>
      </c>
      <c r="D187" s="190">
        <v>4598.12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353</v>
      </c>
      <c r="C188" s="193">
        <v>42146</v>
      </c>
      <c r="D188" s="190">
        <v>12996.36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354</v>
      </c>
      <c r="C189" s="193">
        <v>41964</v>
      </c>
      <c r="D189" s="190">
        <v>7319.54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355</v>
      </c>
      <c r="C190" s="193">
        <v>42193</v>
      </c>
      <c r="D190" s="190">
        <v>9363.98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356</v>
      </c>
      <c r="C191" s="193">
        <v>41948</v>
      </c>
      <c r="D191" s="190">
        <v>15682.48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357</v>
      </c>
      <c r="C192" s="193">
        <v>42520</v>
      </c>
      <c r="D192" s="190">
        <v>31469.57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358</v>
      </c>
      <c r="C193" s="193">
        <v>42817</v>
      </c>
      <c r="D193" s="190">
        <v>16210.1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359</v>
      </c>
      <c r="C194" s="193">
        <v>42460</v>
      </c>
      <c r="D194" s="190">
        <v>25683.33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360</v>
      </c>
      <c r="C195" s="193">
        <v>42312</v>
      </c>
      <c r="D195" s="190">
        <v>46535.96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361</v>
      </c>
      <c r="C196" s="193">
        <v>42521</v>
      </c>
      <c r="D196" s="190">
        <v>12168.93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362</v>
      </c>
      <c r="C197" s="193">
        <v>42117</v>
      </c>
      <c r="D197" s="190">
        <v>27409.74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363</v>
      </c>
      <c r="C198" s="193">
        <v>42030</v>
      </c>
      <c r="D198" s="190">
        <v>36618.99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364</v>
      </c>
      <c r="C199" s="193">
        <v>42577</v>
      </c>
      <c r="D199" s="190">
        <v>29382.22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365</v>
      </c>
      <c r="C200" s="193">
        <v>42104</v>
      </c>
      <c r="D200" s="190">
        <v>15204.51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366</v>
      </c>
      <c r="C201" s="193">
        <v>42620</v>
      </c>
      <c r="D201" s="190">
        <v>75735.83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367</v>
      </c>
      <c r="C202" s="193">
        <v>42655</v>
      </c>
      <c r="D202" s="190">
        <v>9116.6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368</v>
      </c>
      <c r="C203" s="193">
        <v>42066</v>
      </c>
      <c r="D203" s="190">
        <v>7949.83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369</v>
      </c>
      <c r="C204" s="193">
        <v>42122</v>
      </c>
      <c r="D204" s="190">
        <v>15553.66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370</v>
      </c>
      <c r="C205" s="193">
        <v>42117</v>
      </c>
      <c r="D205" s="190">
        <v>11507.83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371</v>
      </c>
      <c r="C206" s="193">
        <v>42814</v>
      </c>
      <c r="D206" s="190">
        <v>16362.23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372</v>
      </c>
      <c r="C207" s="193">
        <v>42104</v>
      </c>
      <c r="D207" s="190">
        <v>14152.32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373</v>
      </c>
      <c r="C208" s="193">
        <v>42374</v>
      </c>
      <c r="D208" s="190">
        <v>13453.03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374</v>
      </c>
      <c r="C209" s="193">
        <v>42303</v>
      </c>
      <c r="D209" s="190">
        <v>7915.02</v>
      </c>
      <c r="E209" s="223">
        <v>1</v>
      </c>
    </row>
    <row r="210" spans="2:5" x14ac:dyDescent="0.2">
      <c r="B210" s="190" t="s">
        <v>375</v>
      </c>
      <c r="C210" s="193">
        <v>42310</v>
      </c>
      <c r="D210" s="190">
        <v>11222.21</v>
      </c>
      <c r="E210" s="223">
        <v>1</v>
      </c>
    </row>
    <row r="211" spans="2:5" x14ac:dyDescent="0.2">
      <c r="B211" s="190" t="s">
        <v>376</v>
      </c>
      <c r="C211" s="193">
        <v>42520</v>
      </c>
      <c r="D211" s="190">
        <v>11861.15</v>
      </c>
      <c r="E211" s="223">
        <v>1</v>
      </c>
    </row>
    <row r="212" spans="2:5" x14ac:dyDescent="0.2">
      <c r="B212" s="190" t="s">
        <v>377</v>
      </c>
      <c r="C212" s="193">
        <v>42222</v>
      </c>
      <c r="D212" s="190">
        <v>28083.96</v>
      </c>
      <c r="E212" s="223">
        <v>1</v>
      </c>
    </row>
    <row r="213" spans="2:5" x14ac:dyDescent="0.2">
      <c r="B213" s="190" t="s">
        <v>378</v>
      </c>
      <c r="C213" s="193">
        <v>41947</v>
      </c>
      <c r="D213" s="190">
        <v>7127.6</v>
      </c>
      <c r="E213" s="223">
        <v>1</v>
      </c>
    </row>
    <row r="214" spans="2:5" x14ac:dyDescent="0.2">
      <c r="B214" s="190" t="s">
        <v>379</v>
      </c>
      <c r="C214" s="193">
        <v>42195</v>
      </c>
      <c r="D214" s="190">
        <v>28365.040000000001</v>
      </c>
      <c r="E214" s="223">
        <v>1</v>
      </c>
    </row>
    <row r="215" spans="2:5" x14ac:dyDescent="0.2">
      <c r="B215" s="190" t="s">
        <v>380</v>
      </c>
      <c r="C215" s="193">
        <v>41904</v>
      </c>
      <c r="D215" s="190">
        <v>5480.24</v>
      </c>
      <c r="E215" s="223">
        <v>1</v>
      </c>
    </row>
    <row r="216" spans="2:5" x14ac:dyDescent="0.2">
      <c r="B216" s="190" t="s">
        <v>381</v>
      </c>
      <c r="C216" s="193">
        <v>42594</v>
      </c>
      <c r="D216" s="190">
        <v>11125.17</v>
      </c>
      <c r="E216" s="223">
        <v>1</v>
      </c>
    </row>
    <row r="217" spans="2:5" x14ac:dyDescent="0.2">
      <c r="B217" s="190" t="s">
        <v>382</v>
      </c>
      <c r="C217" s="193">
        <v>42520</v>
      </c>
      <c r="D217" s="190">
        <v>26408.99</v>
      </c>
      <c r="E217" s="223">
        <v>1</v>
      </c>
    </row>
    <row r="218" spans="2:5" x14ac:dyDescent="0.2">
      <c r="B218" s="190" t="s">
        <v>383</v>
      </c>
      <c r="C218" s="193">
        <v>42069</v>
      </c>
      <c r="D218" s="190">
        <v>31823.85</v>
      </c>
      <c r="E218" s="223">
        <v>1</v>
      </c>
    </row>
    <row r="219" spans="2:5" x14ac:dyDescent="0.2">
      <c r="B219" s="190" t="s">
        <v>384</v>
      </c>
      <c r="C219" s="193">
        <v>42619</v>
      </c>
      <c r="D219" s="190">
        <v>33815.480000000003</v>
      </c>
      <c r="E219" s="223">
        <v>1</v>
      </c>
    </row>
    <row r="220" spans="2:5" x14ac:dyDescent="0.2">
      <c r="B220" s="190" t="s">
        <v>385</v>
      </c>
      <c r="C220" s="193">
        <v>42122</v>
      </c>
      <c r="D220" s="190">
        <v>13908.83</v>
      </c>
      <c r="E220" s="223">
        <v>1</v>
      </c>
    </row>
    <row r="221" spans="2:5" x14ac:dyDescent="0.2">
      <c r="B221" s="190" t="s">
        <v>386</v>
      </c>
      <c r="C221" s="193">
        <v>42117</v>
      </c>
      <c r="D221" s="190">
        <v>11227.41</v>
      </c>
      <c r="E221" s="223">
        <v>1</v>
      </c>
    </row>
    <row r="222" spans="2:5" x14ac:dyDescent="0.2">
      <c r="B222" s="190" t="s">
        <v>387</v>
      </c>
      <c r="C222" s="193">
        <v>42222</v>
      </c>
      <c r="D222" s="190">
        <v>26117.47</v>
      </c>
      <c r="E222" s="223">
        <v>1</v>
      </c>
    </row>
    <row r="223" spans="2:5" x14ac:dyDescent="0.2">
      <c r="B223" s="190" t="s">
        <v>388</v>
      </c>
      <c r="C223" s="193">
        <v>41904</v>
      </c>
      <c r="D223" s="190">
        <v>6904.09</v>
      </c>
      <c r="E223" s="223">
        <v>1</v>
      </c>
    </row>
    <row r="224" spans="2:5" x14ac:dyDescent="0.2">
      <c r="B224" s="190" t="s">
        <v>389</v>
      </c>
      <c r="C224" s="193">
        <v>42619</v>
      </c>
      <c r="D224" s="190">
        <v>20267.04</v>
      </c>
      <c r="E224" s="223">
        <v>1</v>
      </c>
    </row>
    <row r="225" spans="2:5" x14ac:dyDescent="0.2">
      <c r="B225" s="190" t="s">
        <v>390</v>
      </c>
      <c r="C225" s="193">
        <v>42118</v>
      </c>
      <c r="D225" s="190">
        <v>14632.12</v>
      </c>
      <c r="E225" s="223">
        <v>1</v>
      </c>
    </row>
    <row r="226" spans="2:5" x14ac:dyDescent="0.2">
      <c r="B226" s="190" t="s">
        <v>391</v>
      </c>
      <c r="C226" s="193">
        <v>42118</v>
      </c>
      <c r="D226" s="190">
        <v>17815.8</v>
      </c>
      <c r="E226" s="223">
        <v>1</v>
      </c>
    </row>
    <row r="227" spans="2:5" x14ac:dyDescent="0.2">
      <c r="B227" s="190" t="s">
        <v>392</v>
      </c>
      <c r="C227" s="193">
        <v>41904</v>
      </c>
      <c r="D227" s="190">
        <v>6817.36</v>
      </c>
      <c r="E227" s="223">
        <v>1</v>
      </c>
    </row>
    <row r="228" spans="2:5" x14ac:dyDescent="0.2">
      <c r="B228" s="190" t="s">
        <v>393</v>
      </c>
      <c r="C228" s="193">
        <v>42619</v>
      </c>
      <c r="D228" s="190">
        <v>18601.28</v>
      </c>
      <c r="E228" s="223">
        <v>1</v>
      </c>
    </row>
    <row r="229" spans="2:5" x14ac:dyDescent="0.2">
      <c r="B229" s="190" t="s">
        <v>394</v>
      </c>
      <c r="C229" s="193">
        <v>42117</v>
      </c>
      <c r="D229" s="190">
        <v>14678.45</v>
      </c>
      <c r="E229" s="223">
        <v>1</v>
      </c>
    </row>
    <row r="230" spans="2:5" x14ac:dyDescent="0.2">
      <c r="B230" s="190" t="s">
        <v>395</v>
      </c>
      <c r="C230" s="193">
        <v>42118</v>
      </c>
      <c r="D230" s="190">
        <v>16848.27</v>
      </c>
      <c r="E230" s="223">
        <v>1</v>
      </c>
    </row>
    <row r="231" spans="2:5" x14ac:dyDescent="0.2">
      <c r="B231" s="190" t="s">
        <v>396</v>
      </c>
      <c r="C231" s="193">
        <v>42814</v>
      </c>
      <c r="D231" s="190">
        <v>39646.129135969997</v>
      </c>
      <c r="E231" s="223">
        <v>1</v>
      </c>
    </row>
    <row r="232" spans="2:5" x14ac:dyDescent="0.2">
      <c r="B232" s="190" t="s">
        <v>397</v>
      </c>
      <c r="C232" s="193">
        <v>37469</v>
      </c>
      <c r="D232" s="190">
        <v>394.88</v>
      </c>
      <c r="E232" s="223">
        <v>1</v>
      </c>
    </row>
    <row r="233" spans="2:5" x14ac:dyDescent="0.2">
      <c r="B233" s="190" t="s">
        <v>398</v>
      </c>
      <c r="C233" s="193">
        <v>37469</v>
      </c>
      <c r="D233" s="190">
        <v>394.88</v>
      </c>
      <c r="E233" s="223">
        <v>1</v>
      </c>
    </row>
    <row r="234" spans="2:5" x14ac:dyDescent="0.2">
      <c r="B234" s="190" t="s">
        <v>399</v>
      </c>
      <c r="C234" s="193">
        <v>38665</v>
      </c>
      <c r="D234" s="190">
        <v>225.62</v>
      </c>
      <c r="E234" s="223">
        <v>1</v>
      </c>
    </row>
    <row r="235" spans="2:5" x14ac:dyDescent="0.2">
      <c r="B235" s="190" t="s">
        <v>400</v>
      </c>
      <c r="C235" s="193">
        <v>38665</v>
      </c>
      <c r="D235" s="190">
        <v>225.62</v>
      </c>
      <c r="E235" s="223">
        <v>1</v>
      </c>
    </row>
    <row r="236" spans="2:5" x14ac:dyDescent="0.2">
      <c r="B236" s="190" t="s">
        <v>401</v>
      </c>
      <c r="C236" s="193">
        <v>38624</v>
      </c>
      <c r="D236" s="190">
        <v>173.45</v>
      </c>
      <c r="E236" s="223">
        <v>1</v>
      </c>
    </row>
    <row r="237" spans="2:5" x14ac:dyDescent="0.2">
      <c r="B237" s="190" t="s">
        <v>402</v>
      </c>
      <c r="C237" s="193">
        <v>38624</v>
      </c>
      <c r="D237" s="190">
        <v>173.45</v>
      </c>
      <c r="E237" s="223">
        <v>1</v>
      </c>
    </row>
    <row r="238" spans="2:5" x14ac:dyDescent="0.2">
      <c r="B238" s="190" t="s">
        <v>403</v>
      </c>
      <c r="C238" s="193">
        <v>38027</v>
      </c>
      <c r="D238" s="190">
        <v>108.65</v>
      </c>
      <c r="E238" s="223">
        <v>1</v>
      </c>
    </row>
    <row r="239" spans="2:5" x14ac:dyDescent="0.2">
      <c r="B239" s="190" t="s">
        <v>404</v>
      </c>
      <c r="C239" s="193">
        <v>37757</v>
      </c>
      <c r="D239" s="190">
        <v>125</v>
      </c>
      <c r="E239" s="223">
        <v>1</v>
      </c>
    </row>
    <row r="240" spans="2:5" x14ac:dyDescent="0.2">
      <c r="B240" s="190" t="s">
        <v>405</v>
      </c>
      <c r="C240" s="193">
        <v>38006</v>
      </c>
      <c r="D240" s="190">
        <v>106.83</v>
      </c>
      <c r="E240" s="223">
        <v>1</v>
      </c>
    </row>
    <row r="241" spans="2:5" x14ac:dyDescent="0.2">
      <c r="B241" s="190" t="s">
        <v>406</v>
      </c>
      <c r="C241" s="193">
        <v>38715</v>
      </c>
      <c r="D241" s="190">
        <v>508.88</v>
      </c>
      <c r="E241" s="223">
        <v>1</v>
      </c>
    </row>
    <row r="242" spans="2:5" x14ac:dyDescent="0.2">
      <c r="B242" s="190" t="s">
        <v>407</v>
      </c>
      <c r="C242" s="193">
        <v>38715</v>
      </c>
      <c r="D242" s="190">
        <v>510.55</v>
      </c>
      <c r="E242" s="223">
        <v>1</v>
      </c>
    </row>
    <row r="243" spans="2:5" x14ac:dyDescent="0.2">
      <c r="B243" s="190" t="s">
        <v>408</v>
      </c>
      <c r="C243" s="193">
        <v>38260</v>
      </c>
      <c r="D243" s="190">
        <v>730.16</v>
      </c>
      <c r="E243" s="223">
        <v>1</v>
      </c>
    </row>
    <row r="244" spans="2:5" x14ac:dyDescent="0.2">
      <c r="B244" s="190" t="s">
        <v>409</v>
      </c>
      <c r="C244" s="193">
        <v>38716</v>
      </c>
      <c r="D244" s="190">
        <v>250.34</v>
      </c>
      <c r="E244" s="223">
        <v>1</v>
      </c>
    </row>
    <row r="245" spans="2:5" x14ac:dyDescent="0.2">
      <c r="B245" s="190" t="s">
        <v>410</v>
      </c>
      <c r="C245" s="193">
        <v>38716</v>
      </c>
      <c r="D245" s="190">
        <v>250.34</v>
      </c>
      <c r="E245" s="223">
        <v>1</v>
      </c>
    </row>
    <row r="246" spans="2:5" x14ac:dyDescent="0.2">
      <c r="B246" s="190" t="s">
        <v>411</v>
      </c>
      <c r="C246" s="193">
        <v>38713</v>
      </c>
      <c r="D246" s="190">
        <v>185.77</v>
      </c>
      <c r="E246" s="223">
        <v>1</v>
      </c>
    </row>
    <row r="247" spans="2:5" x14ac:dyDescent="0.2">
      <c r="B247" s="190" t="s">
        <v>412</v>
      </c>
      <c r="C247" s="193">
        <v>38713</v>
      </c>
      <c r="D247" s="190">
        <v>232.72</v>
      </c>
      <c r="E247" s="223">
        <v>1</v>
      </c>
    </row>
    <row r="248" spans="2:5" x14ac:dyDescent="0.2">
      <c r="B248" s="190" t="s">
        <v>413</v>
      </c>
      <c r="C248" s="193">
        <v>38713</v>
      </c>
      <c r="D248" s="190">
        <v>137.76</v>
      </c>
      <c r="E248" s="223">
        <v>1</v>
      </c>
    </row>
    <row r="249" spans="2:5" x14ac:dyDescent="0.2">
      <c r="B249" s="190" t="s">
        <v>414</v>
      </c>
      <c r="C249" s="193">
        <v>38713</v>
      </c>
      <c r="D249" s="190">
        <v>141.75</v>
      </c>
      <c r="E249" s="223">
        <v>1</v>
      </c>
    </row>
    <row r="250" spans="2:5" x14ac:dyDescent="0.2">
      <c r="B250" s="190" t="s">
        <v>415</v>
      </c>
      <c r="C250" s="193">
        <v>38370</v>
      </c>
      <c r="D250" s="190">
        <v>242.71</v>
      </c>
      <c r="E250" s="223">
        <v>1</v>
      </c>
    </row>
    <row r="251" spans="2:5" x14ac:dyDescent="0.2">
      <c r="B251" s="190" t="s">
        <v>416</v>
      </c>
      <c r="C251" s="193">
        <v>38706</v>
      </c>
      <c r="D251" s="190">
        <v>128.63</v>
      </c>
      <c r="E251" s="223">
        <v>1</v>
      </c>
    </row>
    <row r="252" spans="2:5" x14ac:dyDescent="0.2">
      <c r="B252" s="190" t="s">
        <v>417</v>
      </c>
      <c r="C252" s="193">
        <v>38705</v>
      </c>
      <c r="D252" s="190">
        <v>217.85</v>
      </c>
      <c r="E252" s="223">
        <v>1</v>
      </c>
    </row>
    <row r="253" spans="2:5" x14ac:dyDescent="0.2">
      <c r="B253" s="190" t="s">
        <v>418</v>
      </c>
      <c r="C253" s="193">
        <v>42129</v>
      </c>
      <c r="D253" s="190">
        <v>1211.2244297899999</v>
      </c>
      <c r="E253" s="223">
        <v>1</v>
      </c>
    </row>
    <row r="254" spans="2:5" x14ac:dyDescent="0.2">
      <c r="B254" s="190" t="s">
        <v>419</v>
      </c>
      <c r="C254" s="193">
        <v>42552</v>
      </c>
      <c r="D254" s="190">
        <v>532.75119029999996</v>
      </c>
      <c r="E254" s="223">
        <v>1</v>
      </c>
    </row>
    <row r="255" spans="2:5" x14ac:dyDescent="0.2">
      <c r="B255" s="190" t="s">
        <v>420</v>
      </c>
      <c r="C255" s="193">
        <v>39329</v>
      </c>
      <c r="D255" s="190">
        <v>321.83999999999997</v>
      </c>
      <c r="E255" s="223">
        <v>1</v>
      </c>
    </row>
    <row r="256" spans="2:5" x14ac:dyDescent="0.2">
      <c r="B256" s="190" t="s">
        <v>421</v>
      </c>
      <c r="C256" s="193">
        <v>40577</v>
      </c>
      <c r="D256" s="190">
        <v>493.46</v>
      </c>
      <c r="E256" s="223">
        <v>1</v>
      </c>
    </row>
    <row r="257" spans="2:5" x14ac:dyDescent="0.2">
      <c r="B257" s="190" t="s">
        <v>422</v>
      </c>
      <c r="C257" s="193">
        <v>39618</v>
      </c>
      <c r="D257" s="190">
        <v>303</v>
      </c>
      <c r="E257" s="223">
        <v>1</v>
      </c>
    </row>
    <row r="258" spans="2:5" x14ac:dyDescent="0.2">
      <c r="B258" s="190" t="s">
        <v>423</v>
      </c>
      <c r="C258" s="193">
        <v>39394</v>
      </c>
      <c r="D258" s="190">
        <v>363.69</v>
      </c>
      <c r="E258" s="223">
        <v>1</v>
      </c>
    </row>
    <row r="259" spans="2:5" x14ac:dyDescent="0.2">
      <c r="B259" s="190" t="s">
        <v>424</v>
      </c>
      <c r="C259" s="193">
        <v>40478</v>
      </c>
      <c r="D259" s="190">
        <v>148.34</v>
      </c>
      <c r="E259" s="223">
        <v>1</v>
      </c>
    </row>
    <row r="260" spans="2:5" x14ac:dyDescent="0.2">
      <c r="B260" s="190" t="s">
        <v>425</v>
      </c>
      <c r="C260" s="193">
        <v>42552</v>
      </c>
      <c r="D260" s="190">
        <v>1062.7544994699999</v>
      </c>
      <c r="E260" s="223">
        <v>1</v>
      </c>
    </row>
    <row r="261" spans="2:5" x14ac:dyDescent="0.2">
      <c r="B261" s="190" t="s">
        <v>426</v>
      </c>
      <c r="C261" s="193">
        <v>42227</v>
      </c>
      <c r="D261" s="190">
        <v>4757.8587041199999</v>
      </c>
      <c r="E261" s="223">
        <v>1</v>
      </c>
    </row>
    <row r="262" spans="2:5" x14ac:dyDescent="0.2">
      <c r="B262" s="190" t="s">
        <v>427</v>
      </c>
      <c r="C262" s="193">
        <v>42550</v>
      </c>
      <c r="D262" s="190">
        <v>147.67885862</v>
      </c>
      <c r="E262" s="223">
        <v>1</v>
      </c>
    </row>
    <row r="263" spans="2:5" x14ac:dyDescent="0.2">
      <c r="B263" s="190" t="s">
        <v>428</v>
      </c>
      <c r="C263" s="193">
        <v>39618</v>
      </c>
      <c r="D263" s="190">
        <v>562.29</v>
      </c>
      <c r="E263" s="223">
        <v>1</v>
      </c>
    </row>
    <row r="264" spans="2:5" x14ac:dyDescent="0.2">
      <c r="B264" s="190" t="s">
        <v>429</v>
      </c>
      <c r="C264" s="193">
        <v>39394</v>
      </c>
      <c r="D264" s="190">
        <v>363.69</v>
      </c>
      <c r="E264" s="223">
        <v>1</v>
      </c>
    </row>
    <row r="265" spans="2:5" x14ac:dyDescent="0.2">
      <c r="B265" s="190" t="s">
        <v>430</v>
      </c>
      <c r="C265" s="193">
        <v>42227</v>
      </c>
      <c r="D265" s="190">
        <v>4215.8333879900001</v>
      </c>
      <c r="E265" s="223">
        <v>1</v>
      </c>
    </row>
    <row r="266" spans="2:5" x14ac:dyDescent="0.2">
      <c r="B266" s="190" t="s">
        <v>431</v>
      </c>
      <c r="C266" s="193">
        <v>41277</v>
      </c>
      <c r="D266" s="190">
        <v>2807.39</v>
      </c>
      <c r="E266" s="223">
        <v>1</v>
      </c>
    </row>
    <row r="267" spans="2:5" x14ac:dyDescent="0.2">
      <c r="B267" s="190" t="s">
        <v>432</v>
      </c>
      <c r="C267" s="193">
        <v>41283</v>
      </c>
      <c r="D267" s="190">
        <v>2316.58</v>
      </c>
      <c r="E267" s="223">
        <v>1</v>
      </c>
    </row>
    <row r="268" spans="2:5" x14ac:dyDescent="0.2">
      <c r="B268" s="190" t="s">
        <v>433</v>
      </c>
      <c r="C268" s="193">
        <v>42550</v>
      </c>
      <c r="D268" s="190">
        <v>130.66139737</v>
      </c>
      <c r="E268" s="223">
        <v>1</v>
      </c>
    </row>
    <row r="269" spans="2:5" x14ac:dyDescent="0.2">
      <c r="B269" s="190" t="s">
        <v>434</v>
      </c>
      <c r="C269" s="193">
        <v>41281</v>
      </c>
      <c r="D269" s="190">
        <v>3365.22</v>
      </c>
      <c r="E269" s="223">
        <v>1</v>
      </c>
    </row>
    <row r="270" spans="2:5" x14ac:dyDescent="0.2">
      <c r="B270" s="190" t="s">
        <v>435</v>
      </c>
      <c r="C270" s="193">
        <v>42110</v>
      </c>
      <c r="D270" s="190">
        <v>522.89537319999999</v>
      </c>
      <c r="E270" s="223">
        <v>1</v>
      </c>
    </row>
    <row r="271" spans="2:5" x14ac:dyDescent="0.2">
      <c r="B271" s="190" t="s">
        <v>436</v>
      </c>
      <c r="C271" s="193">
        <v>42117</v>
      </c>
      <c r="D271" s="190">
        <v>650.14363865999997</v>
      </c>
      <c r="E271" s="223">
        <v>1</v>
      </c>
    </row>
    <row r="272" spans="2:5" x14ac:dyDescent="0.2">
      <c r="B272" s="190" t="s">
        <v>437</v>
      </c>
      <c r="C272" s="193">
        <v>42479</v>
      </c>
      <c r="D272" s="190">
        <v>517.55154836999998</v>
      </c>
      <c r="E272" s="223">
        <v>1</v>
      </c>
    </row>
    <row r="273" spans="2:5" x14ac:dyDescent="0.2">
      <c r="B273" s="190" t="s">
        <v>438</v>
      </c>
      <c r="C273" s="193">
        <v>42110</v>
      </c>
      <c r="D273" s="190">
        <v>419.85620591000003</v>
      </c>
      <c r="E273" s="223">
        <v>1</v>
      </c>
    </row>
    <row r="274" spans="2:5" x14ac:dyDescent="0.2">
      <c r="B274" s="10" t="s">
        <v>439</v>
      </c>
      <c r="C274" s="126">
        <v>41444</v>
      </c>
      <c r="D274" s="10">
        <v>1386.8</v>
      </c>
      <c r="E274" s="10">
        <v>1</v>
      </c>
    </row>
    <row r="275" spans="2:5" x14ac:dyDescent="0.2">
      <c r="B275" s="10" t="s">
        <v>440</v>
      </c>
      <c r="C275" s="126">
        <v>42030</v>
      </c>
      <c r="D275" s="10">
        <v>227.86509369000001</v>
      </c>
      <c r="E275" s="10">
        <v>1</v>
      </c>
    </row>
    <row r="276" spans="2:5" x14ac:dyDescent="0.2">
      <c r="B276" s="10" t="s">
        <v>441</v>
      </c>
      <c r="C276" s="126">
        <v>39604</v>
      </c>
      <c r="D276" s="10">
        <v>233.37</v>
      </c>
      <c r="E276" s="10">
        <v>1</v>
      </c>
    </row>
    <row r="277" spans="2:5" x14ac:dyDescent="0.2">
      <c r="B277" s="10" t="s">
        <v>442</v>
      </c>
      <c r="C277" s="126">
        <v>42339</v>
      </c>
      <c r="D277" s="10">
        <v>487.53221783999999</v>
      </c>
      <c r="E277" s="10">
        <v>1</v>
      </c>
    </row>
    <row r="278" spans="2:5" x14ac:dyDescent="0.2">
      <c r="B278" s="10" t="s">
        <v>443</v>
      </c>
      <c r="C278" s="126">
        <v>38866</v>
      </c>
      <c r="D278" s="10">
        <v>203.88</v>
      </c>
      <c r="E278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97"/>
      <c r="G2" s="397"/>
      <c r="H2" s="397"/>
      <c r="I2" s="397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2017-04-20T07:00:00+00:00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7590F383-4FBF-4B4C-8DA3-1BFB923F297C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20170331</dc:title>
  <dc:creator>rapelangm</dc:creator>
  <cp:lastModifiedBy>Julia Maluleka</cp:lastModifiedBy>
  <cp:lastPrinted>2017-04-20T06:36:52Z</cp:lastPrinted>
  <dcterms:created xsi:type="dcterms:W3CDTF">2009-10-22T12:59:48Z</dcterms:created>
  <dcterms:modified xsi:type="dcterms:W3CDTF">2017-04-20T06:47:07Z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