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"/>
    </mc:Choice>
  </mc:AlternateContent>
  <bookViews>
    <workbookView xWindow="-4290" yWindow="2025" windowWidth="21630" windowHeight="495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52511"/>
</workbook>
</file>

<file path=xl/calcChain.xml><?xml version="1.0" encoding="utf-8"?>
<calcChain xmlns="http://schemas.openxmlformats.org/spreadsheetml/2006/main">
  <c r="C233" i="1" l="1"/>
  <c r="C235" i="1"/>
  <c r="B164" i="1"/>
  <c r="H153" i="1" l="1"/>
  <c r="E199" i="1" l="1"/>
  <c r="D201" i="1"/>
  <c r="D200" i="1"/>
  <c r="D198" i="1"/>
  <c r="D197" i="1"/>
  <c r="C201" i="1"/>
  <c r="E201" i="1" s="1"/>
  <c r="C200" i="1"/>
  <c r="C198" i="1"/>
  <c r="E198" i="1" s="1"/>
  <c r="B198" i="1"/>
  <c r="C197" i="1"/>
  <c r="B201" i="1"/>
  <c r="B200" i="1"/>
  <c r="B197" i="1"/>
  <c r="D202" i="1" l="1"/>
  <c r="C202" i="1"/>
  <c r="E200" i="1"/>
  <c r="E197" i="1"/>
  <c r="B202" i="1"/>
  <c r="A181" i="1"/>
  <c r="E202" i="1" l="1"/>
  <c r="B163" i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E234" i="1"/>
  <c r="E233" i="1"/>
  <c r="B233" i="1"/>
  <c r="C228" i="1"/>
  <c r="C227" i="1"/>
  <c r="E227" i="1" s="1"/>
  <c r="E226" i="1"/>
  <c r="C223" i="1"/>
  <c r="C222" i="1"/>
  <c r="C221" i="1"/>
  <c r="B227" i="1"/>
  <c r="B222" i="1"/>
  <c r="B221" i="1"/>
  <c r="E235" i="1" l="1"/>
  <c r="E223" i="1"/>
  <c r="D232" i="1"/>
  <c r="E221" i="1"/>
  <c r="E239" i="1"/>
  <c r="E222" i="1"/>
  <c r="C232" i="1"/>
  <c r="C231" i="1"/>
  <c r="E231" i="1" s="1"/>
  <c r="E228" i="1"/>
  <c r="B231" i="1"/>
  <c r="E232" i="1" l="1"/>
  <c r="D354" i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B165" i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8" i="1"/>
  <c r="D67" i="1"/>
  <c r="D76" i="1"/>
  <c r="D70" i="1"/>
  <c r="C75" i="1"/>
  <c r="C74" i="1"/>
  <c r="C73" i="1"/>
  <c r="C67" i="1"/>
  <c r="C69" i="1"/>
  <c r="C68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G417" i="1"/>
  <c r="G409" i="1"/>
  <c r="G410" i="1"/>
  <c r="G411" i="1"/>
  <c r="G412" i="1"/>
  <c r="G413" i="1"/>
  <c r="G414" i="1"/>
  <c r="G408" i="1"/>
  <c r="G401" i="1"/>
  <c r="G402" i="1"/>
  <c r="G403" i="1"/>
  <c r="G400" i="1"/>
  <c r="G391" i="1"/>
  <c r="G392" i="1"/>
  <c r="G393" i="1"/>
  <c r="G394" i="1"/>
  <c r="G395" i="1"/>
  <c r="G396" i="1"/>
  <c r="G390" i="1"/>
  <c r="G383" i="1"/>
  <c r="G384" i="1"/>
  <c r="G385" i="1"/>
  <c r="G382" i="1"/>
  <c r="G373" i="1"/>
  <c r="G374" i="1"/>
  <c r="G375" i="1"/>
  <c r="G376" i="1"/>
  <c r="G377" i="1"/>
  <c r="G378" i="1"/>
  <c r="G372" i="1"/>
  <c r="G365" i="1"/>
  <c r="G366" i="1"/>
  <c r="G367" i="1"/>
  <c r="G364" i="1"/>
  <c r="G355" i="1"/>
  <c r="G356" i="1"/>
  <c r="G357" i="1"/>
  <c r="G358" i="1"/>
  <c r="G359" i="1"/>
  <c r="G360" i="1"/>
  <c r="G354" i="1"/>
  <c r="D418" i="1"/>
  <c r="D419" i="1"/>
  <c r="D417" i="1"/>
  <c r="D409" i="1"/>
  <c r="D410" i="1"/>
  <c r="D411" i="1"/>
  <c r="D412" i="1"/>
  <c r="D413" i="1"/>
  <c r="D414" i="1"/>
  <c r="D408" i="1"/>
  <c r="D401" i="1"/>
  <c r="D402" i="1"/>
  <c r="D403" i="1"/>
  <c r="D400" i="1"/>
  <c r="D391" i="1"/>
  <c r="D392" i="1"/>
  <c r="D393" i="1"/>
  <c r="D394" i="1"/>
  <c r="D395" i="1"/>
  <c r="D396" i="1"/>
  <c r="D390" i="1"/>
  <c r="D383" i="1"/>
  <c r="D384" i="1"/>
  <c r="D385" i="1"/>
  <c r="D382" i="1"/>
  <c r="D373" i="1"/>
  <c r="D374" i="1"/>
  <c r="D375" i="1"/>
  <c r="D376" i="1"/>
  <c r="D377" i="1"/>
  <c r="D378" i="1"/>
  <c r="D372" i="1"/>
  <c r="E368" i="1"/>
  <c r="D365" i="1"/>
  <c r="D366" i="1"/>
  <c r="D367" i="1"/>
  <c r="D364" i="1"/>
  <c r="D355" i="1"/>
  <c r="D356" i="1"/>
  <c r="D357" i="1"/>
  <c r="D358" i="1"/>
  <c r="D359" i="1"/>
  <c r="D360" i="1"/>
  <c r="C418" i="1"/>
  <c r="C419" i="1"/>
  <c r="C420" i="1"/>
  <c r="C417" i="1"/>
  <c r="C409" i="1"/>
  <c r="C410" i="1"/>
  <c r="C411" i="1"/>
  <c r="C412" i="1"/>
  <c r="C413" i="1"/>
  <c r="C414" i="1"/>
  <c r="C408" i="1"/>
  <c r="C401" i="1"/>
  <c r="C402" i="1"/>
  <c r="C403" i="1"/>
  <c r="C400" i="1"/>
  <c r="C391" i="1"/>
  <c r="C392" i="1"/>
  <c r="C393" i="1"/>
  <c r="C394" i="1"/>
  <c r="C395" i="1"/>
  <c r="C396" i="1"/>
  <c r="C390" i="1"/>
  <c r="C383" i="1"/>
  <c r="C384" i="1"/>
  <c r="C385" i="1"/>
  <c r="C382" i="1"/>
  <c r="C373" i="1"/>
  <c r="C374" i="1"/>
  <c r="C375" i="1"/>
  <c r="C376" i="1"/>
  <c r="C377" i="1"/>
  <c r="C378" i="1"/>
  <c r="C372" i="1"/>
  <c r="C365" i="1"/>
  <c r="C366" i="1"/>
  <c r="C367" i="1"/>
  <c r="C364" i="1"/>
  <c r="C356" i="1"/>
  <c r="C357" i="1"/>
  <c r="C358" i="1"/>
  <c r="C359" i="1"/>
  <c r="C360" i="1"/>
  <c r="C355" i="1"/>
  <c r="C354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E31" i="1" l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G368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79" i="1"/>
  <c r="C361" i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D163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D15" i="1"/>
  <c r="D56" i="1" s="1"/>
  <c r="F15" i="1"/>
  <c r="G15" i="1"/>
  <c r="H15" i="1"/>
  <c r="I15" i="1"/>
  <c r="F65" i="1" l="1"/>
  <c r="F101" i="1"/>
  <c r="G65" i="1"/>
  <c r="G101" i="1"/>
  <c r="I65" i="1"/>
  <c r="I101" i="1"/>
  <c r="H65" i="1"/>
  <c r="H101" i="1"/>
  <c r="B67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D12" i="6" s="1"/>
  <c r="C22" i="6"/>
  <c r="B22" i="6"/>
  <c r="D22" i="6" s="1"/>
  <c r="C33" i="6"/>
  <c r="B33" i="6"/>
  <c r="D33" i="6" s="1"/>
  <c r="C54" i="6"/>
  <c r="B54" i="6"/>
  <c r="C64" i="6"/>
  <c r="D64" i="6" s="1"/>
  <c r="B64" i="6"/>
  <c r="E64" i="6"/>
  <c r="F64" i="6" s="1"/>
  <c r="E54" i="6"/>
  <c r="E43" i="6"/>
  <c r="E33" i="6"/>
  <c r="E22" i="6"/>
  <c r="F43" i="6"/>
  <c r="D43" i="6"/>
  <c r="E12" i="6"/>
  <c r="F22" i="6" l="1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<sst xmlns="http://schemas.openxmlformats.org/spreadsheetml/2006/main" count="2501" uniqueCount="663">
  <si>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</si>
  <si>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</si>
  <si>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</si>
  <si>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</si>
  <si>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</si>
  <si>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</si>
  <si>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</si>
  <si>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</si>
  <si>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</si>
  <si>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</si>
  <si>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</si>
  <si>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</si>
  <si>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</si>
  <si>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</si>
  <si>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</si>
  <si>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</si>
  <si>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</si>
  <si>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</si>
  <si>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</si>
  <si>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</si>
  <si>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</si>
  <si>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</si>
  <si>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</si>
  <si>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</si>
  <si>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</si>
  <si>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</si>
  <si>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</si>
  <si>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</si>
  <si>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</si>
  <si>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</si>
  <si>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</si>
  <si>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</si>
  <si>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</si>
  <si>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</si>
  <si>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</si>
  <si>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</si>
  <si>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</si>
  <si>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</si>
  <si>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</si>
  <si>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</si>
  <si>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</si>
  <si>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</si>
  <si>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</si>
  <si>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</si>
  <si>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</si>
  <si>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</si>
  <si>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</si>
  <si>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</si>
  <si>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</si>
  <si>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</si>
  <si>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</si>
  <si>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</si>
  <si>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</si>
  <si>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</si>
  <si>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</si>
  <si>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</si>
  <si>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</si>
  <si>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</si>
  <si>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</si>
  <si>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</si>
  <si>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</si>
  <si>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</si>
  <si>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</si>
  <si>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</si>
  <si>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</si>
  <si>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</si>
  <si>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</si>
  <si>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</si>
  <si>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</si>
  <si>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</si>
  <si>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</si>
  <si>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</si>
  <si>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</si>
  <si>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</si>
  <si>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</si>
  <si>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</si>
  <si>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</si>
  <si>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</si>
  <si>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</si>
  <si>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</si>
  <si>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</si>
  <si>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</si>
  <si>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</si>
  <si>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</si>
  <si>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</si>
  <si>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</si>
  <si>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</si>
  <si>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</si>
  <si>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</si>
  <si>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</si>
  <si>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</si>
  <si>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</si>
  <si>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</si>
  <si>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</si>
  <si>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</si>
  <si>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</si>
  <si>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</si>
  <si>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</si>
  <si>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</si>
  <si>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</si>
  <si>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</si>
  <si>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</si>
  <si>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</si>
  <si>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</si>
  <si>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</si>
  <si>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</si>
  <si>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</si>
  <si>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</si>
  <si>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</si>
  <si>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</si>
  <si>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</si>
  <si>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</si>
  <si>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</si>
  <si>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</si>
  <si>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</si>
  <si>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</si>
  <si>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</si>
  <si>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</si>
  <si>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</si>
  <si>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</si>
  <si>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</si>
  <si>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</si>
  <si>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</si>
  <si>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</si>
  <si>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</si>
  <si>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</si>
  <si>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</si>
  <si>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</si>
  <si>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</si>
  <si>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</si>
  <si>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</si>
  <si>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</si>
  <si>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</si>
  <si>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</si>
  <si>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</si>
  <si>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</si>
  <si>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</si>
  <si>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</si>
  <si>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</si>
  <si>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</si>
  <si>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</si>
  <si>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</si>
  <si>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</si>
  <si>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</si>
  <si>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</si>
  <si>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</si>
  <si>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</si>
  <si>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</si>
  <si>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</si>
  <si>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</si>
  <si>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</si>
  <si>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</si>
  <si>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</si>
  <si>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</si>
  <si>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</si>
  <si>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</si>
  <si>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</si>
  <si>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</si>
  <si>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</si>
  <si>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</si>
  <si>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</si>
  <si>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</si>
  <si>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</si>
  <si>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</si>
  <si>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</si>
  <si>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</si>
  <si>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</si>
  <si>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</si>
  <si>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</si>
  <si>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</si>
  <si>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</si>
  <si>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</si>
  <si>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</si>
  <si>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</si>
  <si>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</si>
  <si>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</si>
  <si>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</si>
  <si>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</si>
  <si>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</si>
  <si>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</si>
  <si>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</si>
  <si>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</si>
  <si>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</si>
  <si>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</si>
  <si>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</si>
  <si>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</si>
  <si>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</si>
  <si>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</si>
  <si>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</si>
  <si>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</si>
  <si>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</si>
  <si>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</si>
  <si>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</si>
  <si>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</si>
  <si>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</si>
  <si>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</si>
  <si>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</si>
  <si>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</si>
  <si>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</si>
  <si>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</si>
  <si>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</si>
  <si>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</si>
  <si>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</si>
  <si>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</si>
  <si>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</si>
  <si>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</si>
  <si>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</si>
  <si>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</si>
  <si>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</si>
  <si>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</si>
  <si>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</si>
  <si>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</si>
  <si>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</si>
  <si>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</si>
  <si>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</si>
  <si>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</si>
  <si>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</si>
  <si>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</si>
  <si>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</si>
  <si>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</si>
  <si>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</si>
  <si>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</si>
  <si>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</si>
  <si>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</si>
  <si>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</si>
  <si>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</si>
  <si>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</si>
  <si>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</si>
  <si>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</si>
  <si>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</si>
  <si>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</si>
  <si>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</si>
  <si>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</si>
  <si>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</si>
  <si>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</si>
  <si>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</si>
  <si>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</si>
  <si>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</si>
  <si>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</si>
  <si>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</si>
  <si>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</si>
  <si>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</si>
  <si>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</si>
  <si>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</si>
  <si>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</si>
  <si>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</si>
  <si>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</si>
  <si>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</si>
  <si>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</si>
  <si>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</si>
  <si>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</si>
  <si>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</si>
  <si>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</si>
  <si>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</si>
  <si>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</si>
  <si>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</si>
  <si>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</si>
  <si>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</si>
  <si>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</si>
  <si>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</si>
  <si>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</si>
  <si>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</si>
  <si>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</si>
  <si>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</si>
  <si>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</si>
  <si>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</si>
  <si>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</si>
  <si>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</si>
  <si>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</si>
  <si>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</si>
  <si>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</si>
  <si>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</si>
  <si>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</si>
  <si>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</si>
  <si>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</si>
  <si>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</si>
  <si>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</si>
  <si>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</si>
  <si>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</si>
  <si>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</si>
  <si>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</si>
  <si>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</si>
  <si>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</si>
  <si>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</si>
  <si>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</si>
  <si>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</si>
  <si>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</si>
  <si>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</si>
  <si>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</si>
  <si>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</si>
  <si>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</si>
  <si>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</si>
  <si>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</si>
  <si>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</si>
  <si>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</si>
  <si>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</si>
  <si>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</si>
  <si>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</si>
  <si>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</si>
  <si>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</si>
  <si>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</si>
  <si>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</si>
  <si>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</si>
  <si>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</si>
  <si>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</si>
  <si>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</si>
  <si>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</si>
  <si>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</si>
  <si>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</si>
  <si>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</si>
  <si>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</si>
  <si>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</si>
  <si>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</si>
  <si>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</si>
  <si>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</si>
  <si>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</si>
  <si>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</si>
  <si>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</si>
  <si>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</si>
  <si>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</si>
  <si>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</si>
  <si>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</si>
  <si>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</si>
  <si>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</si>
  <si>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</si>
  <si>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</si>
  <si>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</si>
  <si>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</si>
  <si>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</si>
  <si>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</si>
  <si>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</si>
  <si>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</si>
  <si>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</si>
  <si>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</si>
  <si>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</si>
  <si>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</si>
  <si>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</si>
  <si>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</si>
  <si>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</si>
  <si>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</si>
  <si>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</si>
  <si>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</si>
  <si>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</si>
  <si>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</si>
  <si>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</si>
  <si>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</si>
  <si>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</si>
  <si>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</si>
  <si>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</si>
  <si>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</si>
  <si>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</si>
  <si>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</si>
  <si>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</si>
  <si>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</si>
  <si>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</si>
  <si>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</si>
  <si>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</si>
  <si>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</si>
  <si>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</si>
  <si>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</si>
  <si>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</si>
  <si>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</si>
  <si>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</si>
  <si>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</si>
  <si>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</si>
  <si>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</si>
  <si>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</si>
  <si>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</si>
  <si>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</si>
  <si>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</si>
  <si>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</si>
  <si>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</si>
  <si>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</si>
  <si>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</si>
  <si>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</si>
  <si>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</si>
  <si>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</si>
  <si>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</si>
  <si>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</si>
  <si>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</si>
  <si>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</si>
  <si>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</si>
  <si>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</si>
  <si>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</si>
  <si>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</si>
  <si>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</si>
  <si>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</si>
  <si>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</si>
  <si>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</si>
  <si>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</si>
  <si>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</si>
  <si>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</si>
  <si>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</si>
  <si>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</si>
  <si>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</si>
  <si>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</si>
  <si>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</si>
  <si>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</si>
  <si>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</si>
  <si>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</si>
  <si>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</si>
  <si>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</si>
  <si>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</si>
  <si>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</si>
  <si>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</si>
  <si>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</si>
  <si>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</si>
  <si>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</si>
  <si>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</si>
  <si>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</si>
  <si>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</si>
  <si>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</si>
  <si>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</si>
  <si>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</si>
  <si>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</si>
  <si>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</si>
  <si>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</si>
  <si>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</si>
  <si>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</si>
  <si>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</si>
  <si>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</si>
  <si>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</si>
  <si>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</si>
  <si>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</si>
  <si>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</si>
  <si>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</si>
  <si>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</si>
  <si>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</si>
  <si>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</si>
  <si>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</si>
  <si>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</si>
  <si>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</si>
  <si>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</si>
  <si>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</si>
  <si>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</si>
  <si>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</si>
  <si>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</si>
  <si>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</si>
  <si>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</si>
  <si>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</si>
  <si>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</si>
  <si>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</si>
  <si>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</si>
  <si>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</si>
  <si>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</si>
  <si>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</si>
  <si>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</si>
  <si>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</si>
  <si>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</si>
  <si>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</si>
  <si>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</si>
  <si>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</si>
  <si>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</si>
  <si>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</si>
  <si>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</si>
  <si>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</si>
  <si>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</si>
  <si>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</si>
  <si>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</si>
  <si>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</si>
  <si>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</si>
  <si>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</si>
  <si>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</si>
  <si>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</si>
  <si>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</si>
  <si>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</si>
  <si>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</si>
  <si>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</si>
  <si>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</si>
  <si>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</si>
  <si>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</si>
  <si>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</si>
  <si>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</si>
  <si>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</si>
  <si>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</si>
  <si>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</si>
  <si>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</si>
  <si>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</si>
  <si>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</si>
  <si>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</si>
  <si>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</si>
  <si>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</si>
  <si>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</si>
  <si>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</si>
  <si>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</si>
  <si>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</si>
  <si>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</si>
  <si>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</si>
  <si>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</si>
  <si>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</si>
  <si>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</si>
  <si>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</si>
  <si>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</si>
  <si>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</si>
  <si>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</si>
  <si>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</si>
  <si>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</si>
  <si>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</si>
  <si>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</si>
  <si>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</si>
  <si>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</si>
  <si>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</si>
  <si>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</si>
  <si>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</si>
  <si>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</si>
  <si>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</si>
  <si>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</si>
  <si>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</si>
  <si>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</si>
  <si>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</si>
  <si>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</si>
  <si>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</si>
  <si>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</si>
  <si>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</si>
  <si>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</si>
  <si>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</si>
  <si>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</si>
  <si>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</si>
  <si>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</si>
  <si>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</si>
  <si>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</si>
  <si>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</si>
  <si>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</si>
  <si>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</si>
  <si>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</si>
  <si>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</si>
  <si>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</si>
  <si>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</si>
  <si>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</si>
  <si>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</si>
  <si>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</si>
  <si>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</si>
  <si>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>NOTE:FTSE/JSE Indices were reintroduced in June 2002 and all values are reflective since.</t>
  </si>
  <si>
    <t>09/2016</t>
  </si>
  <si>
    <t xml:space="preserve">                       -   </t>
  </si>
  <si>
    <t xml:space="preserve">                        - 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</si>
  <si>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</si>
  <si>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</si>
  <si>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</si>
  <si>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</si>
  <si>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</si>
  <si>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</si>
  <si>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</si>
  <si>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</si>
  <si>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</si>
  <si>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</si>
  <si>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</si>
  <si>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</si>
  <si>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</si>
  <si>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</si>
  <si>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</si>
  <si>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IndexRank</t>
  </si>
  <si>
    <t>J203VF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</si>
  <si>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</si>
  <si>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</si>
  <si>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</si>
  <si>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</si>
  <si>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</si>
  <si>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</si>
  <si>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</si>
  <si>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ZAMBIAN BREAD MILLING WHEAT FUTURE</t>
  </si>
  <si>
    <t>COPPER QUANTO</t>
  </si>
  <si>
    <t>CORN CONTRACT</t>
  </si>
  <si>
    <t>SOYA FUTURE</t>
  </si>
  <si>
    <t>BRENT CRUDE OIL FUTURE</t>
  </si>
  <si>
    <t xml:space="preserve">DIESEL EUROPEAN GASOIL </t>
  </si>
  <si>
    <t>ZAMBIAN WHITE MAIZE</t>
  </si>
  <si>
    <t xml:space="preserve">SOFT RED WHEAT FUTURES </t>
  </si>
  <si>
    <t>GOLD QUANTO</t>
  </si>
  <si>
    <t>SOYBEAN CONTRACT</t>
  </si>
  <si>
    <t>COPPER</t>
  </si>
  <si>
    <t>HARD RED WINTER WHEAT FUTURES</t>
  </si>
  <si>
    <t>YELLOW MAIZE FUTURE</t>
  </si>
  <si>
    <t>EURONEXT MILLING WHEAT CONTRACT</t>
  </si>
  <si>
    <t>COCOA QUANTO</t>
  </si>
  <si>
    <t>GASOLINE QUANTO</t>
  </si>
  <si>
    <t>SILVER QUANTO</t>
  </si>
  <si>
    <t>PALLADIUM</t>
  </si>
  <si>
    <t>COFFEE QUANTO</t>
  </si>
  <si>
    <t>NATURAL GAS QUANTO</t>
  </si>
  <si>
    <t>GOLD</t>
  </si>
  <si>
    <t>ZAMBIAN SOYA BEANS FUTURE</t>
  </si>
  <si>
    <t>SOYBEAN MEAL CONTRACT</t>
  </si>
  <si>
    <t>SUNFLOWER SEEDS FUTURE</t>
  </si>
  <si>
    <t>BREAD MILLING WHEAT</t>
  </si>
  <si>
    <t>WHITE MAIZE FUTURE</t>
  </si>
  <si>
    <t>SOYBEAN OIL CONTRACT</t>
  </si>
  <si>
    <t>SOYBEAN QUANTO</t>
  </si>
  <si>
    <t>PALLADIUM QUANTO</t>
  </si>
  <si>
    <t>SORGHUM FUTURES</t>
  </si>
  <si>
    <t>COTTON QUANTO</t>
  </si>
  <si>
    <t>BEEF CARCASS</t>
  </si>
  <si>
    <t>YELLOW MAIZE COMMODITY CANDO</t>
  </si>
  <si>
    <t>SORGHUM  BITTER - GH1 FUTURE</t>
  </si>
  <si>
    <t>HEATING OIL QUANTO</t>
  </si>
  <si>
    <t>QUANTO SOYBEAN COMMODITY CANDO</t>
  </si>
  <si>
    <t>BRENT CRUDE OIL QUANTO</t>
  </si>
  <si>
    <t>BRENT CRUDE OIL COMMODITY CAN-DO</t>
  </si>
  <si>
    <t>CORN QUANTO</t>
  </si>
  <si>
    <t>SUGAR #11 QUANTO</t>
  </si>
  <si>
    <t>SOYABEAN CRUSH FUTURE</t>
  </si>
  <si>
    <t>LAMB CARCASS</t>
  </si>
  <si>
    <t xml:space="preserve">PLATINUM QUANTO </t>
  </si>
  <si>
    <t>PLATINUM</t>
  </si>
  <si>
    <t>SILVER</t>
  </si>
  <si>
    <t>CRUDE OIL</t>
  </si>
  <si>
    <t>MERINO WOOL</t>
  </si>
  <si>
    <t>QUANTO WHITE MAIZE</t>
  </si>
  <si>
    <t>RAND DOLLAR CORN</t>
  </si>
  <si>
    <t>WHITE MAIZE GRADE 2 FUTURE</t>
  </si>
  <si>
    <t>QUANTO SOYBEAN MEAL COMMODITY CANDO</t>
  </si>
  <si>
    <t>isFuture</t>
  </si>
  <si>
    <t>Future</t>
  </si>
  <si>
    <t>Option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</si>
  <si>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</si>
  <si>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</si>
  <si>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</si>
  <si>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</si>
  <si>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</si>
  <si>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</si>
  <si>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</si>
  <si>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</si>
  <si>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</si>
  <si>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</si>
  <si>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</si>
  <si>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</si>
  <si>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</si>
  <si>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</si>
  <si>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</si>
  <si>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</si>
  <si>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</si>
  <si>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</si>
  <si>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</si>
  <si>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</si>
  <si>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</si>
  <si>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</si>
  <si>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</si>
  <si>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</si>
  <si>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</si>
  <si>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</si>
  <si>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</si>
  <si>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</si>
  <si>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</si>
  <si>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</si>
  <si>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</si>
  <si>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</si>
  <si>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Other Trade - I</t>
  </si>
  <si>
    <t>Repo 1</t>
  </si>
  <si>
    <t>Repo 2</t>
  </si>
  <si>
    <t>Standard Trade</t>
  </si>
  <si>
    <t>Standard Trade (Spot)</t>
  </si>
  <si>
    <t>Structured Deal</t>
  </si>
  <si>
    <t>TradeMonth</t>
  </si>
  <si>
    <t>2017/06</t>
  </si>
  <si>
    <t>CorporateActionTypeCode</t>
  </si>
  <si>
    <t>SUM_TotalValue</t>
  </si>
  <si>
    <t>AS</t>
  </si>
  <si>
    <t>GI</t>
  </si>
  <si>
    <t>SI</t>
  </si>
  <si>
    <t>SO</t>
  </si>
  <si>
    <t>SS</t>
  </si>
  <si>
    <t>TU</t>
  </si>
  <si>
    <t>Note: The monthly "local liquidity"  using the value traded and Strate market capitalisation is 82.64%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</si>
</sst>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&quot;R&quot;#,##0.00_);\(&quot;R&quot;#,##0.00\)"/>
    <numFmt numFmtId="165" formatCode="_ * #,##0_ ;_ * \-#,##0_ ;_ * &quot;-&quot;??_ ;_ @_ "/>
    <numFmt numFmtId="166" formatCode="_ * #,##0.0_ ;_ * \-#,##0.0_ ;_ * &quot;-&quot;??_ ;_ @_ "/>
    <numFmt numFmtId="167" formatCode="_(* #,##0_);_(* \(#,##0\);_(* &quot;-&quot;??_);_(@_)"/>
    <numFmt numFmtId="168" formatCode="mmm\-yyyy"/>
    <numFmt numFmtId="169" formatCode="#,###,###,"/>
    <numFmt numFmtId="170" formatCode="0.0"/>
  </numFmts>
  <fonts count="6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1104">
    <xf numFmtId="0" fontId="0" fillId="0" borderId="0"/>
    <xf numFmtId="43" fontId="1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4" applyNumberFormat="0" applyAlignment="0" applyProtection="0"/>
    <xf numFmtId="0" fontId="34" fillId="6" borderId="5" applyNumberFormat="0" applyAlignment="0" applyProtection="0"/>
    <xf numFmtId="0" fontId="35" fillId="6" borderId="4" applyNumberFormat="0" applyAlignment="0" applyProtection="0"/>
    <xf numFmtId="0" fontId="36" fillId="0" borderId="6" applyNumberFormat="0" applyFill="0" applyAlignment="0" applyProtection="0"/>
    <xf numFmtId="0" fontId="37" fillId="7" borderId="7" applyNumberFormat="0" applyAlignment="0" applyProtection="0"/>
    <xf numFmtId="0" fontId="38" fillId="0" borderId="0" applyNumberFormat="0" applyFill="0" applyBorder="0" applyAlignment="0" applyProtection="0"/>
    <xf numFmtId="0" fontId="19" fillId="8" borderId="8" applyNumberFormat="0" applyFont="0" applyAlignment="0" applyProtection="0"/>
    <xf numFmtId="0" fontId="3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4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40" fillId="32" borderId="0" applyNumberFormat="0" applyBorder="0" applyAlignment="0" applyProtection="0"/>
    <xf numFmtId="9" fontId="19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394">
    <xf numFmtId="0" fontId="0" fillId="0" borderId="0" xfId="0"/>
    <xf numFmtId="0" fontId="20" fillId="0" borderId="0" xfId="0" applyFont="1"/>
    <xf numFmtId="43" fontId="0" fillId="0" borderId="0" xfId="1" applyFont="1"/>
    <xf numFmtId="165" fontId="0" fillId="0" borderId="0" xfId="1" applyNumberFormat="1" applyFont="1"/>
    <xf numFmtId="165" fontId="20" fillId="0" borderId="0" xfId="1" applyNumberFormat="1" applyFont="1"/>
    <xf numFmtId="43" fontId="20" fillId="0" borderId="0" xfId="1" applyFont="1"/>
    <xf numFmtId="14" fontId="0" fillId="0" borderId="0" xfId="0" applyNumberFormat="1" applyAlignment="1">
      <alignment horizontal="right"/>
    </xf>
    <xf numFmtId="14" fontId="20" fillId="0" borderId="0" xfId="0" applyNumberFormat="1" applyFont="1" applyAlignment="1">
      <alignment horizontal="right"/>
    </xf>
    <xf numFmtId="0" fontId="22" fillId="0" borderId="0" xfId="0" applyFont="1" applyFill="1"/>
    <xf numFmtId="0" fontId="24" fillId="0" borderId="0" xfId="0" applyFont="1" applyFill="1"/>
    <xf numFmtId="0" fontId="0" fillId="0" borderId="0" xfId="0" applyFont="1"/>
    <xf numFmtId="17" fontId="20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7" fontId="23" fillId="0" borderId="0" xfId="0" applyNumberFormat="1" applyFont="1"/>
    <xf numFmtId="0" fontId="21" fillId="0" borderId="0" xfId="0" applyFont="1"/>
    <xf numFmtId="165" fontId="0" fillId="0" borderId="0" xfId="0" applyNumberFormat="1" applyFont="1"/>
    <xf numFmtId="3" fontId="20" fillId="0" borderId="0" xfId="0" applyNumberFormat="1" applyFont="1"/>
    <xf numFmtId="0" fontId="20" fillId="0" borderId="0" xfId="0" applyFont="1"/>
    <xf numFmtId="0" fontId="41" fillId="0" borderId="0" xfId="0" applyFont="1"/>
    <xf numFmtId="3" fontId="0" fillId="0" borderId="0" xfId="0" applyNumberFormat="1" applyFont="1"/>
    <xf numFmtId="43" fontId="0" fillId="0" borderId="0" xfId="0" applyNumberFormat="1"/>
    <xf numFmtId="0" fontId="25" fillId="0" borderId="0" xfId="0" applyFont="1"/>
    <xf numFmtId="167" fontId="17" fillId="0" borderId="0" xfId="0" applyNumberFormat="1" applyFont="1"/>
    <xf numFmtId="166" fontId="20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quotePrefix="1" applyFont="1" applyAlignment="1">
      <alignment horizontal="right"/>
    </xf>
    <xf numFmtId="0" fontId="20" fillId="0" borderId="0" xfId="0" applyFont="1"/>
    <xf numFmtId="165" fontId="0" fillId="0" borderId="0" xfId="0" applyNumberFormat="1" applyFont="1"/>
    <xf numFmtId="0" fontId="0" fillId="0" borderId="0" xfId="0" applyFont="1"/>
    <xf numFmtId="165" fontId="16" fillId="0" borderId="0" xfId="0" applyNumberFormat="1" applyFont="1" applyFill="1"/>
    <xf numFmtId="3" fontId="17" fillId="0" borderId="0" xfId="0" applyNumberFormat="1" applyFont="1"/>
    <xf numFmtId="165" fontId="21" fillId="0" borderId="0" xfId="0" applyNumberFormat="1" applyFont="1" applyFill="1"/>
    <xf numFmtId="165" fontId="0" fillId="0" borderId="0" xfId="0" applyNumberFormat="1" applyFont="1" applyFill="1"/>
    <xf numFmtId="165" fontId="20" fillId="0" borderId="0" xfId="0" applyNumberFormat="1" applyFont="1"/>
    <xf numFmtId="0" fontId="20" fillId="0" borderId="0" xfId="0" applyFont="1"/>
    <xf numFmtId="0" fontId="23" fillId="0" borderId="0" xfId="0" applyFont="1"/>
    <xf numFmtId="165" fontId="17" fillId="0" borderId="0" xfId="0" applyNumberFormat="1" applyFont="1"/>
    <xf numFmtId="166" fontId="0" fillId="0" borderId="0" xfId="0" applyNumberFormat="1" applyFont="1"/>
    <xf numFmtId="166" fontId="20" fillId="0" borderId="0" xfId="0" applyNumberFormat="1" applyFont="1"/>
    <xf numFmtId="0" fontId="20" fillId="0" borderId="0" xfId="0" applyFont="1" applyAlignment="1">
      <alignment horizontal="right"/>
    </xf>
    <xf numFmtId="165" fontId="25" fillId="0" borderId="0" xfId="0" applyNumberFormat="1" applyFont="1"/>
    <xf numFmtId="0" fontId="0" fillId="0" borderId="0" xfId="0"/>
    <xf numFmtId="0" fontId="25" fillId="0" borderId="0" xfId="0" applyFont="1"/>
    <xf numFmtId="0" fontId="0" fillId="0" borderId="0" xfId="0"/>
    <xf numFmtId="165" fontId="0" fillId="0" borderId="0" xfId="0" applyNumberFormat="1" applyFont="1" applyFill="1" applyBorder="1"/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3" fillId="0" borderId="0" xfId="0" applyFont="1"/>
    <xf numFmtId="165" fontId="0" fillId="0" borderId="0" xfId="0" applyNumberFormat="1" applyFont="1" applyFill="1" applyBorder="1" applyAlignment="1">
      <alignment horizontal="right"/>
    </xf>
    <xf numFmtId="165" fontId="16" fillId="0" borderId="0" xfId="0" applyNumberFormat="1" applyFont="1"/>
    <xf numFmtId="165" fontId="21" fillId="0" borderId="0" xfId="0" applyNumberFormat="1" applyFont="1"/>
    <xf numFmtId="166" fontId="21" fillId="0" borderId="0" xfId="0" applyNumberFormat="1" applyFont="1"/>
    <xf numFmtId="0" fontId="45" fillId="0" borderId="0" xfId="0" applyFont="1"/>
    <xf numFmtId="166" fontId="0" fillId="0" borderId="0" xfId="0" applyNumberFormat="1" applyFont="1" applyAlignment="1">
      <alignment horizontal="right"/>
    </xf>
    <xf numFmtId="165" fontId="45" fillId="0" borderId="0" xfId="0" applyNumberFormat="1" applyFont="1"/>
    <xf numFmtId="165" fontId="44" fillId="0" borderId="0" xfId="0" applyNumberFormat="1" applyFont="1"/>
    <xf numFmtId="0" fontId="20" fillId="0" borderId="0" xfId="0" applyFont="1"/>
    <xf numFmtId="166" fontId="0" fillId="0" borderId="0" xfId="1" applyNumberFormat="1" applyFont="1"/>
    <xf numFmtId="0" fontId="20" fillId="0" borderId="0" xfId="0" applyFont="1"/>
    <xf numFmtId="0" fontId="22" fillId="0" borderId="0" xfId="0" applyFont="1"/>
    <xf numFmtId="0" fontId="20" fillId="0" borderId="0" xfId="0" applyFont="1"/>
    <xf numFmtId="0" fontId="20" fillId="0" borderId="0" xfId="0" applyFont="1"/>
    <xf numFmtId="165" fontId="0" fillId="0" borderId="0" xfId="0" applyNumberFormat="1" applyFont="1"/>
    <xf numFmtId="165" fontId="16" fillId="0" borderId="0" xfId="1" applyNumberFormat="1" applyFont="1"/>
    <xf numFmtId="0" fontId="20" fillId="0" borderId="0" xfId="0" applyFont="1"/>
    <xf numFmtId="0" fontId="20" fillId="0" borderId="0" xfId="0" applyFont="1"/>
    <xf numFmtId="165" fontId="23" fillId="0" borderId="0" xfId="0" quotePrefix="1" applyNumberFormat="1" applyFont="1" applyAlignment="1">
      <alignment horizontal="right"/>
    </xf>
    <xf numFmtId="165" fontId="15" fillId="0" borderId="0" xfId="0" applyNumberFormat="1" applyFont="1"/>
    <xf numFmtId="165" fontId="19" fillId="0" borderId="0" xfId="0" applyNumberFormat="1" applyFont="1"/>
    <xf numFmtId="0" fontId="44" fillId="0" borderId="0" xfId="0" applyFont="1"/>
    <xf numFmtId="165" fontId="15" fillId="0" borderId="0" xfId="0" applyNumberFormat="1" applyFont="1"/>
    <xf numFmtId="0" fontId="15" fillId="0" borderId="0" xfId="0" applyFont="1"/>
    <xf numFmtId="165" fontId="14" fillId="0" borderId="0" xfId="0" applyNumberFormat="1" applyFont="1"/>
    <xf numFmtId="165" fontId="0" fillId="0" borderId="0" xfId="0" applyNumberFormat="1"/>
    <xf numFmtId="0" fontId="20" fillId="0" borderId="0" xfId="0" applyFont="1"/>
    <xf numFmtId="165" fontId="13" fillId="0" borderId="0" xfId="0" applyNumberFormat="1" applyFont="1"/>
    <xf numFmtId="165" fontId="12" fillId="0" borderId="0" xfId="0" applyNumberFormat="1" applyFont="1"/>
    <xf numFmtId="165" fontId="12" fillId="0" borderId="0" xfId="1" applyNumberFormat="1" applyFont="1"/>
    <xf numFmtId="165" fontId="12" fillId="0" borderId="0" xfId="0" applyNumberFormat="1" applyFont="1"/>
    <xf numFmtId="165" fontId="12" fillId="0" borderId="0" xfId="0" applyNumberFormat="1" applyFont="1"/>
    <xf numFmtId="165" fontId="12" fillId="0" borderId="0" xfId="0" applyNumberFormat="1" applyFont="1"/>
    <xf numFmtId="168" fontId="42" fillId="0" borderId="0" xfId="0" applyNumberFormat="1" applyFont="1" applyFill="1" applyBorder="1" applyAlignment="1">
      <alignment horizontal="right"/>
    </xf>
    <xf numFmtId="168" fontId="42" fillId="0" borderId="0" xfId="0" applyNumberFormat="1" applyFont="1" applyFill="1" applyBorder="1" applyAlignment="1">
      <alignment wrapText="1"/>
    </xf>
    <xf numFmtId="0" fontId="21" fillId="0" borderId="0" xfId="0" quotePrefix="1" applyFont="1"/>
    <xf numFmtId="0" fontId="20" fillId="0" borderId="0" xfId="0" applyFont="1"/>
    <xf numFmtId="0" fontId="20" fillId="0" borderId="0" xfId="0" applyFont="1" applyAlignment="1">
      <alignment horizontal="left"/>
    </xf>
    <xf numFmtId="43" fontId="20" fillId="0" borderId="0" xfId="1" applyFont="1" applyAlignment="1">
      <alignment horizontal="left"/>
    </xf>
    <xf numFmtId="14" fontId="20" fillId="0" borderId="0" xfId="0" applyNumberFormat="1" applyFont="1" applyAlignment="1">
      <alignment horizontal="left"/>
    </xf>
    <xf numFmtId="165" fontId="14" fillId="0" borderId="0" xfId="1" applyNumberFormat="1" applyFont="1"/>
    <xf numFmtId="0" fontId="47" fillId="0" borderId="0" xfId="0" applyFont="1"/>
    <xf numFmtId="170" fontId="0" fillId="0" borderId="0" xfId="0" applyNumberFormat="1"/>
    <xf numFmtId="0" fontId="42" fillId="0" borderId="0" xfId="0" applyFont="1"/>
    <xf numFmtId="3" fontId="42" fillId="0" borderId="0" xfId="0" applyNumberFormat="1" applyFont="1"/>
    <xf numFmtId="170" fontId="42" fillId="0" borderId="0" xfId="0" applyNumberFormat="1" applyFont="1"/>
    <xf numFmtId="165" fontId="42" fillId="0" borderId="0" xfId="1" applyNumberFormat="1" applyFont="1"/>
    <xf numFmtId="165" fontId="42" fillId="0" borderId="0" xfId="0" applyNumberFormat="1" applyFont="1"/>
    <xf numFmtId="169" fontId="0" fillId="0" borderId="0" xfId="1" applyNumberFormat="1" applyFont="1"/>
    <xf numFmtId="169" fontId="42" fillId="0" borderId="0" xfId="0" applyNumberFormat="1" applyFont="1"/>
    <xf numFmtId="169" fontId="0" fillId="0" borderId="0" xfId="0" applyNumberFormat="1"/>
    <xf numFmtId="0" fontId="0" fillId="0" borderId="0" xfId="0" applyBorder="1"/>
    <xf numFmtId="0" fontId="42" fillId="33" borderId="0" xfId="0" applyFont="1" applyFill="1"/>
    <xf numFmtId="0" fontId="0" fillId="33" borderId="0" xfId="0" applyFill="1"/>
    <xf numFmtId="170" fontId="0" fillId="33" borderId="0" xfId="0" applyNumberFormat="1" applyFill="1"/>
    <xf numFmtId="0" fontId="42" fillId="0" borderId="0" xfId="0" applyFont="1" applyFill="1" applyBorder="1" applyAlignment="1">
      <alignment horizontal="right" wrapText="1"/>
    </xf>
    <xf numFmtId="168" fontId="42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70" fontId="20" fillId="0" borderId="0" xfId="0" applyNumberFormat="1" applyFont="1"/>
    <xf numFmtId="0" fontId="20" fillId="0" borderId="0" xfId="0" applyFont="1"/>
    <xf numFmtId="0" fontId="0" fillId="0" borderId="11" xfId="0" applyFont="1" applyBorder="1"/>
    <xf numFmtId="0" fontId="20" fillId="0" borderId="11" xfId="0" applyFont="1" applyBorder="1"/>
    <xf numFmtId="165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5" fontId="20" fillId="0" borderId="11" xfId="0" applyNumberFormat="1" applyFont="1" applyBorder="1"/>
    <xf numFmtId="165" fontId="0" fillId="0" borderId="11" xfId="1" applyNumberFormat="1" applyFont="1" applyBorder="1"/>
    <xf numFmtId="0" fontId="20" fillId="0" borderId="12" xfId="0" applyFont="1" applyBorder="1" applyAlignment="1">
      <alignment horizontal="right"/>
    </xf>
    <xf numFmtId="0" fontId="0" fillId="0" borderId="12" xfId="0" applyFont="1" applyBorder="1"/>
    <xf numFmtId="0" fontId="20" fillId="0" borderId="12" xfId="0" applyFont="1" applyBorder="1"/>
    <xf numFmtId="165" fontId="0" fillId="0" borderId="12" xfId="0" applyNumberFormat="1" applyFont="1" applyBorder="1"/>
    <xf numFmtId="0" fontId="21" fillId="0" borderId="12" xfId="0" applyFont="1" applyFill="1" applyBorder="1"/>
    <xf numFmtId="0" fontId="46" fillId="0" borderId="12" xfId="0" applyFont="1" applyFill="1" applyBorder="1"/>
    <xf numFmtId="0" fontId="23" fillId="0" borderId="12" xfId="0" applyFont="1" applyBorder="1"/>
    <xf numFmtId="0" fontId="17" fillId="0" borderId="12" xfId="0" applyFont="1" applyBorder="1"/>
    <xf numFmtId="0" fontId="17" fillId="0" borderId="12" xfId="0" applyFont="1" applyFill="1" applyBorder="1"/>
    <xf numFmtId="0" fontId="17" fillId="0" borderId="0" xfId="0" applyFont="1"/>
    <xf numFmtId="0" fontId="49" fillId="0" borderId="0" xfId="0" applyFont="1" applyAlignment="1">
      <alignment vertical="center"/>
    </xf>
    <xf numFmtId="14" fontId="0" fillId="0" borderId="0" xfId="0" applyNumberFormat="1" applyFont="1"/>
    <xf numFmtId="165" fontId="25" fillId="0" borderId="0" xfId="1" applyNumberFormat="1" applyFont="1"/>
    <xf numFmtId="165" fontId="25" fillId="0" borderId="11" xfId="1" applyNumberFormat="1" applyFont="1" applyBorder="1"/>
    <xf numFmtId="165" fontId="0" fillId="0" borderId="0" xfId="0" applyNumberFormat="1" applyFont="1"/>
    <xf numFmtId="0" fontId="0" fillId="0" borderId="0" xfId="0" applyFont="1" applyFill="1"/>
    <xf numFmtId="165" fontId="0" fillId="0" borderId="0" xfId="0" applyNumberFormat="1" applyFont="1" applyFill="1"/>
    <xf numFmtId="165" fontId="25" fillId="0" borderId="0" xfId="0" applyNumberFormat="1" applyFont="1"/>
    <xf numFmtId="0" fontId="25" fillId="0" borderId="0" xfId="0" applyFont="1"/>
    <xf numFmtId="3" fontId="0" fillId="0" borderId="12" xfId="0" applyNumberFormat="1" applyFont="1" applyBorder="1"/>
    <xf numFmtId="165" fontId="48" fillId="0" borderId="0" xfId="0" applyNumberFormat="1" applyFont="1"/>
    <xf numFmtId="0" fontId="0" fillId="0" borderId="0" xfId="0" applyFont="1"/>
    <xf numFmtId="0" fontId="20" fillId="33" borderId="0" xfId="0" applyFont="1" applyFill="1"/>
    <xf numFmtId="0" fontId="0" fillId="33" borderId="0" xfId="0" applyFont="1" applyFill="1"/>
    <xf numFmtId="0" fontId="51" fillId="0" borderId="0" xfId="0" applyFont="1"/>
    <xf numFmtId="170" fontId="0" fillId="0" borderId="0" xfId="0" applyNumberFormat="1" applyFont="1"/>
    <xf numFmtId="169" fontId="0" fillId="0" borderId="0" xfId="0" applyNumberFormat="1" applyFont="1"/>
    <xf numFmtId="166" fontId="0" fillId="0" borderId="11" xfId="0" applyNumberFormat="1" applyFont="1" applyBorder="1"/>
    <xf numFmtId="166" fontId="0" fillId="0" borderId="11" xfId="1" applyNumberFormat="1" applyFont="1" applyBorder="1"/>
    <xf numFmtId="165" fontId="0" fillId="0" borderId="11" xfId="0" applyNumberFormat="1" applyFont="1" applyFill="1" applyBorder="1" applyAlignment="1">
      <alignment horizontal="right"/>
    </xf>
    <xf numFmtId="0" fontId="20" fillId="0" borderId="11" xfId="0" applyFont="1" applyBorder="1"/>
    <xf numFmtId="166" fontId="0" fillId="0" borderId="11" xfId="0" applyNumberFormat="1" applyFont="1" applyBorder="1" applyAlignment="1">
      <alignment horizontal="right"/>
    </xf>
    <xf numFmtId="0" fontId="20" fillId="0" borderId="0" xfId="0" applyFont="1"/>
    <xf numFmtId="0" fontId="20" fillId="35" borderId="0" xfId="0" applyFont="1" applyFill="1"/>
    <xf numFmtId="0" fontId="20" fillId="0" borderId="0" xfId="0" quotePrefix="1" applyFont="1"/>
    <xf numFmtId="16" fontId="21" fillId="0" borderId="0" xfId="0" quotePrefix="1" applyNumberFormat="1" applyFont="1"/>
    <xf numFmtId="16" fontId="20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2" fillId="35" borderId="0" xfId="44" applyFont="1" applyFill="1" applyAlignment="1"/>
    <xf numFmtId="14" fontId="0" fillId="0" borderId="0" xfId="0" applyNumberFormat="1"/>
    <xf numFmtId="0" fontId="0" fillId="0" borderId="0" xfId="0"/>
    <xf numFmtId="0" fontId="20" fillId="0" borderId="0" xfId="0" applyFont="1"/>
    <xf numFmtId="0" fontId="0" fillId="0" borderId="0" xfId="0" applyFont="1"/>
    <xf numFmtId="165" fontId="0" fillId="0" borderId="0" xfId="0" applyNumberFormat="1" applyFont="1"/>
    <xf numFmtId="3" fontId="0" fillId="0" borderId="0" xfId="0" applyNumberFormat="1" applyFont="1"/>
    <xf numFmtId="165" fontId="20" fillId="0" borderId="0" xfId="0" applyNumberFormat="1" applyFont="1"/>
    <xf numFmtId="0" fontId="0" fillId="0" borderId="0" xfId="0" applyFont="1" applyFill="1"/>
    <xf numFmtId="0" fontId="20" fillId="35" borderId="0" xfId="0" applyFont="1" applyFill="1"/>
    <xf numFmtId="0" fontId="52" fillId="35" borderId="0" xfId="0" applyFont="1" applyFill="1"/>
    <xf numFmtId="0" fontId="10" fillId="0" borderId="0" xfId="47" applyFill="1"/>
    <xf numFmtId="0" fontId="52" fillId="0" borderId="0" xfId="47" applyFont="1" applyFill="1" applyAlignment="1"/>
    <xf numFmtId="10" fontId="20" fillId="0" borderId="0" xfId="43" applyNumberFormat="1" applyFont="1"/>
    <xf numFmtId="10" fontId="20" fillId="33" borderId="0" xfId="43" applyNumberFormat="1" applyFont="1" applyFill="1"/>
    <xf numFmtId="165" fontId="20" fillId="33" borderId="0" xfId="1" applyNumberFormat="1" applyFont="1" applyFill="1"/>
    <xf numFmtId="10" fontId="0" fillId="33" borderId="0" xfId="43" applyNumberFormat="1" applyFont="1" applyFill="1"/>
    <xf numFmtId="0" fontId="48" fillId="0" borderId="0" xfId="0" applyNumberFormat="1" applyFont="1"/>
    <xf numFmtId="0" fontId="0" fillId="0" borderId="0" xfId="1" applyNumberFormat="1" applyFont="1"/>
    <xf numFmtId="0" fontId="20" fillId="0" borderId="0" xfId="0" applyNumberFormat="1" applyFont="1"/>
    <xf numFmtId="0" fontId="20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7" fillId="0" borderId="0" xfId="0" applyNumberFormat="1" applyFont="1"/>
    <xf numFmtId="0" fontId="25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0" fillId="34" borderId="12" xfId="0" applyFont="1" applyFill="1" applyBorder="1" applyAlignment="1">
      <alignment horizontal="right" wrapText="1"/>
    </xf>
    <xf numFmtId="43" fontId="48" fillId="34" borderId="0" xfId="1" applyFont="1" applyFill="1"/>
    <xf numFmtId="43" fontId="25" fillId="0" borderId="11" xfId="1" applyFont="1" applyBorder="1"/>
    <xf numFmtId="0" fontId="25" fillId="0" borderId="0" xfId="0" applyFont="1" applyBorder="1"/>
    <xf numFmtId="43" fontId="25" fillId="0" borderId="0" xfId="1" applyFont="1"/>
    <xf numFmtId="43" fontId="25" fillId="0" borderId="0" xfId="1" applyFont="1" applyFill="1"/>
    <xf numFmtId="10" fontId="54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4" fillId="0" borderId="0" xfId="334" applyFill="1"/>
    <xf numFmtId="0" fontId="52" fillId="0" borderId="0" xfId="334" applyFont="1" applyFill="1" applyAlignment="1"/>
    <xf numFmtId="14" fontId="52" fillId="0" borderId="0" xfId="334" applyNumberFormat="1" applyFont="1" applyFill="1" applyAlignment="1"/>
    <xf numFmtId="14" fontId="4" fillId="0" borderId="0" xfId="334" applyNumberFormat="1" applyFill="1"/>
    <xf numFmtId="11" fontId="0" fillId="0" borderId="0" xfId="0" applyNumberFormat="1" applyFont="1"/>
    <xf numFmtId="165" fontId="25" fillId="0" borderId="0" xfId="1" applyNumberFormat="1" applyFont="1" applyFill="1"/>
    <xf numFmtId="0" fontId="48" fillId="34" borderId="14" xfId="0" applyFont="1" applyFill="1" applyBorder="1"/>
    <xf numFmtId="43" fontId="48" fillId="34" borderId="12" xfId="1" applyFont="1" applyFill="1" applyBorder="1" applyAlignment="1">
      <alignment horizontal="left"/>
    </xf>
    <xf numFmtId="17" fontId="25" fillId="0" borderId="0" xfId="0" applyNumberFormat="1" applyFont="1" applyFill="1" applyAlignment="1">
      <alignment horizontal="right"/>
    </xf>
    <xf numFmtId="43" fontId="25" fillId="0" borderId="0" xfId="0" applyNumberFormat="1" applyFont="1" applyFill="1" applyAlignment="1">
      <alignment horizontal="right"/>
    </xf>
    <xf numFmtId="10" fontId="54" fillId="0" borderId="0" xfId="43" applyNumberFormat="1" applyFont="1" applyBorder="1"/>
    <xf numFmtId="165" fontId="48" fillId="0" borderId="0" xfId="1" applyNumberFormat="1" applyFont="1"/>
    <xf numFmtId="0" fontId="48" fillId="34" borderId="0" xfId="0" applyFont="1" applyFill="1" applyAlignment="1"/>
    <xf numFmtId="43" fontId="25" fillId="0" borderId="0" xfId="1" applyNumberFormat="1" applyFont="1"/>
    <xf numFmtId="10" fontId="25" fillId="0" borderId="0" xfId="43" applyNumberFormat="1" applyFont="1" applyBorder="1"/>
    <xf numFmtId="0" fontId="25" fillId="0" borderId="0" xfId="0" applyFont="1" applyFill="1" applyAlignment="1">
      <alignment horizontal="right"/>
    </xf>
    <xf numFmtId="165" fontId="25" fillId="0" borderId="0" xfId="0" applyNumberFormat="1" applyFont="1" applyFill="1" applyAlignment="1">
      <alignment horizontal="right"/>
    </xf>
    <xf numFmtId="165" fontId="25" fillId="0" borderId="0" xfId="1" applyNumberFormat="1" applyFont="1" applyBorder="1"/>
    <xf numFmtId="43" fontId="48" fillId="34" borderId="0" xfId="1" applyFont="1" applyFill="1" applyBorder="1"/>
    <xf numFmtId="0" fontId="0" fillId="0" borderId="0" xfId="0"/>
    <xf numFmtId="0" fontId="20" fillId="0" borderId="0" xfId="0" applyFont="1"/>
    <xf numFmtId="0" fontId="0" fillId="0" borderId="0" xfId="0" applyFont="1"/>
    <xf numFmtId="0" fontId="21" fillId="0" borderId="0" xfId="0" applyFont="1"/>
    <xf numFmtId="0" fontId="16" fillId="0" borderId="0" xfId="0" applyFont="1"/>
    <xf numFmtId="165" fontId="0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quotePrefix="1" applyFont="1" applyAlignment="1">
      <alignment horizontal="right"/>
    </xf>
    <xf numFmtId="165" fontId="17" fillId="0" borderId="0" xfId="0" applyNumberFormat="1" applyFont="1"/>
    <xf numFmtId="165" fontId="0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2" fontId="16" fillId="0" borderId="0" xfId="0" applyNumberFormat="1" applyFont="1"/>
    <xf numFmtId="0" fontId="0" fillId="35" borderId="0" xfId="0" applyFont="1" applyFill="1"/>
    <xf numFmtId="165" fontId="0" fillId="35" borderId="0" xfId="0" applyNumberFormat="1" applyFont="1" applyFill="1"/>
    <xf numFmtId="0" fontId="4" fillId="0" borderId="0" xfId="586" applyFill="1"/>
    <xf numFmtId="0" fontId="52" fillId="0" borderId="0" xfId="586" applyFont="1" applyFill="1" applyAlignment="1"/>
    <xf numFmtId="11" fontId="0" fillId="0" borderId="0" xfId="0" applyNumberFormat="1" applyFont="1"/>
    <xf numFmtId="0" fontId="20" fillId="0" borderId="0" xfId="0" applyFont="1" applyAlignment="1"/>
    <xf numFmtId="0" fontId="52" fillId="35" borderId="0" xfId="0" applyFont="1" applyFill="1"/>
    <xf numFmtId="0" fontId="0" fillId="0" borderId="0" xfId="0"/>
    <xf numFmtId="0" fontId="0" fillId="0" borderId="0" xfId="0" applyFont="1"/>
    <xf numFmtId="165" fontId="0" fillId="0" borderId="0" xfId="0" applyNumberFormat="1" applyFont="1"/>
    <xf numFmtId="165" fontId="19" fillId="0" borderId="0" xfId="0" applyNumberFormat="1" applyFont="1"/>
    <xf numFmtId="165" fontId="20" fillId="0" borderId="0" xfId="0" applyNumberFormat="1" applyFont="1"/>
    <xf numFmtId="165" fontId="12" fillId="0" borderId="0" xfId="0" applyNumberFormat="1" applyFont="1"/>
    <xf numFmtId="0" fontId="4" fillId="0" borderId="0" xfId="586" applyFill="1"/>
    <xf numFmtId="0" fontId="52" fillId="0" borderId="0" xfId="586" applyFont="1" applyFill="1" applyAlignment="1"/>
    <xf numFmtId="43" fontId="12" fillId="0" borderId="0" xfId="46" applyFont="1"/>
    <xf numFmtId="43" fontId="52" fillId="0" borderId="0" xfId="46" applyFont="1" applyFill="1" applyAlignment="1"/>
    <xf numFmtId="43" fontId="4" fillId="0" borderId="0" xfId="46" applyFont="1" applyFill="1"/>
    <xf numFmtId="0" fontId="0" fillId="0" borderId="0" xfId="0"/>
    <xf numFmtId="0" fontId="0" fillId="35" borderId="0" xfId="0" applyFont="1" applyFill="1"/>
    <xf numFmtId="0" fontId="4" fillId="0" borderId="0" xfId="586" applyFill="1"/>
    <xf numFmtId="0" fontId="52" fillId="0" borderId="0" xfId="586" applyFont="1" applyFill="1" applyAlignment="1"/>
    <xf numFmtId="0" fontId="52" fillId="35" borderId="0" xfId="586" applyFont="1" applyFill="1" applyAlignment="1"/>
    <xf numFmtId="11" fontId="4" fillId="0" borderId="0" xfId="586" applyNumberFormat="1" applyFill="1"/>
    <xf numFmtId="0" fontId="0" fillId="0" borderId="0" xfId="0"/>
    <xf numFmtId="0" fontId="20" fillId="0" borderId="0" xfId="0" applyFont="1"/>
    <xf numFmtId="0" fontId="0" fillId="0" borderId="0" xfId="0" applyFont="1"/>
    <xf numFmtId="0" fontId="25" fillId="0" borderId="0" xfId="0" applyFont="1"/>
    <xf numFmtId="165" fontId="25" fillId="0" borderId="0" xfId="0" applyNumberFormat="1" applyFont="1"/>
    <xf numFmtId="165" fontId="48" fillId="0" borderId="0" xfId="0" applyNumberFormat="1" applyFont="1"/>
    <xf numFmtId="0" fontId="4" fillId="0" borderId="0" xfId="0" applyFont="1"/>
    <xf numFmtId="0" fontId="52" fillId="35" borderId="0" xfId="586" applyFont="1" applyFill="1" applyAlignment="1"/>
    <xf numFmtId="0" fontId="4" fillId="0" borderId="0" xfId="586" applyFill="1"/>
    <xf numFmtId="0" fontId="52" fillId="0" borderId="0" xfId="586" applyFont="1" applyFill="1" applyAlignment="1"/>
    <xf numFmtId="0" fontId="0" fillId="0" borderId="0" xfId="0" applyFont="1" applyFill="1"/>
    <xf numFmtId="0" fontId="52" fillId="35" borderId="0" xfId="0" applyFont="1" applyFill="1"/>
    <xf numFmtId="165" fontId="52" fillId="0" borderId="0" xfId="335" applyNumberFormat="1" applyFont="1" applyFill="1" applyAlignment="1"/>
    <xf numFmtId="165" fontId="4" fillId="0" borderId="0" xfId="335" applyNumberFormat="1" applyFont="1" applyFill="1"/>
    <xf numFmtId="0" fontId="53" fillId="35" borderId="0" xfId="0" applyFont="1" applyFill="1"/>
    <xf numFmtId="0" fontId="53" fillId="35" borderId="0" xfId="586" applyFont="1" applyFill="1" applyAlignment="1"/>
    <xf numFmtId="0" fontId="52" fillId="35" borderId="0" xfId="587" applyFont="1" applyFill="1" applyAlignment="1"/>
    <xf numFmtId="0" fontId="0" fillId="0" borderId="0" xfId="0" applyNumberFormat="1" applyFont="1"/>
    <xf numFmtId="0" fontId="4" fillId="0" borderId="0" xfId="587" applyFill="1"/>
    <xf numFmtId="0" fontId="52" fillId="0" borderId="0" xfId="587" applyFont="1" applyFill="1" applyAlignment="1"/>
    <xf numFmtId="0" fontId="4" fillId="0" borderId="0" xfId="581" applyFill="1"/>
    <xf numFmtId="0" fontId="52" fillId="0" borderId="0" xfId="581" applyFont="1" applyFill="1" applyAlignment="1"/>
    <xf numFmtId="0" fontId="52" fillId="35" borderId="0" xfId="581" applyFont="1" applyFill="1" applyAlignment="1"/>
    <xf numFmtId="165" fontId="52" fillId="0" borderId="0" xfId="573" applyNumberFormat="1" applyFont="1" applyFill="1" applyAlignment="1"/>
    <xf numFmtId="165" fontId="4" fillId="0" borderId="0" xfId="573" applyNumberFormat="1" applyFont="1" applyFill="1"/>
    <xf numFmtId="165" fontId="52" fillId="0" borderId="0" xfId="46" applyNumberFormat="1" applyFont="1" applyFill="1" applyAlignment="1"/>
    <xf numFmtId="165" fontId="4" fillId="0" borderId="0" xfId="46" applyNumberFormat="1" applyFont="1" applyFill="1"/>
    <xf numFmtId="43" fontId="4" fillId="0" borderId="0" xfId="573" applyNumberFormat="1" applyFont="1" applyFill="1"/>
    <xf numFmtId="43" fontId="52" fillId="0" borderId="0" xfId="573" applyFont="1" applyFill="1" applyAlignment="1"/>
    <xf numFmtId="43" fontId="4" fillId="0" borderId="0" xfId="573" applyFont="1" applyFill="1"/>
    <xf numFmtId="43" fontId="0" fillId="0" borderId="0" xfId="46" applyFont="1"/>
    <xf numFmtId="165" fontId="0" fillId="0" borderId="0" xfId="46" applyNumberFormat="1" applyFont="1"/>
    <xf numFmtId="0" fontId="0" fillId="0" borderId="0" xfId="46" applyNumberFormat="1" applyFont="1"/>
    <xf numFmtId="0" fontId="25" fillId="0" borderId="12" xfId="0" applyFont="1" applyBorder="1"/>
    <xf numFmtId="0" fontId="48" fillId="0" borderId="12" xfId="0" applyFont="1" applyBorder="1"/>
    <xf numFmtId="0" fontId="48" fillId="34" borderId="0" xfId="0" applyFont="1" applyFill="1" applyAlignment="1">
      <alignment horizontal="right"/>
    </xf>
    <xf numFmtId="0" fontId="48" fillId="34" borderId="0" xfId="0" applyFont="1" applyFill="1"/>
    <xf numFmtId="0" fontId="48" fillId="34" borderId="12" xfId="0" quotePrefix="1" applyFont="1" applyFill="1" applyBorder="1" applyAlignment="1">
      <alignment horizontal="right"/>
    </xf>
    <xf numFmtId="0" fontId="48" fillId="34" borderId="12" xfId="0" quotePrefix="1" applyNumberFormat="1" applyFont="1" applyFill="1" applyBorder="1" applyAlignment="1">
      <alignment horizontal="right"/>
    </xf>
    <xf numFmtId="0" fontId="48" fillId="34" borderId="12" xfId="0" applyFont="1" applyFill="1" applyBorder="1" applyAlignment="1">
      <alignment horizontal="right"/>
    </xf>
    <xf numFmtId="0" fontId="48" fillId="34" borderId="12" xfId="0" applyNumberFormat="1" applyFont="1" applyFill="1" applyBorder="1" applyAlignment="1">
      <alignment horizontal="right"/>
    </xf>
    <xf numFmtId="10" fontId="25" fillId="0" borderId="0" xfId="43" applyNumberFormat="1" applyFont="1"/>
    <xf numFmtId="165" fontId="25" fillId="0" borderId="0" xfId="0" applyNumberFormat="1" applyFont="1" applyFill="1"/>
    <xf numFmtId="0" fontId="48" fillId="0" borderId="0" xfId="0" applyFont="1"/>
    <xf numFmtId="0" fontId="25" fillId="0" borderId="11" xfId="0" applyFont="1" applyBorder="1"/>
    <xf numFmtId="165" fontId="25" fillId="0" borderId="11" xfId="0" applyNumberFormat="1" applyFont="1" applyBorder="1"/>
    <xf numFmtId="10" fontId="25" fillId="0" borderId="11" xfId="43" applyNumberFormat="1" applyFont="1" applyBorder="1"/>
    <xf numFmtId="165" fontId="25" fillId="0" borderId="11" xfId="0" applyNumberFormat="1" applyFont="1" applyFill="1" applyBorder="1"/>
    <xf numFmtId="165" fontId="25" fillId="34" borderId="0" xfId="0" applyNumberFormat="1" applyFont="1" applyFill="1"/>
    <xf numFmtId="0" fontId="48" fillId="34" borderId="0" xfId="0" applyFont="1" applyFill="1" applyBorder="1" applyAlignment="1">
      <alignment horizontal="center" vertical="center"/>
    </xf>
    <xf numFmtId="0" fontId="48" fillId="34" borderId="12" xfId="0" applyFont="1" applyFill="1" applyBorder="1"/>
    <xf numFmtId="165" fontId="25" fillId="0" borderId="0" xfId="0" applyNumberFormat="1" applyFont="1" applyAlignment="1">
      <alignment horizontal="right"/>
    </xf>
    <xf numFmtId="0" fontId="48" fillId="0" borderId="11" xfId="0" applyFont="1" applyBorder="1"/>
    <xf numFmtId="165" fontId="48" fillId="0" borderId="11" xfId="0" applyNumberFormat="1" applyFont="1" applyBorder="1"/>
    <xf numFmtId="165" fontId="48" fillId="0" borderId="11" xfId="0" applyNumberFormat="1" applyFont="1" applyFill="1" applyBorder="1"/>
    <xf numFmtId="0" fontId="55" fillId="34" borderId="0" xfId="0" applyFont="1" applyFill="1"/>
    <xf numFmtId="0" fontId="55" fillId="34" borderId="0" xfId="0" applyFont="1" applyFill="1" applyAlignment="1">
      <alignment horizontal="right"/>
    </xf>
    <xf numFmtId="0" fontId="55" fillId="34" borderId="12" xfId="0" applyFont="1" applyFill="1" applyBorder="1"/>
    <xf numFmtId="0" fontId="55" fillId="0" borderId="0" xfId="0" applyFont="1" applyFill="1"/>
    <xf numFmtId="0" fontId="56" fillId="0" borderId="0" xfId="0" applyFont="1" applyFill="1"/>
    <xf numFmtId="0" fontId="25" fillId="0" borderId="0" xfId="0" applyFont="1" applyFill="1"/>
    <xf numFmtId="165" fontId="57" fillId="0" borderId="0" xfId="0" applyNumberFormat="1" applyFont="1" applyFill="1"/>
    <xf numFmtId="165" fontId="55" fillId="0" borderId="0" xfId="0" applyNumberFormat="1" applyFont="1" applyFill="1"/>
    <xf numFmtId="0" fontId="48" fillId="0" borderId="0" xfId="0" applyFont="1" applyFill="1"/>
    <xf numFmtId="0" fontId="25" fillId="0" borderId="11" xfId="0" applyFont="1" applyFill="1" applyBorder="1"/>
    <xf numFmtId="0" fontId="25" fillId="34" borderId="0" xfId="0" applyFont="1" applyFill="1"/>
    <xf numFmtId="0" fontId="55" fillId="0" borderId="11" xfId="0" applyFont="1" applyFill="1" applyBorder="1"/>
    <xf numFmtId="0" fontId="48" fillId="0" borderId="0" xfId="0" applyFont="1" applyAlignment="1">
      <alignment horizontal="right"/>
    </xf>
    <xf numFmtId="165" fontId="25" fillId="0" borderId="0" xfId="0" applyNumberFormat="1" applyFont="1" applyFill="1" applyAlignment="1"/>
    <xf numFmtId="0" fontId="58" fillId="0" borderId="0" xfId="0" applyFont="1"/>
    <xf numFmtId="165" fontId="59" fillId="0" borderId="0" xfId="0" applyNumberFormat="1" applyFont="1"/>
    <xf numFmtId="165" fontId="56" fillId="0" borderId="0" xfId="0" applyNumberFormat="1" applyFont="1"/>
    <xf numFmtId="0" fontId="48" fillId="0" borderId="0" xfId="0" quotePrefix="1" applyFont="1" applyAlignment="1">
      <alignment horizontal="right"/>
    </xf>
    <xf numFmtId="0" fontId="55" fillId="0" borderId="0" xfId="0" applyFont="1" applyAlignment="1">
      <alignment horizontal="right"/>
    </xf>
    <xf numFmtId="0" fontId="48" fillId="34" borderId="15" xfId="0" applyFont="1" applyFill="1" applyBorder="1"/>
    <xf numFmtId="17" fontId="48" fillId="34" borderId="12" xfId="0" quotePrefix="1" applyNumberFormat="1" applyFont="1" applyFill="1" applyBorder="1" applyAlignment="1">
      <alignment horizontal="right"/>
    </xf>
    <xf numFmtId="0" fontId="48" fillId="34" borderId="16" xfId="0" applyFont="1" applyFill="1" applyBorder="1" applyAlignment="1">
      <alignment horizontal="right"/>
    </xf>
    <xf numFmtId="165" fontId="54" fillId="0" borderId="0" xfId="0" applyNumberFormat="1" applyFont="1"/>
    <xf numFmtId="3" fontId="48" fillId="34" borderId="0" xfId="0" applyNumberFormat="1" applyFont="1" applyFill="1"/>
    <xf numFmtId="166" fontId="25" fillId="0" borderId="0" xfId="0" applyNumberFormat="1" applyFont="1" applyAlignment="1">
      <alignment horizontal="right"/>
    </xf>
    <xf numFmtId="9" fontId="25" fillId="0" borderId="0" xfId="0" applyNumberFormat="1" applyFont="1"/>
    <xf numFmtId="10" fontId="48" fillId="0" borderId="0" xfId="43" applyNumberFormat="1" applyFont="1"/>
    <xf numFmtId="166" fontId="48" fillId="0" borderId="0" xfId="0" applyNumberFormat="1" applyFont="1"/>
    <xf numFmtId="0" fontId="48" fillId="34" borderId="0" xfId="0" applyFont="1" applyFill="1" applyBorder="1"/>
    <xf numFmtId="0" fontId="25" fillId="34" borderId="0" xfId="0" applyFont="1" applyFill="1" applyBorder="1"/>
    <xf numFmtId="0" fontId="25" fillId="34" borderId="12" xfId="0" applyFont="1" applyFill="1" applyBorder="1"/>
    <xf numFmtId="0" fontId="48" fillId="34" borderId="12" xfId="0" applyFont="1" applyFill="1" applyBorder="1" applyAlignment="1">
      <alignment horizontal="left"/>
    </xf>
    <xf numFmtId="0" fontId="48" fillId="33" borderId="0" xfId="0" applyFont="1" applyFill="1"/>
    <xf numFmtId="14" fontId="25" fillId="0" borderId="0" xfId="0" applyNumberFormat="1" applyFont="1" applyAlignment="1">
      <alignment horizontal="right"/>
    </xf>
    <xf numFmtId="10" fontId="25" fillId="0" borderId="0" xfId="43" applyNumberFormat="1" applyFont="1" applyFill="1"/>
    <xf numFmtId="14" fontId="25" fillId="0" borderId="0" xfId="0" applyNumberFormat="1" applyFont="1" applyFill="1" applyAlignment="1">
      <alignment horizontal="right"/>
    </xf>
    <xf numFmtId="14" fontId="25" fillId="0" borderId="11" xfId="0" applyNumberFormat="1" applyFont="1" applyBorder="1" applyAlignment="1">
      <alignment horizontal="right"/>
    </xf>
    <xf numFmtId="165" fontId="48" fillId="34" borderId="0" xfId="0" applyNumberFormat="1" applyFont="1" applyFill="1"/>
    <xf numFmtId="165" fontId="58" fillId="34" borderId="12" xfId="0" quotePrefix="1" applyNumberFormat="1" applyFont="1" applyFill="1" applyBorder="1" applyAlignment="1">
      <alignment horizontal="right"/>
    </xf>
    <xf numFmtId="0" fontId="60" fillId="0" borderId="0" xfId="0" applyFont="1"/>
    <xf numFmtId="10" fontId="48" fillId="33" borderId="0" xfId="43" applyNumberFormat="1" applyFont="1" applyFill="1"/>
    <xf numFmtId="168" fontId="48" fillId="34" borderId="12" xfId="0" applyNumberFormat="1" applyFont="1" applyFill="1" applyBorder="1" applyAlignment="1">
      <alignment horizontal="right"/>
    </xf>
    <xf numFmtId="168" fontId="48" fillId="34" borderId="12" xfId="0" applyNumberFormat="1" applyFont="1" applyFill="1" applyBorder="1" applyAlignment="1">
      <alignment horizontal="right" wrapText="1"/>
    </xf>
    <xf numFmtId="0" fontId="25" fillId="33" borderId="0" xfId="0" applyFont="1" applyFill="1"/>
    <xf numFmtId="3" fontId="4" fillId="35" borderId="0" xfId="586" applyNumberFormat="1" applyFill="1"/>
    <xf numFmtId="165" fontId="25" fillId="0" borderId="0" xfId="0" applyNumberFormat="1" applyFont="1" applyFill="1" applyBorder="1" applyAlignment="1">
      <alignment horizontal="right"/>
    </xf>
    <xf numFmtId="165" fontId="3" fillId="0" borderId="0" xfId="982" applyNumberFormat="1" applyFont="1" applyFill="1"/>
    <xf numFmtId="0" fontId="52" fillId="0" borderId="0" xfId="1100" applyFont="1" applyFill="1" applyAlignment="1"/>
    <xf numFmtId="0" fontId="3" fillId="0" borderId="0" xfId="1100" applyFill="1"/>
    <xf numFmtId="0" fontId="52" fillId="0" borderId="0" xfId="1100" applyFont="1" applyFill="1" applyAlignment="1"/>
    <xf numFmtId="165" fontId="3" fillId="0" borderId="0" xfId="982" applyNumberFormat="1" applyFont="1" applyFill="1"/>
    <xf numFmtId="0" fontId="3" fillId="0" borderId="0" xfId="1100" applyFill="1"/>
    <xf numFmtId="0" fontId="3" fillId="0" borderId="0" xfId="1100" applyFill="1"/>
    <xf numFmtId="165" fontId="3" fillId="0" borderId="0" xfId="982" applyNumberFormat="1" applyFont="1" applyFill="1"/>
    <xf numFmtId="0" fontId="52" fillId="0" borderId="0" xfId="1100" applyFont="1" applyFill="1" applyAlignment="1"/>
    <xf numFmtId="0" fontId="0" fillId="0" borderId="0" xfId="0"/>
    <xf numFmtId="0" fontId="20" fillId="35" borderId="0" xfId="0" applyFont="1" applyFill="1"/>
    <xf numFmtId="0" fontId="52" fillId="0" borderId="0" xfId="1095" applyFont="1" applyFill="1" applyAlignment="1"/>
    <xf numFmtId="0" fontId="52" fillId="35" borderId="0" xfId="1095" applyFont="1" applyFill="1" applyAlignment="1"/>
    <xf numFmtId="165" fontId="3" fillId="0" borderId="0" xfId="1087" applyNumberFormat="1" applyFont="1" applyFill="1"/>
    <xf numFmtId="43" fontId="3" fillId="0" borderId="0" xfId="1087" applyNumberFormat="1" applyFont="1" applyFill="1"/>
    <xf numFmtId="165" fontId="25" fillId="0" borderId="0" xfId="0" applyNumberFormat="1" applyFont="1" applyFill="1"/>
    <xf numFmtId="165" fontId="48" fillId="0" borderId="0" xfId="0" applyNumberFormat="1" applyFont="1" applyFill="1"/>
    <xf numFmtId="10" fontId="25" fillId="0" borderId="0" xfId="43" applyNumberFormat="1" applyFont="1" applyFill="1"/>
    <xf numFmtId="10" fontId="48" fillId="0" borderId="0" xfId="43" applyNumberFormat="1" applyFont="1" applyFill="1"/>
    <xf numFmtId="0" fontId="2" fillId="0" borderId="0" xfId="0" applyFont="1"/>
    <xf numFmtId="164" fontId="0" fillId="0" borderId="0" xfId="0" applyNumberFormat="1" applyFont="1"/>
    <xf numFmtId="166" fontId="25" fillId="0" borderId="0" xfId="1" applyNumberFormat="1" applyFont="1" applyFill="1"/>
    <xf numFmtId="0" fontId="49" fillId="0" borderId="0" xfId="0" applyFont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43" fontId="48" fillId="34" borderId="0" xfId="1" applyFont="1" applyFill="1" applyBorder="1" applyAlignment="1">
      <alignment horizontal="right" wrapText="1"/>
    </xf>
    <xf numFmtId="43" fontId="48" fillId="34" borderId="12" xfId="1" applyFont="1" applyFill="1" applyBorder="1" applyAlignment="1">
      <alignment horizontal="right" wrapText="1"/>
    </xf>
    <xf numFmtId="165" fontId="48" fillId="0" borderId="0" xfId="0" applyNumberFormat="1" applyFont="1" applyAlignment="1">
      <alignment horizontal="center"/>
    </xf>
    <xf numFmtId="0" fontId="48" fillId="0" borderId="0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34" borderId="14" xfId="0" applyFont="1" applyFill="1" applyBorder="1" applyAlignment="1">
      <alignment horizontal="center"/>
    </xf>
    <xf numFmtId="0" fontId="48" fillId="34" borderId="0" xfId="0" applyFont="1" applyFill="1" applyBorder="1" applyAlignment="1">
      <alignment horizontal="right" wrapText="1"/>
    </xf>
    <xf numFmtId="0" fontId="48" fillId="34" borderId="12" xfId="0" applyFont="1" applyFill="1" applyBorder="1" applyAlignment="1">
      <alignment horizontal="right" wrapText="1"/>
    </xf>
    <xf numFmtId="14" fontId="48" fillId="34" borderId="0" xfId="0" applyNumberFormat="1" applyFont="1" applyFill="1" applyBorder="1" applyAlignment="1">
      <alignment horizontal="right" wrapText="1"/>
    </xf>
    <xf numFmtId="14" fontId="48" fillId="34" borderId="12" xfId="0" applyNumberFormat="1" applyFont="1" applyFill="1" applyBorder="1" applyAlignment="1">
      <alignment horizontal="right" wrapText="1"/>
    </xf>
    <xf numFmtId="165" fontId="25" fillId="0" borderId="0" xfId="0" applyNumberFormat="1" applyFont="1" applyAlignment="1">
      <alignment horizontal="center"/>
    </xf>
    <xf numFmtId="0" fontId="48" fillId="34" borderId="13" xfId="0" applyFont="1" applyFill="1" applyBorder="1" applyAlignment="1">
      <alignment horizontal="right"/>
    </xf>
    <xf numFmtId="0" fontId="50" fillId="34" borderId="0" xfId="0" applyFont="1" applyFill="1" applyBorder="1" applyAlignment="1">
      <alignment horizontal="center" vertical="center"/>
    </xf>
    <xf numFmtId="0" fontId="50" fillId="34" borderId="12" xfId="0" applyFont="1" applyFill="1" applyBorder="1" applyAlignment="1">
      <alignment horizontal="center" vertical="center"/>
    </xf>
    <xf numFmtId="165" fontId="25" fillId="0" borderId="0" xfId="0" applyNumberFormat="1" applyFont="1" applyFill="1" applyAlignment="1">
      <alignment horizontal="center"/>
    </xf>
    <xf numFmtId="0" fontId="48" fillId="34" borderId="13" xfId="0" applyFont="1" applyFill="1" applyBorder="1" applyAlignment="1">
      <alignment horizontal="center"/>
    </xf>
    <xf numFmtId="165" fontId="58" fillId="34" borderId="14" xfId="0" quotePrefix="1" applyNumberFormat="1" applyFont="1" applyFill="1" applyBorder="1" applyAlignment="1">
      <alignment horizontal="right"/>
    </xf>
    <xf numFmtId="165" fontId="58" fillId="34" borderId="0" xfId="0" quotePrefix="1" applyNumberFormat="1" applyFont="1" applyFill="1" applyBorder="1" applyAlignment="1">
      <alignment horizontal="right"/>
    </xf>
    <xf numFmtId="165" fontId="58" fillId="34" borderId="12" xfId="0" quotePrefix="1" applyNumberFormat="1" applyFont="1" applyFill="1" applyBorder="1" applyAlignment="1">
      <alignment horizontal="right"/>
    </xf>
    <xf numFmtId="165" fontId="0" fillId="0" borderId="0" xfId="1" applyNumberFormat="1" applyFont="1" applyAlignment="1">
      <alignment horizontal="center"/>
    </xf>
    <xf numFmtId="165" fontId="20" fillId="0" borderId="0" xfId="1" applyNumberFormat="1" applyFont="1" applyAlignment="1">
      <alignment horizontal="center"/>
    </xf>
    <xf numFmtId="0" fontId="20" fillId="0" borderId="10" xfId="0" applyFont="1" applyBorder="1" applyAlignment="1">
      <alignment horizontal="center"/>
    </xf>
  </cellXfs>
  <cellStyles count="1104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3" xfId="725"/>
    <cellStyle name="Comma 11" xfId="70"/>
    <cellStyle name="Comma 11 2" xfId="357"/>
    <cellStyle name="Comma 11 2 2" xfId="871"/>
    <cellStyle name="Comma 11 3" xfId="614"/>
    <cellStyle name="Comma 2" xfId="45"/>
    <cellStyle name="Comma 2 10" xfId="72"/>
    <cellStyle name="Comma 2 10 2" xfId="359"/>
    <cellStyle name="Comma 2 10 2 2" xfId="873"/>
    <cellStyle name="Comma 2 10 3" xfId="616"/>
    <cellStyle name="Comma 2 11" xfId="333"/>
    <cellStyle name="Comma 2 11 2" xfId="847"/>
    <cellStyle name="Comma 2 12" xfId="590"/>
    <cellStyle name="Comma 2 2" xfId="48"/>
    <cellStyle name="Comma 2 2 10" xfId="335"/>
    <cellStyle name="Comma 2 2 10 2" xfId="849"/>
    <cellStyle name="Comma 2 2 11" xfId="592"/>
    <cellStyle name="Comma 2 2 2" xfId="53"/>
    <cellStyle name="Comma 2 2 2 2" xfId="66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3" xfId="829"/>
    <cellStyle name="Comma 2 2 2 2 2 2 3" xfId="464"/>
    <cellStyle name="Comma 2 2 2 2 2 2 3 2" xfId="978"/>
    <cellStyle name="Comma 2 2 2 2 2 2 4" xfId="721"/>
    <cellStyle name="Comma 2 2 2 2 2 3" xfId="149"/>
    <cellStyle name="Comma 2 2 2 2 2 3 2" xfId="271"/>
    <cellStyle name="Comma 2 2 2 2 2 3 2 2" xfId="536"/>
    <cellStyle name="Comma 2 2 2 2 2 3 2 2 2" xfId="1050"/>
    <cellStyle name="Comma 2 2 2 2 2 3 2 3" xfId="793"/>
    <cellStyle name="Comma 2 2 2 2 2 3 3" xfId="428"/>
    <cellStyle name="Comma 2 2 2 2 2 3 3 2" xfId="942"/>
    <cellStyle name="Comma 2 2 2 2 2 3 4" xfId="685"/>
    <cellStyle name="Comma 2 2 2 2 2 4" xfId="232"/>
    <cellStyle name="Comma 2 2 2 2 2 4 2" xfId="500"/>
    <cellStyle name="Comma 2 2 2 2 2 4 2 2" xfId="1014"/>
    <cellStyle name="Comma 2 2 2 2 2 4 3" xfId="757"/>
    <cellStyle name="Comma 2 2 2 2 2 5" xfId="392"/>
    <cellStyle name="Comma 2 2 2 2 2 5 2" xfId="906"/>
    <cellStyle name="Comma 2 2 2 2 2 6" xfId="649"/>
    <cellStyle name="Comma 2 2 2 2 3" xfId="168"/>
    <cellStyle name="Comma 2 2 2 2 3 2" xfId="290"/>
    <cellStyle name="Comma 2 2 2 2 3 2 2" xfId="554"/>
    <cellStyle name="Comma 2 2 2 2 3 2 2 2" xfId="1068"/>
    <cellStyle name="Comma 2 2 2 2 3 2 3" xfId="811"/>
    <cellStyle name="Comma 2 2 2 2 3 3" xfId="446"/>
    <cellStyle name="Comma 2 2 2 2 3 3 2" xfId="960"/>
    <cellStyle name="Comma 2 2 2 2 3 4" xfId="703"/>
    <cellStyle name="Comma 2 2 2 2 4" xfId="130"/>
    <cellStyle name="Comma 2 2 2 2 4 2" xfId="252"/>
    <cellStyle name="Comma 2 2 2 2 4 2 2" xfId="518"/>
    <cellStyle name="Comma 2 2 2 2 4 2 2 2" xfId="1032"/>
    <cellStyle name="Comma 2 2 2 2 4 2 3" xfId="775"/>
    <cellStyle name="Comma 2 2 2 2 4 3" xfId="410"/>
    <cellStyle name="Comma 2 2 2 2 4 3 2" xfId="924"/>
    <cellStyle name="Comma 2 2 2 2 4 4" xfId="667"/>
    <cellStyle name="Comma 2 2 2 2 5" xfId="212"/>
    <cellStyle name="Comma 2 2 2 2 5 2" xfId="482"/>
    <cellStyle name="Comma 2 2 2 2 5 2 2" xfId="996"/>
    <cellStyle name="Comma 2 2 2 2 5 3" xfId="739"/>
    <cellStyle name="Comma 2 2 2 2 6" xfId="90"/>
    <cellStyle name="Comma 2 2 2 2 6 2" xfId="374"/>
    <cellStyle name="Comma 2 2 2 2 6 2 2" xfId="888"/>
    <cellStyle name="Comma 2 2 2 2 6 3" xfId="631"/>
    <cellStyle name="Comma 2 2 2 2 7" xfId="353"/>
    <cellStyle name="Comma 2 2 2 2 7 2" xfId="867"/>
    <cellStyle name="Comma 2 2 2 2 8" xfId="610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3" xfId="820"/>
    <cellStyle name="Comma 2 2 2 3 2 3" xfId="455"/>
    <cellStyle name="Comma 2 2 2 3 2 3 2" xfId="969"/>
    <cellStyle name="Comma 2 2 2 3 2 4" xfId="712"/>
    <cellStyle name="Comma 2 2 2 3 3" xfId="139"/>
    <cellStyle name="Comma 2 2 2 3 3 2" xfId="261"/>
    <cellStyle name="Comma 2 2 2 3 3 2 2" xfId="527"/>
    <cellStyle name="Comma 2 2 2 3 3 2 2 2" xfId="1041"/>
    <cellStyle name="Comma 2 2 2 3 3 2 3" xfId="784"/>
    <cellStyle name="Comma 2 2 2 3 3 3" xfId="419"/>
    <cellStyle name="Comma 2 2 2 3 3 3 2" xfId="933"/>
    <cellStyle name="Comma 2 2 2 3 3 4" xfId="676"/>
    <cellStyle name="Comma 2 2 2 3 4" xfId="222"/>
    <cellStyle name="Comma 2 2 2 3 4 2" xfId="491"/>
    <cellStyle name="Comma 2 2 2 3 4 2 2" xfId="1005"/>
    <cellStyle name="Comma 2 2 2 3 4 3" xfId="748"/>
    <cellStyle name="Comma 2 2 2 3 5" xfId="383"/>
    <cellStyle name="Comma 2 2 2 3 5 2" xfId="897"/>
    <cellStyle name="Comma 2 2 2 3 6" xfId="640"/>
    <cellStyle name="Comma 2 2 2 4" xfId="158"/>
    <cellStyle name="Comma 2 2 2 4 2" xfId="280"/>
    <cellStyle name="Comma 2 2 2 4 2 2" xfId="545"/>
    <cellStyle name="Comma 2 2 2 4 2 2 2" xfId="1059"/>
    <cellStyle name="Comma 2 2 2 4 2 3" xfId="802"/>
    <cellStyle name="Comma 2 2 2 4 3" xfId="437"/>
    <cellStyle name="Comma 2 2 2 4 3 2" xfId="951"/>
    <cellStyle name="Comma 2 2 2 4 4" xfId="694"/>
    <cellStyle name="Comma 2 2 2 5" xfId="120"/>
    <cellStyle name="Comma 2 2 2 5 2" xfId="242"/>
    <cellStyle name="Comma 2 2 2 5 2 2" xfId="509"/>
    <cellStyle name="Comma 2 2 2 5 2 2 2" xfId="1023"/>
    <cellStyle name="Comma 2 2 2 5 2 3" xfId="766"/>
    <cellStyle name="Comma 2 2 2 5 3" xfId="401"/>
    <cellStyle name="Comma 2 2 2 5 3 2" xfId="915"/>
    <cellStyle name="Comma 2 2 2 5 4" xfId="658"/>
    <cellStyle name="Comma 2 2 2 6" xfId="202"/>
    <cellStyle name="Comma 2 2 2 6 2" xfId="473"/>
    <cellStyle name="Comma 2 2 2 6 2 2" xfId="987"/>
    <cellStyle name="Comma 2 2 2 6 3" xfId="730"/>
    <cellStyle name="Comma 2 2 2 7" xfId="76"/>
    <cellStyle name="Comma 2 2 2 7 2" xfId="363"/>
    <cellStyle name="Comma 2 2 2 7 2 2" xfId="877"/>
    <cellStyle name="Comma 2 2 2 7 3" xfId="620"/>
    <cellStyle name="Comma 2 2 2 8" xfId="340"/>
    <cellStyle name="Comma 2 2 2 8 2" xfId="854"/>
    <cellStyle name="Comma 2 2 2 9" xfId="597"/>
    <cellStyle name="Comma 2 2 3" xfId="61"/>
    <cellStyle name="Comma 2 2 3 2" xfId="93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3" xfId="832"/>
    <cellStyle name="Comma 2 2 3 2 2 2 3" xfId="467"/>
    <cellStyle name="Comma 2 2 3 2 2 2 3 2" xfId="981"/>
    <cellStyle name="Comma 2 2 3 2 2 2 4" xfId="724"/>
    <cellStyle name="Comma 2 2 3 2 2 3" xfId="152"/>
    <cellStyle name="Comma 2 2 3 2 2 3 2" xfId="274"/>
    <cellStyle name="Comma 2 2 3 2 2 3 2 2" xfId="539"/>
    <cellStyle name="Comma 2 2 3 2 2 3 2 2 2" xfId="1053"/>
    <cellStyle name="Comma 2 2 3 2 2 3 2 3" xfId="796"/>
    <cellStyle name="Comma 2 2 3 2 2 3 3" xfId="431"/>
    <cellStyle name="Comma 2 2 3 2 2 3 3 2" xfId="945"/>
    <cellStyle name="Comma 2 2 3 2 2 3 4" xfId="688"/>
    <cellStyle name="Comma 2 2 3 2 2 4" xfId="235"/>
    <cellStyle name="Comma 2 2 3 2 2 4 2" xfId="503"/>
    <cellStyle name="Comma 2 2 3 2 2 4 2 2" xfId="1017"/>
    <cellStyle name="Comma 2 2 3 2 2 4 3" xfId="760"/>
    <cellStyle name="Comma 2 2 3 2 2 5" xfId="395"/>
    <cellStyle name="Comma 2 2 3 2 2 5 2" xfId="909"/>
    <cellStyle name="Comma 2 2 3 2 2 6" xfId="652"/>
    <cellStyle name="Comma 2 2 3 2 3" xfId="171"/>
    <cellStyle name="Comma 2 2 3 2 3 2" xfId="293"/>
    <cellStyle name="Comma 2 2 3 2 3 2 2" xfId="557"/>
    <cellStyle name="Comma 2 2 3 2 3 2 2 2" xfId="1071"/>
    <cellStyle name="Comma 2 2 3 2 3 2 3" xfId="814"/>
    <cellStyle name="Comma 2 2 3 2 3 3" xfId="449"/>
    <cellStyle name="Comma 2 2 3 2 3 3 2" xfId="963"/>
    <cellStyle name="Comma 2 2 3 2 3 4" xfId="706"/>
    <cellStyle name="Comma 2 2 3 2 4" xfId="133"/>
    <cellStyle name="Comma 2 2 3 2 4 2" xfId="255"/>
    <cellStyle name="Comma 2 2 3 2 4 2 2" xfId="521"/>
    <cellStyle name="Comma 2 2 3 2 4 2 2 2" xfId="1035"/>
    <cellStyle name="Comma 2 2 3 2 4 2 3" xfId="778"/>
    <cellStyle name="Comma 2 2 3 2 4 3" xfId="413"/>
    <cellStyle name="Comma 2 2 3 2 4 3 2" xfId="927"/>
    <cellStyle name="Comma 2 2 3 2 4 4" xfId="670"/>
    <cellStyle name="Comma 2 2 3 2 5" xfId="215"/>
    <cellStyle name="Comma 2 2 3 2 5 2" xfId="485"/>
    <cellStyle name="Comma 2 2 3 2 5 2 2" xfId="999"/>
    <cellStyle name="Comma 2 2 3 2 5 3" xfId="742"/>
    <cellStyle name="Comma 2 2 3 2 6" xfId="377"/>
    <cellStyle name="Comma 2 2 3 2 6 2" xfId="891"/>
    <cellStyle name="Comma 2 2 3 2 7" xfId="634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3" xfId="823"/>
    <cellStyle name="Comma 2 2 3 3 2 3" xfId="458"/>
    <cellStyle name="Comma 2 2 3 3 2 3 2" xfId="972"/>
    <cellStyle name="Comma 2 2 3 3 2 4" xfId="715"/>
    <cellStyle name="Comma 2 2 3 3 3" xfId="142"/>
    <cellStyle name="Comma 2 2 3 3 3 2" xfId="264"/>
    <cellStyle name="Comma 2 2 3 3 3 2 2" xfId="530"/>
    <cellStyle name="Comma 2 2 3 3 3 2 2 2" xfId="1044"/>
    <cellStyle name="Comma 2 2 3 3 3 2 3" xfId="787"/>
    <cellStyle name="Comma 2 2 3 3 3 3" xfId="422"/>
    <cellStyle name="Comma 2 2 3 3 3 3 2" xfId="936"/>
    <cellStyle name="Comma 2 2 3 3 3 4" xfId="679"/>
    <cellStyle name="Comma 2 2 3 3 4" xfId="225"/>
    <cellStyle name="Comma 2 2 3 3 4 2" xfId="494"/>
    <cellStyle name="Comma 2 2 3 3 4 2 2" xfId="1008"/>
    <cellStyle name="Comma 2 2 3 3 4 3" xfId="751"/>
    <cellStyle name="Comma 2 2 3 3 5" xfId="386"/>
    <cellStyle name="Comma 2 2 3 3 5 2" xfId="900"/>
    <cellStyle name="Comma 2 2 3 3 6" xfId="643"/>
    <cellStyle name="Comma 2 2 3 4" xfId="161"/>
    <cellStyle name="Comma 2 2 3 4 2" xfId="283"/>
    <cellStyle name="Comma 2 2 3 4 2 2" xfId="548"/>
    <cellStyle name="Comma 2 2 3 4 2 2 2" xfId="1062"/>
    <cellStyle name="Comma 2 2 3 4 2 3" xfId="805"/>
    <cellStyle name="Comma 2 2 3 4 3" xfId="440"/>
    <cellStyle name="Comma 2 2 3 4 3 2" xfId="954"/>
    <cellStyle name="Comma 2 2 3 4 4" xfId="697"/>
    <cellStyle name="Comma 2 2 3 5" xfId="123"/>
    <cellStyle name="Comma 2 2 3 5 2" xfId="245"/>
    <cellStyle name="Comma 2 2 3 5 2 2" xfId="512"/>
    <cellStyle name="Comma 2 2 3 5 2 2 2" xfId="1026"/>
    <cellStyle name="Comma 2 2 3 5 2 3" xfId="769"/>
    <cellStyle name="Comma 2 2 3 5 3" xfId="404"/>
    <cellStyle name="Comma 2 2 3 5 3 2" xfId="918"/>
    <cellStyle name="Comma 2 2 3 5 4" xfId="661"/>
    <cellStyle name="Comma 2 2 3 6" xfId="205"/>
    <cellStyle name="Comma 2 2 3 6 2" xfId="476"/>
    <cellStyle name="Comma 2 2 3 6 2 2" xfId="990"/>
    <cellStyle name="Comma 2 2 3 6 3" xfId="733"/>
    <cellStyle name="Comma 2 2 3 7" xfId="79"/>
    <cellStyle name="Comma 2 2 3 7 2" xfId="366"/>
    <cellStyle name="Comma 2 2 3 7 2 2" xfId="880"/>
    <cellStyle name="Comma 2 2 3 7 3" xfId="623"/>
    <cellStyle name="Comma 2 2 3 8" xfId="348"/>
    <cellStyle name="Comma 2 2 3 8 2" xfId="862"/>
    <cellStyle name="Comma 2 2 3 9" xfId="605"/>
    <cellStyle name="Comma 2 2 4" xfId="87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3" xfId="826"/>
    <cellStyle name="Comma 2 2 4 2 2 3" xfId="461"/>
    <cellStyle name="Comma 2 2 4 2 2 3 2" xfId="975"/>
    <cellStyle name="Comma 2 2 4 2 2 4" xfId="718"/>
    <cellStyle name="Comma 2 2 4 2 3" xfId="146"/>
    <cellStyle name="Comma 2 2 4 2 3 2" xfId="268"/>
    <cellStyle name="Comma 2 2 4 2 3 2 2" xfId="533"/>
    <cellStyle name="Comma 2 2 4 2 3 2 2 2" xfId="1047"/>
    <cellStyle name="Comma 2 2 4 2 3 2 3" xfId="790"/>
    <cellStyle name="Comma 2 2 4 2 3 3" xfId="425"/>
    <cellStyle name="Comma 2 2 4 2 3 3 2" xfId="939"/>
    <cellStyle name="Comma 2 2 4 2 3 4" xfId="682"/>
    <cellStyle name="Comma 2 2 4 2 4" xfId="229"/>
    <cellStyle name="Comma 2 2 4 2 4 2" xfId="497"/>
    <cellStyle name="Comma 2 2 4 2 4 2 2" xfId="1011"/>
    <cellStyle name="Comma 2 2 4 2 4 3" xfId="754"/>
    <cellStyle name="Comma 2 2 4 2 5" xfId="389"/>
    <cellStyle name="Comma 2 2 4 2 5 2" xfId="903"/>
    <cellStyle name="Comma 2 2 4 2 6" xfId="646"/>
    <cellStyle name="Comma 2 2 4 3" xfId="165"/>
    <cellStyle name="Comma 2 2 4 3 2" xfId="287"/>
    <cellStyle name="Comma 2 2 4 3 2 2" xfId="551"/>
    <cellStyle name="Comma 2 2 4 3 2 2 2" xfId="1065"/>
    <cellStyle name="Comma 2 2 4 3 2 3" xfId="808"/>
    <cellStyle name="Comma 2 2 4 3 3" xfId="443"/>
    <cellStyle name="Comma 2 2 4 3 3 2" xfId="957"/>
    <cellStyle name="Comma 2 2 4 3 4" xfId="700"/>
    <cellStyle name="Comma 2 2 4 4" xfId="127"/>
    <cellStyle name="Comma 2 2 4 4 2" xfId="249"/>
    <cellStyle name="Comma 2 2 4 4 2 2" xfId="515"/>
    <cellStyle name="Comma 2 2 4 4 2 2 2" xfId="1029"/>
    <cellStyle name="Comma 2 2 4 4 2 3" xfId="772"/>
    <cellStyle name="Comma 2 2 4 4 3" xfId="407"/>
    <cellStyle name="Comma 2 2 4 4 3 2" xfId="921"/>
    <cellStyle name="Comma 2 2 4 4 4" xfId="664"/>
    <cellStyle name="Comma 2 2 4 5" xfId="209"/>
    <cellStyle name="Comma 2 2 4 5 2" xfId="479"/>
    <cellStyle name="Comma 2 2 4 5 2 2" xfId="993"/>
    <cellStyle name="Comma 2 2 4 5 3" xfId="736"/>
    <cellStyle name="Comma 2 2 4 6" xfId="371"/>
    <cellStyle name="Comma 2 2 4 6 2" xfId="885"/>
    <cellStyle name="Comma 2 2 4 7" xfId="628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3" xfId="817"/>
    <cellStyle name="Comma 2 2 5 2 3" xfId="452"/>
    <cellStyle name="Comma 2 2 5 2 3 2" xfId="966"/>
    <cellStyle name="Comma 2 2 5 2 4" xfId="709"/>
    <cellStyle name="Comma 2 2 5 3" xfId="136"/>
    <cellStyle name="Comma 2 2 5 3 2" xfId="258"/>
    <cellStyle name="Comma 2 2 5 3 2 2" xfId="524"/>
    <cellStyle name="Comma 2 2 5 3 2 2 2" xfId="1038"/>
    <cellStyle name="Comma 2 2 5 3 2 3" xfId="781"/>
    <cellStyle name="Comma 2 2 5 3 3" xfId="416"/>
    <cellStyle name="Comma 2 2 5 3 3 2" xfId="930"/>
    <cellStyle name="Comma 2 2 5 3 4" xfId="673"/>
    <cellStyle name="Comma 2 2 5 4" xfId="219"/>
    <cellStyle name="Comma 2 2 5 4 2" xfId="488"/>
    <cellStyle name="Comma 2 2 5 4 2 2" xfId="1002"/>
    <cellStyle name="Comma 2 2 5 4 3" xfId="745"/>
    <cellStyle name="Comma 2 2 5 5" xfId="380"/>
    <cellStyle name="Comma 2 2 5 5 2" xfId="894"/>
    <cellStyle name="Comma 2 2 5 6" xfId="637"/>
    <cellStyle name="Comma 2 2 6" xfId="155"/>
    <cellStyle name="Comma 2 2 6 2" xfId="277"/>
    <cellStyle name="Comma 2 2 6 2 2" xfId="542"/>
    <cellStyle name="Comma 2 2 6 2 2 2" xfId="1056"/>
    <cellStyle name="Comma 2 2 6 2 3" xfId="799"/>
    <cellStyle name="Comma 2 2 6 3" xfId="434"/>
    <cellStyle name="Comma 2 2 6 3 2" xfId="948"/>
    <cellStyle name="Comma 2 2 6 4" xfId="691"/>
    <cellStyle name="Comma 2 2 7" xfId="117"/>
    <cellStyle name="Comma 2 2 7 2" xfId="239"/>
    <cellStyle name="Comma 2 2 7 2 2" xfId="506"/>
    <cellStyle name="Comma 2 2 7 2 2 2" xfId="1020"/>
    <cellStyle name="Comma 2 2 7 2 3" xfId="763"/>
    <cellStyle name="Comma 2 2 7 3" xfId="398"/>
    <cellStyle name="Comma 2 2 7 3 2" xfId="912"/>
    <cellStyle name="Comma 2 2 7 4" xfId="655"/>
    <cellStyle name="Comma 2 2 8" xfId="199"/>
    <cellStyle name="Comma 2 2 8 2" xfId="470"/>
    <cellStyle name="Comma 2 2 8 2 2" xfId="984"/>
    <cellStyle name="Comma 2 2 8 3" xfId="727"/>
    <cellStyle name="Comma 2 2 9" xfId="73"/>
    <cellStyle name="Comma 2 2 9 2" xfId="360"/>
    <cellStyle name="Comma 2 2 9 2 2" xfId="874"/>
    <cellStyle name="Comma 2 2 9 3" xfId="617"/>
    <cellStyle name="Comma 2 3" xfId="51"/>
    <cellStyle name="Comma 2 3 2" xfId="64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3" xfId="828"/>
    <cellStyle name="Comma 2 3 2 2 2 3" xfId="463"/>
    <cellStyle name="Comma 2 3 2 2 2 3 2" xfId="977"/>
    <cellStyle name="Comma 2 3 2 2 2 4" xfId="720"/>
    <cellStyle name="Comma 2 3 2 2 3" xfId="148"/>
    <cellStyle name="Comma 2 3 2 2 3 2" xfId="270"/>
    <cellStyle name="Comma 2 3 2 2 3 2 2" xfId="535"/>
    <cellStyle name="Comma 2 3 2 2 3 2 2 2" xfId="1049"/>
    <cellStyle name="Comma 2 3 2 2 3 2 3" xfId="792"/>
    <cellStyle name="Comma 2 3 2 2 3 3" xfId="427"/>
    <cellStyle name="Comma 2 3 2 2 3 3 2" xfId="941"/>
    <cellStyle name="Comma 2 3 2 2 3 4" xfId="684"/>
    <cellStyle name="Comma 2 3 2 2 4" xfId="231"/>
    <cellStyle name="Comma 2 3 2 2 4 2" xfId="499"/>
    <cellStyle name="Comma 2 3 2 2 4 2 2" xfId="1013"/>
    <cellStyle name="Comma 2 3 2 2 4 3" xfId="756"/>
    <cellStyle name="Comma 2 3 2 2 5" xfId="391"/>
    <cellStyle name="Comma 2 3 2 2 5 2" xfId="905"/>
    <cellStyle name="Comma 2 3 2 2 6" xfId="648"/>
    <cellStyle name="Comma 2 3 2 3" xfId="167"/>
    <cellStyle name="Comma 2 3 2 3 2" xfId="289"/>
    <cellStyle name="Comma 2 3 2 3 2 2" xfId="553"/>
    <cellStyle name="Comma 2 3 2 3 2 2 2" xfId="1067"/>
    <cellStyle name="Comma 2 3 2 3 2 3" xfId="810"/>
    <cellStyle name="Comma 2 3 2 3 3" xfId="445"/>
    <cellStyle name="Comma 2 3 2 3 3 2" xfId="959"/>
    <cellStyle name="Comma 2 3 2 3 4" xfId="702"/>
    <cellStyle name="Comma 2 3 2 4" xfId="129"/>
    <cellStyle name="Comma 2 3 2 4 2" xfId="251"/>
    <cellStyle name="Comma 2 3 2 4 2 2" xfId="517"/>
    <cellStyle name="Comma 2 3 2 4 2 2 2" xfId="1031"/>
    <cellStyle name="Comma 2 3 2 4 2 3" xfId="774"/>
    <cellStyle name="Comma 2 3 2 4 3" xfId="409"/>
    <cellStyle name="Comma 2 3 2 4 3 2" xfId="923"/>
    <cellStyle name="Comma 2 3 2 4 4" xfId="666"/>
    <cellStyle name="Comma 2 3 2 5" xfId="211"/>
    <cellStyle name="Comma 2 3 2 5 2" xfId="481"/>
    <cellStyle name="Comma 2 3 2 5 2 2" xfId="995"/>
    <cellStyle name="Comma 2 3 2 5 3" xfId="738"/>
    <cellStyle name="Comma 2 3 2 6" xfId="89"/>
    <cellStyle name="Comma 2 3 2 6 2" xfId="373"/>
    <cellStyle name="Comma 2 3 2 6 2 2" xfId="887"/>
    <cellStyle name="Comma 2 3 2 6 3" xfId="630"/>
    <cellStyle name="Comma 2 3 2 7" xfId="351"/>
    <cellStyle name="Comma 2 3 2 7 2" xfId="865"/>
    <cellStyle name="Comma 2 3 2 8" xfId="608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3" xfId="819"/>
    <cellStyle name="Comma 2 3 3 2 3" xfId="454"/>
    <cellStyle name="Comma 2 3 3 2 3 2" xfId="968"/>
    <cellStyle name="Comma 2 3 3 2 4" xfId="711"/>
    <cellStyle name="Comma 2 3 3 3" xfId="138"/>
    <cellStyle name="Comma 2 3 3 3 2" xfId="260"/>
    <cellStyle name="Comma 2 3 3 3 2 2" xfId="526"/>
    <cellStyle name="Comma 2 3 3 3 2 2 2" xfId="1040"/>
    <cellStyle name="Comma 2 3 3 3 2 3" xfId="783"/>
    <cellStyle name="Comma 2 3 3 3 3" xfId="418"/>
    <cellStyle name="Comma 2 3 3 3 3 2" xfId="932"/>
    <cellStyle name="Comma 2 3 3 3 4" xfId="675"/>
    <cellStyle name="Comma 2 3 3 4" xfId="221"/>
    <cellStyle name="Comma 2 3 3 4 2" xfId="490"/>
    <cellStyle name="Comma 2 3 3 4 2 2" xfId="1004"/>
    <cellStyle name="Comma 2 3 3 4 3" xfId="747"/>
    <cellStyle name="Comma 2 3 3 5" xfId="382"/>
    <cellStyle name="Comma 2 3 3 5 2" xfId="896"/>
    <cellStyle name="Comma 2 3 3 6" xfId="639"/>
    <cellStyle name="Comma 2 3 4" xfId="157"/>
    <cellStyle name="Comma 2 3 4 2" xfId="279"/>
    <cellStyle name="Comma 2 3 4 2 2" xfId="544"/>
    <cellStyle name="Comma 2 3 4 2 2 2" xfId="1058"/>
    <cellStyle name="Comma 2 3 4 2 3" xfId="801"/>
    <cellStyle name="Comma 2 3 4 3" xfId="436"/>
    <cellStyle name="Comma 2 3 4 3 2" xfId="950"/>
    <cellStyle name="Comma 2 3 4 4" xfId="693"/>
    <cellStyle name="Comma 2 3 5" xfId="119"/>
    <cellStyle name="Comma 2 3 5 2" xfId="241"/>
    <cellStyle name="Comma 2 3 5 2 2" xfId="508"/>
    <cellStyle name="Comma 2 3 5 2 2 2" xfId="1022"/>
    <cellStyle name="Comma 2 3 5 2 3" xfId="765"/>
    <cellStyle name="Comma 2 3 5 3" xfId="400"/>
    <cellStyle name="Comma 2 3 5 3 2" xfId="914"/>
    <cellStyle name="Comma 2 3 5 4" xfId="657"/>
    <cellStyle name="Comma 2 3 6" xfId="201"/>
    <cellStyle name="Comma 2 3 6 2" xfId="472"/>
    <cellStyle name="Comma 2 3 6 2 2" xfId="986"/>
    <cellStyle name="Comma 2 3 6 3" xfId="729"/>
    <cellStyle name="Comma 2 3 7" xfId="75"/>
    <cellStyle name="Comma 2 3 7 2" xfId="362"/>
    <cellStyle name="Comma 2 3 7 2 2" xfId="876"/>
    <cellStyle name="Comma 2 3 7 3" xfId="619"/>
    <cellStyle name="Comma 2 3 8" xfId="338"/>
    <cellStyle name="Comma 2 3 8 2" xfId="852"/>
    <cellStyle name="Comma 2 3 9" xfId="595"/>
    <cellStyle name="Comma 2 4" xfId="59"/>
    <cellStyle name="Comma 2 4 2" xfId="92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3" xfId="831"/>
    <cellStyle name="Comma 2 4 2 2 2 3" xfId="466"/>
    <cellStyle name="Comma 2 4 2 2 2 3 2" xfId="980"/>
    <cellStyle name="Comma 2 4 2 2 2 4" xfId="723"/>
    <cellStyle name="Comma 2 4 2 2 3" xfId="151"/>
    <cellStyle name="Comma 2 4 2 2 3 2" xfId="273"/>
    <cellStyle name="Comma 2 4 2 2 3 2 2" xfId="538"/>
    <cellStyle name="Comma 2 4 2 2 3 2 2 2" xfId="1052"/>
    <cellStyle name="Comma 2 4 2 2 3 2 3" xfId="795"/>
    <cellStyle name="Comma 2 4 2 2 3 3" xfId="430"/>
    <cellStyle name="Comma 2 4 2 2 3 3 2" xfId="944"/>
    <cellStyle name="Comma 2 4 2 2 3 4" xfId="687"/>
    <cellStyle name="Comma 2 4 2 2 4" xfId="234"/>
    <cellStyle name="Comma 2 4 2 2 4 2" xfId="502"/>
    <cellStyle name="Comma 2 4 2 2 4 2 2" xfId="1016"/>
    <cellStyle name="Comma 2 4 2 2 4 3" xfId="759"/>
    <cellStyle name="Comma 2 4 2 2 5" xfId="394"/>
    <cellStyle name="Comma 2 4 2 2 5 2" xfId="908"/>
    <cellStyle name="Comma 2 4 2 2 6" xfId="651"/>
    <cellStyle name="Comma 2 4 2 3" xfId="170"/>
    <cellStyle name="Comma 2 4 2 3 2" xfId="292"/>
    <cellStyle name="Comma 2 4 2 3 2 2" xfId="556"/>
    <cellStyle name="Comma 2 4 2 3 2 2 2" xfId="1070"/>
    <cellStyle name="Comma 2 4 2 3 2 3" xfId="813"/>
    <cellStyle name="Comma 2 4 2 3 3" xfId="448"/>
    <cellStyle name="Comma 2 4 2 3 3 2" xfId="962"/>
    <cellStyle name="Comma 2 4 2 3 4" xfId="705"/>
    <cellStyle name="Comma 2 4 2 4" xfId="132"/>
    <cellStyle name="Comma 2 4 2 4 2" xfId="254"/>
    <cellStyle name="Comma 2 4 2 4 2 2" xfId="520"/>
    <cellStyle name="Comma 2 4 2 4 2 2 2" xfId="1034"/>
    <cellStyle name="Comma 2 4 2 4 2 3" xfId="777"/>
    <cellStyle name="Comma 2 4 2 4 3" xfId="412"/>
    <cellStyle name="Comma 2 4 2 4 3 2" xfId="926"/>
    <cellStyle name="Comma 2 4 2 4 4" xfId="669"/>
    <cellStyle name="Comma 2 4 2 5" xfId="214"/>
    <cellStyle name="Comma 2 4 2 5 2" xfId="484"/>
    <cellStyle name="Comma 2 4 2 5 2 2" xfId="998"/>
    <cellStyle name="Comma 2 4 2 5 3" xfId="741"/>
    <cellStyle name="Comma 2 4 2 6" xfId="376"/>
    <cellStyle name="Comma 2 4 2 6 2" xfId="890"/>
    <cellStyle name="Comma 2 4 2 7" xfId="633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3" xfId="822"/>
    <cellStyle name="Comma 2 4 3 2 3" xfId="457"/>
    <cellStyle name="Comma 2 4 3 2 3 2" xfId="971"/>
    <cellStyle name="Comma 2 4 3 2 4" xfId="714"/>
    <cellStyle name="Comma 2 4 3 3" xfId="141"/>
    <cellStyle name="Comma 2 4 3 3 2" xfId="263"/>
    <cellStyle name="Comma 2 4 3 3 2 2" xfId="529"/>
    <cellStyle name="Comma 2 4 3 3 2 2 2" xfId="1043"/>
    <cellStyle name="Comma 2 4 3 3 2 3" xfId="786"/>
    <cellStyle name="Comma 2 4 3 3 3" xfId="421"/>
    <cellStyle name="Comma 2 4 3 3 3 2" xfId="935"/>
    <cellStyle name="Comma 2 4 3 3 4" xfId="678"/>
    <cellStyle name="Comma 2 4 3 4" xfId="224"/>
    <cellStyle name="Comma 2 4 3 4 2" xfId="493"/>
    <cellStyle name="Comma 2 4 3 4 2 2" xfId="1007"/>
    <cellStyle name="Comma 2 4 3 4 3" xfId="750"/>
    <cellStyle name="Comma 2 4 3 5" xfId="385"/>
    <cellStyle name="Comma 2 4 3 5 2" xfId="899"/>
    <cellStyle name="Comma 2 4 3 6" xfId="642"/>
    <cellStyle name="Comma 2 4 4" xfId="160"/>
    <cellStyle name="Comma 2 4 4 2" xfId="282"/>
    <cellStyle name="Comma 2 4 4 2 2" xfId="547"/>
    <cellStyle name="Comma 2 4 4 2 2 2" xfId="1061"/>
    <cellStyle name="Comma 2 4 4 2 3" xfId="804"/>
    <cellStyle name="Comma 2 4 4 3" xfId="439"/>
    <cellStyle name="Comma 2 4 4 3 2" xfId="953"/>
    <cellStyle name="Comma 2 4 4 4" xfId="696"/>
    <cellStyle name="Comma 2 4 5" xfId="122"/>
    <cellStyle name="Comma 2 4 5 2" xfId="244"/>
    <cellStyle name="Comma 2 4 5 2 2" xfId="511"/>
    <cellStyle name="Comma 2 4 5 2 2 2" xfId="1025"/>
    <cellStyle name="Comma 2 4 5 2 3" xfId="768"/>
    <cellStyle name="Comma 2 4 5 3" xfId="403"/>
    <cellStyle name="Comma 2 4 5 3 2" xfId="917"/>
    <cellStyle name="Comma 2 4 5 4" xfId="660"/>
    <cellStyle name="Comma 2 4 6" xfId="204"/>
    <cellStyle name="Comma 2 4 6 2" xfId="475"/>
    <cellStyle name="Comma 2 4 6 2 2" xfId="989"/>
    <cellStyle name="Comma 2 4 6 3" xfId="732"/>
    <cellStyle name="Comma 2 4 7" xfId="78"/>
    <cellStyle name="Comma 2 4 7 2" xfId="365"/>
    <cellStyle name="Comma 2 4 7 2 2" xfId="879"/>
    <cellStyle name="Comma 2 4 7 3" xfId="622"/>
    <cellStyle name="Comma 2 4 8" xfId="346"/>
    <cellStyle name="Comma 2 4 8 2" xfId="860"/>
    <cellStyle name="Comma 2 4 9" xfId="603"/>
    <cellStyle name="Comma 2 5" xfId="8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3" xfId="825"/>
    <cellStyle name="Comma 2 5 2 2 3" xfId="460"/>
    <cellStyle name="Comma 2 5 2 2 3 2" xfId="974"/>
    <cellStyle name="Comma 2 5 2 2 4" xfId="717"/>
    <cellStyle name="Comma 2 5 2 3" xfId="145"/>
    <cellStyle name="Comma 2 5 2 3 2" xfId="267"/>
    <cellStyle name="Comma 2 5 2 3 2 2" xfId="532"/>
    <cellStyle name="Comma 2 5 2 3 2 2 2" xfId="1046"/>
    <cellStyle name="Comma 2 5 2 3 2 3" xfId="789"/>
    <cellStyle name="Comma 2 5 2 3 3" xfId="424"/>
    <cellStyle name="Comma 2 5 2 3 3 2" xfId="938"/>
    <cellStyle name="Comma 2 5 2 3 4" xfId="681"/>
    <cellStyle name="Comma 2 5 2 4" xfId="228"/>
    <cellStyle name="Comma 2 5 2 4 2" xfId="496"/>
    <cellStyle name="Comma 2 5 2 4 2 2" xfId="1010"/>
    <cellStyle name="Comma 2 5 2 4 3" xfId="753"/>
    <cellStyle name="Comma 2 5 2 5" xfId="388"/>
    <cellStyle name="Comma 2 5 2 5 2" xfId="902"/>
    <cellStyle name="Comma 2 5 2 6" xfId="645"/>
    <cellStyle name="Comma 2 5 3" xfId="164"/>
    <cellStyle name="Comma 2 5 3 2" xfId="286"/>
    <cellStyle name="Comma 2 5 3 2 2" xfId="550"/>
    <cellStyle name="Comma 2 5 3 2 2 2" xfId="1064"/>
    <cellStyle name="Comma 2 5 3 2 3" xfId="807"/>
    <cellStyle name="Comma 2 5 3 3" xfId="442"/>
    <cellStyle name="Comma 2 5 3 3 2" xfId="956"/>
    <cellStyle name="Comma 2 5 3 4" xfId="699"/>
    <cellStyle name="Comma 2 5 4" xfId="126"/>
    <cellStyle name="Comma 2 5 4 2" xfId="248"/>
    <cellStyle name="Comma 2 5 4 2 2" xfId="514"/>
    <cellStyle name="Comma 2 5 4 2 2 2" xfId="1028"/>
    <cellStyle name="Comma 2 5 4 2 3" xfId="771"/>
    <cellStyle name="Comma 2 5 4 3" xfId="406"/>
    <cellStyle name="Comma 2 5 4 3 2" xfId="920"/>
    <cellStyle name="Comma 2 5 4 4" xfId="663"/>
    <cellStyle name="Comma 2 5 5" xfId="208"/>
    <cellStyle name="Comma 2 5 5 2" xfId="478"/>
    <cellStyle name="Comma 2 5 5 2 2" xfId="992"/>
    <cellStyle name="Comma 2 5 5 3" xfId="735"/>
    <cellStyle name="Comma 2 5 6" xfId="370"/>
    <cellStyle name="Comma 2 5 6 2" xfId="884"/>
    <cellStyle name="Comma 2 5 7" xfId="627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3" xfId="816"/>
    <cellStyle name="Comma 2 6 2 3" xfId="451"/>
    <cellStyle name="Comma 2 6 2 3 2" xfId="965"/>
    <cellStyle name="Comma 2 6 2 4" xfId="708"/>
    <cellStyle name="Comma 2 6 3" xfId="135"/>
    <cellStyle name="Comma 2 6 3 2" xfId="257"/>
    <cellStyle name="Comma 2 6 3 2 2" xfId="523"/>
    <cellStyle name="Comma 2 6 3 2 2 2" xfId="1037"/>
    <cellStyle name="Comma 2 6 3 2 3" xfId="780"/>
    <cellStyle name="Comma 2 6 3 3" xfId="415"/>
    <cellStyle name="Comma 2 6 3 3 2" xfId="929"/>
    <cellStyle name="Comma 2 6 3 4" xfId="672"/>
    <cellStyle name="Comma 2 6 4" xfId="218"/>
    <cellStyle name="Comma 2 6 4 2" xfId="487"/>
    <cellStyle name="Comma 2 6 4 2 2" xfId="1001"/>
    <cellStyle name="Comma 2 6 4 3" xfId="744"/>
    <cellStyle name="Comma 2 6 5" xfId="379"/>
    <cellStyle name="Comma 2 6 5 2" xfId="893"/>
    <cellStyle name="Comma 2 6 6" xfId="636"/>
    <cellStyle name="Comma 2 7" xfId="154"/>
    <cellStyle name="Comma 2 7 2" xfId="276"/>
    <cellStyle name="Comma 2 7 2 2" xfId="541"/>
    <cellStyle name="Comma 2 7 2 2 2" xfId="1055"/>
    <cellStyle name="Comma 2 7 2 3" xfId="798"/>
    <cellStyle name="Comma 2 7 3" xfId="433"/>
    <cellStyle name="Comma 2 7 3 2" xfId="947"/>
    <cellStyle name="Comma 2 7 4" xfId="690"/>
    <cellStyle name="Comma 2 8" xfId="116"/>
    <cellStyle name="Comma 2 8 2" xfId="238"/>
    <cellStyle name="Comma 2 8 2 2" xfId="505"/>
    <cellStyle name="Comma 2 8 2 2 2" xfId="1019"/>
    <cellStyle name="Comma 2 8 2 3" xfId="762"/>
    <cellStyle name="Comma 2 8 3" xfId="397"/>
    <cellStyle name="Comma 2 8 3 2" xfId="911"/>
    <cellStyle name="Comma 2 8 4" xfId="654"/>
    <cellStyle name="Comma 2 9" xfId="198"/>
    <cellStyle name="Comma 2 9 2" xfId="469"/>
    <cellStyle name="Comma 2 9 2 2" xfId="983"/>
    <cellStyle name="Comma 2 9 3" xfId="726"/>
    <cellStyle name="Comma 3" xfId="46"/>
    <cellStyle name="Comma 3 2" xfId="88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3" xfId="827"/>
    <cellStyle name="Comma 3 2 2 2 3" xfId="462"/>
    <cellStyle name="Comma 3 2 2 2 3 2" xfId="976"/>
    <cellStyle name="Comma 3 2 2 2 4" xfId="719"/>
    <cellStyle name="Comma 3 2 2 3" xfId="147"/>
    <cellStyle name="Comma 3 2 2 3 2" xfId="269"/>
    <cellStyle name="Comma 3 2 2 3 2 2" xfId="534"/>
    <cellStyle name="Comma 3 2 2 3 2 2 2" xfId="1048"/>
    <cellStyle name="Comma 3 2 2 3 2 3" xfId="791"/>
    <cellStyle name="Comma 3 2 2 3 3" xfId="426"/>
    <cellStyle name="Comma 3 2 2 3 3 2" xfId="940"/>
    <cellStyle name="Comma 3 2 2 3 4" xfId="683"/>
    <cellStyle name="Comma 3 2 2 4" xfId="230"/>
    <cellStyle name="Comma 3 2 2 4 2" xfId="498"/>
    <cellStyle name="Comma 3 2 2 4 2 2" xfId="1012"/>
    <cellStyle name="Comma 3 2 2 4 3" xfId="755"/>
    <cellStyle name="Comma 3 2 2 5" xfId="390"/>
    <cellStyle name="Comma 3 2 2 5 2" xfId="904"/>
    <cellStyle name="Comma 3 2 2 6" xfId="647"/>
    <cellStyle name="Comma 3 2 3" xfId="166"/>
    <cellStyle name="Comma 3 2 3 2" xfId="288"/>
    <cellStyle name="Comma 3 2 3 2 2" xfId="552"/>
    <cellStyle name="Comma 3 2 3 2 2 2" xfId="1066"/>
    <cellStyle name="Comma 3 2 3 2 3" xfId="809"/>
    <cellStyle name="Comma 3 2 3 3" xfId="444"/>
    <cellStyle name="Comma 3 2 3 3 2" xfId="958"/>
    <cellStyle name="Comma 3 2 3 4" xfId="701"/>
    <cellStyle name="Comma 3 2 4" xfId="128"/>
    <cellStyle name="Comma 3 2 4 2" xfId="250"/>
    <cellStyle name="Comma 3 2 4 2 2" xfId="516"/>
    <cellStyle name="Comma 3 2 4 2 2 2" xfId="1030"/>
    <cellStyle name="Comma 3 2 4 2 3" xfId="773"/>
    <cellStyle name="Comma 3 2 4 3" xfId="408"/>
    <cellStyle name="Comma 3 2 4 3 2" xfId="922"/>
    <cellStyle name="Comma 3 2 4 4" xfId="665"/>
    <cellStyle name="Comma 3 2 5" xfId="210"/>
    <cellStyle name="Comma 3 2 5 2" xfId="480"/>
    <cellStyle name="Comma 3 2 5 2 2" xfId="994"/>
    <cellStyle name="Comma 3 2 5 3" xfId="737"/>
    <cellStyle name="Comma 3 2 6" xfId="372"/>
    <cellStyle name="Comma 3 2 6 2" xfId="886"/>
    <cellStyle name="Comma 3 2 7" xfId="629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3" xfId="818"/>
    <cellStyle name="Comma 3 3 2 3" xfId="453"/>
    <cellStyle name="Comma 3 3 2 3 2" xfId="967"/>
    <cellStyle name="Comma 3 3 2 4" xfId="710"/>
    <cellStyle name="Comma 3 3 3" xfId="137"/>
    <cellStyle name="Comma 3 3 3 2" xfId="259"/>
    <cellStyle name="Comma 3 3 3 2 2" xfId="525"/>
    <cellStyle name="Comma 3 3 3 2 2 2" xfId="1039"/>
    <cellStyle name="Comma 3 3 3 2 3" xfId="782"/>
    <cellStyle name="Comma 3 3 3 3" xfId="417"/>
    <cellStyle name="Comma 3 3 3 3 2" xfId="931"/>
    <cellStyle name="Comma 3 3 3 4" xfId="674"/>
    <cellStyle name="Comma 3 3 4" xfId="220"/>
    <cellStyle name="Comma 3 3 4 2" xfId="489"/>
    <cellStyle name="Comma 3 3 4 2 2" xfId="1003"/>
    <cellStyle name="Comma 3 3 4 3" xfId="746"/>
    <cellStyle name="Comma 3 3 5" xfId="381"/>
    <cellStyle name="Comma 3 3 5 2" xfId="895"/>
    <cellStyle name="Comma 3 3 6" xfId="638"/>
    <cellStyle name="Comma 3 4" xfId="156"/>
    <cellStyle name="Comma 3 4 2" xfId="278"/>
    <cellStyle name="Comma 3 4 2 2" xfId="543"/>
    <cellStyle name="Comma 3 4 2 2 2" xfId="1057"/>
    <cellStyle name="Comma 3 4 2 3" xfId="800"/>
    <cellStyle name="Comma 3 4 3" xfId="435"/>
    <cellStyle name="Comma 3 4 3 2" xfId="949"/>
    <cellStyle name="Comma 3 4 4" xfId="692"/>
    <cellStyle name="Comma 3 5" xfId="118"/>
    <cellStyle name="Comma 3 5 2" xfId="240"/>
    <cellStyle name="Comma 3 5 2 2" xfId="507"/>
    <cellStyle name="Comma 3 5 2 2 2" xfId="1021"/>
    <cellStyle name="Comma 3 5 2 3" xfId="764"/>
    <cellStyle name="Comma 3 5 3" xfId="399"/>
    <cellStyle name="Comma 3 5 3 2" xfId="913"/>
    <cellStyle name="Comma 3 5 4" xfId="656"/>
    <cellStyle name="Comma 3 6" xfId="200"/>
    <cellStyle name="Comma 3 6 2" xfId="471"/>
    <cellStyle name="Comma 3 6 2 2" xfId="985"/>
    <cellStyle name="Comma 3 6 3" xfId="728"/>
    <cellStyle name="Comma 3 7" xfId="74"/>
    <cellStyle name="Comma 3 7 2" xfId="361"/>
    <cellStyle name="Comma 3 7 2 2" xfId="875"/>
    <cellStyle name="Comma 3 7 3" xfId="618"/>
    <cellStyle name="Comma 4" xfId="57"/>
    <cellStyle name="Comma 4 2" xfId="91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3" xfId="830"/>
    <cellStyle name="Comma 4 2 2 2 3" xfId="465"/>
    <cellStyle name="Comma 4 2 2 2 3 2" xfId="979"/>
    <cellStyle name="Comma 4 2 2 2 4" xfId="722"/>
    <cellStyle name="Comma 4 2 2 3" xfId="150"/>
    <cellStyle name="Comma 4 2 2 3 2" xfId="272"/>
    <cellStyle name="Comma 4 2 2 3 2 2" xfId="537"/>
    <cellStyle name="Comma 4 2 2 3 2 2 2" xfId="1051"/>
    <cellStyle name="Comma 4 2 2 3 2 3" xfId="794"/>
    <cellStyle name="Comma 4 2 2 3 3" xfId="429"/>
    <cellStyle name="Comma 4 2 2 3 3 2" xfId="943"/>
    <cellStyle name="Comma 4 2 2 3 4" xfId="686"/>
    <cellStyle name="Comma 4 2 2 4" xfId="233"/>
    <cellStyle name="Comma 4 2 2 4 2" xfId="501"/>
    <cellStyle name="Comma 4 2 2 4 2 2" xfId="1015"/>
    <cellStyle name="Comma 4 2 2 4 3" xfId="758"/>
    <cellStyle name="Comma 4 2 2 5" xfId="393"/>
    <cellStyle name="Comma 4 2 2 5 2" xfId="907"/>
    <cellStyle name="Comma 4 2 2 6" xfId="650"/>
    <cellStyle name="Comma 4 2 3" xfId="169"/>
    <cellStyle name="Comma 4 2 3 2" xfId="291"/>
    <cellStyle name="Comma 4 2 3 2 2" xfId="555"/>
    <cellStyle name="Comma 4 2 3 2 2 2" xfId="1069"/>
    <cellStyle name="Comma 4 2 3 2 3" xfId="812"/>
    <cellStyle name="Comma 4 2 3 3" xfId="447"/>
    <cellStyle name="Comma 4 2 3 3 2" xfId="961"/>
    <cellStyle name="Comma 4 2 3 4" xfId="704"/>
    <cellStyle name="Comma 4 2 4" xfId="131"/>
    <cellStyle name="Comma 4 2 4 2" xfId="253"/>
    <cellStyle name="Comma 4 2 4 2 2" xfId="519"/>
    <cellStyle name="Comma 4 2 4 2 2 2" xfId="1033"/>
    <cellStyle name="Comma 4 2 4 2 3" xfId="776"/>
    <cellStyle name="Comma 4 2 4 3" xfId="411"/>
    <cellStyle name="Comma 4 2 4 3 2" xfId="925"/>
    <cellStyle name="Comma 4 2 4 4" xfId="668"/>
    <cellStyle name="Comma 4 2 5" xfId="213"/>
    <cellStyle name="Comma 4 2 5 2" xfId="483"/>
    <cellStyle name="Comma 4 2 5 2 2" xfId="997"/>
    <cellStyle name="Comma 4 2 5 3" xfId="740"/>
    <cellStyle name="Comma 4 2 6" xfId="375"/>
    <cellStyle name="Comma 4 2 6 2" xfId="889"/>
    <cellStyle name="Comma 4 2 7" xfId="632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3" xfId="821"/>
    <cellStyle name="Comma 4 3 2 3" xfId="456"/>
    <cellStyle name="Comma 4 3 2 3 2" xfId="970"/>
    <cellStyle name="Comma 4 3 2 4" xfId="713"/>
    <cellStyle name="Comma 4 3 3" xfId="140"/>
    <cellStyle name="Comma 4 3 3 2" xfId="262"/>
    <cellStyle name="Comma 4 3 3 2 2" xfId="528"/>
    <cellStyle name="Comma 4 3 3 2 2 2" xfId="1042"/>
    <cellStyle name="Comma 4 3 3 2 3" xfId="785"/>
    <cellStyle name="Comma 4 3 3 3" xfId="420"/>
    <cellStyle name="Comma 4 3 3 3 2" xfId="934"/>
    <cellStyle name="Comma 4 3 3 4" xfId="677"/>
    <cellStyle name="Comma 4 3 4" xfId="223"/>
    <cellStyle name="Comma 4 3 4 2" xfId="492"/>
    <cellStyle name="Comma 4 3 4 2 2" xfId="1006"/>
    <cellStyle name="Comma 4 3 4 3" xfId="749"/>
    <cellStyle name="Comma 4 3 5" xfId="384"/>
    <cellStyle name="Comma 4 3 5 2" xfId="898"/>
    <cellStyle name="Comma 4 3 6" xfId="641"/>
    <cellStyle name="Comma 4 4" xfId="159"/>
    <cellStyle name="Comma 4 4 2" xfId="281"/>
    <cellStyle name="Comma 4 4 2 2" xfId="546"/>
    <cellStyle name="Comma 4 4 2 2 2" xfId="1060"/>
    <cellStyle name="Comma 4 4 2 3" xfId="803"/>
    <cellStyle name="Comma 4 4 3" xfId="438"/>
    <cellStyle name="Comma 4 4 3 2" xfId="952"/>
    <cellStyle name="Comma 4 4 4" xfId="695"/>
    <cellStyle name="Comma 4 5" xfId="121"/>
    <cellStyle name="Comma 4 5 2" xfId="243"/>
    <cellStyle name="Comma 4 5 2 2" xfId="510"/>
    <cellStyle name="Comma 4 5 2 2 2" xfId="1024"/>
    <cellStyle name="Comma 4 5 2 3" xfId="767"/>
    <cellStyle name="Comma 4 5 3" xfId="402"/>
    <cellStyle name="Comma 4 5 3 2" xfId="916"/>
    <cellStyle name="Comma 4 5 4" xfId="659"/>
    <cellStyle name="Comma 4 6" xfId="203"/>
    <cellStyle name="Comma 4 6 2" xfId="474"/>
    <cellStyle name="Comma 4 6 2 2" xfId="988"/>
    <cellStyle name="Comma 4 6 3" xfId="731"/>
    <cellStyle name="Comma 4 7" xfId="77"/>
    <cellStyle name="Comma 4 7 2" xfId="364"/>
    <cellStyle name="Comma 4 7 2 2" xfId="878"/>
    <cellStyle name="Comma 4 7 3" xfId="621"/>
    <cellStyle name="Comma 4 8" xfId="344"/>
    <cellStyle name="Comma 4 8 2" xfId="858"/>
    <cellStyle name="Comma 4 9" xfId="601"/>
    <cellStyle name="Comma 5" xfId="8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3" xfId="824"/>
    <cellStyle name="Comma 5 2 2 3" xfId="459"/>
    <cellStyle name="Comma 5 2 2 3 2" xfId="973"/>
    <cellStyle name="Comma 5 2 2 4" xfId="716"/>
    <cellStyle name="Comma 5 2 3" xfId="144"/>
    <cellStyle name="Comma 5 2 3 2" xfId="266"/>
    <cellStyle name="Comma 5 2 3 2 2" xfId="531"/>
    <cellStyle name="Comma 5 2 3 2 2 2" xfId="1045"/>
    <cellStyle name="Comma 5 2 3 2 3" xfId="788"/>
    <cellStyle name="Comma 5 2 3 3" xfId="423"/>
    <cellStyle name="Comma 5 2 3 3 2" xfId="937"/>
    <cellStyle name="Comma 5 2 3 4" xfId="680"/>
    <cellStyle name="Comma 5 2 4" xfId="227"/>
    <cellStyle name="Comma 5 2 4 2" xfId="495"/>
    <cellStyle name="Comma 5 2 4 2 2" xfId="1009"/>
    <cellStyle name="Comma 5 2 4 3" xfId="752"/>
    <cellStyle name="Comma 5 2 5" xfId="387"/>
    <cellStyle name="Comma 5 2 5 2" xfId="901"/>
    <cellStyle name="Comma 5 2 6" xfId="644"/>
    <cellStyle name="Comma 5 3" xfId="163"/>
    <cellStyle name="Comma 5 3 2" xfId="285"/>
    <cellStyle name="Comma 5 3 2 2" xfId="549"/>
    <cellStyle name="Comma 5 3 2 2 2" xfId="1063"/>
    <cellStyle name="Comma 5 3 2 3" xfId="806"/>
    <cellStyle name="Comma 5 3 3" xfId="441"/>
    <cellStyle name="Comma 5 3 3 2" xfId="955"/>
    <cellStyle name="Comma 5 3 4" xfId="698"/>
    <cellStyle name="Comma 5 4" xfId="125"/>
    <cellStyle name="Comma 5 4 2" xfId="247"/>
    <cellStyle name="Comma 5 4 2 2" xfId="513"/>
    <cellStyle name="Comma 5 4 2 2 2" xfId="1027"/>
    <cellStyle name="Comma 5 4 2 3" xfId="770"/>
    <cellStyle name="Comma 5 4 3" xfId="405"/>
    <cellStyle name="Comma 5 4 3 2" xfId="919"/>
    <cellStyle name="Comma 5 4 4" xfId="662"/>
    <cellStyle name="Comma 5 5" xfId="207"/>
    <cellStyle name="Comma 5 5 2" xfId="477"/>
    <cellStyle name="Comma 5 5 2 2" xfId="991"/>
    <cellStyle name="Comma 5 5 3" xfId="734"/>
    <cellStyle name="Comma 5 6" xfId="368"/>
    <cellStyle name="Comma 5 6 2" xfId="882"/>
    <cellStyle name="Comma 5 7" xfId="625"/>
    <cellStyle name="Comma 6" xfId="81"/>
    <cellStyle name="Comma 6 2" xfId="104"/>
    <cellStyle name="Comma 6 2 2" xfId="182"/>
    <cellStyle name="Comma 6 2 2 2" xfId="304"/>
    <cellStyle name="Comma 6 2 3" xfId="143"/>
    <cellStyle name="Comma 6 2 3 2" xfId="265"/>
    <cellStyle name="Comma 6 2 4" xfId="226"/>
    <cellStyle name="Comma 6 3" xfId="162"/>
    <cellStyle name="Comma 6 3 2" xfId="284"/>
    <cellStyle name="Comma 6 4" xfId="124"/>
    <cellStyle name="Comma 6 4 2" xfId="246"/>
    <cellStyle name="Comma 6 5" xfId="206"/>
    <cellStyle name="Comma 7" xfId="95"/>
    <cellStyle name="Comma 7 2" xfId="173"/>
    <cellStyle name="Comma 7 2 2" xfId="295"/>
    <cellStyle name="Comma 7 2 2 2" xfId="558"/>
    <cellStyle name="Comma 7 2 2 2 2" xfId="1072"/>
    <cellStyle name="Comma 7 2 2 3" xfId="815"/>
    <cellStyle name="Comma 7 2 3" xfId="450"/>
    <cellStyle name="Comma 7 2 3 2" xfId="964"/>
    <cellStyle name="Comma 7 2 4" xfId="707"/>
    <cellStyle name="Comma 7 3" xfId="134"/>
    <cellStyle name="Comma 7 3 2" xfId="256"/>
    <cellStyle name="Comma 7 3 2 2" xfId="522"/>
    <cellStyle name="Comma 7 3 2 2 2" xfId="1036"/>
    <cellStyle name="Comma 7 3 2 3" xfId="779"/>
    <cellStyle name="Comma 7 3 3" xfId="414"/>
    <cellStyle name="Comma 7 3 3 2" xfId="928"/>
    <cellStyle name="Comma 7 3 4" xfId="671"/>
    <cellStyle name="Comma 7 4" xfId="217"/>
    <cellStyle name="Comma 7 4 2" xfId="486"/>
    <cellStyle name="Comma 7 4 2 2" xfId="1000"/>
    <cellStyle name="Comma 7 4 3" xfId="743"/>
    <cellStyle name="Comma 7 5" xfId="378"/>
    <cellStyle name="Comma 7 5 2" xfId="892"/>
    <cellStyle name="Comma 7 6" xfId="635"/>
    <cellStyle name="Comma 8" xfId="153"/>
    <cellStyle name="Comma 8 2" xfId="275"/>
    <cellStyle name="Comma 8 2 2" xfId="540"/>
    <cellStyle name="Comma 8 2 2 2" xfId="1054"/>
    <cellStyle name="Comma 8 2 3" xfId="797"/>
    <cellStyle name="Comma 8 3" xfId="432"/>
    <cellStyle name="Comma 8 3 2" xfId="946"/>
    <cellStyle name="Comma 8 4" xfId="689"/>
    <cellStyle name="Comma 9" xfId="115"/>
    <cellStyle name="Comma 9 2" xfId="237"/>
    <cellStyle name="Comma 9 2 2" xfId="504"/>
    <cellStyle name="Comma 9 2 2 2" xfId="1018"/>
    <cellStyle name="Comma 9 2 3" xfId="761"/>
    <cellStyle name="Comma 9 3" xfId="396"/>
    <cellStyle name="Comma 9 3 2" xfId="910"/>
    <cellStyle name="Comma 9 4" xfId="65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3" xfId="843"/>
    <cellStyle name="Normal 2 2 2 2 3" xfId="352"/>
    <cellStyle name="Normal 2 2 2 2 3 2" xfId="866"/>
    <cellStyle name="Normal 2 2 2 2 4" xfId="609"/>
    <cellStyle name="Normal 2 2 2 3" xfId="321"/>
    <cellStyle name="Normal 2 2 2 3 2" xfId="578"/>
    <cellStyle name="Normal 2 2 2 3 2 2" xfId="1092"/>
    <cellStyle name="Normal 2 2 2 3 3" xfId="835"/>
    <cellStyle name="Normal 2 2 2 4" xfId="339"/>
    <cellStyle name="Normal 2 2 2 4 2" xfId="853"/>
    <cellStyle name="Normal 2 2 2 5" xfId="596"/>
    <cellStyle name="Normal 2 2 3" xfId="60"/>
    <cellStyle name="Normal 2 2 3 2" xfId="326"/>
    <cellStyle name="Normal 2 2 3 2 2" xfId="583"/>
    <cellStyle name="Normal 2 2 3 2 2 2" xfId="1097"/>
    <cellStyle name="Normal 2 2 3 2 3" xfId="840"/>
    <cellStyle name="Normal 2 2 3 3" xfId="347"/>
    <cellStyle name="Normal 2 2 3 3 2" xfId="861"/>
    <cellStyle name="Normal 2 2 3 4" xfId="604"/>
    <cellStyle name="Normal 2 2 4" xfId="83"/>
    <cellStyle name="Normal 2 2 4 2" xfId="367"/>
    <cellStyle name="Normal 2 2 4 2 2" xfId="881"/>
    <cellStyle name="Normal 2 2 4 3" xfId="624"/>
    <cellStyle name="Normal 2 2 5" xfId="334"/>
    <cellStyle name="Normal 2 2 5 2" xfId="848"/>
    <cellStyle name="Normal 2 2 6" xfId="591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3" xfId="842"/>
    <cellStyle name="Normal 2 3 2 3" xfId="350"/>
    <cellStyle name="Normal 2 3 2 3 2" xfId="864"/>
    <cellStyle name="Normal 2 3 2 4" xfId="607"/>
    <cellStyle name="Normal 2 3 3" xfId="320"/>
    <cellStyle name="Normal 2 3 3 2" xfId="577"/>
    <cellStyle name="Normal 2 3 3 2 2" xfId="1091"/>
    <cellStyle name="Normal 2 3 3 3" xfId="834"/>
    <cellStyle name="Normal 2 3 4" xfId="337"/>
    <cellStyle name="Normal 2 3 4 2" xfId="851"/>
    <cellStyle name="Normal 2 3 5" xfId="594"/>
    <cellStyle name="Normal 2 4" xfId="58"/>
    <cellStyle name="Normal 2 4 2" xfId="325"/>
    <cellStyle name="Normal 2 4 2 2" xfId="582"/>
    <cellStyle name="Normal 2 4 2 2 2" xfId="1096"/>
    <cellStyle name="Normal 2 4 2 3" xfId="839"/>
    <cellStyle name="Normal 2 4 3" xfId="345"/>
    <cellStyle name="Normal 2 4 3 2" xfId="859"/>
    <cellStyle name="Normal 2 4 4" xfId="602"/>
    <cellStyle name="Normal 2 5" xfId="80"/>
    <cellStyle name="Normal 2 6" xfId="332"/>
    <cellStyle name="Normal 2 6 2" xfId="846"/>
    <cellStyle name="Normal 2 7" xfId="589"/>
    <cellStyle name="Normal 3" xfId="4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3" xfId="844"/>
    <cellStyle name="Normal 3 2 2 6" xfId="354"/>
    <cellStyle name="Normal 3 2 2 6 2" xfId="868"/>
    <cellStyle name="Normal 3 2 2 7" xfId="611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3" xfId="836"/>
    <cellStyle name="Normal 3 2 7" xfId="341"/>
    <cellStyle name="Normal 3 2 7 2" xfId="855"/>
    <cellStyle name="Normal 3 2 8" xfId="598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3" xfId="841"/>
    <cellStyle name="Normal 3 3 6" xfId="349"/>
    <cellStyle name="Normal 3 3 6 2" xfId="863"/>
    <cellStyle name="Normal 3 3 7" xfId="606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3" xfId="833"/>
    <cellStyle name="Normal 3 8" xfId="336"/>
    <cellStyle name="Normal 3 8 2" xfId="850"/>
    <cellStyle name="Normal 3 9" xfId="593"/>
    <cellStyle name="Normal 4" xfId="55"/>
    <cellStyle name="Normal 4 2" xfId="68"/>
    <cellStyle name="Normal 4 2 2" xfId="331"/>
    <cellStyle name="Normal 4 2 2 2" xfId="588"/>
    <cellStyle name="Normal 4 2 2 2 2" xfId="1102"/>
    <cellStyle name="Normal 4 2 2 3" xfId="845"/>
    <cellStyle name="Normal 4 2 3" xfId="355"/>
    <cellStyle name="Normal 4 2 3 2" xfId="869"/>
    <cellStyle name="Normal 4 2 4" xfId="612"/>
    <cellStyle name="Normal 4 3" xfId="323"/>
    <cellStyle name="Normal 4 3 2" xfId="580"/>
    <cellStyle name="Normal 4 3 2 2" xfId="1094"/>
    <cellStyle name="Normal 4 3 3" xfId="837"/>
    <cellStyle name="Normal 4 4" xfId="342"/>
    <cellStyle name="Normal 4 4 2" xfId="856"/>
    <cellStyle name="Normal 4 5" xfId="599"/>
    <cellStyle name="Normal 5" xfId="56"/>
    <cellStyle name="Normal 5 2" xfId="324"/>
    <cellStyle name="Normal 5 2 2" xfId="581"/>
    <cellStyle name="Normal 5 2 2 2" xfId="1095"/>
    <cellStyle name="Normal 5 2 3" xfId="838"/>
    <cellStyle name="Normal 5 3" xfId="343"/>
    <cellStyle name="Normal 5 3 2" xfId="857"/>
    <cellStyle name="Normal 5 4" xfId="600"/>
    <cellStyle name="Normal 6" xfId="69"/>
    <cellStyle name="Normal 6 2" xfId="356"/>
    <cellStyle name="Normal 6 2 2" xfId="870"/>
    <cellStyle name="Normal 6 3" xfId="613"/>
    <cellStyle name="Normal 7" xfId="1103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3" xfId="626"/>
    <cellStyle name="Percent 3" xfId="82"/>
    <cellStyle name="Percent 4" xfId="71"/>
    <cellStyle name="Percent 4 2" xfId="358"/>
    <cellStyle name="Percent 4 2 2" xfId="872"/>
    <cellStyle name="Percent 4 3" xfId="615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1028699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showGridLines="0" tabSelected="1" zoomScaleNormal="100" workbookViewId="0">
      <selection activeCell="K19" sqref="K19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6.42578125" style="10" customWidth="1"/>
    <col min="4" max="4" width="13.28515625" style="10" customWidth="1"/>
    <col min="5" max="5" width="10.7109375" style="10" customWidth="1"/>
    <col min="6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8" bestFit="1" customWidth="1"/>
    <col min="12" max="12" width="17.140625" style="178" customWidth="1"/>
    <col min="13" max="16384" width="9.140625" style="10"/>
  </cols>
  <sheetData>
    <row r="3" spans="1:12" x14ac:dyDescent="0.2">
      <c r="H3" s="126">
        <v>42916</v>
      </c>
    </row>
    <row r="7" spans="1:12" x14ac:dyDescent="0.2">
      <c r="A7" s="107" t="str">
        <f>"Market Profile - "&amp; TEXT($H$3,"MMM")&amp;" "&amp;TEXT($H$3,"YYYY")</f>
        <v>Market Profile - Jun 2017</v>
      </c>
    </row>
    <row r="8" spans="1:12" x14ac:dyDescent="0.2">
      <c r="A8" s="107"/>
      <c r="G8" s="368" t="s">
        <v>199</v>
      </c>
      <c r="H8" s="368"/>
      <c r="I8" s="368"/>
    </row>
    <row r="9" spans="1:12" x14ac:dyDescent="0.2">
      <c r="A9" s="107"/>
      <c r="G9" s="368"/>
      <c r="H9" s="368"/>
      <c r="I9" s="368"/>
    </row>
    <row r="10" spans="1:12" x14ac:dyDescent="0.2">
      <c r="A10" s="107"/>
    </row>
    <row r="11" spans="1:12" x14ac:dyDescent="0.2">
      <c r="K11" s="174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84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384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385"/>
      <c r="B15" s="282" t="str">
        <f>TEXT($H$3,"MMM")&amp;" "&amp;TEXT($H$3,"YYYY")</f>
        <v>Jun 2017</v>
      </c>
      <c r="C15" s="282" t="str">
        <f>TEXT($H$3,"YYYY")</f>
        <v>2017</v>
      </c>
      <c r="D15" s="283">
        <f>TEXT($H$3,"YYYY")-1</f>
        <v>2016</v>
      </c>
      <c r="E15" s="284" t="s">
        <v>6</v>
      </c>
      <c r="F15" s="285">
        <f>TEXT($H$3,"YYYY")-1</f>
        <v>2016</v>
      </c>
      <c r="G15" s="285">
        <f>TEXT($H$3,"YYYY")-2</f>
        <v>2015</v>
      </c>
      <c r="H15" s="285">
        <f>TEXT($H$3,"YYYY")-3</f>
        <v>2014</v>
      </c>
      <c r="I15" s="285">
        <f>TEXT($H$3,"YYYY")-4</f>
        <v>2013</v>
      </c>
      <c r="J15" s="16"/>
      <c r="K15" s="172"/>
      <c r="L15" s="172"/>
    </row>
    <row r="16" spans="1:12" ht="12.75" customHeight="1" x14ac:dyDescent="0.2">
      <c r="A16" s="248" t="s">
        <v>117</v>
      </c>
      <c r="B16" s="127">
        <f>Data!D2</f>
        <v>6545801</v>
      </c>
      <c r="C16" s="127">
        <f>Data!D5</f>
        <v>35521437</v>
      </c>
      <c r="D16" s="249">
        <f>Data!D8</f>
        <v>34204012</v>
      </c>
      <c r="E16" s="286">
        <f>(C16-D16)/ABS(D16)</f>
        <v>3.8516680440879275E-2</v>
      </c>
      <c r="F16" s="361">
        <v>71179762</v>
      </c>
      <c r="G16" s="361">
        <v>61894253</v>
      </c>
      <c r="H16" s="361">
        <v>46298171</v>
      </c>
      <c r="I16" s="361">
        <v>38964070</v>
      </c>
      <c r="J16" s="3"/>
      <c r="K16" s="171"/>
      <c r="L16" s="171"/>
    </row>
    <row r="17" spans="1:12" ht="12.75" customHeight="1" x14ac:dyDescent="0.2">
      <c r="A17" s="248" t="s">
        <v>118</v>
      </c>
      <c r="B17" s="127">
        <f>Data!B2/1000000</f>
        <v>7799.3262510000004</v>
      </c>
      <c r="C17" s="127">
        <f>Data!B5/1000000</f>
        <v>39817.320716000002</v>
      </c>
      <c r="D17" s="249">
        <f>Data!B8/1000000</f>
        <v>40809.206918999997</v>
      </c>
      <c r="E17" s="286">
        <f t="shared" ref="E17:E18" si="0">(C17-D17)/ABS(D17)</f>
        <v>-2.4305451585195866E-2</v>
      </c>
      <c r="F17" s="361">
        <v>79501</v>
      </c>
      <c r="G17" s="361">
        <v>74406</v>
      </c>
      <c r="H17" s="361">
        <v>61735</v>
      </c>
      <c r="I17" s="361">
        <v>63892</v>
      </c>
      <c r="J17" s="3"/>
      <c r="K17" s="171"/>
      <c r="L17" s="171"/>
    </row>
    <row r="18" spans="1:12" ht="12.75" customHeight="1" x14ac:dyDescent="0.2">
      <c r="A18" s="248" t="s">
        <v>119</v>
      </c>
      <c r="B18" s="127">
        <f>Data!C2/1000000</f>
        <v>524817.42651126569</v>
      </c>
      <c r="C18" s="127">
        <f>Data!C5/1000000</f>
        <v>2602429.0273472457</v>
      </c>
      <c r="D18" s="249">
        <f>Data!C8/1000000</f>
        <v>3040922.2322342787</v>
      </c>
      <c r="E18" s="286">
        <f t="shared" si="0"/>
        <v>-0.14419744123638956</v>
      </c>
      <c r="F18" s="361">
        <v>5892768</v>
      </c>
      <c r="G18" s="361">
        <v>5015419</v>
      </c>
      <c r="H18" s="361">
        <v>4050044</v>
      </c>
      <c r="I18" s="361">
        <v>3981618</v>
      </c>
      <c r="J18" s="3"/>
      <c r="K18" s="174"/>
      <c r="L18" s="171"/>
    </row>
    <row r="19" spans="1:12" ht="12.75" customHeight="1" x14ac:dyDescent="0.2">
      <c r="A19" s="248"/>
      <c r="B19" s="203"/>
      <c r="C19" s="127"/>
      <c r="D19" s="249"/>
      <c r="E19" s="248"/>
      <c r="F19" s="361"/>
      <c r="G19" s="361"/>
      <c r="H19" s="361"/>
      <c r="I19" s="361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1"/>
      <c r="G20" s="361"/>
      <c r="H20" s="362"/>
      <c r="I20" s="362"/>
      <c r="J20" s="3"/>
      <c r="K20" s="171"/>
      <c r="L20" s="171"/>
    </row>
    <row r="21" spans="1:12" ht="12.75" customHeight="1" x14ac:dyDescent="0.2">
      <c r="A21" s="248" t="s">
        <v>117</v>
      </c>
      <c r="B21" s="127">
        <f>Data!F2</f>
        <v>3137</v>
      </c>
      <c r="C21" s="127">
        <f>Data!F5</f>
        <v>17453</v>
      </c>
      <c r="D21" s="249">
        <f>Data!F8</f>
        <v>18476</v>
      </c>
      <c r="E21" s="286">
        <f>(C21-D21)/ABS(D21)</f>
        <v>-5.5369127516778527E-2</v>
      </c>
      <c r="F21" s="361">
        <v>38735</v>
      </c>
      <c r="G21" s="361">
        <v>30897</v>
      </c>
      <c r="H21" s="361">
        <v>30062</v>
      </c>
      <c r="I21" s="361">
        <v>103715</v>
      </c>
      <c r="J21" s="3"/>
      <c r="K21" s="171"/>
      <c r="L21" s="171"/>
    </row>
    <row r="22" spans="1:12" ht="12.75" customHeight="1" x14ac:dyDescent="0.2">
      <c r="A22" s="248" t="s">
        <v>118</v>
      </c>
      <c r="B22" s="127">
        <f>Data!G2/1000000</f>
        <v>813.08406100000002</v>
      </c>
      <c r="C22" s="127">
        <f>Data!G5/1000000</f>
        <v>3521.5321709999998</v>
      </c>
      <c r="D22" s="249">
        <f>Data!G8/1000000</f>
        <v>3184.1754350000001</v>
      </c>
      <c r="E22" s="286">
        <f t="shared" ref="E22:E23" si="1">(C22-D22)/ABS(D22)</f>
        <v>0.10594791112695075</v>
      </c>
      <c r="F22" s="361">
        <v>6935</v>
      </c>
      <c r="G22" s="361">
        <v>7273</v>
      </c>
      <c r="H22" s="361">
        <v>6833</v>
      </c>
      <c r="I22" s="361">
        <v>10908</v>
      </c>
      <c r="J22" s="3"/>
      <c r="K22" s="171"/>
      <c r="L22" s="171"/>
    </row>
    <row r="23" spans="1:12" ht="12.75" customHeight="1" thickBot="1" x14ac:dyDescent="0.25">
      <c r="A23" s="289" t="s">
        <v>119</v>
      </c>
      <c r="B23" s="128">
        <f>Data!H2/1000000</f>
        <v>48597.820090910674</v>
      </c>
      <c r="C23" s="128">
        <f>Data!H5/1000000</f>
        <v>164106.01402467056</v>
      </c>
      <c r="D23" s="290">
        <f>Data!H8/1000000</f>
        <v>199605.95762250884</v>
      </c>
      <c r="E23" s="291">
        <f t="shared" si="1"/>
        <v>-0.17785012041060985</v>
      </c>
      <c r="F23" s="292">
        <v>379199</v>
      </c>
      <c r="G23" s="292">
        <v>336258</v>
      </c>
      <c r="H23" s="292">
        <v>294652</v>
      </c>
      <c r="I23" s="292">
        <v>648244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3"/>
      <c r="H26" s="281"/>
      <c r="I26" s="281"/>
      <c r="K26" s="172"/>
      <c r="L26" s="172"/>
    </row>
    <row r="27" spans="1:12" s="107" customFormat="1" ht="12.75" customHeight="1" x14ac:dyDescent="0.25">
      <c r="A27" s="294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5"/>
      <c r="B28" s="282" t="str">
        <f>TEXT($H$3,"MMM")&amp;" "&amp;TEXT($H$3,"YYYY")</f>
        <v>Jun 2017</v>
      </c>
      <c r="C28" s="282" t="str">
        <f>$C$15</f>
        <v>2017</v>
      </c>
      <c r="D28" s="282">
        <f>$D$15</f>
        <v>2016</v>
      </c>
      <c r="E28" s="284" t="s">
        <v>6</v>
      </c>
      <c r="F28" s="284">
        <f>$F$15</f>
        <v>2016</v>
      </c>
      <c r="G28" s="295">
        <f>$G$15</f>
        <v>2015</v>
      </c>
      <c r="H28" s="295">
        <f>$H$15</f>
        <v>2014</v>
      </c>
      <c r="I28" s="295">
        <f>$I$15</f>
        <v>2013</v>
      </c>
      <c r="K28" s="172"/>
      <c r="L28" s="172"/>
    </row>
    <row r="29" spans="1:12" ht="12.75" customHeight="1" x14ac:dyDescent="0.2">
      <c r="A29" s="248" t="s">
        <v>10</v>
      </c>
      <c r="B29" s="249">
        <f>Data!O2/1000000</f>
        <v>93462.923197479991</v>
      </c>
      <c r="C29" s="249">
        <f>Data!O5/1000000</f>
        <v>441431.75244795001</v>
      </c>
      <c r="D29" s="249">
        <f>Data!O8/1000000</f>
        <v>538355.65349154</v>
      </c>
      <c r="E29" s="195">
        <f>C29-D29</f>
        <v>-96923.901043589984</v>
      </c>
      <c r="F29" s="249">
        <v>1010947</v>
      </c>
      <c r="G29" s="249">
        <v>969468</v>
      </c>
      <c r="H29" s="296">
        <v>784579</v>
      </c>
      <c r="I29" s="296">
        <v>645668</v>
      </c>
      <c r="J29" s="129"/>
    </row>
    <row r="30" spans="1:12" ht="12.75" customHeight="1" x14ac:dyDescent="0.2">
      <c r="A30" s="248" t="s">
        <v>11</v>
      </c>
      <c r="B30" s="249">
        <f>Data!P2/1000000</f>
        <v>-112566.55058985999</v>
      </c>
      <c r="C30" s="249">
        <f>Data!P5/1000000</f>
        <v>-515539.63480021997</v>
      </c>
      <c r="D30" s="249">
        <f>Data!P8/1000000</f>
        <v>-615347.78758325998</v>
      </c>
      <c r="E30" s="195">
        <f>C30-D30</f>
        <v>99808.152783040015</v>
      </c>
      <c r="F30" s="249">
        <v>-1134812</v>
      </c>
      <c r="G30" s="249">
        <v>-970485</v>
      </c>
      <c r="H30" s="296">
        <v>-771216</v>
      </c>
      <c r="I30" s="296">
        <v>-645833</v>
      </c>
      <c r="J30" s="129"/>
    </row>
    <row r="31" spans="1:12" s="107" customFormat="1" ht="12.75" customHeight="1" thickBot="1" x14ac:dyDescent="0.3">
      <c r="A31" s="297" t="s">
        <v>12</v>
      </c>
      <c r="B31" s="298">
        <f>Data!Q2/1000000</f>
        <v>-19103.62739238</v>
      </c>
      <c r="C31" s="298">
        <f>Data!Q5/1000000</f>
        <v>-74107.882352270011</v>
      </c>
      <c r="D31" s="298">
        <f>Data!Q8/1000000</f>
        <v>-76992.13409172</v>
      </c>
      <c r="E31" s="299">
        <f>C31-D31</f>
        <v>2884.2517394499882</v>
      </c>
      <c r="F31" s="298">
        <v>-123865</v>
      </c>
      <c r="G31" s="298">
        <v>-1017</v>
      </c>
      <c r="H31" s="298">
        <v>13363</v>
      </c>
      <c r="I31" s="298">
        <v>-165</v>
      </c>
      <c r="J31" s="129"/>
      <c r="K31" s="172"/>
      <c r="L31" s="172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300"/>
      <c r="B34" s="280" t="s">
        <v>1</v>
      </c>
      <c r="C34" s="280" t="s">
        <v>179</v>
      </c>
      <c r="D34" s="280" t="s">
        <v>179</v>
      </c>
      <c r="E34" s="301" t="s">
        <v>2</v>
      </c>
      <c r="F34" s="301"/>
      <c r="G34" s="293"/>
      <c r="H34" s="301"/>
      <c r="I34" s="300"/>
      <c r="K34" s="171"/>
      <c r="L34" s="172"/>
    </row>
    <row r="35" spans="1:14" s="107" customFormat="1" ht="12.75" customHeight="1" x14ac:dyDescent="0.25">
      <c r="A35" s="300"/>
      <c r="B35" s="280" t="s">
        <v>3</v>
      </c>
      <c r="C35" s="280" t="s">
        <v>4</v>
      </c>
      <c r="D35" s="280" t="s">
        <v>4</v>
      </c>
      <c r="E35" s="301" t="s">
        <v>5</v>
      </c>
      <c r="F35" s="280"/>
      <c r="G35" s="293"/>
      <c r="H35" s="301"/>
      <c r="I35" s="300"/>
      <c r="K35" s="171"/>
      <c r="L35" s="172"/>
    </row>
    <row r="36" spans="1:14" s="107" customFormat="1" ht="12.75" customHeight="1" thickBot="1" x14ac:dyDescent="0.3">
      <c r="A36" s="302"/>
      <c r="B36" s="282" t="str">
        <f>TEXT($H$3,"MMM")&amp;" "&amp;TEXT($H$3,"YYYY")</f>
        <v>Jun 2017</v>
      </c>
      <c r="C36" s="282" t="str">
        <f>$C$15</f>
        <v>2017</v>
      </c>
      <c r="D36" s="282">
        <f>$D$15</f>
        <v>2016</v>
      </c>
      <c r="E36" s="284" t="s">
        <v>6</v>
      </c>
      <c r="F36" s="284">
        <f>$F$15</f>
        <v>2016</v>
      </c>
      <c r="G36" s="295">
        <f>$G$15</f>
        <v>2015</v>
      </c>
      <c r="H36" s="295">
        <f>$H$15</f>
        <v>2014</v>
      </c>
      <c r="I36" s="295">
        <f>$I$15</f>
        <v>2013</v>
      </c>
      <c r="K36" s="173"/>
      <c r="L36" s="178"/>
    </row>
    <row r="37" spans="1:14" ht="12.75" customHeight="1" x14ac:dyDescent="0.25">
      <c r="A37" s="303" t="s">
        <v>150</v>
      </c>
      <c r="B37" s="304"/>
      <c r="C37" s="304"/>
      <c r="D37" s="304"/>
      <c r="E37" s="303"/>
      <c r="F37" s="303"/>
      <c r="G37" s="287"/>
      <c r="H37" s="303"/>
      <c r="I37" s="303"/>
      <c r="K37" s="171"/>
      <c r="M37" s="19"/>
      <c r="N37" s="19"/>
    </row>
    <row r="38" spans="1:14" ht="12.75" customHeight="1" x14ac:dyDescent="0.2">
      <c r="A38" s="305" t="s">
        <v>117</v>
      </c>
      <c r="B38" s="287">
        <f>Data!CK1</f>
        <v>24491</v>
      </c>
      <c r="C38" s="287">
        <f>Data!CK6</f>
        <v>139305</v>
      </c>
      <c r="D38" s="287">
        <f>Data!CK11</f>
        <v>147655</v>
      </c>
      <c r="E38" s="286">
        <f t="shared" ref="E38:E40" si="2">IFERROR(IF(OR(AND(D38="",C38=""),AND(D38=0,C38=0)),"",
IF(OR(D38="",D38=0),1,
IF(OR(D38&lt;&gt;"",D38&lt;&gt;0),(C38-D38)/ABS(D38)))),-1)</f>
        <v>-5.6550743286715652E-2</v>
      </c>
      <c r="F38" s="361">
        <v>283127</v>
      </c>
      <c r="G38" s="361">
        <v>290607</v>
      </c>
      <c r="H38" s="361">
        <v>240900</v>
      </c>
      <c r="I38" s="361">
        <v>248016</v>
      </c>
      <c r="J38" s="29"/>
      <c r="K38" s="171"/>
      <c r="M38" s="19"/>
      <c r="N38" s="19"/>
    </row>
    <row r="39" spans="1:14" ht="12.75" customHeight="1" x14ac:dyDescent="0.2">
      <c r="A39" s="305" t="s">
        <v>151</v>
      </c>
      <c r="B39" s="287">
        <f>Data!CK2/1000000</f>
        <v>643537.90493800002</v>
      </c>
      <c r="C39" s="287">
        <f>Data!CK7/1000000</f>
        <v>3587171.6660549999</v>
      </c>
      <c r="D39" s="287">
        <f>Data!CK12/1000000</f>
        <v>3788618.0326769999</v>
      </c>
      <c r="E39" s="286">
        <f t="shared" si="2"/>
        <v>-5.3171463812006402E-2</v>
      </c>
      <c r="F39" s="361">
        <v>7321629</v>
      </c>
      <c r="G39" s="361">
        <v>6653964</v>
      </c>
      <c r="H39" s="361">
        <v>5413031</v>
      </c>
      <c r="I39" s="361">
        <v>5515590</v>
      </c>
      <c r="J39" s="27"/>
      <c r="K39" s="171"/>
    </row>
    <row r="40" spans="1:14" ht="12.75" customHeight="1" x14ac:dyDescent="0.2">
      <c r="A40" s="305" t="s">
        <v>152</v>
      </c>
      <c r="B40" s="287">
        <f>Data!CK3/1000000</f>
        <v>671287.36192114023</v>
      </c>
      <c r="C40" s="287">
        <f>Data!CK8/1000000</f>
        <v>3807273.3352243742</v>
      </c>
      <c r="D40" s="287">
        <f>Data!CK13/1000000</f>
        <v>3862004.4956722381</v>
      </c>
      <c r="E40" s="286">
        <f t="shared" si="2"/>
        <v>-1.4171697756746683E-2</v>
      </c>
      <c r="F40" s="361">
        <v>7580050</v>
      </c>
      <c r="G40" s="361">
        <v>7166248</v>
      </c>
      <c r="H40" s="361">
        <v>5777503</v>
      </c>
      <c r="I40" s="361">
        <v>6140455</v>
      </c>
      <c r="J40" s="29"/>
      <c r="L40" s="176"/>
    </row>
    <row r="41" spans="1:14" ht="12.75" customHeight="1" x14ac:dyDescent="0.2">
      <c r="A41" s="305"/>
      <c r="B41" s="249"/>
      <c r="C41" s="306"/>
      <c r="D41" s="306"/>
      <c r="E41" s="184"/>
      <c r="F41" s="361"/>
      <c r="G41" s="361"/>
      <c r="H41" s="361"/>
      <c r="I41" s="306"/>
      <c r="M41" s="19"/>
      <c r="N41" s="19"/>
    </row>
    <row r="42" spans="1:14" s="107" customFormat="1" ht="12.75" customHeight="1" x14ac:dyDescent="0.25">
      <c r="A42" s="303" t="s">
        <v>153</v>
      </c>
      <c r="B42" s="287"/>
      <c r="C42" s="287"/>
      <c r="D42" s="287"/>
      <c r="E42" s="184"/>
      <c r="F42" s="361"/>
      <c r="G42" s="361"/>
      <c r="H42" s="307"/>
      <c r="I42" s="307"/>
      <c r="K42" s="172"/>
      <c r="L42" s="172"/>
      <c r="M42" s="16"/>
      <c r="N42" s="16"/>
    </row>
    <row r="43" spans="1:14" ht="12.75" customHeight="1" x14ac:dyDescent="0.2">
      <c r="A43" s="305" t="s">
        <v>117</v>
      </c>
      <c r="B43" s="287">
        <f>Data!CN1</f>
        <v>13156</v>
      </c>
      <c r="C43" s="287">
        <f>Data!CN6</f>
        <v>75015</v>
      </c>
      <c r="D43" s="287">
        <f>Data!CN11</f>
        <v>88808</v>
      </c>
      <c r="E43" s="286">
        <f t="shared" ref="E43:E45" si="3">IFERROR(IF(OR(AND(D43="",C43=""),AND(D43=0,C43=0)),"",
IF(OR(D43="",D43=0),1,
IF(OR(D43&lt;&gt;"",D43&lt;&gt;0),(C43-D43)/ABS(D43)))),-1)</f>
        <v>-0.15531258445185117</v>
      </c>
      <c r="F43" s="361">
        <v>170507</v>
      </c>
      <c r="G43" s="361">
        <v>157998</v>
      </c>
      <c r="H43" s="361">
        <v>137284</v>
      </c>
      <c r="I43" s="361">
        <v>146100</v>
      </c>
      <c r="J43" s="27"/>
      <c r="L43" s="172"/>
      <c r="M43" s="19"/>
      <c r="N43" s="19"/>
    </row>
    <row r="44" spans="1:14" ht="12.75" customHeight="1" x14ac:dyDescent="0.2">
      <c r="A44" s="305" t="s">
        <v>154</v>
      </c>
      <c r="B44" s="287">
        <f>Data!CN2/1000000</f>
        <v>1679022.1431859999</v>
      </c>
      <c r="C44" s="287">
        <f>Data!CN7/1000000</f>
        <v>9500364.2421940006</v>
      </c>
      <c r="D44" s="287">
        <f>Data!CN12/1000000</f>
        <v>10974008.775327999</v>
      </c>
      <c r="E44" s="286">
        <f t="shared" si="3"/>
        <v>-0.1342849785619889</v>
      </c>
      <c r="F44" s="361">
        <v>19586029</v>
      </c>
      <c r="G44" s="361">
        <v>15650220</v>
      </c>
      <c r="H44" s="361">
        <v>12475495</v>
      </c>
      <c r="I44" s="361">
        <v>13616880</v>
      </c>
      <c r="J44" s="29"/>
      <c r="L44" s="172"/>
    </row>
    <row r="45" spans="1:14" ht="12.75" customHeight="1" x14ac:dyDescent="0.2">
      <c r="A45" s="305" t="s">
        <v>152</v>
      </c>
      <c r="B45" s="287">
        <f>Data!CN3/1000000</f>
        <v>1645682.28470699</v>
      </c>
      <c r="C45" s="287">
        <f>Data!CN8/1000000</f>
        <v>9292382.0115557332</v>
      </c>
      <c r="D45" s="287">
        <f>Data!CN13/1000000</f>
        <v>10599084.315999178</v>
      </c>
      <c r="E45" s="286">
        <f t="shared" si="3"/>
        <v>-0.12328445226829596</v>
      </c>
      <c r="F45" s="361">
        <v>19133372</v>
      </c>
      <c r="G45" s="361">
        <v>16112281</v>
      </c>
      <c r="H45" s="361">
        <v>12958219</v>
      </c>
      <c r="I45" s="361">
        <v>14624272</v>
      </c>
      <c r="J45" s="29"/>
      <c r="L45" s="172"/>
    </row>
    <row r="46" spans="1:14" ht="12.75" customHeight="1" x14ac:dyDescent="0.2">
      <c r="A46" s="305"/>
      <c r="B46" s="249"/>
      <c r="C46" s="306"/>
      <c r="D46" s="306"/>
      <c r="E46" s="184"/>
      <c r="F46" s="361"/>
      <c r="G46" s="361"/>
      <c r="H46" s="361"/>
      <c r="I46" s="361"/>
      <c r="L46" s="172"/>
    </row>
    <row r="47" spans="1:14" ht="12.75" customHeight="1" x14ac:dyDescent="0.25">
      <c r="A47" s="308" t="s">
        <v>160</v>
      </c>
      <c r="B47" s="249"/>
      <c r="C47" s="306"/>
      <c r="D47" s="306"/>
      <c r="E47" s="184"/>
      <c r="F47" s="361"/>
      <c r="G47" s="361"/>
      <c r="H47" s="361"/>
      <c r="I47" s="361"/>
      <c r="J47" s="27"/>
      <c r="L47" s="172"/>
    </row>
    <row r="48" spans="1:14" s="107" customFormat="1" ht="12.75" customHeight="1" x14ac:dyDescent="0.2">
      <c r="A48" s="305" t="s">
        <v>117</v>
      </c>
      <c r="B48" s="127">
        <f>Data!CQ1</f>
        <v>534</v>
      </c>
      <c r="C48" s="127">
        <f>Data!CQ6</f>
        <v>3579</v>
      </c>
      <c r="D48" s="249">
        <f>Data!CQ11</f>
        <v>2913</v>
      </c>
      <c r="E48" s="286">
        <f t="shared" ref="E48:E50" si="4">IFERROR(IF(OR(AND(D48="",C48=""),AND(D48=0,C48=0)),"",
IF(OR(D48="",D48=0),1,
IF(OR(D48&lt;&gt;"",D48&lt;&gt;0),(C48-D48)/ABS(D48)))),-1)</f>
        <v>0.22863027806385169</v>
      </c>
      <c r="F48" s="361">
        <v>7665</v>
      </c>
      <c r="G48" s="361">
        <v>5572</v>
      </c>
      <c r="H48" s="361">
        <v>7734</v>
      </c>
      <c r="I48" s="361">
        <v>7506</v>
      </c>
      <c r="J48" s="27"/>
      <c r="K48" s="172"/>
      <c r="L48" s="176"/>
    </row>
    <row r="49" spans="1:12" s="107" customFormat="1" ht="12.75" customHeight="1" x14ac:dyDescent="0.2">
      <c r="A49" s="305" t="s">
        <v>154</v>
      </c>
      <c r="B49" s="127">
        <f>Data!CQ2/1000000</f>
        <v>30021.154323999999</v>
      </c>
      <c r="C49" s="127">
        <f>Data!CQ7/1000000</f>
        <v>244802.78705899999</v>
      </c>
      <c r="D49" s="249">
        <f>Data!CQ12/1000000</f>
        <v>359530.73762700002</v>
      </c>
      <c r="E49" s="286">
        <f t="shared" si="4"/>
        <v>-0.31910470666634927</v>
      </c>
      <c r="F49" s="361">
        <v>747909</v>
      </c>
      <c r="G49" s="361">
        <v>434632</v>
      </c>
      <c r="H49" s="361">
        <v>895388</v>
      </c>
      <c r="I49" s="361">
        <v>357990</v>
      </c>
      <c r="J49" s="32"/>
      <c r="K49" s="172"/>
      <c r="L49" s="176"/>
    </row>
    <row r="50" spans="1:12" s="107" customFormat="1" ht="12.75" customHeight="1" thickBot="1" x14ac:dyDescent="0.25">
      <c r="A50" s="309" t="s">
        <v>152</v>
      </c>
      <c r="B50" s="128">
        <f>Data!CQ3/1000000</f>
        <v>5922.4625631799991</v>
      </c>
      <c r="C50" s="128">
        <f>Data!CQ8/1000000</f>
        <v>68129.800443930013</v>
      </c>
      <c r="D50" s="290">
        <f>Data!CQ13/1000000</f>
        <v>175654.03146882</v>
      </c>
      <c r="E50" s="291">
        <f t="shared" si="4"/>
        <v>-0.61213642593780382</v>
      </c>
      <c r="F50" s="292">
        <v>370548</v>
      </c>
      <c r="G50" s="292">
        <v>240709</v>
      </c>
      <c r="H50" s="292">
        <v>803782</v>
      </c>
      <c r="I50" s="292">
        <v>323288</v>
      </c>
      <c r="J50" s="32"/>
      <c r="K50" s="16"/>
      <c r="L50" s="176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300"/>
      <c r="B54" s="280" t="s">
        <v>1</v>
      </c>
      <c r="C54" s="280" t="s">
        <v>179</v>
      </c>
      <c r="D54" s="280" t="s">
        <v>179</v>
      </c>
      <c r="E54" s="301" t="s">
        <v>8</v>
      </c>
      <c r="F54" s="310"/>
      <c r="G54" s="293"/>
      <c r="H54" s="300"/>
      <c r="I54" s="300"/>
      <c r="J54" s="30"/>
    </row>
    <row r="55" spans="1:12" ht="12.75" customHeight="1" x14ac:dyDescent="0.25">
      <c r="A55" s="300"/>
      <c r="B55" s="280" t="s">
        <v>3</v>
      </c>
      <c r="C55" s="280" t="s">
        <v>4</v>
      </c>
      <c r="D55" s="280" t="s">
        <v>4</v>
      </c>
      <c r="E55" s="301" t="s">
        <v>9</v>
      </c>
      <c r="F55" s="310"/>
      <c r="G55" s="293"/>
      <c r="H55" s="300"/>
      <c r="I55" s="300"/>
      <c r="J55" s="30"/>
    </row>
    <row r="56" spans="1:12" ht="12.75" customHeight="1" thickBot="1" x14ac:dyDescent="0.3">
      <c r="A56" s="302"/>
      <c r="B56" s="282" t="str">
        <f>TEXT($H$3,"MMM")&amp;" "&amp;TEXT($H$3,"YYYY")</f>
        <v>Jun 2017</v>
      </c>
      <c r="C56" s="282" t="str">
        <f>$C$15</f>
        <v>2017</v>
      </c>
      <c r="D56" s="282">
        <f>$D$15</f>
        <v>2016</v>
      </c>
      <c r="E56" s="284" t="s">
        <v>6</v>
      </c>
      <c r="F56" s="284">
        <f>$F$15</f>
        <v>2016</v>
      </c>
      <c r="G56" s="295">
        <f>$G$15</f>
        <v>2015</v>
      </c>
      <c r="H56" s="295">
        <f>$H$15</f>
        <v>2014</v>
      </c>
      <c r="I56" s="295">
        <f>$I$15</f>
        <v>2013</v>
      </c>
      <c r="J56" s="107"/>
      <c r="L56" s="176"/>
    </row>
    <row r="57" spans="1:12" ht="12.75" customHeight="1" x14ac:dyDescent="0.2">
      <c r="A57" s="305" t="s">
        <v>157</v>
      </c>
      <c r="B57" s="287">
        <f>(SUMIFS(Data!$CZ$14:$CZ$25,Data!$CU$14:$CU$25,"Standard Trade")+SUMIFS(Data!$CZ$14:$CZ$25,Data!$CU$14:$CU$25,"Standard Trade (Spot)"))/1000000</f>
        <v>85395.728619999994</v>
      </c>
      <c r="C57" s="287">
        <f>(SUMIFS(Data!$CZ$1:$CZ$12,Data!$CU$1:$CU$12,"Standard Trade")+SUMIFS(Data!$CZ$1:$CZ$12,Data!$CU$1:$CU$12,"Standard Trade (Spot)"))/1000000</f>
        <v>490120.37676399999</v>
      </c>
      <c r="D57" s="287">
        <f>(SUMIFS(Data!$CZ$27:$CZ$38,Data!$CU$27:$CU$38,"Standard Trade")+SUMIFS(Data!$CZ$27:$CZ$38,Data!$CU$27:$CU$38,"Standard Trade (Spot)"))/1000000</f>
        <v>514706.16389199998</v>
      </c>
      <c r="E57" s="195">
        <f>C57-D57</f>
        <v>-24585.787127999996</v>
      </c>
      <c r="F57" s="361">
        <v>954436</v>
      </c>
      <c r="G57" s="361">
        <v>821507</v>
      </c>
      <c r="H57" s="306">
        <v>774058</v>
      </c>
      <c r="I57" s="306">
        <v>779778</v>
      </c>
      <c r="J57" s="27"/>
      <c r="L57" s="176"/>
    </row>
    <row r="58" spans="1:12" ht="12.75" customHeight="1" x14ac:dyDescent="0.2">
      <c r="A58" s="305" t="s">
        <v>158</v>
      </c>
      <c r="B58" s="287">
        <f>(SUMIFS(Data!$DC$14:$DC$25,Data!$CU$14:$CU$25,"Standard Trade")+SUMIFS(Data!$DC$14:$DC$25,Data!$CU$14:$CU$25,"Standard Trade (Spot)"))/1000000</f>
        <v>87282.563475999996</v>
      </c>
      <c r="C58" s="287">
        <f>(SUMIFS(Data!$DC$1:$DC$12,Data!$CU$1:$CU$12,"Standard Trade")+SUMIFS(Data!$DC$1:$DC$12,Data!$CU$1:$CU$12,"Standard Trade (Spot)"))/1000000</f>
        <v>446654.53951099998</v>
      </c>
      <c r="D58" s="287">
        <f>(SUMIFS(Data!$DC$27:$DC$38,Data!$CU$27:$CU$38,"Standard Trade")+SUMIFS(Data!$DC$27:$DC$38,Data!$CU$27:$CU$38,"Standard Trade (Spot)"))/1000000</f>
        <v>469522.568462</v>
      </c>
      <c r="E58" s="195">
        <f>C58-D58</f>
        <v>-22868.028951000015</v>
      </c>
      <c r="F58" s="361">
        <v>922129</v>
      </c>
      <c r="G58" s="361">
        <v>820729</v>
      </c>
      <c r="H58" s="306">
        <v>771223</v>
      </c>
      <c r="I58" s="306">
        <v>747292</v>
      </c>
      <c r="J58" s="27"/>
      <c r="L58" s="176"/>
    </row>
    <row r="59" spans="1:12" ht="12.75" customHeight="1" thickBot="1" x14ac:dyDescent="0.3">
      <c r="A59" s="311" t="s">
        <v>12</v>
      </c>
      <c r="B59" s="298">
        <f>B57-B58</f>
        <v>-1886.8348560000013</v>
      </c>
      <c r="C59" s="298">
        <f t="shared" ref="C59" si="5">C57-C58</f>
        <v>43465.837253000005</v>
      </c>
      <c r="D59" s="298">
        <f>D57-D58</f>
        <v>45183.595429999987</v>
      </c>
      <c r="E59" s="298">
        <f>E57-E58</f>
        <v>-1717.7581769999815</v>
      </c>
      <c r="F59" s="298">
        <v>32307</v>
      </c>
      <c r="G59" s="298">
        <v>778</v>
      </c>
      <c r="H59" s="298">
        <v>2835</v>
      </c>
      <c r="I59" s="298">
        <v>32486</v>
      </c>
      <c r="J59" s="33"/>
      <c r="L59" s="176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300"/>
      <c r="B63" s="280" t="s">
        <v>1</v>
      </c>
      <c r="C63" s="280" t="s">
        <v>179</v>
      </c>
      <c r="D63" s="280" t="s">
        <v>179</v>
      </c>
      <c r="E63" s="301" t="s">
        <v>13</v>
      </c>
      <c r="F63" s="310"/>
      <c r="G63" s="293"/>
      <c r="H63" s="300"/>
      <c r="I63" s="300"/>
    </row>
    <row r="64" spans="1:12" ht="15" x14ac:dyDescent="0.25">
      <c r="A64" s="300"/>
      <c r="B64" s="280" t="s">
        <v>3</v>
      </c>
      <c r="C64" s="280" t="s">
        <v>4</v>
      </c>
      <c r="D64" s="280" t="s">
        <v>4</v>
      </c>
      <c r="E64" s="301" t="s">
        <v>9</v>
      </c>
      <c r="F64" s="310"/>
      <c r="G64" s="293"/>
      <c r="H64" s="300"/>
      <c r="I64" s="300"/>
    </row>
    <row r="65" spans="1:12" ht="15.75" thickBot="1" x14ac:dyDescent="0.3">
      <c r="A65" s="302"/>
      <c r="B65" s="282" t="str">
        <f>TEXT($H$3,"MMM")&amp;" "&amp;TEXT($H$3,"YYYY")</f>
        <v>Jun 2017</v>
      </c>
      <c r="C65" s="282">
        <v>2016</v>
      </c>
      <c r="D65" s="282">
        <v>2015</v>
      </c>
      <c r="E65" s="284" t="s">
        <v>6</v>
      </c>
      <c r="F65" s="284">
        <f>$F$15</f>
        <v>2016</v>
      </c>
      <c r="G65" s="295">
        <f>$G$15</f>
        <v>2015</v>
      </c>
      <c r="H65" s="295">
        <f>$H$15</f>
        <v>2014</v>
      </c>
      <c r="I65" s="295">
        <f>$I$15</f>
        <v>2013</v>
      </c>
      <c r="J65" s="24"/>
    </row>
    <row r="66" spans="1:12" ht="15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4.25" x14ac:dyDescent="0.2">
      <c r="A67" s="248" t="s">
        <v>117</v>
      </c>
      <c r="B67" s="127">
        <f>C361</f>
        <v>336662</v>
      </c>
      <c r="C67" s="249">
        <f>Data!BR2</f>
        <v>1589757</v>
      </c>
      <c r="D67" s="249">
        <f>Data!BR8</f>
        <v>1896736</v>
      </c>
      <c r="E67" s="286">
        <f>IFERROR(IF(OR(AND(D67="",C67=""),AND(D67=0,C67=0)),"",
IF(OR(D67="",D67=0),1,
IF(OR(D67&lt;&gt;"",D67&lt;&gt;0),(C67-D67)/ABS(D67)))),-1)</f>
        <v>-0.16184592900646164</v>
      </c>
      <c r="F67" s="361">
        <v>3591024</v>
      </c>
      <c r="G67" s="361">
        <v>3526147</v>
      </c>
      <c r="H67" s="361">
        <v>3167060</v>
      </c>
      <c r="I67" s="313">
        <v>2682897</v>
      </c>
      <c r="J67" s="158"/>
    </row>
    <row r="68" spans="1:12" ht="14.25" x14ac:dyDescent="0.2">
      <c r="A68" s="248" t="s">
        <v>142</v>
      </c>
      <c r="B68" s="127">
        <f>C379/1000</f>
        <v>72169.009000000005</v>
      </c>
      <c r="C68" s="249">
        <f>Data!BQ2</f>
        <v>170849903</v>
      </c>
      <c r="D68" s="249">
        <f>Data!BQ8</f>
        <v>247307074</v>
      </c>
      <c r="E68" s="286">
        <f t="shared" ref="E68:E70" si="6">IFERROR(IF(OR(AND(D68="",C68=""),AND(D68=0,C68=0)),"",
IF(OR(D68="",D68=0),1,
IF(OR(D68&lt;&gt;"",D68&lt;&gt;0),(C68-D68)/ABS(D68)))),-1)</f>
        <v>-0.30915885163883344</v>
      </c>
      <c r="F68" s="361">
        <v>412077</v>
      </c>
      <c r="G68" s="361">
        <v>432277</v>
      </c>
      <c r="H68" s="361">
        <v>210421</v>
      </c>
      <c r="I68" s="361">
        <v>161800</v>
      </c>
      <c r="J68" s="158"/>
    </row>
    <row r="69" spans="1:12" ht="14.25" x14ac:dyDescent="0.2">
      <c r="A69" s="248" t="s">
        <v>143</v>
      </c>
      <c r="B69" s="127">
        <f>C397/1000000</f>
        <v>873.67681223159082</v>
      </c>
      <c r="C69" s="249">
        <f>Data!BP2/1000000000</f>
        <v>2972.5555172366903</v>
      </c>
      <c r="D69" s="249">
        <f>Data!BP8/1000000000</f>
        <v>3625.5061412685445</v>
      </c>
      <c r="E69" s="286">
        <f t="shared" si="6"/>
        <v>-0.18009916370004836</v>
      </c>
      <c r="F69" s="361">
        <v>6894</v>
      </c>
      <c r="G69" s="361">
        <v>6619</v>
      </c>
      <c r="H69" s="361">
        <v>5958</v>
      </c>
      <c r="I69" s="361">
        <v>5029</v>
      </c>
      <c r="J69" s="158"/>
    </row>
    <row r="70" spans="1:12" ht="14.25" x14ac:dyDescent="0.2">
      <c r="A70" s="248" t="s">
        <v>144</v>
      </c>
      <c r="B70" s="127">
        <f>SUM(C408:C414)</f>
        <v>32789331</v>
      </c>
      <c r="C70" s="249">
        <f>B70</f>
        <v>32789331</v>
      </c>
      <c r="D70" s="249">
        <f>Data!BP14</f>
        <v>43222375</v>
      </c>
      <c r="E70" s="286">
        <f t="shared" si="6"/>
        <v>-0.24138062751063541</v>
      </c>
      <c r="F70" s="361">
        <v>40320362</v>
      </c>
      <c r="G70" s="361">
        <v>60646619</v>
      </c>
      <c r="H70" s="361">
        <v>22036181</v>
      </c>
      <c r="I70" s="361">
        <v>13839186</v>
      </c>
      <c r="J70" s="158"/>
    </row>
    <row r="71" spans="1:12" ht="14.25" x14ac:dyDescent="0.2">
      <c r="A71" s="248"/>
      <c r="B71" s="249"/>
      <c r="C71" s="249"/>
      <c r="D71" s="249"/>
      <c r="E71" s="248"/>
      <c r="F71" s="361"/>
      <c r="G71" s="361"/>
      <c r="H71" s="361"/>
      <c r="I71" s="361"/>
      <c r="J71" s="158"/>
    </row>
    <row r="72" spans="1:12" ht="15" x14ac:dyDescent="0.25">
      <c r="A72" s="288" t="s">
        <v>15</v>
      </c>
      <c r="B72" s="249"/>
      <c r="C72" s="250"/>
      <c r="D72" s="250"/>
      <c r="E72" s="288"/>
      <c r="F72" s="362"/>
      <c r="G72" s="361"/>
      <c r="H72" s="361"/>
      <c r="I72" s="361"/>
      <c r="J72" s="160"/>
    </row>
    <row r="73" spans="1:12" ht="14.25" x14ac:dyDescent="0.2">
      <c r="A73" s="248" t="s">
        <v>117</v>
      </c>
      <c r="B73" s="249">
        <f>C368</f>
        <v>2214</v>
      </c>
      <c r="C73" s="249">
        <f>Data!BR5</f>
        <v>15401</v>
      </c>
      <c r="D73" s="249">
        <f>Data!BR11</f>
        <v>9418</v>
      </c>
      <c r="E73" s="286">
        <f t="shared" ref="E73:E76" si="7">IFERROR(IF(OR(AND(D73="",C73=""),AND(D73=0,C73=0)),"",
IF(OR(D73="",D73=0),1,
IF(OR(D73&lt;&gt;"",D73&lt;&gt;0),(C73-D73)/ABS(D73)))),-1)</f>
        <v>0.63527288171586327</v>
      </c>
      <c r="F73" s="361">
        <v>22261</v>
      </c>
      <c r="G73" s="361">
        <v>19921</v>
      </c>
      <c r="H73" s="361">
        <v>20811</v>
      </c>
      <c r="I73" s="361">
        <v>22726</v>
      </c>
      <c r="J73" s="158"/>
      <c r="K73" s="177"/>
      <c r="L73" s="177"/>
    </row>
    <row r="74" spans="1:12" ht="14.25" x14ac:dyDescent="0.2">
      <c r="A74" s="248" t="s">
        <v>142</v>
      </c>
      <c r="B74" s="249">
        <f>C386/1000</f>
        <v>1564.7460000000001</v>
      </c>
      <c r="C74" s="249">
        <f>Data!BQ5/1000</f>
        <v>10616.509</v>
      </c>
      <c r="D74" s="249">
        <f>Data!BQ11/1000</f>
        <v>6977.7470000000003</v>
      </c>
      <c r="E74" s="286">
        <f t="shared" si="7"/>
        <v>0.52148093073595236</v>
      </c>
      <c r="F74" s="361">
        <v>15373</v>
      </c>
      <c r="G74" s="361">
        <v>15764</v>
      </c>
      <c r="H74" s="361">
        <v>41957</v>
      </c>
      <c r="I74" s="361">
        <v>55672</v>
      </c>
      <c r="J74" s="158"/>
      <c r="K74" s="177"/>
      <c r="L74" s="177"/>
    </row>
    <row r="75" spans="1:12" ht="14.25" x14ac:dyDescent="0.2">
      <c r="A75" s="248" t="s">
        <v>145</v>
      </c>
      <c r="B75" s="249">
        <f>C404/1000000</f>
        <v>3.06894643045</v>
      </c>
      <c r="C75" s="249">
        <f>Data!BP5/1000000000</f>
        <v>23.083221442470002</v>
      </c>
      <c r="D75" s="249">
        <f>Data!BP11/1000000000</f>
        <v>21.264862831159999</v>
      </c>
      <c r="E75" s="286">
        <f t="shared" si="7"/>
        <v>8.5510008963966211E-2</v>
      </c>
      <c r="F75" s="361">
        <v>47</v>
      </c>
      <c r="G75" s="361">
        <v>28</v>
      </c>
      <c r="H75" s="361">
        <v>24</v>
      </c>
      <c r="I75" s="361">
        <v>33</v>
      </c>
      <c r="J75" s="158"/>
      <c r="K75" s="177"/>
    </row>
    <row r="76" spans="1:12" ht="14.25" x14ac:dyDescent="0.2">
      <c r="A76" s="248" t="s">
        <v>144</v>
      </c>
      <c r="B76" s="249">
        <f>SUM(C417:C420)</f>
        <v>3112773</v>
      </c>
      <c r="C76" s="249">
        <f>B76</f>
        <v>3112773</v>
      </c>
      <c r="D76" s="249">
        <f>Data!BP17</f>
        <v>2827390</v>
      </c>
      <c r="E76" s="286">
        <f t="shared" si="7"/>
        <v>0.10093513806018979</v>
      </c>
      <c r="F76" s="361">
        <v>2300487</v>
      </c>
      <c r="G76" s="361">
        <v>1541161</v>
      </c>
      <c r="H76" s="361">
        <v>2094483</v>
      </c>
      <c r="I76" s="361">
        <v>2072619</v>
      </c>
      <c r="J76" s="158"/>
    </row>
    <row r="77" spans="1:12" x14ac:dyDescent="0.2">
      <c r="C77" s="157"/>
      <c r="D77" s="157"/>
      <c r="E77" s="157"/>
      <c r="F77" s="157"/>
      <c r="G77" s="157"/>
      <c r="H77" s="157"/>
      <c r="I77" s="157"/>
      <c r="J77" s="157"/>
    </row>
    <row r="78" spans="1:12" x14ac:dyDescent="0.2">
      <c r="C78" s="157"/>
      <c r="D78" s="157"/>
      <c r="E78" s="157"/>
      <c r="F78" s="157"/>
      <c r="G78" s="157"/>
      <c r="H78" s="157"/>
      <c r="I78" s="157"/>
      <c r="J78" s="157"/>
    </row>
    <row r="79" spans="1:12" x14ac:dyDescent="0.2">
      <c r="C79" s="157"/>
      <c r="D79" s="157"/>
      <c r="E79" s="157"/>
      <c r="F79" s="157"/>
      <c r="G79" s="157"/>
      <c r="H79" s="157"/>
      <c r="I79" s="157"/>
      <c r="J79" s="157"/>
    </row>
    <row r="80" spans="1:12" x14ac:dyDescent="0.2">
      <c r="C80" s="157"/>
    </row>
    <row r="81" spans="1:9" x14ac:dyDescent="0.2">
      <c r="C81" s="157"/>
    </row>
    <row r="82" spans="1:9" x14ac:dyDescent="0.2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Jun 2017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">
      <c r="A95" s="246"/>
      <c r="B95" s="230"/>
      <c r="C95" s="230"/>
      <c r="D95" s="230"/>
      <c r="E95" s="247"/>
      <c r="F95" s="368" t="s">
        <v>199</v>
      </c>
      <c r="G95" s="368"/>
      <c r="H95" s="368"/>
      <c r="I95" s="230"/>
    </row>
    <row r="96" spans="1:9" x14ac:dyDescent="0.2">
      <c r="A96" s="247"/>
      <c r="B96" s="159"/>
      <c r="C96" s="247"/>
      <c r="D96" s="247"/>
      <c r="E96" s="247"/>
      <c r="F96" s="368"/>
      <c r="G96" s="368"/>
      <c r="H96" s="368"/>
      <c r="I96" s="247"/>
    </row>
    <row r="97" spans="1:9" x14ac:dyDescent="0.2">
      <c r="B97" s="19"/>
      <c r="F97" s="24"/>
      <c r="G97" s="27"/>
    </row>
    <row r="98" spans="1:9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5" x14ac:dyDescent="0.25">
      <c r="A99" s="300"/>
      <c r="B99" s="280" t="s">
        <v>1</v>
      </c>
      <c r="C99" s="280" t="s">
        <v>179</v>
      </c>
      <c r="D99" s="280" t="s">
        <v>179</v>
      </c>
      <c r="E99" s="301" t="s">
        <v>13</v>
      </c>
      <c r="F99" s="310"/>
      <c r="G99" s="293"/>
      <c r="H99" s="300"/>
      <c r="I99" s="300"/>
    </row>
    <row r="100" spans="1:9" ht="15" x14ac:dyDescent="0.25">
      <c r="A100" s="300"/>
      <c r="B100" s="280" t="s">
        <v>3</v>
      </c>
      <c r="C100" s="280" t="s">
        <v>4</v>
      </c>
      <c r="D100" s="280" t="s">
        <v>4</v>
      </c>
      <c r="E100" s="301" t="s">
        <v>9</v>
      </c>
      <c r="F100" s="310"/>
      <c r="G100" s="293"/>
      <c r="H100" s="300"/>
      <c r="I100" s="300"/>
    </row>
    <row r="101" spans="1:9" ht="15.75" thickBot="1" x14ac:dyDescent="0.3">
      <c r="A101" s="302"/>
      <c r="B101" s="282" t="str">
        <f>TEXT($H$3,"MMM")&amp;" "&amp;TEXT($H$3,"YYYY")</f>
        <v>Jun 2017</v>
      </c>
      <c r="C101" s="282" t="str">
        <f>TEXT($H$3,"YYYY")</f>
        <v>2017</v>
      </c>
      <c r="D101" s="283">
        <f>TEXT($H$3,"YYYY")-1</f>
        <v>2016</v>
      </c>
      <c r="E101" s="284" t="s">
        <v>6</v>
      </c>
      <c r="F101" s="284">
        <f>$F$15</f>
        <v>2016</v>
      </c>
      <c r="G101" s="295">
        <f>$G$15</f>
        <v>2015</v>
      </c>
      <c r="H101" s="295">
        <f>$H$15</f>
        <v>2014</v>
      </c>
      <c r="I101" s="295">
        <f>$I$15</f>
        <v>2013</v>
      </c>
    </row>
    <row r="102" spans="1:9" ht="15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4.25" x14ac:dyDescent="0.2">
      <c r="A103" s="248" t="s">
        <v>117</v>
      </c>
      <c r="B103" s="127">
        <f>Data!BR20</f>
        <v>656</v>
      </c>
      <c r="C103" s="249">
        <f>Data!BR32</f>
        <v>5184</v>
      </c>
      <c r="D103" s="249">
        <f>Data!BR38</f>
        <v>6694</v>
      </c>
      <c r="E103" s="286">
        <f t="shared" ref="E103:E106" si="8">IFERROR(IF(OR(AND(D103="",C103=""),AND(D103=0,C103=0)),"",
IF(OR(D103="",D103=0),1,
IF(OR(D103&lt;&gt;"",D103&lt;&gt;0),(C103-D103)/ABS(D103)))),-1)</f>
        <v>-0.22557514191813566</v>
      </c>
      <c r="F103" s="249">
        <v>14410</v>
      </c>
      <c r="G103" s="249">
        <v>9505</v>
      </c>
      <c r="H103" s="249">
        <v>10571</v>
      </c>
      <c r="I103" s="249">
        <v>6946</v>
      </c>
    </row>
    <row r="104" spans="1:9" ht="14.25" x14ac:dyDescent="0.2">
      <c r="A104" s="248" t="s">
        <v>146</v>
      </c>
      <c r="B104" s="127">
        <f>Data!BQ20</f>
        <v>177592</v>
      </c>
      <c r="C104" s="249">
        <f>Data!BQ32</f>
        <v>5290818</v>
      </c>
      <c r="D104" s="249">
        <f>Data!BQ38</f>
        <v>4282010</v>
      </c>
      <c r="E104" s="286">
        <f t="shared" si="8"/>
        <v>0.23559216349331272</v>
      </c>
      <c r="F104" s="249">
        <v>9230179</v>
      </c>
      <c r="G104" s="249">
        <v>5344460</v>
      </c>
      <c r="H104" s="249">
        <v>4834077</v>
      </c>
      <c r="I104" s="249">
        <v>3419070</v>
      </c>
    </row>
    <row r="105" spans="1:9" ht="14.25" x14ac:dyDescent="0.2">
      <c r="A105" s="248" t="s">
        <v>119</v>
      </c>
      <c r="B105" s="127">
        <f>Data!BP20/1000000</f>
        <v>19330.245668419997</v>
      </c>
      <c r="C105" s="249">
        <f>Data!BP32/1000000</f>
        <v>604048.02818197012</v>
      </c>
      <c r="D105" s="249">
        <f>Data!BP38/1000000</f>
        <v>486645.77469262003</v>
      </c>
      <c r="E105" s="286">
        <f t="shared" si="8"/>
        <v>0.24124786363038875</v>
      </c>
      <c r="F105" s="249">
        <v>1073119</v>
      </c>
      <c r="G105" s="249">
        <v>698663</v>
      </c>
      <c r="H105" s="249">
        <v>641235</v>
      </c>
      <c r="I105" s="249">
        <v>513920</v>
      </c>
    </row>
    <row r="106" spans="1:9" ht="14.25" x14ac:dyDescent="0.2">
      <c r="A106" s="248" t="s">
        <v>144</v>
      </c>
      <c r="B106" s="127">
        <f>Data!BP26</f>
        <v>873037</v>
      </c>
      <c r="C106" s="249">
        <f>B106</f>
        <v>873037</v>
      </c>
      <c r="D106" s="249">
        <f>Data!BP44</f>
        <v>755647</v>
      </c>
      <c r="E106" s="286">
        <f t="shared" si="8"/>
        <v>0.15535031568973343</v>
      </c>
      <c r="F106" s="249">
        <v>802030</v>
      </c>
      <c r="G106" s="249">
        <v>621382</v>
      </c>
      <c r="H106" s="249">
        <v>418464</v>
      </c>
      <c r="I106" s="249">
        <v>332819</v>
      </c>
    </row>
    <row r="107" spans="1:9" ht="14.25" x14ac:dyDescent="0.2">
      <c r="A107" s="248"/>
      <c r="B107" s="127"/>
      <c r="C107" s="249"/>
      <c r="D107" s="249"/>
      <c r="E107" s="248"/>
      <c r="F107" s="249"/>
      <c r="G107" s="249"/>
      <c r="H107" s="249"/>
      <c r="I107" s="249"/>
    </row>
    <row r="108" spans="1:9" ht="15" x14ac:dyDescent="0.25">
      <c r="A108" s="288" t="s">
        <v>15</v>
      </c>
      <c r="B108" s="127"/>
      <c r="C108" s="249"/>
      <c r="D108" s="249"/>
      <c r="E108" s="248"/>
      <c r="F108" s="249"/>
      <c r="G108" s="249"/>
      <c r="H108" s="249"/>
      <c r="I108" s="249"/>
    </row>
    <row r="109" spans="1:9" ht="14.25" x14ac:dyDescent="0.2">
      <c r="A109" s="248" t="s">
        <v>117</v>
      </c>
      <c r="B109" s="127">
        <f>Data!BR23</f>
        <v>67</v>
      </c>
      <c r="C109" s="127">
        <f>Data!BR35</f>
        <v>201</v>
      </c>
      <c r="D109" s="127">
        <f>Data!BR41</f>
        <v>274</v>
      </c>
      <c r="E109" s="286">
        <f t="shared" ref="E109:E112" si="9">IFERROR(IF(OR(AND(D109="",C109=""),AND(D109=0,C109=0)),"",
IF(OR(D109="",D109=0),1,
IF(OR(D109&lt;&gt;"",D109&lt;&gt;0),(C109-D109)/ABS(D109)))),-1)</f>
        <v>-0.26642335766423358</v>
      </c>
      <c r="F109" s="127">
        <v>825</v>
      </c>
      <c r="G109" s="127">
        <v>1013</v>
      </c>
      <c r="H109" s="127">
        <v>683</v>
      </c>
      <c r="I109" s="127">
        <v>295</v>
      </c>
    </row>
    <row r="110" spans="1:9" ht="14.25" x14ac:dyDescent="0.2">
      <c r="A110" s="248" t="s">
        <v>146</v>
      </c>
      <c r="B110" s="127">
        <f>Data!BQ23</f>
        <v>23320</v>
      </c>
      <c r="C110" s="127">
        <f>Data!BQ35</f>
        <v>89018</v>
      </c>
      <c r="D110" s="127">
        <f>Data!BQ41</f>
        <v>83606</v>
      </c>
      <c r="E110" s="286">
        <f t="shared" si="9"/>
        <v>6.4732196253857385E-2</v>
      </c>
      <c r="F110" s="127">
        <v>205539</v>
      </c>
      <c r="G110" s="127">
        <v>348297</v>
      </c>
      <c r="H110" s="127">
        <v>197474</v>
      </c>
      <c r="I110" s="127">
        <v>246576</v>
      </c>
    </row>
    <row r="111" spans="1:9" ht="14.25" x14ac:dyDescent="0.2">
      <c r="A111" s="248" t="s">
        <v>196</v>
      </c>
      <c r="B111" s="127">
        <f>Data!BP23/1000000</f>
        <v>2413.4229381999999</v>
      </c>
      <c r="C111" s="127">
        <f>Data!BP35/1000000</f>
        <v>8854.6460247900013</v>
      </c>
      <c r="D111" s="127">
        <f>Data!BP41/1000000</f>
        <v>8591.0162496299999</v>
      </c>
      <c r="E111" s="286">
        <f t="shared" si="9"/>
        <v>3.068668100486429E-2</v>
      </c>
      <c r="F111" s="127">
        <v>21987</v>
      </c>
      <c r="G111" s="127">
        <v>37202</v>
      </c>
      <c r="H111" s="127">
        <v>15321</v>
      </c>
      <c r="I111" s="127">
        <v>515922</v>
      </c>
    </row>
    <row r="112" spans="1:9" ht="15" thickBot="1" x14ac:dyDescent="0.25">
      <c r="A112" s="289" t="s">
        <v>144</v>
      </c>
      <c r="B112" s="128">
        <f>Data!BP29</f>
        <v>44365</v>
      </c>
      <c r="C112" s="128">
        <f>B112</f>
        <v>44365</v>
      </c>
      <c r="D112" s="128">
        <f>Data!BP47</f>
        <v>64115</v>
      </c>
      <c r="E112" s="291">
        <f t="shared" si="9"/>
        <v>-0.30804024019340248</v>
      </c>
      <c r="F112" s="128">
        <v>36955</v>
      </c>
      <c r="G112" s="128">
        <v>75609</v>
      </c>
      <c r="H112" s="128">
        <v>34866</v>
      </c>
      <c r="I112" s="128">
        <v>47546</v>
      </c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">
      <c r="A115" s="35"/>
      <c r="B115" s="19"/>
      <c r="F115" s="24"/>
      <c r="G115" s="27"/>
    </row>
    <row r="116" spans="1:12" ht="13.5" thickBot="1" x14ac:dyDescent="0.25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5" x14ac:dyDescent="0.25">
      <c r="A117" s="300"/>
      <c r="B117" s="280" t="s">
        <v>1</v>
      </c>
      <c r="C117" s="280" t="s">
        <v>179</v>
      </c>
      <c r="D117" s="280" t="s">
        <v>179</v>
      </c>
      <c r="E117" s="301" t="s">
        <v>13</v>
      </c>
      <c r="F117" s="310"/>
      <c r="G117" s="293"/>
      <c r="H117" s="300"/>
      <c r="I117" s="300"/>
    </row>
    <row r="118" spans="1:12" ht="15" x14ac:dyDescent="0.25">
      <c r="A118" s="300"/>
      <c r="B118" s="280" t="s">
        <v>3</v>
      </c>
      <c r="C118" s="280" t="s">
        <v>4</v>
      </c>
      <c r="D118" s="280" t="s">
        <v>4</v>
      </c>
      <c r="E118" s="301" t="s">
        <v>9</v>
      </c>
      <c r="F118" s="310"/>
      <c r="G118" s="293"/>
      <c r="H118" s="300"/>
      <c r="I118" s="300"/>
    </row>
    <row r="119" spans="1:12" ht="15.75" thickBot="1" x14ac:dyDescent="0.3">
      <c r="A119" s="302"/>
      <c r="B119" s="282" t="str">
        <f>TEXT($H$3,"MMM")&amp;" "&amp;TEXT($H$3,"YYYY")</f>
        <v>Jun 2017</v>
      </c>
      <c r="C119" s="282" t="str">
        <f>TEXT($H$3,"YYYY")</f>
        <v>2017</v>
      </c>
      <c r="D119" s="282">
        <f>TEXT($H$3,"YYYY")-1</f>
        <v>2016</v>
      </c>
      <c r="E119" s="284" t="s">
        <v>6</v>
      </c>
      <c r="F119" s="284">
        <f>TEXT($H$3,"YYYY")-1</f>
        <v>2016</v>
      </c>
      <c r="G119" s="295">
        <f>TEXT($H$3,"YYYY")-2</f>
        <v>2015</v>
      </c>
      <c r="H119" s="295">
        <f>TEXT($H$3,"YYYY")-3</f>
        <v>2014</v>
      </c>
      <c r="I119" s="295">
        <f>TEXT($H$3,"YYYY")-4</f>
        <v>2013</v>
      </c>
      <c r="J119" s="135"/>
      <c r="K119" s="170"/>
      <c r="L119" s="170"/>
    </row>
    <row r="120" spans="1:12" ht="15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4.25" x14ac:dyDescent="0.2">
      <c r="A121" s="248" t="s">
        <v>117</v>
      </c>
      <c r="B121" s="249">
        <f>Data!BR50</f>
        <v>6938</v>
      </c>
      <c r="C121" s="249">
        <f>Data!BR60</f>
        <v>34202</v>
      </c>
      <c r="D121" s="249">
        <f>Data!BR66</f>
        <v>32399</v>
      </c>
      <c r="E121" s="286">
        <f t="shared" ref="E121:E123" si="10">IFERROR(IF(OR(AND(D121="",C121=""),AND(D121=0,C121=0)),"",
IF(OR(D121="",D121=0),1,
IF(OR(D121&lt;&gt;"",D121&lt;&gt;0),(C121-D121)/ABS(D121)))),-1)</f>
        <v>5.5649865736596811E-2</v>
      </c>
      <c r="F121" s="249">
        <v>66920</v>
      </c>
      <c r="G121" s="249">
        <v>57891</v>
      </c>
      <c r="H121" s="249">
        <v>43500</v>
      </c>
      <c r="I121" s="249">
        <v>39077</v>
      </c>
      <c r="J121" s="62"/>
    </row>
    <row r="122" spans="1:12" ht="14.25" x14ac:dyDescent="0.2">
      <c r="A122" s="248" t="s">
        <v>146</v>
      </c>
      <c r="B122" s="249">
        <f>Data!BQ50</f>
        <v>6587730</v>
      </c>
      <c r="C122" s="249">
        <f>Data!BQ60</f>
        <v>25323778</v>
      </c>
      <c r="D122" s="249">
        <f>Data!BQ66</f>
        <v>17262262</v>
      </c>
      <c r="E122" s="286">
        <f t="shared" si="10"/>
        <v>0.46700229668626281</v>
      </c>
      <c r="F122" s="249">
        <v>34293431</v>
      </c>
      <c r="G122" s="249">
        <v>33917069</v>
      </c>
      <c r="H122" s="249">
        <v>33946042</v>
      </c>
      <c r="I122" s="249">
        <v>24258464</v>
      </c>
      <c r="J122" s="62"/>
    </row>
    <row r="123" spans="1:12" ht="14.25" x14ac:dyDescent="0.2">
      <c r="A123" s="248" t="s">
        <v>119</v>
      </c>
      <c r="B123" s="249">
        <f>Data!BP50/1000000</f>
        <v>86801.261897199991</v>
      </c>
      <c r="C123" s="249">
        <f>Data!BP60/1000000</f>
        <v>342310.31561420002</v>
      </c>
      <c r="D123" s="249">
        <f>Data!BP66/1000000</f>
        <v>275481.0001761</v>
      </c>
      <c r="E123" s="286">
        <f t="shared" si="10"/>
        <v>0.24259137797299879</v>
      </c>
      <c r="F123" s="249">
        <v>522169</v>
      </c>
      <c r="G123" s="249">
        <v>446203</v>
      </c>
      <c r="H123" s="249">
        <v>388071</v>
      </c>
      <c r="I123" s="249">
        <v>247049</v>
      </c>
      <c r="J123" s="62"/>
    </row>
    <row r="124" spans="1:12" ht="14.25" x14ac:dyDescent="0.2">
      <c r="A124" s="248" t="s">
        <v>144</v>
      </c>
      <c r="B124" s="249">
        <f>VLOOKUP("Future",Data!$BP$55:$BQ$57,2,FALSE)</f>
        <v>1290605</v>
      </c>
      <c r="C124" s="249">
        <f>B124</f>
        <v>1290605</v>
      </c>
      <c r="D124" s="249">
        <f>VLOOKUP("Future",Data!$BP$71:$BQ$73,2,FALSE)</f>
        <v>1306482</v>
      </c>
      <c r="E124" s="286">
        <f>IFERROR(IF(OR(AND(D124="",C124=""),AND(D124=0,C124=0)),"",
IF(OR(D124="",D124=0),1,
IF(OR(D124&lt;&gt;"",D124&lt;&gt;0),(C124-D124)/ABS(D124)))),-1)</f>
        <v>-1.2152482774351273E-2</v>
      </c>
      <c r="F124" s="249">
        <v>1090978</v>
      </c>
      <c r="G124" s="249">
        <v>1414841</v>
      </c>
      <c r="H124" s="249">
        <v>1705921</v>
      </c>
      <c r="I124" s="249">
        <v>1029528</v>
      </c>
      <c r="J124" s="62"/>
    </row>
    <row r="125" spans="1:12" ht="14.25" x14ac:dyDescent="0.2">
      <c r="A125" s="248"/>
      <c r="B125" s="315"/>
      <c r="C125" s="315"/>
      <c r="D125" s="315"/>
      <c r="E125" s="248"/>
      <c r="F125" s="249"/>
      <c r="G125" s="249"/>
      <c r="H125" s="315"/>
      <c r="I125" s="315"/>
      <c r="J125" s="107"/>
      <c r="K125" s="172"/>
      <c r="L125" s="172"/>
    </row>
    <row r="126" spans="1:12" ht="15" x14ac:dyDescent="0.25">
      <c r="A126" s="288" t="s">
        <v>15</v>
      </c>
      <c r="B126" s="248"/>
      <c r="C126" s="315"/>
      <c r="D126" s="315"/>
      <c r="E126" s="288"/>
      <c r="F126" s="250"/>
      <c r="G126" s="249"/>
      <c r="H126" s="315"/>
      <c r="I126" s="316"/>
      <c r="J126" s="107"/>
      <c r="K126" s="172"/>
      <c r="L126" s="172"/>
    </row>
    <row r="127" spans="1:12" ht="14.25" x14ac:dyDescent="0.2">
      <c r="A127" s="248" t="s">
        <v>117</v>
      </c>
      <c r="B127" s="249">
        <f>Data!BR53</f>
        <v>245</v>
      </c>
      <c r="C127" s="249">
        <f>Data!BR63</f>
        <v>1485</v>
      </c>
      <c r="D127" s="249">
        <f>Data!BR69</f>
        <v>1377</v>
      </c>
      <c r="E127" s="286">
        <f t="shared" ref="E127:E129" si="11">IFERROR(IF(OR(AND(D127="",C127=""),AND(D127=0,C127=0)),"",
IF(OR(D127="",D127=0),1,
IF(OR(D127&lt;&gt;"",D127&lt;&gt;0),(C127-D127)/ABS(D127)))),-1)</f>
        <v>7.8431372549019607E-2</v>
      </c>
      <c r="F127" s="249">
        <v>3271</v>
      </c>
      <c r="G127" s="249">
        <v>2622</v>
      </c>
      <c r="H127" s="249">
        <v>3439</v>
      </c>
      <c r="I127" s="249">
        <v>2009</v>
      </c>
      <c r="J127" s="132"/>
      <c r="K127" s="177"/>
      <c r="L127" s="172"/>
    </row>
    <row r="128" spans="1:12" ht="14.25" x14ac:dyDescent="0.2">
      <c r="A128" s="248" t="s">
        <v>146</v>
      </c>
      <c r="B128" s="249">
        <f>Data!BQ53</f>
        <v>1584672</v>
      </c>
      <c r="C128" s="249">
        <f>Data!BQ63</f>
        <v>6684304</v>
      </c>
      <c r="D128" s="249">
        <f>Data!BQ69</f>
        <v>6257460</v>
      </c>
      <c r="E128" s="286">
        <f t="shared" si="11"/>
        <v>6.8213620222901949E-2</v>
      </c>
      <c r="F128" s="249">
        <v>14030889</v>
      </c>
      <c r="G128" s="249">
        <v>11251621</v>
      </c>
      <c r="H128" s="249">
        <v>10687313</v>
      </c>
      <c r="I128" s="249">
        <v>10027182</v>
      </c>
      <c r="J128" s="133"/>
      <c r="K128" s="177"/>
      <c r="L128" s="172"/>
    </row>
    <row r="129" spans="1:12" ht="14.25" x14ac:dyDescent="0.2">
      <c r="A129" s="248" t="s">
        <v>177</v>
      </c>
      <c r="B129" s="249">
        <f>Data!BP53/1000000</f>
        <v>22055.726097799998</v>
      </c>
      <c r="C129" s="249">
        <f>Data!BP63/1000000</f>
        <v>91004.759493799997</v>
      </c>
      <c r="D129" s="249">
        <f>Data!BP69/1000000</f>
        <v>99884.619213700003</v>
      </c>
      <c r="E129" s="286">
        <f t="shared" si="11"/>
        <v>-8.890117207036477E-2</v>
      </c>
      <c r="F129" s="249">
        <v>212036</v>
      </c>
      <c r="G129" s="249">
        <v>157773</v>
      </c>
      <c r="H129" s="249">
        <v>128124</v>
      </c>
      <c r="I129" s="249">
        <v>87508</v>
      </c>
      <c r="J129" s="133"/>
      <c r="K129" s="172"/>
      <c r="L129" s="172"/>
    </row>
    <row r="130" spans="1:12" ht="14.25" x14ac:dyDescent="0.2">
      <c r="A130" s="248" t="s">
        <v>144</v>
      </c>
      <c r="B130" s="249">
        <f>VLOOKUP("Option",Data!$BP$55:$BQ$57,2,FALSE)</f>
        <v>1572004</v>
      </c>
      <c r="C130" s="249">
        <f>MarketProfile!B130</f>
        <v>1572004</v>
      </c>
      <c r="D130" s="249">
        <f>VLOOKUP("Option",Data!$BP$71:$BQ$73,2,FALSE)</f>
        <v>1369400</v>
      </c>
      <c r="E130" s="286">
        <f>IFERROR(IF(OR(AND(D130="",C130=""),AND(D130=0,C130=0)),"",
IF(OR(D130="",D130=0),1,
IF(OR(D130&lt;&gt;"",D130&lt;&gt;0),(C130-D130)/ABS(D130)))),-1)</f>
        <v>0.14795092741346574</v>
      </c>
      <c r="F130" s="249">
        <v>1240499</v>
      </c>
      <c r="G130" s="249">
        <v>1917456</v>
      </c>
      <c r="H130" s="249">
        <v>1839022</v>
      </c>
      <c r="I130" s="249">
        <v>797456</v>
      </c>
      <c r="J130" s="107"/>
      <c r="K130" s="172"/>
      <c r="L130" s="172"/>
    </row>
    <row r="131" spans="1:12" x14ac:dyDescent="0.2">
      <c r="A131" s="59" t="s">
        <v>178</v>
      </c>
      <c r="B131" s="62"/>
      <c r="C131" s="62"/>
      <c r="D131" s="62"/>
      <c r="H131" s="62"/>
      <c r="J131" s="107"/>
    </row>
    <row r="132" spans="1:12" x14ac:dyDescent="0.2">
      <c r="B132" s="3"/>
      <c r="C132" s="3"/>
      <c r="D132" s="3"/>
      <c r="J132" s="107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5" x14ac:dyDescent="0.25">
      <c r="A134" s="300"/>
      <c r="B134" s="280" t="s">
        <v>1</v>
      </c>
      <c r="C134" s="280" t="s">
        <v>179</v>
      </c>
      <c r="D134" s="280" t="s">
        <v>179</v>
      </c>
      <c r="E134" s="301" t="s">
        <v>13</v>
      </c>
      <c r="F134" s="310"/>
      <c r="G134" s="293"/>
      <c r="H134" s="300"/>
      <c r="I134" s="300"/>
    </row>
    <row r="135" spans="1:12" ht="15" x14ac:dyDescent="0.25">
      <c r="A135" s="300"/>
      <c r="B135" s="280" t="s">
        <v>3</v>
      </c>
      <c r="C135" s="280" t="s">
        <v>4</v>
      </c>
      <c r="D135" s="280" t="s">
        <v>4</v>
      </c>
      <c r="E135" s="301" t="s">
        <v>9</v>
      </c>
      <c r="F135" s="310"/>
      <c r="G135" s="293"/>
      <c r="H135" s="300"/>
      <c r="I135" s="300"/>
    </row>
    <row r="136" spans="1:12" ht="15.75" thickBot="1" x14ac:dyDescent="0.3">
      <c r="A136" s="302"/>
      <c r="B136" s="282" t="str">
        <f>TEXT($H$3,"MMM")&amp;" "&amp;TEXT($H$3,"YYYY")</f>
        <v>Jun 2017</v>
      </c>
      <c r="C136" s="282" t="str">
        <f>TEXT($H$3,"YYYY")</f>
        <v>2017</v>
      </c>
      <c r="D136" s="282">
        <f>TEXT($H$3,"YYYY")-1</f>
        <v>2016</v>
      </c>
      <c r="E136" s="284" t="s">
        <v>6</v>
      </c>
      <c r="F136" s="284">
        <f>TEXT($H$3,"YYYY")-1</f>
        <v>2016</v>
      </c>
      <c r="G136" s="295">
        <f>TEXT($H$3,"YYYY")-2</f>
        <v>2015</v>
      </c>
      <c r="H136" s="295">
        <f>TEXT($H$3,"YYYY")-3</f>
        <v>2014</v>
      </c>
      <c r="I136" s="295">
        <f>TEXT($H$3,"YYYY")-4</f>
        <v>2013</v>
      </c>
    </row>
    <row r="137" spans="1:12" ht="15" x14ac:dyDescent="0.25">
      <c r="A137" s="288" t="s">
        <v>14</v>
      </c>
      <c r="B137" s="317"/>
      <c r="C137" s="317"/>
      <c r="D137" s="317"/>
      <c r="E137" s="312"/>
      <c r="F137" s="312"/>
      <c r="G137" s="318"/>
      <c r="H137" s="318"/>
      <c r="I137" s="318"/>
    </row>
    <row r="138" spans="1:12" ht="14.25" x14ac:dyDescent="0.2">
      <c r="A138" s="248" t="s">
        <v>117</v>
      </c>
      <c r="B138" s="249">
        <f>SUMIFS(Data!$AC:$AC,Data!$AE:$AE,"1")</f>
        <v>37379</v>
      </c>
      <c r="C138" s="249">
        <f>Data!BR76</f>
        <v>170434</v>
      </c>
      <c r="D138" s="249">
        <f>Data!BR82</f>
        <v>174258</v>
      </c>
      <c r="E138" s="286">
        <f>IFERROR(IF(OR(AND(D138="",C138=""),AND(D138=0,C138=0)),"",
IF(OR(D138="",D138=0),1,
IF(OR(D138&lt;&gt;"",D138&lt;&gt;0),(C138-D138)/ABS(D138)))),-1)</f>
        <v>-2.1944473137531707E-2</v>
      </c>
      <c r="F138" s="249">
        <v>343265</v>
      </c>
      <c r="G138" s="249">
        <v>319935</v>
      </c>
      <c r="H138" s="249">
        <v>277392</v>
      </c>
      <c r="I138" s="249">
        <v>274898</v>
      </c>
    </row>
    <row r="139" spans="1:12" ht="14.25" x14ac:dyDescent="0.2">
      <c r="A139" s="248" t="s">
        <v>142</v>
      </c>
      <c r="B139" s="249">
        <f>SUMIFS(Data!$AB:$AB,Data!$AE:$AE,"1")/1000</f>
        <v>321.90800000000002</v>
      </c>
      <c r="C139" s="249">
        <f>Data!BQ76</f>
        <v>1321704</v>
      </c>
      <c r="D139" s="249">
        <f>Data!BQ82</f>
        <v>1544480</v>
      </c>
      <c r="E139" s="286">
        <f t="shared" ref="E139:E141" si="12">IFERROR(IF(OR(AND(D139="",C139=""),AND(D139=0,C139=0)),"",
IF(OR(D139="",D139=0),1,
IF(OR(D139&lt;&gt;"",D139&lt;&gt;0),(C139-D139)/ABS(D139)))),-1)</f>
        <v>-0.14424013260126387</v>
      </c>
      <c r="F139" s="249">
        <v>2955</v>
      </c>
      <c r="G139" s="249">
        <v>2956</v>
      </c>
      <c r="H139" s="249">
        <v>2395</v>
      </c>
      <c r="I139" s="249">
        <v>2482</v>
      </c>
    </row>
    <row r="140" spans="1:12" ht="14.25" x14ac:dyDescent="0.2">
      <c r="A140" s="248" t="s">
        <v>119</v>
      </c>
      <c r="B140" s="249">
        <f>SUMIFS(Data!$AA:$AA,Data!$AE:$AE,"1")/1000000</f>
        <v>62965.249808704</v>
      </c>
      <c r="C140" s="249">
        <f>Data!BP76/1000000</f>
        <v>282298.76747290796</v>
      </c>
      <c r="D140" s="249">
        <f>Data!BP82/1000000</f>
        <v>536188.88396924699</v>
      </c>
      <c r="E140" s="286">
        <f t="shared" si="12"/>
        <v>-0.47350872814980038</v>
      </c>
      <c r="F140" s="249">
        <v>943312</v>
      </c>
      <c r="G140" s="249">
        <v>736984</v>
      </c>
      <c r="H140" s="249">
        <v>487818</v>
      </c>
      <c r="I140" s="249">
        <v>486903</v>
      </c>
    </row>
    <row r="141" spans="1:12" ht="14.25" x14ac:dyDescent="0.2">
      <c r="A141" s="248" t="s">
        <v>144</v>
      </c>
      <c r="B141" s="249">
        <f>SUMIFS(Data!$AK:$AK,Data!$AL:$AL,"1")</f>
        <v>130824</v>
      </c>
      <c r="C141" s="249">
        <f>B141</f>
        <v>130824</v>
      </c>
      <c r="D141" s="249">
        <f>Data!BP88</f>
        <v>80910</v>
      </c>
      <c r="E141" s="286">
        <f t="shared" si="12"/>
        <v>0.61690767519466072</v>
      </c>
      <c r="F141" s="249">
        <v>65553</v>
      </c>
      <c r="G141" s="249">
        <v>89089</v>
      </c>
      <c r="H141" s="249">
        <v>75388</v>
      </c>
      <c r="I141" s="249">
        <v>66538</v>
      </c>
    </row>
    <row r="142" spans="1:12" ht="14.25" x14ac:dyDescent="0.2">
      <c r="A142" s="248"/>
      <c r="B142" s="249"/>
      <c r="C142" s="249"/>
      <c r="D142" s="249"/>
      <c r="E142" s="248"/>
      <c r="F142" s="249"/>
      <c r="G142" s="249"/>
      <c r="H142" s="249"/>
      <c r="I142" s="249"/>
    </row>
    <row r="143" spans="1:12" ht="15" x14ac:dyDescent="0.25">
      <c r="A143" s="288" t="s">
        <v>15</v>
      </c>
      <c r="B143" s="249"/>
      <c r="C143" s="249"/>
      <c r="D143" s="249"/>
      <c r="E143" s="248"/>
      <c r="F143" s="249"/>
      <c r="G143" s="249"/>
      <c r="H143" s="249"/>
      <c r="I143" s="249"/>
    </row>
    <row r="144" spans="1:12" ht="14.25" x14ac:dyDescent="0.2">
      <c r="A144" s="248" t="s">
        <v>117</v>
      </c>
      <c r="B144" s="249">
        <f>SUMIFS(Data!$AC:$AC,Data!$AE:$AE,"0")</f>
        <v>2384</v>
      </c>
      <c r="C144" s="249">
        <f>Data!BR79</f>
        <v>15332</v>
      </c>
      <c r="D144" s="249">
        <f>Data!BR85</f>
        <v>23300</v>
      </c>
      <c r="E144" s="286">
        <f>IFERROR(IF(OR(AND(D144="",C144=""),AND(D144=0,C144=0)),"",
IF(OR(D144="",D144=0),1,
IF(OR(D144&lt;&gt;"",D144&lt;&gt;0),(C144-D144)/ABS(D144)))),-1)</f>
        <v>-0.34197424892703865</v>
      </c>
      <c r="F144" s="249">
        <v>43815</v>
      </c>
      <c r="G144" s="249">
        <v>42966</v>
      </c>
      <c r="H144" s="249">
        <v>31365</v>
      </c>
      <c r="I144" s="249">
        <v>30380</v>
      </c>
    </row>
    <row r="145" spans="1:10" ht="14.25" x14ac:dyDescent="0.2">
      <c r="A145" s="248" t="s">
        <v>142</v>
      </c>
      <c r="B145" s="249">
        <f>SUMIFS(Data!$AB:$AB,Data!$AE:$AE,"0")/1000</f>
        <v>19.454000000000001</v>
      </c>
      <c r="C145" s="249">
        <f>Data!BQ79</f>
        <v>144994</v>
      </c>
      <c r="D145" s="249">
        <f>Data!BQ85</f>
        <v>286816</v>
      </c>
      <c r="E145" s="286">
        <f t="shared" ref="E145:E146" si="13">IFERROR(IF(OR(AND(D145="",C145=""),AND(D145=0,C145=0)),"",
IF(OR(D145="",D145=0),1,
IF(OR(D145&lt;&gt;"",D145&lt;&gt;0),(C145-D145)/ABS(D145)))),-1)</f>
        <v>-0.49447032243668415</v>
      </c>
      <c r="F145" s="249">
        <v>471</v>
      </c>
      <c r="G145" s="249">
        <v>544</v>
      </c>
      <c r="H145" s="249">
        <v>335</v>
      </c>
      <c r="I145" s="249">
        <v>307</v>
      </c>
    </row>
    <row r="146" spans="1:10" ht="14.25" x14ac:dyDescent="0.2">
      <c r="A146" s="248" t="s">
        <v>119</v>
      </c>
      <c r="B146" s="249">
        <f>SUMIFS(Data!$AA:$AA,Data!$AE:$AE,"0")/1000000</f>
        <v>176.66960367999999</v>
      </c>
      <c r="C146" s="249">
        <f>Data!BP79/1000000</f>
        <v>1784.75658620999</v>
      </c>
      <c r="D146" s="249">
        <f>Data!BP85/1000000</f>
        <v>9653.4891580799995</v>
      </c>
      <c r="E146" s="286">
        <f t="shared" si="13"/>
        <v>-0.8151179789002877</v>
      </c>
      <c r="F146" s="249">
        <v>14527</v>
      </c>
      <c r="G146" s="249">
        <v>12378</v>
      </c>
      <c r="H146" s="249">
        <v>2724</v>
      </c>
      <c r="I146" s="249">
        <v>3357</v>
      </c>
    </row>
    <row r="147" spans="1:10" ht="14.25" x14ac:dyDescent="0.2">
      <c r="A147" s="248" t="s">
        <v>144</v>
      </c>
      <c r="B147" s="249">
        <f>SUMIFS(Data!$AK:$AK,Data!$AL:$AL,"0")</f>
        <v>25224</v>
      </c>
      <c r="C147" s="249">
        <f>B147</f>
        <v>25224</v>
      </c>
      <c r="D147" s="249">
        <f>Data!BP91</f>
        <v>39887</v>
      </c>
      <c r="E147" s="286">
        <f>IFERROR(IF(OR(AND(D147="",C147=""),AND(D147=0,C147=0)),"",
IF(OR(D147="",D147=0),1,
IF(OR(D147&lt;&gt;"",D147&lt;&gt;0),(C147-D147)/ABS(D147)))),-1)</f>
        <v>-0.36761350816055355</v>
      </c>
      <c r="F147" s="249">
        <v>36968</v>
      </c>
      <c r="G147" s="249">
        <v>87294</v>
      </c>
      <c r="H147" s="249">
        <v>57806</v>
      </c>
      <c r="I147" s="249">
        <v>52069</v>
      </c>
    </row>
    <row r="148" spans="1:10" x14ac:dyDescent="0.2">
      <c r="B148" s="3"/>
    </row>
    <row r="149" spans="1:10" ht="12.75" customHeight="1" x14ac:dyDescent="0.2">
      <c r="B149" s="3"/>
      <c r="F149" s="368" t="s">
        <v>200</v>
      </c>
      <c r="G149" s="368"/>
      <c r="H149" s="368"/>
      <c r="I149" s="125"/>
    </row>
    <row r="150" spans="1:10" ht="12.75" customHeight="1" x14ac:dyDescent="0.2">
      <c r="B150" s="3"/>
      <c r="F150" s="368"/>
      <c r="G150" s="368"/>
      <c r="H150" s="368"/>
      <c r="I150" s="125"/>
      <c r="J150" s="161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5" x14ac:dyDescent="0.25">
      <c r="A152" s="310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5.75" thickBot="1" x14ac:dyDescent="0.3">
      <c r="A153" s="295"/>
      <c r="B153" s="282" t="str">
        <f>TEXT($H$3,"MMM")&amp;" "&amp;TEXT($H$3,"YYYY")</f>
        <v>Jun 2017</v>
      </c>
      <c r="C153" s="282" t="str">
        <f>TEXT(DATE(2000,TEXT(H3,"M")-1,1),"mmm")&amp; " "&amp; TEXT(H3,"YYYY")</f>
        <v>May 2017</v>
      </c>
      <c r="D153" s="284" t="s">
        <v>121</v>
      </c>
      <c r="E153" s="282"/>
      <c r="F153" s="282"/>
      <c r="G153" s="282" t="str">
        <f>TEXT($H$3,"MMM")&amp;" "&amp;TEXT($H$3,"YYYY")</f>
        <v>Jun 2017</v>
      </c>
      <c r="H153" s="282" t="str">
        <f>TEXT($H$3,"MMM")&amp;" "&amp;TEXT($H$3,"YYYY")-1</f>
        <v>Jun 2016</v>
      </c>
      <c r="I153" s="284" t="s">
        <v>121</v>
      </c>
      <c r="J153" s="161"/>
    </row>
    <row r="154" spans="1:10" ht="14.25" x14ac:dyDescent="0.2">
      <c r="A154" s="248" t="s">
        <v>122</v>
      </c>
      <c r="B154" s="322">
        <f>VLOOKUP("ABuy",Data!$J$1:$M$5,4,FALSE)/1000000</f>
        <v>226678.91131842841</v>
      </c>
      <c r="C154" s="322">
        <f>VLOOKUP("ABuy",Data!$J$7:$M$11,4,FALSE)/1000000</f>
        <v>198070.89140851324</v>
      </c>
      <c r="D154" s="186">
        <f>((B154/C154)-1)</f>
        <v>0.14443323653707529</v>
      </c>
      <c r="E154" s="322"/>
      <c r="F154" s="322"/>
      <c r="G154" s="322">
        <f>VLOOKUP("Abuy",Data!$J$13:$M$17,4,FALSE)/1000000</f>
        <v>214473.08213408498</v>
      </c>
      <c r="H154" s="322">
        <f>VLOOKUP("Abuy",Data!$J$19:$M$23,4,FALSE)/1000000</f>
        <v>193465.99260387002</v>
      </c>
      <c r="I154" s="200">
        <f>((G154/H154)-1)</f>
        <v>0.10858285349005947</v>
      </c>
      <c r="J154" s="161"/>
    </row>
    <row r="155" spans="1:10" ht="14.25" x14ac:dyDescent="0.2">
      <c r="A155" s="248" t="s">
        <v>123</v>
      </c>
      <c r="B155" s="322">
        <f>VLOOKUP("ASell",Data!$J$1:$M$5,4,FALSE)/1000000</f>
        <v>216634.96530985515</v>
      </c>
      <c r="C155" s="322">
        <f>VLOOKUP("Asell",Data!$J$7:$M$11,4,FALSE)/1000000</f>
        <v>210621.04495777894</v>
      </c>
      <c r="D155" s="200">
        <f t="shared" ref="D155:D157" si="14">((B155/C155)-1)</f>
        <v>2.8553273739961638E-2</v>
      </c>
      <c r="E155" s="322"/>
      <c r="F155" s="322"/>
      <c r="G155" s="322">
        <f>VLOOKUP("Asell",Data!$J$13:$M$17,4,FALSE)/1000000</f>
        <v>211372.22425984999</v>
      </c>
      <c r="H155" s="322">
        <f>VLOOKUP("Asell",Data!$J$19:$M$23,4,FALSE)/1000000</f>
        <v>205515.71018021999</v>
      </c>
      <c r="I155" s="200">
        <f t="shared" ref="I155:I157" si="15">((G155/H155)-1)</f>
        <v>2.8496673439195153E-2</v>
      </c>
      <c r="J155" s="161"/>
    </row>
    <row r="156" spans="1:10" ht="14.25" x14ac:dyDescent="0.2">
      <c r="A156" s="248" t="s">
        <v>124</v>
      </c>
      <c r="B156" s="322">
        <f>VLOOKUP("PBuy",Data!$J$1:$M$5,4,FALSE)/1000000</f>
        <v>298138.51519283722</v>
      </c>
      <c r="C156" s="322">
        <f>VLOOKUP("Pbuy",Data!$J$7:$M$11,4,FALSE)/1000000</f>
        <v>235606.99993285583</v>
      </c>
      <c r="D156" s="200">
        <f t="shared" si="14"/>
        <v>0.26540601628050897</v>
      </c>
      <c r="E156" s="322"/>
      <c r="F156" s="322"/>
      <c r="G156" s="322">
        <f>VLOOKUP("Pbuy",Data!$J$13:$M$17,4,FALSE)/1000000</f>
        <v>261746.52428627003</v>
      </c>
      <c r="H156" s="322">
        <f>VLOOKUP("Pbuy",Data!$J$19:$M$23,4,FALSE)/1000000</f>
        <v>215889.12083393001</v>
      </c>
      <c r="I156" s="200">
        <f t="shared" si="15"/>
        <v>0.2124118310140104</v>
      </c>
      <c r="J156" s="161"/>
    </row>
    <row r="157" spans="1:10" ht="14.25" x14ac:dyDescent="0.2">
      <c r="A157" s="248" t="s">
        <v>125</v>
      </c>
      <c r="B157" s="322">
        <f>VLOOKUP("PSell",Data!$J$1:$M$5,4,FALSE)/1000000</f>
        <v>308182.46120141051</v>
      </c>
      <c r="C157" s="322">
        <f>VLOOKUP("Psell",Data!$J$7:$M$11,4,FALSE)/1000000</f>
        <v>223056.84638359013</v>
      </c>
      <c r="D157" s="200">
        <f t="shared" si="14"/>
        <v>0.38163193014676677</v>
      </c>
      <c r="E157" s="322"/>
      <c r="F157" s="322"/>
      <c r="G157" s="322">
        <f>VLOOKUP("Psell",Data!$J$13:$M$17,4,FALSE)/1000000</f>
        <v>264847.38216050499</v>
      </c>
      <c r="H157" s="322">
        <f>VLOOKUP("Psell",Data!$J$19:$M$23,4,FALSE)/1000000</f>
        <v>203839.40325757998</v>
      </c>
      <c r="I157" s="200">
        <f t="shared" si="15"/>
        <v>0.29929433626644197</v>
      </c>
      <c r="J157" s="161"/>
    </row>
    <row r="158" spans="1:10" ht="14.25" x14ac:dyDescent="0.2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5.75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5.75" thickBot="1" x14ac:dyDescent="0.3">
      <c r="A160" s="295"/>
      <c r="B160" s="284" t="s">
        <v>127</v>
      </c>
      <c r="C160" s="284" t="s">
        <v>4</v>
      </c>
      <c r="D160" s="387" t="s">
        <v>128</v>
      </c>
      <c r="E160" s="387"/>
      <c r="F160" s="284" t="s">
        <v>129</v>
      </c>
      <c r="G160" s="383" t="s">
        <v>130</v>
      </c>
      <c r="H160" s="383"/>
      <c r="I160" s="284" t="s">
        <v>28</v>
      </c>
      <c r="J160" s="161"/>
    </row>
    <row r="161" spans="1:10" ht="15" x14ac:dyDescent="0.25">
      <c r="A161" s="288"/>
      <c r="B161" s="312"/>
      <c r="C161" s="312"/>
      <c r="D161" s="312"/>
      <c r="E161" s="312"/>
      <c r="F161" s="312"/>
      <c r="G161" s="312"/>
      <c r="H161" s="248"/>
      <c r="I161" s="312"/>
      <c r="J161" s="161"/>
    </row>
    <row r="162" spans="1:10" ht="14.25" x14ac:dyDescent="0.2">
      <c r="A162" s="248" t="s">
        <v>117</v>
      </c>
      <c r="B162" s="206">
        <v>667996</v>
      </c>
      <c r="C162" s="335">
        <v>42349</v>
      </c>
      <c r="D162" s="386">
        <v>1959547</v>
      </c>
      <c r="E162" s="386"/>
      <c r="F162" s="335">
        <v>42349</v>
      </c>
      <c r="G162" s="386">
        <v>7331360</v>
      </c>
      <c r="H162" s="386"/>
      <c r="I162" s="198" t="s">
        <v>533</v>
      </c>
    </row>
    <row r="163" spans="1:10" ht="14.25" x14ac:dyDescent="0.2">
      <c r="A163" s="248" t="s">
        <v>523</v>
      </c>
      <c r="B163" s="206">
        <f>1025315917/1000</f>
        <v>1025315.917</v>
      </c>
      <c r="C163" s="335">
        <v>42122</v>
      </c>
      <c r="D163" s="386">
        <f>2513652909/1000000</f>
        <v>2513.6529089999999</v>
      </c>
      <c r="E163" s="386"/>
      <c r="F163" s="335">
        <v>42349</v>
      </c>
      <c r="G163" s="386">
        <v>9748834</v>
      </c>
      <c r="H163" s="386"/>
      <c r="I163" s="205" t="s">
        <v>131</v>
      </c>
    </row>
    <row r="164" spans="1:10" ht="14.25" x14ac:dyDescent="0.2">
      <c r="A164" s="248" t="s">
        <v>522</v>
      </c>
      <c r="B164" s="206">
        <f>70020093870/1000000</f>
        <v>70020.093869999997</v>
      </c>
      <c r="C164" s="335">
        <v>42901</v>
      </c>
      <c r="D164" s="386">
        <v>165827</v>
      </c>
      <c r="E164" s="386"/>
      <c r="F164" s="335">
        <v>42631</v>
      </c>
      <c r="G164" s="386">
        <v>612552</v>
      </c>
      <c r="H164" s="386"/>
      <c r="I164" s="205" t="s">
        <v>533</v>
      </c>
    </row>
    <row r="165" spans="1:10" ht="14.25" x14ac:dyDescent="0.2">
      <c r="A165" s="248" t="s">
        <v>498</v>
      </c>
      <c r="B165" s="199">
        <f>15631907253004/1000000000000</f>
        <v>15.631907253004</v>
      </c>
      <c r="C165" s="335">
        <v>42447</v>
      </c>
      <c r="D165" s="206"/>
      <c r="E165" s="205"/>
      <c r="F165" s="206"/>
      <c r="G165" s="205"/>
      <c r="H165" s="305"/>
      <c r="I165" s="305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Jun 2017</v>
      </c>
      <c r="G177" s="125"/>
      <c r="H177" s="125"/>
    </row>
    <row r="178" spans="1:11" ht="12.75" customHeight="1" x14ac:dyDescent="0.2">
      <c r="F178" s="368" t="s">
        <v>200</v>
      </c>
      <c r="G178" s="368"/>
      <c r="H178" s="368"/>
    </row>
    <row r="179" spans="1:11" x14ac:dyDescent="0.2">
      <c r="F179" s="368"/>
      <c r="G179" s="368"/>
      <c r="H179" s="368"/>
    </row>
    <row r="180" spans="1:11" x14ac:dyDescent="0.2">
      <c r="K180" s="126"/>
    </row>
    <row r="181" spans="1:11" ht="13.5" thickBot="1" x14ac:dyDescent="0.25">
      <c r="A181" s="116" t="str">
        <f>"Position in the world league in "&amp;TEXT(DATE(YEAR(H3),MONTH(H3)-1,DAY(H3)),"MMMM") &amp;" "&amp; TEXT(H3,"YYYY")&amp;" (based on the WFE statistics)"</f>
        <v>Position in the world league in May 2017 (based on the WFE statistics)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81"/>
      <c r="B182" s="281"/>
      <c r="C182" s="281"/>
      <c r="D182" s="281"/>
      <c r="E182" s="319"/>
      <c r="F182" s="377" t="s">
        <v>209</v>
      </c>
      <c r="G182" s="377"/>
      <c r="H182" s="377"/>
      <c r="I182" s="377"/>
    </row>
    <row r="183" spans="1:11" ht="15.75" thickBot="1" x14ac:dyDescent="0.3">
      <c r="A183" s="295"/>
      <c r="B183" s="320" t="str">
        <f>TEXT(DATE(2000,TEXT(H3,"M")-1,1),"mmm")&amp; " "&amp; TEXT(H3,"YYYY")</f>
        <v>May 2017</v>
      </c>
      <c r="C183" s="284" t="s">
        <v>16</v>
      </c>
      <c r="D183" s="320" t="str">
        <f>TEXT(DATE(2000,TEXT(H3,"M")-1,1),"mmm")&amp; " "&amp; TEXT(H3,"YYYY")-1</f>
        <v>May 2016</v>
      </c>
      <c r="E183" s="321" t="s">
        <v>16</v>
      </c>
      <c r="F183" s="295">
        <f>TEXT($H$3,"YYYY")-1</f>
        <v>2016</v>
      </c>
      <c r="G183" s="284">
        <f>TEXT($H$3,"YYYY")-2</f>
        <v>2015</v>
      </c>
      <c r="H183" s="295">
        <f>TEXT($H$3,"YYYY")-3</f>
        <v>2014</v>
      </c>
      <c r="I183" s="284">
        <f>TEXT($H$3,"YYYY")-4</f>
        <v>2013</v>
      </c>
    </row>
    <row r="184" spans="1:11" ht="14.25" x14ac:dyDescent="0.2">
      <c r="A184" s="248" t="s">
        <v>17</v>
      </c>
      <c r="B184" s="361">
        <v>1064733.4721586599</v>
      </c>
      <c r="C184" s="345">
        <v>17</v>
      </c>
      <c r="D184" s="361">
        <v>982528</v>
      </c>
      <c r="E184" s="345">
        <v>17</v>
      </c>
      <c r="F184" s="305">
        <v>17</v>
      </c>
      <c r="G184" s="345">
        <v>18</v>
      </c>
      <c r="H184" s="305">
        <v>17</v>
      </c>
      <c r="I184" s="345">
        <v>19</v>
      </c>
      <c r="K184" s="126"/>
    </row>
    <row r="185" spans="1:11" ht="14.25" x14ac:dyDescent="0.2">
      <c r="A185" s="248" t="s">
        <v>18</v>
      </c>
      <c r="B185" s="361">
        <v>33079.931350114421</v>
      </c>
      <c r="C185" s="345">
        <v>20</v>
      </c>
      <c r="D185" s="361">
        <v>62277</v>
      </c>
      <c r="E185" s="345">
        <v>21</v>
      </c>
      <c r="F185" s="305">
        <v>21</v>
      </c>
      <c r="G185" s="345">
        <v>20</v>
      </c>
      <c r="H185" s="305">
        <v>24</v>
      </c>
      <c r="I185" s="345">
        <v>22</v>
      </c>
      <c r="K185" s="262"/>
    </row>
    <row r="186" spans="1:11" ht="14.25" x14ac:dyDescent="0.2">
      <c r="A186" s="248" t="s">
        <v>164</v>
      </c>
      <c r="B186" s="367">
        <v>33.33</v>
      </c>
      <c r="C186" s="345">
        <v>31</v>
      </c>
      <c r="D186" s="367">
        <v>37.6</v>
      </c>
      <c r="E186" s="345">
        <v>30</v>
      </c>
      <c r="F186" s="305">
        <v>25</v>
      </c>
      <c r="G186" s="345">
        <v>22</v>
      </c>
      <c r="H186" s="305">
        <v>29</v>
      </c>
      <c r="I186" s="345">
        <v>26</v>
      </c>
      <c r="K186" s="262"/>
    </row>
    <row r="187" spans="1:11" ht="14.25" x14ac:dyDescent="0.2">
      <c r="A187" s="248" t="s">
        <v>165</v>
      </c>
      <c r="B187" s="367">
        <v>35.200000000000003</v>
      </c>
      <c r="C187" s="345">
        <v>33</v>
      </c>
      <c r="D187" s="367">
        <v>35.700000000000003</v>
      </c>
      <c r="E187" s="345">
        <v>27</v>
      </c>
      <c r="F187" s="305">
        <v>28</v>
      </c>
      <c r="G187" s="345">
        <v>22</v>
      </c>
      <c r="H187" s="305">
        <v>29</v>
      </c>
      <c r="I187" s="345">
        <v>30</v>
      </c>
      <c r="K187" s="262"/>
    </row>
    <row r="188" spans="1:11" ht="13.5" thickBot="1" x14ac:dyDescent="0.25">
      <c r="A188" s="108"/>
      <c r="B188" s="143"/>
      <c r="C188" s="144"/>
      <c r="D188" s="143"/>
      <c r="E188" s="144"/>
      <c r="F188" s="108"/>
      <c r="G188" s="144"/>
      <c r="H188" s="108"/>
      <c r="I188" s="144"/>
      <c r="K188" s="262"/>
    </row>
    <row r="189" spans="1:11" ht="13.5" thickTop="1" x14ac:dyDescent="0.2">
      <c r="A189" s="18" t="s">
        <v>19</v>
      </c>
      <c r="B189" s="18"/>
      <c r="D189" s="27"/>
      <c r="E189" s="49"/>
      <c r="K189" s="262"/>
    </row>
    <row r="190" spans="1:11" x14ac:dyDescent="0.2">
      <c r="A190" s="18" t="s">
        <v>20</v>
      </c>
      <c r="B190" s="36"/>
      <c r="K190" s="262"/>
    </row>
    <row r="191" spans="1:11" x14ac:dyDescent="0.2">
      <c r="K191" s="262"/>
    </row>
    <row r="192" spans="1:11" x14ac:dyDescent="0.2">
      <c r="A192" s="124" t="s">
        <v>166</v>
      </c>
      <c r="K192" s="262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3"/>
      <c r="G194" s="281"/>
      <c r="H194" s="281"/>
      <c r="I194" s="281"/>
    </row>
    <row r="195" spans="1:9" ht="15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3"/>
      <c r="G195" s="281"/>
      <c r="H195" s="281"/>
      <c r="I195" s="281"/>
    </row>
    <row r="196" spans="1:9" ht="15.75" thickBot="1" x14ac:dyDescent="0.3">
      <c r="A196" s="295"/>
      <c r="B196" s="282" t="str">
        <f>TEXT($H$3,"MMM")&amp;" "&amp;TEXT($H$3,"YYYY")</f>
        <v>Jun 2017</v>
      </c>
      <c r="C196" s="282" t="str">
        <f>TEXT($H$3,"YYYY")</f>
        <v>2017</v>
      </c>
      <c r="D196" s="282">
        <f>TEXT($H$3,"YYYY")-1</f>
        <v>2016</v>
      </c>
      <c r="E196" s="284" t="s">
        <v>6</v>
      </c>
      <c r="F196" s="284">
        <f>TEXT($H$3,"YYYY")-1</f>
        <v>2016</v>
      </c>
      <c r="G196" s="284">
        <f>TEXT($H$3,"YYYY")-2</f>
        <v>2015</v>
      </c>
      <c r="H196" s="284">
        <f>TEXT($H$3,"YYYY")-3</f>
        <v>2014</v>
      </c>
      <c r="I196" s="284">
        <f>TEXT($H$3,"YYYY")-4</f>
        <v>2013</v>
      </c>
    </row>
    <row r="197" spans="1:9" ht="14.25" x14ac:dyDescent="0.2">
      <c r="A197" s="248" t="s">
        <v>21</v>
      </c>
      <c r="B197" s="195">
        <f>SUMIF(Data!$DG$1:$DG$15,"AS",Data!$DH$1:$DH$15)/1000000</f>
        <v>1628.2000040999999</v>
      </c>
      <c r="C197" s="361">
        <f>SUMIF(Data!$DJ$1:$DJ$15,"AS",Data!$DK$1:$DK$15)/1000000</f>
        <v>6431.9880408100007</v>
      </c>
      <c r="D197" s="361">
        <f>SUMIF(Data!$DM$1:$DM$15,"AS",Data!$DN$1:$DN$15)/1000000</f>
        <v>6127.6138558699995</v>
      </c>
      <c r="E197" s="363">
        <f>IFERROR(IF(OR(AND(D197="",C197=""),AND(D197=0,C197=0)),0,
IF(OR(D197="",D197=0),1,
IF(OR(D197&lt;&gt;"",D197&lt;&gt;0),(C197-D197)/ABS(D197)))),-1)</f>
        <v>4.9672546622438259E-2</v>
      </c>
      <c r="F197" s="206">
        <v>13085</v>
      </c>
      <c r="G197" s="361">
        <v>93130</v>
      </c>
      <c r="H197" s="361">
        <v>33385</v>
      </c>
      <c r="I197" s="361">
        <v>38563</v>
      </c>
    </row>
    <row r="198" spans="1:9" ht="14.25" x14ac:dyDescent="0.2">
      <c r="A198" s="248" t="s">
        <v>22</v>
      </c>
      <c r="B198" s="195">
        <f>(SUMIF(Data!$DG$1:$DG$15,"RT",Data!$DH$1:$DH$15)+SUMIF(Data!$DG$1:$DG$15,"TU",Data!$DH$1:$DH$15))/1000000</f>
        <v>15436.01821536</v>
      </c>
      <c r="C198" s="361">
        <f>(SUMIF(Data!$DJ$1:$DJ$15,"RT",Data!$DK$1:$DK$15)+SUMIF(Data!$DJ$1:$DJ$15,"TU",Data!$DK$1:$DK$15))/1000000</f>
        <v>26687.560950070001</v>
      </c>
      <c r="D198" s="361">
        <f>(SUMIF(Data!$DM$1:$DM$15,"RT",Data!$DN$1:$DN$15)+SUMIF(Data!$DM$1:$DM$15,"TU",Data!$DN$1:$DN$15))/1000000</f>
        <v>6914.9672163800005</v>
      </c>
      <c r="E198" s="363">
        <f t="shared" ref="E198:E201" si="16">IFERROR(IF(OR(AND(D198="",C198=""),AND(D198=0,C198=0)),0,
IF(OR(D198="",D198=0),1,
IF(OR(D198&lt;&gt;"",D198&lt;&gt;0),(C198-D198)/ABS(D198)))),-1)</f>
        <v>2.8593908134304931</v>
      </c>
      <c r="F198" s="206">
        <v>24160</v>
      </c>
      <c r="G198" s="361">
        <v>35842</v>
      </c>
      <c r="H198" s="361">
        <v>43473</v>
      </c>
      <c r="I198" s="361">
        <v>15510</v>
      </c>
    </row>
    <row r="199" spans="1:9" ht="14.25" x14ac:dyDescent="0.2">
      <c r="A199" s="248" t="s">
        <v>176</v>
      </c>
      <c r="B199" s="195">
        <v>0</v>
      </c>
      <c r="C199" s="361">
        <v>0</v>
      </c>
      <c r="D199" s="361">
        <v>0</v>
      </c>
      <c r="E199" s="363">
        <f t="shared" si="16"/>
        <v>0</v>
      </c>
      <c r="F199" s="206" t="s">
        <v>534</v>
      </c>
      <c r="G199" s="185" t="s">
        <v>535</v>
      </c>
      <c r="H199" s="185" t="s">
        <v>535</v>
      </c>
      <c r="I199" s="185" t="s">
        <v>534</v>
      </c>
    </row>
    <row r="200" spans="1:9" ht="14.25" x14ac:dyDescent="0.2">
      <c r="A200" s="248" t="s">
        <v>23</v>
      </c>
      <c r="B200" s="195">
        <f>(SUMIF(Data!$DG$1:$DG$15,"SO",Data!$DH$1:$DH$15)+SUMIF(Data!$DG$1:$DG$15,"SS",Data!$DH$1:$DH$15))/1000000</f>
        <v>1772.4529671999999</v>
      </c>
      <c r="C200" s="361">
        <f>(SUMIF(Data!$DJ$1:$DJ$15,"SO",Data!$DK$1:$DK$15)+SUMIF(Data!$DJ$1:$DJ$15,"SS",Data!$DK$1:$DK$15))/1000000</f>
        <v>5597.2999233399996</v>
      </c>
      <c r="D200" s="361">
        <f>(SUMIF(Data!$DM$1:$DM$15,"SO",Data!$DN$1:$DN$15)+SUMIF(Data!$DM$1:$DM$15,"SS",Data!$DN$1:$DN$15))/1000000</f>
        <v>5380.3842122300002</v>
      </c>
      <c r="E200" s="363">
        <f t="shared" si="16"/>
        <v>4.0316026245288281E-2</v>
      </c>
      <c r="F200" s="206">
        <v>9374</v>
      </c>
      <c r="G200" s="361">
        <v>11688</v>
      </c>
      <c r="H200" s="361">
        <v>9553</v>
      </c>
      <c r="I200" s="361">
        <v>8322</v>
      </c>
    </row>
    <row r="201" spans="1:9" ht="14.25" x14ac:dyDescent="0.2">
      <c r="A201" s="248" t="s">
        <v>24</v>
      </c>
      <c r="B201" s="195">
        <f>(SUMIF(Data!$DG$1:$DG$15,"SI",Data!$DH$1:$DH$15)+SUMIF(Data!$DG$1:$DG$15,"GI",Data!$DH$1:$DH$15))/1000000</f>
        <v>640.28966823000007</v>
      </c>
      <c r="C201" s="361">
        <f>(SUMIF(Data!$DJ$1:$DJ$15,"SI",Data!$DK$1:$DK$15)+SUMIF(Data!$DJ$1:$DJ$15,"GI",Data!$DK$1:$DK$15))/1000000</f>
        <v>13883.539489470002</v>
      </c>
      <c r="D201" s="361">
        <f>(SUMIF(Data!$DM$1:$DM$15,"SI",Data!$DN$1:$DN$15)+SUMIF(Data!$DM$1:$DM$15,"GI",Data!$DN$1:$DN$15))/1000000</f>
        <v>20973.961557580002</v>
      </c>
      <c r="E201" s="363">
        <f t="shared" si="16"/>
        <v>-0.33805831333506553</v>
      </c>
      <c r="F201" s="206">
        <v>69649</v>
      </c>
      <c r="G201" s="361">
        <v>109530</v>
      </c>
      <c r="H201" s="361">
        <v>66949</v>
      </c>
      <c r="I201" s="361">
        <v>30691</v>
      </c>
    </row>
    <row r="202" spans="1:9" ht="15" x14ac:dyDescent="0.25">
      <c r="A202" s="288" t="s">
        <v>25</v>
      </c>
      <c r="B202" s="362">
        <f>SUM(B197:B201)</f>
        <v>19476.96085489</v>
      </c>
      <c r="C202" s="362">
        <f>SUM(C197:C201)</f>
        <v>52600.388403689998</v>
      </c>
      <c r="D202" s="362">
        <f>SUM(D197:D201)</f>
        <v>39396.926842059998</v>
      </c>
      <c r="E202" s="364">
        <f>IFERROR(IF(OR(AND(D202="",C202=""),AND(D202=0,C202=0)),0,
IF(OR(D202="",D202=0),1,
IF(OR(D202&lt;&gt;"",D202&lt;&gt;0),(C202-D202)/ABS(D202)))),-1)</f>
        <v>0.33513937811855005</v>
      </c>
      <c r="F202" s="362">
        <v>116269</v>
      </c>
      <c r="G202" s="362">
        <v>250190</v>
      </c>
      <c r="H202" s="362">
        <v>153360</v>
      </c>
      <c r="I202" s="362">
        <v>93086</v>
      </c>
    </row>
    <row r="203" spans="1:9" ht="13.5" thickBot="1" x14ac:dyDescent="0.25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81"/>
      <c r="B207" s="280" t="s">
        <v>1</v>
      </c>
      <c r="C207" s="280" t="s">
        <v>181</v>
      </c>
      <c r="D207" s="280" t="s">
        <v>181</v>
      </c>
      <c r="E207" s="280" t="s">
        <v>27</v>
      </c>
      <c r="F207" s="323"/>
      <c r="G207" s="281"/>
      <c r="H207" s="281"/>
      <c r="I207" s="281"/>
    </row>
    <row r="208" spans="1:9" ht="15" x14ac:dyDescent="0.25">
      <c r="A208" s="281"/>
      <c r="B208" s="280" t="s">
        <v>3</v>
      </c>
      <c r="C208" s="280" t="s">
        <v>180</v>
      </c>
      <c r="D208" s="280" t="s">
        <v>180</v>
      </c>
      <c r="E208" s="280" t="s">
        <v>5</v>
      </c>
      <c r="F208" s="323"/>
      <c r="G208" s="281"/>
      <c r="H208" s="281"/>
      <c r="I208" s="281"/>
    </row>
    <row r="209" spans="1:9" ht="15.75" thickBot="1" x14ac:dyDescent="0.3">
      <c r="A209" s="295"/>
      <c r="B209" s="282" t="str">
        <f>TEXT($H$3,"MMM")&amp;" "&amp;TEXT($H$3,"YYYY")</f>
        <v>Jun 2017</v>
      </c>
      <c r="C209" s="282" t="str">
        <f>TEXT($H$3,"YYYY")</f>
        <v>2017</v>
      </c>
      <c r="D209" s="282">
        <f>TEXT($H$3,"YYYY")-1</f>
        <v>2016</v>
      </c>
      <c r="E209" s="284" t="s">
        <v>6</v>
      </c>
      <c r="F209" s="284">
        <f>TEXT($H$3,"YYYY")-1</f>
        <v>2016</v>
      </c>
      <c r="G209" s="284">
        <f>TEXT($H$3,"YYYY")-2</f>
        <v>2015</v>
      </c>
      <c r="H209" s="284">
        <f>TEXT($H$3,"YYYY")-3</f>
        <v>2014</v>
      </c>
      <c r="I209" s="284">
        <f>TEXT($H$3,"YYYY")-4</f>
        <v>2013</v>
      </c>
    </row>
    <row r="210" spans="1:9" ht="14.25" x14ac:dyDescent="0.2">
      <c r="A210" s="248" t="s">
        <v>172</v>
      </c>
      <c r="B210" s="286">
        <v>0.45660000000000001</v>
      </c>
      <c r="C210" s="286">
        <v>0.38619999999999999</v>
      </c>
      <c r="D210" s="286">
        <v>0.41399999999999998</v>
      </c>
      <c r="E210" s="286">
        <f>IFERROR(IF(OR(AND(D210="",C210=""),AND(D210=0,C210=0)),"",
IF(OR(D210="",D210=0),1,
IF(OR(D210&lt;&gt;"",D210&lt;&gt;0),(C210-D210)/ABS(D210)))),-1)</f>
        <v>-6.7149758454106256E-2</v>
      </c>
      <c r="F210" s="324">
        <v>34.9</v>
      </c>
      <c r="G210" s="324">
        <v>42.8</v>
      </c>
      <c r="H210" s="324">
        <v>36.6</v>
      </c>
      <c r="I210" s="324">
        <v>39.4</v>
      </c>
    </row>
    <row r="211" spans="1:9" ht="14.25" x14ac:dyDescent="0.2">
      <c r="A211" s="247" t="s">
        <v>173</v>
      </c>
      <c r="B211" s="286">
        <v>0.41389999999999999</v>
      </c>
      <c r="C211" s="286">
        <v>0.36149999999999999</v>
      </c>
      <c r="D211" s="286">
        <v>0.38640000000000002</v>
      </c>
      <c r="E211" s="286">
        <f>IFERROR(IF(OR(AND(D211="",C211=""),AND(D211=0,C211=0)),"",
IF(OR(D211="",D211=0),1,
IF(OR(D211&lt;&gt;"",D211&lt;&gt;0),(C211-D211)/ABS(D211)))),-1)</f>
        <v>-6.4440993788819956E-2</v>
      </c>
      <c r="F211" s="324">
        <v>32.6</v>
      </c>
      <c r="G211" s="324">
        <v>39.9</v>
      </c>
      <c r="H211" s="324">
        <v>33.9</v>
      </c>
      <c r="I211" s="324">
        <v>33</v>
      </c>
    </row>
    <row r="212" spans="1:9" ht="13.5" thickBot="1" x14ac:dyDescent="0.25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5" thickTop="1" x14ac:dyDescent="0.2">
      <c r="A213" s="18" t="s">
        <v>662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81"/>
      <c r="B217" s="280" t="s">
        <v>1</v>
      </c>
      <c r="C217" s="280" t="s">
        <v>181</v>
      </c>
      <c r="D217" s="280" t="s">
        <v>181</v>
      </c>
      <c r="E217" s="280" t="s">
        <v>27</v>
      </c>
      <c r="F217" s="323"/>
      <c r="G217" s="281"/>
      <c r="H217" s="281"/>
      <c r="I217" s="281"/>
    </row>
    <row r="218" spans="1:9" ht="15" x14ac:dyDescent="0.25">
      <c r="A218" s="281"/>
      <c r="B218" s="280" t="s">
        <v>3</v>
      </c>
      <c r="C218" s="280" t="s">
        <v>4</v>
      </c>
      <c r="D218" s="280" t="s">
        <v>180</v>
      </c>
      <c r="E218" s="280" t="s">
        <v>5</v>
      </c>
      <c r="F218" s="323"/>
      <c r="G218" s="281"/>
      <c r="H218" s="281"/>
      <c r="I218" s="281"/>
    </row>
    <row r="219" spans="1:9" ht="15.75" thickBot="1" x14ac:dyDescent="0.3">
      <c r="A219" s="295"/>
      <c r="B219" s="282" t="str">
        <f>TEXT($H$3,"MMM")&amp;" "&amp;TEXT($H$3,"YYYY")</f>
        <v>Jun 2017</v>
      </c>
      <c r="C219" s="282" t="str">
        <f>TEXT($H$3,"YYYY")</f>
        <v>2017</v>
      </c>
      <c r="D219" s="282">
        <f>TEXT($H$3,"YYYY")-1</f>
        <v>2016</v>
      </c>
      <c r="E219" s="284" t="s">
        <v>6</v>
      </c>
      <c r="F219" s="284">
        <f>TEXT($H$3,"YYYY")-1</f>
        <v>2016</v>
      </c>
      <c r="G219" s="284">
        <f>TEXT($H$3,"YYYY")-2</f>
        <v>2015</v>
      </c>
      <c r="H219" s="284">
        <f>TEXT($H$3,"YYYY")-3</f>
        <v>2014</v>
      </c>
      <c r="I219" s="284">
        <f>TEXT($H$3,"YYYY")-4</f>
        <v>2013</v>
      </c>
    </row>
    <row r="220" spans="1:9" ht="15" x14ac:dyDescent="0.25">
      <c r="A220" s="314" t="s">
        <v>192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4.25" x14ac:dyDescent="0.2">
      <c r="A221" s="248" t="s">
        <v>29</v>
      </c>
      <c r="B221" s="249">
        <f ca="1">SUMIF(Data!$BT$1:$BT$7,"&lt;&gt;AltX",Data!$BU$1:$BU$6)</f>
        <v>328</v>
      </c>
      <c r="C221" s="249">
        <f>SUMIF(Data!$BT$9:$BT$14,"&lt;&gt;AltX",Data!BU9:BU14)</f>
        <v>328</v>
      </c>
      <c r="D221" s="249">
        <f>SUMIF(Data!$BT$17:$BT$23,"&lt;&gt;AltX",Data!$BU$17:$BU$24)</f>
        <v>326</v>
      </c>
      <c r="E221" s="286">
        <f>IFERROR(IF(OR(AND(D221="",C221=""),AND(D221=0,C221=0)),"",
IF(OR(D221="",D221=0),1,
IF(OR(D221&lt;&gt;"",D221&lt;&gt;0),(C221-D221)/ABS(D221)))),-1)</f>
        <v>6.1349693251533744E-3</v>
      </c>
      <c r="F221" s="249">
        <v>328</v>
      </c>
      <c r="G221" s="249">
        <v>331</v>
      </c>
      <c r="H221" s="249">
        <v>333</v>
      </c>
      <c r="I221" s="249">
        <v>329</v>
      </c>
    </row>
    <row r="222" spans="1:9" ht="14.25" x14ac:dyDescent="0.2">
      <c r="A222" s="248" t="s">
        <v>30</v>
      </c>
      <c r="B222" s="249">
        <f ca="1">SUMIF(Data!$BT$1:$BT$7,"&lt;&gt;AltX",Data!$BV$1:$BV$6)</f>
        <v>1</v>
      </c>
      <c r="C222" s="249">
        <f>SUMIF(Data!$BT$9:$BT$14,"&lt;&gt;AltX",Data!BV9:BV14)</f>
        <v>4</v>
      </c>
      <c r="D222" s="249">
        <f>SUMIF(Data!$BT$17:$BT$23,"&lt;&gt;AltX",Data!$BV$17:$BV$23)</f>
        <v>4</v>
      </c>
      <c r="E222" s="286">
        <f t="shared" ref="E222:E223" si="17">IFERROR(IF(OR(AND(D222="",C222=""),AND(D222=0,C222=0)),"",
IF(OR(D222="",D222=0),1,
IF(OR(D222&lt;&gt;"",D222&lt;&gt;0),(C222-D222)/ABS(D222)))),-1)</f>
        <v>0</v>
      </c>
      <c r="F222" s="249">
        <v>11</v>
      </c>
      <c r="G222" s="249">
        <v>15</v>
      </c>
      <c r="H222" s="249">
        <v>18</v>
      </c>
      <c r="I222" s="249">
        <v>8</v>
      </c>
    </row>
    <row r="223" spans="1:9" ht="14.25" x14ac:dyDescent="0.2">
      <c r="A223" s="248" t="s">
        <v>31</v>
      </c>
      <c r="B223" s="249">
        <v>2</v>
      </c>
      <c r="C223" s="249">
        <f>SUMIF(Data!$BT$9:$BT$14,"&lt;&gt;AltX",Data!BW9:BW14)</f>
        <v>8</v>
      </c>
      <c r="D223" s="249">
        <f>SUMIF(Data!$BT$17:$BT$23,"&lt;&gt;AltX",Data!$BW$17:$BW$23)</f>
        <v>10</v>
      </c>
      <c r="E223" s="286">
        <f t="shared" si="17"/>
        <v>-0.2</v>
      </c>
      <c r="F223" s="249">
        <v>17</v>
      </c>
      <c r="G223" s="249">
        <v>18</v>
      </c>
      <c r="H223" s="249">
        <v>20</v>
      </c>
      <c r="I223" s="249">
        <v>18</v>
      </c>
    </row>
    <row r="224" spans="1:9" ht="14.25" x14ac:dyDescent="0.2">
      <c r="A224" s="248"/>
      <c r="B224" s="249"/>
      <c r="C224" s="249"/>
      <c r="D224" s="249"/>
      <c r="E224" s="325"/>
      <c r="F224" s="249"/>
      <c r="G224" s="249"/>
      <c r="H224" s="249"/>
      <c r="I224" s="249"/>
    </row>
    <row r="225" spans="1:9" ht="15" x14ac:dyDescent="0.25">
      <c r="A225" s="288" t="s">
        <v>139</v>
      </c>
      <c r="B225" s="249"/>
      <c r="C225" s="249"/>
      <c r="D225" s="249"/>
      <c r="E225" s="325"/>
      <c r="F225" s="249"/>
      <c r="G225" s="249"/>
      <c r="H225" s="249"/>
      <c r="I225" s="249"/>
    </row>
    <row r="226" spans="1:9" ht="14.25" x14ac:dyDescent="0.2">
      <c r="A226" s="248" t="s">
        <v>29</v>
      </c>
      <c r="B226" s="249">
        <v>58</v>
      </c>
      <c r="C226" s="249">
        <v>58</v>
      </c>
      <c r="D226" s="249">
        <f>SUMIF(Data!$BT$17:$BT$23,"AltX",Data!$BU$17:$BU$24)</f>
        <v>60</v>
      </c>
      <c r="E226" s="286">
        <f t="shared" ref="E226:E227" si="18">IFERROR(IF(OR(AND(D226="",C226=""),AND(D226=0,C226=0)),"",
IF(OR(D226="",D226=0),1,
IF(OR(D226&lt;&gt;"",D226&lt;&gt;0),(C226-D226)/ABS(D226)))),-1)</f>
        <v>-3.3333333333333333E-2</v>
      </c>
      <c r="F226" s="249">
        <v>60</v>
      </c>
      <c r="G226" s="249">
        <v>64</v>
      </c>
      <c r="H226" s="249">
        <v>58</v>
      </c>
      <c r="I226" s="249">
        <v>60</v>
      </c>
    </row>
    <row r="227" spans="1:9" ht="14.25" x14ac:dyDescent="0.2">
      <c r="A227" s="248" t="s">
        <v>30</v>
      </c>
      <c r="B227" s="249">
        <f ca="1">SUMIF(Data!$BT$1:$BT$7,"AltX",Data!$BV$1:$BV$6)</f>
        <v>2</v>
      </c>
      <c r="C227" s="249">
        <f>SUMIF(Data!$BT$9:$BT$14,"AltX",Data!BV9:BV14)</f>
        <v>4</v>
      </c>
      <c r="D227" s="249">
        <f>SUMIF(Data!$BT$17:$BT$23,"AltX",Data!$BV$17:$BV$23)</f>
        <v>2</v>
      </c>
      <c r="E227" s="286">
        <f t="shared" si="18"/>
        <v>1</v>
      </c>
      <c r="F227" s="249">
        <v>7</v>
      </c>
      <c r="G227" s="249">
        <v>8</v>
      </c>
      <c r="H227" s="249">
        <v>6</v>
      </c>
      <c r="I227" s="249">
        <v>5</v>
      </c>
    </row>
    <row r="228" spans="1:9" ht="14.25" x14ac:dyDescent="0.2">
      <c r="A228" s="248" t="s">
        <v>31</v>
      </c>
      <c r="B228" s="249">
        <v>0</v>
      </c>
      <c r="C228" s="249">
        <f>SUMIF(Data!$BT$9:$BT$14,"AltX",Data!BW9:BW14)</f>
        <v>3</v>
      </c>
      <c r="D228" s="249">
        <f>SUMIF(Data!$BT$17:$BT$23,"AltX",Data!$BW$17:$BW$23)</f>
        <v>5</v>
      </c>
      <c r="E228" s="286">
        <f t="shared" ref="E228" si="19">IFERROR(IF(OR(AND(C228="",B228=""),AND(C228=0,B228=0)),"",
IF(OR(C228="",C228=0),1,
IF(OR(C228&lt;&gt;"",C228&lt;&gt;0),(B228-C228)/ABS(C228)))),-1)</f>
        <v>-1</v>
      </c>
      <c r="F228" s="249">
        <v>8</v>
      </c>
      <c r="G228" s="249">
        <v>1</v>
      </c>
      <c r="H228" s="249">
        <v>2</v>
      </c>
      <c r="I228" s="249">
        <v>8</v>
      </c>
    </row>
    <row r="229" spans="1:9" ht="14.25" x14ac:dyDescent="0.2">
      <c r="A229" s="248"/>
      <c r="B229" s="249"/>
      <c r="C229" s="249"/>
      <c r="D229" s="249"/>
      <c r="E229" s="325"/>
      <c r="F229" s="249"/>
      <c r="G229" s="249"/>
      <c r="H229" s="249"/>
      <c r="I229" s="249"/>
    </row>
    <row r="230" spans="1:9" ht="15" x14ac:dyDescent="0.25">
      <c r="A230" s="288" t="s">
        <v>32</v>
      </c>
      <c r="B230" s="249"/>
      <c r="C230" s="249"/>
      <c r="D230" s="249"/>
      <c r="E230" s="325"/>
      <c r="F230" s="249"/>
      <c r="G230" s="249"/>
      <c r="H230" s="249"/>
      <c r="I230" s="249"/>
    </row>
    <row r="231" spans="1:9" ht="14.25" x14ac:dyDescent="0.2">
      <c r="A231" s="248" t="s">
        <v>30</v>
      </c>
      <c r="B231" s="249">
        <f t="shared" ref="B231:D232" ca="1" si="20">B222+B227</f>
        <v>3</v>
      </c>
      <c r="C231" s="249">
        <f t="shared" si="20"/>
        <v>8</v>
      </c>
      <c r="D231" s="249">
        <f t="shared" si="20"/>
        <v>6</v>
      </c>
      <c r="E231" s="286">
        <f t="shared" ref="E231:E237" si="21">IFERROR(IF(OR(AND(D231="",C231=""),AND(D231=0,C231=0)),"",
IF(OR(D231="",D231=0),1,
IF(OR(D231&lt;&gt;"",D231&lt;&gt;0),(C231-D231)/ABS(D231)))),-1)</f>
        <v>0.33333333333333331</v>
      </c>
      <c r="F231" s="249">
        <v>18</v>
      </c>
      <c r="G231" s="249">
        <v>23</v>
      </c>
      <c r="H231" s="249">
        <v>24</v>
      </c>
      <c r="I231" s="249">
        <v>13</v>
      </c>
    </row>
    <row r="232" spans="1:9" ht="14.25" x14ac:dyDescent="0.2">
      <c r="A232" s="248" t="s">
        <v>31</v>
      </c>
      <c r="B232" s="249">
        <v>2</v>
      </c>
      <c r="C232" s="249">
        <f t="shared" si="20"/>
        <v>11</v>
      </c>
      <c r="D232" s="249">
        <f t="shared" si="20"/>
        <v>15</v>
      </c>
      <c r="E232" s="286">
        <f>IFERROR(IF(OR(AND(D232="",C232=""),AND(D232=0,C232=0)),"",
IF(OR(D232="",D232=0),1,
IF(OR(D232&lt;&gt;"",D232&lt;&gt;0),(C232-D232)/ABS(D232)))),-1)</f>
        <v>-0.26666666666666666</v>
      </c>
      <c r="F232" s="249">
        <v>25</v>
      </c>
      <c r="G232" s="249">
        <v>19</v>
      </c>
      <c r="H232" s="249">
        <v>22</v>
      </c>
      <c r="I232" s="249">
        <v>26</v>
      </c>
    </row>
    <row r="233" spans="1:9" ht="14.25" x14ac:dyDescent="0.2">
      <c r="A233" s="248" t="s">
        <v>33</v>
      </c>
      <c r="B233" s="249">
        <f>SUM(Data!$CB$2:$CB$6)</f>
        <v>75</v>
      </c>
      <c r="C233" s="249">
        <f>SUM(Data!$CB$10:$CB$14)</f>
        <v>75</v>
      </c>
      <c r="D233" s="249">
        <f>SUM(Data!CB18:CB22)</f>
        <v>72</v>
      </c>
      <c r="E233" s="286">
        <f t="shared" si="21"/>
        <v>4.1666666666666664E-2</v>
      </c>
      <c r="F233" s="249">
        <v>76</v>
      </c>
      <c r="G233" s="249">
        <v>71</v>
      </c>
      <c r="H233" s="249">
        <v>62</v>
      </c>
      <c r="I233" s="249">
        <v>56</v>
      </c>
    </row>
    <row r="234" spans="1:9" ht="14.25" x14ac:dyDescent="0.2">
      <c r="A234" s="248" t="s">
        <v>34</v>
      </c>
      <c r="B234" s="249">
        <v>311</v>
      </c>
      <c r="C234" s="249">
        <v>311</v>
      </c>
      <c r="D234" s="249">
        <f>SUM(Data!CA18:CA22)</f>
        <v>314</v>
      </c>
      <c r="E234" s="286">
        <f t="shared" si="21"/>
        <v>-9.5541401273885346E-3</v>
      </c>
      <c r="F234" s="249">
        <v>312</v>
      </c>
      <c r="G234" s="249">
        <v>324</v>
      </c>
      <c r="H234" s="249">
        <v>329</v>
      </c>
      <c r="I234" s="249">
        <v>333</v>
      </c>
    </row>
    <row r="235" spans="1:9" ht="15" x14ac:dyDescent="0.25">
      <c r="A235" s="288" t="s">
        <v>35</v>
      </c>
      <c r="B235" s="250">
        <v>386</v>
      </c>
      <c r="C235" s="250">
        <f>C221+C226</f>
        <v>386</v>
      </c>
      <c r="D235" s="250">
        <f>D221+D226</f>
        <v>386</v>
      </c>
      <c r="E235" s="326">
        <f t="shared" si="21"/>
        <v>0</v>
      </c>
      <c r="F235" s="250">
        <v>388</v>
      </c>
      <c r="G235" s="250">
        <v>395</v>
      </c>
      <c r="H235" s="250">
        <v>391</v>
      </c>
      <c r="I235" s="250">
        <v>389</v>
      </c>
    </row>
    <row r="236" spans="1:9" ht="15" x14ac:dyDescent="0.25">
      <c r="A236" s="288"/>
      <c r="B236" s="249"/>
      <c r="C236" s="249"/>
      <c r="D236" s="250"/>
      <c r="E236" s="248"/>
      <c r="F236" s="249"/>
      <c r="G236" s="249"/>
      <c r="H236" s="249"/>
      <c r="I236" s="249"/>
    </row>
    <row r="237" spans="1:9" ht="15" x14ac:dyDescent="0.25">
      <c r="A237" s="288" t="s">
        <v>36</v>
      </c>
      <c r="B237" s="250">
        <f>Data!CD2</f>
        <v>821</v>
      </c>
      <c r="C237" s="250">
        <f>Data!CD2</f>
        <v>821</v>
      </c>
      <c r="D237" s="250">
        <f>Data!CD5</f>
        <v>814</v>
      </c>
      <c r="E237" s="326">
        <f t="shared" si="21"/>
        <v>8.5995085995085995E-3</v>
      </c>
      <c r="F237" s="250">
        <v>816</v>
      </c>
      <c r="G237" s="250">
        <v>858</v>
      </c>
      <c r="H237" s="250">
        <v>863</v>
      </c>
      <c r="I237" s="250">
        <v>881</v>
      </c>
    </row>
    <row r="238" spans="1:9" ht="15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5" x14ac:dyDescent="0.25">
      <c r="A239" s="246" t="s">
        <v>37</v>
      </c>
      <c r="B239" s="327">
        <f>Data!CE2/1000000000</f>
        <v>13656.559215086494</v>
      </c>
      <c r="C239" s="327"/>
      <c r="D239" s="327">
        <f>Data!CE5/1000000000</f>
        <v>15332.58016999953</v>
      </c>
      <c r="E239" s="326">
        <f>IFERROR(IF(OR(AND(D239="",B239=""),AND(D239=0,B239=0)),"",
IF(OR(D239="",D239=0),1,
IF(OR(D239&lt;&gt;"",D239&lt;&gt;0),(B239-D239)/ABS(D239)))),-1)</f>
        <v>-0.10931108373999698</v>
      </c>
      <c r="F239" s="327">
        <v>13580.6</v>
      </c>
      <c r="G239" s="327">
        <v>11727.6</v>
      </c>
      <c r="H239" s="327">
        <v>11505</v>
      </c>
      <c r="I239" s="327">
        <v>10626.2</v>
      </c>
    </row>
    <row r="240" spans="1:9" ht="13.5" thickBot="1" x14ac:dyDescent="0.25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5" thickTop="1" x14ac:dyDescent="0.2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45" spans="1:9" x14ac:dyDescent="0.2">
      <c r="B245" s="230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Jun 2017</v>
      </c>
      <c r="E262" s="368" t="s">
        <v>201</v>
      </c>
      <c r="F262" s="368"/>
      <c r="G262" s="368"/>
      <c r="H262" s="368"/>
      <c r="I262" s="125"/>
    </row>
    <row r="263" spans="1:13" ht="13.5" thickBot="1" x14ac:dyDescent="0.25">
      <c r="A263" s="116"/>
      <c r="B263" s="116"/>
      <c r="C263" s="116"/>
      <c r="D263" s="116"/>
      <c r="E263" s="369"/>
      <c r="F263" s="369"/>
      <c r="G263" s="369"/>
      <c r="H263" s="369"/>
      <c r="I263" s="116"/>
    </row>
    <row r="264" spans="1:13" ht="15" x14ac:dyDescent="0.25">
      <c r="A264" s="281"/>
      <c r="B264" s="281"/>
      <c r="C264" s="281"/>
      <c r="D264" s="181"/>
      <c r="E264" s="208"/>
      <c r="F264" s="328"/>
      <c r="G264" s="372" t="s">
        <v>203</v>
      </c>
      <c r="H264" s="372" t="s">
        <v>202</v>
      </c>
      <c r="I264" s="329"/>
    </row>
    <row r="265" spans="1:13" ht="12.75" customHeight="1" x14ac:dyDescent="0.25">
      <c r="A265" s="281"/>
      <c r="B265" s="281"/>
      <c r="C265" s="281"/>
      <c r="D265" s="181"/>
      <c r="E265" s="372" t="s">
        <v>40</v>
      </c>
      <c r="F265" s="378" t="str">
        <f>"Index Close   "&amp;TEXT($H$3,"MMM")&amp;" "&amp;TEXT($H$3,"YYYY")</f>
        <v>Index Close   Jun 2017</v>
      </c>
      <c r="G265" s="372"/>
      <c r="H265" s="372"/>
      <c r="I265" s="380" t="s">
        <v>41</v>
      </c>
    </row>
    <row r="266" spans="1:13" ht="15.75" thickBot="1" x14ac:dyDescent="0.3">
      <c r="A266" s="330"/>
      <c r="B266" s="331"/>
      <c r="C266" s="331"/>
      <c r="D266" s="197"/>
      <c r="E266" s="373"/>
      <c r="F266" s="379"/>
      <c r="G266" s="373"/>
      <c r="H266" s="373"/>
      <c r="I266" s="381"/>
    </row>
    <row r="267" spans="1:13" ht="15" x14ac:dyDescent="0.25">
      <c r="A267" s="332" t="s">
        <v>39</v>
      </c>
      <c r="B267" s="332"/>
      <c r="C267" s="332"/>
      <c r="D267" s="332"/>
      <c r="E267" s="332"/>
      <c r="F267" s="332"/>
      <c r="G267" s="332"/>
      <c r="H267" s="332"/>
      <c r="I267" s="332"/>
    </row>
    <row r="268" spans="1:13" ht="14.25" x14ac:dyDescent="0.2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51611.01355761</v>
      </c>
      <c r="G268" s="286">
        <f>IF(IFERROR(VLOOKUP(E268,Data!$O$23:$P$196,2,FALSE),0)=0,0,(F268-IFERROR(VLOOKUP(E268,Data!$O$23:$P$196,2,FALSE),0))/ABS(IFERROR(VLOOKUP(E268,Data!$O$23:$P$196,2,FALSE),0)))</f>
        <v>-3.6435093055318002E-2</v>
      </c>
      <c r="H268" s="184">
        <f>VLOOKUP(E268,Data!$B$23:$E$273,3,FALSE)</f>
        <v>55188.336977819999</v>
      </c>
      <c r="I268" s="333">
        <f>VLOOKUP(E268,Data!$B$23:$E$273,2,FALSE)</f>
        <v>42118</v>
      </c>
    </row>
    <row r="269" spans="1:13" ht="14.25" x14ac:dyDescent="0.2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70248.086111840006</v>
      </c>
      <c r="G269" s="286">
        <f>IF(IFERROR(VLOOKUP(E269,Data!$O$23:$P$196,2,FALSE),0)=0,0,(F269-IFERROR(VLOOKUP(E269,Data!$O$23:$P$196,2,FALSE),0))/ABS(IFERROR(VLOOKUP(E269,Data!$O$23:$P$196,2,FALSE),0)))</f>
        <v>-4.1605452627856955E-2</v>
      </c>
      <c r="H269" s="184">
        <f>VLOOKUP(E269,Data!$B$23:$E$273,3,FALSE)</f>
        <v>82603.124167989998</v>
      </c>
      <c r="I269" s="333">
        <f>VLOOKUP(E269,Data!$B$23:$E$273,2,FALSE)</f>
        <v>42594</v>
      </c>
      <c r="J269" s="157"/>
      <c r="M269" s="157"/>
    </row>
    <row r="270" spans="1:13" s="161" customFormat="1" ht="14.25" x14ac:dyDescent="0.2">
      <c r="A270" s="305" t="s">
        <v>46</v>
      </c>
      <c r="B270" s="305"/>
      <c r="C270" s="185"/>
      <c r="D270" s="185"/>
      <c r="E270" s="305" t="s">
        <v>47</v>
      </c>
      <c r="F270" s="185">
        <f>IFERROR(VLOOKUP(E270,Data!$G$23:$H$196,2,FALSE),0)</f>
        <v>58428.930359830003</v>
      </c>
      <c r="G270" s="334">
        <f>IF(IFERROR(VLOOKUP(E270,Data!$O$23:$P$196,2,FALSE),0)=0,0,(F270-IFERROR(VLOOKUP(E270,Data!$O$23:$P$196,2,FALSE),0))/ABS(IFERROR(VLOOKUP(E270,Data!$O$23:$P$196,2,FALSE),0)))</f>
        <v>-3.3281969741871358E-2</v>
      </c>
      <c r="H270" s="185">
        <f>VLOOKUP(E270,Data!$B$23:$E$273,3,FALSE)</f>
        <v>65469.71245626</v>
      </c>
      <c r="I270" s="335">
        <f>VLOOKUP(E270,Data!$B$23:$E$273,2,FALSE)</f>
        <v>42814</v>
      </c>
      <c r="K270" s="175"/>
      <c r="L270" s="175"/>
    </row>
    <row r="271" spans="1:13" ht="14.25" x14ac:dyDescent="0.2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7360.8699897099996</v>
      </c>
      <c r="G271" s="286">
        <f>IF(IFERROR(VLOOKUP(E271,Data!$O$23:$P$196,2,FALSE),0)=0,0,(F271-IFERROR(VLOOKUP(E271,Data!$O$23:$P$196,2,FALSE),0))/ABS(IFERROR(VLOOKUP(E271,Data!$O$23:$P$196,2,FALSE),0)))</f>
        <v>-2.1431757158968533E-3</v>
      </c>
      <c r="H271" s="184">
        <f>VLOOKUP(E271,Data!$B$23:$E$273,3,FALSE)</f>
        <v>8292.5284918300003</v>
      </c>
      <c r="I271" s="333">
        <f>VLOOKUP(E271,Data!$B$23:$E$273,2,FALSE)</f>
        <v>42783</v>
      </c>
      <c r="J271" s="157"/>
      <c r="M271" s="157"/>
    </row>
    <row r="272" spans="1:13" ht="14.25" x14ac:dyDescent="0.2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26194.81943517</v>
      </c>
      <c r="G272" s="286">
        <f>IF(IFERROR(VLOOKUP(E272,Data!$O$23:$P$196,2,FALSE),0)=0,0,(F272-IFERROR(VLOOKUP(E272,Data!$O$23:$P$196,2,FALSE),0))/ABS(IFERROR(VLOOKUP(E272,Data!$O$23:$P$196,2,FALSE),0)))</f>
        <v>-3.4891900801801275E-2</v>
      </c>
      <c r="H272" s="184">
        <f>VLOOKUP(E272,Data!$B$23:$E$273,3,FALSE)</f>
        <v>27992.528654580001</v>
      </c>
      <c r="I272" s="333">
        <f>VLOOKUP(E272,Data!$B$23:$E$273,2,FALSE)</f>
        <v>42118</v>
      </c>
      <c r="J272" s="157"/>
      <c r="M272" s="157"/>
    </row>
    <row r="273" spans="1:13" ht="14.25" x14ac:dyDescent="0.2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11488.26884868</v>
      </c>
      <c r="G273" s="286">
        <f>IF(IFERROR(VLOOKUP(E273,Data!$O$23:$P$196,2,FALSE),0)=0,0,(F273-IFERROR(VLOOKUP(E273,Data!$O$23:$P$196,2,FALSE),0))/ABS(IFERROR(VLOOKUP(E273,Data!$O$23:$P$196,2,FALSE),0)))</f>
        <v>-4.0210414971179761E-2</v>
      </c>
      <c r="H273" s="184">
        <f>VLOOKUP(E273,Data!$B$23:$E$273,3,FALSE)</f>
        <v>12381.899096659999</v>
      </c>
      <c r="I273" s="333">
        <f>VLOOKUP(E273,Data!$B$23:$E$273,2,FALSE)</f>
        <v>42118</v>
      </c>
      <c r="J273" s="157"/>
      <c r="M273" s="157"/>
    </row>
    <row r="274" spans="1:13" ht="14.25" x14ac:dyDescent="0.2">
      <c r="A274" s="248"/>
      <c r="B274" s="248"/>
      <c r="C274" s="184"/>
      <c r="D274" s="184"/>
      <c r="E274" s="248"/>
      <c r="F274" s="184"/>
      <c r="G274" s="184"/>
      <c r="H274" s="184"/>
      <c r="I274" s="333"/>
    </row>
    <row r="275" spans="1:13" ht="15" x14ac:dyDescent="0.25">
      <c r="A275" s="332" t="s">
        <v>54</v>
      </c>
      <c r="B275" s="332"/>
      <c r="C275" s="332"/>
      <c r="D275" s="332"/>
      <c r="E275" s="332"/>
      <c r="F275" s="332"/>
      <c r="G275" s="332"/>
      <c r="H275" s="332"/>
      <c r="I275" s="332"/>
    </row>
    <row r="276" spans="1:13" ht="14.25" x14ac:dyDescent="0.2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45421.75899943</v>
      </c>
      <c r="G276" s="286">
        <f>IF(IFERROR(VLOOKUP(E276,Data!$O$23:$P$196,2,FALSE),0)=0,0,(F276-IFERROR(VLOOKUP(E276,Data!$O$23:$P$196,2,FALSE),0))/ABS(IFERROR(VLOOKUP(E276,Data!$O$23:$P$196,2,FALSE),0)))</f>
        <v>-3.6734039402289302E-2</v>
      </c>
      <c r="H276" s="184">
        <f>VLOOKUP(E276,Data!$B$23:$E$273,3,FALSE)</f>
        <v>49081.0138716</v>
      </c>
      <c r="I276" s="333">
        <f>VLOOKUP(E276,Data!$B$23:$E$273,2,FALSE)</f>
        <v>42312</v>
      </c>
    </row>
    <row r="277" spans="1:13" ht="14.25" x14ac:dyDescent="0.2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23971.0262143</v>
      </c>
      <c r="G277" s="286">
        <f>IF(IFERROR(VLOOKUP(E277,Data!$O$23:$P$196,2,FALSE),0)=0,0,(F277-IFERROR(VLOOKUP(E277,Data!$O$23:$P$196,2,FALSE),0))/ABS(IFERROR(VLOOKUP(E277,Data!$O$23:$P$196,2,FALSE),0)))</f>
        <v>-3.3904997734199145E-2</v>
      </c>
      <c r="H277" s="184">
        <f>VLOOKUP(E277,Data!$B$23:$E$273,3,FALSE)</f>
        <v>26143.228642859998</v>
      </c>
      <c r="I277" s="333">
        <f>VLOOKUP(E277,Data!$B$23:$E$273,2,FALSE)</f>
        <v>42118</v>
      </c>
      <c r="J277" s="157"/>
      <c r="M277" s="157"/>
    </row>
    <row r="278" spans="1:13" ht="14.25" x14ac:dyDescent="0.2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10265.999725039999</v>
      </c>
      <c r="G278" s="286">
        <f>IF(IFERROR(VLOOKUP(E278,Data!$O$23:$P$196,2,FALSE),0)=0,0,(F278-IFERROR(VLOOKUP(E278,Data!$O$23:$P$196,2,FALSE),0))/ABS(IFERROR(VLOOKUP(E278,Data!$O$23:$P$196,2,FALSE),0)))</f>
        <v>-4.1412605920935062E-2</v>
      </c>
      <c r="H278" s="184">
        <f>VLOOKUP(E278,Data!$B$23:$E$273,3,FALSE)</f>
        <v>11199.97726648</v>
      </c>
      <c r="I278" s="333">
        <f>VLOOKUP(E278,Data!$B$23:$E$273,2,FALSE)</f>
        <v>42118</v>
      </c>
      <c r="J278" s="157"/>
      <c r="M278" s="157"/>
    </row>
    <row r="279" spans="1:13" ht="14.25" x14ac:dyDescent="0.2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30287.885444399999</v>
      </c>
      <c r="G279" s="286">
        <f>IF(IFERROR(VLOOKUP(E279,Data!$O$23:$P$196,2,FALSE),0)=0,0,(F279-IFERROR(VLOOKUP(E279,Data!$O$23:$P$196,2,FALSE),0))/ABS(IFERROR(VLOOKUP(E279,Data!$O$23:$P$196,2,FALSE),0)))</f>
        <v>-2.9864375140756197E-2</v>
      </c>
      <c r="H279" s="184">
        <f>VLOOKUP(E279,Data!$B$23:$E$273,3,FALSE)</f>
        <v>77308.45</v>
      </c>
      <c r="I279" s="333">
        <f>VLOOKUP(E279,Data!$B$23:$E$273,2,FALSE)</f>
        <v>39590</v>
      </c>
      <c r="J279" s="157"/>
      <c r="M279" s="157"/>
    </row>
    <row r="280" spans="1:13" ht="14.25" x14ac:dyDescent="0.2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1207.8667176700001</v>
      </c>
      <c r="G280" s="286">
        <f>IF(IFERROR(VLOOKUP(E280,Data!$O$23:$P$196,2,FALSE),0)=0,0,(F280-IFERROR(VLOOKUP(E280,Data!$O$23:$P$196,2,FALSE),0))/ABS(IFERROR(VLOOKUP(E280,Data!$O$23:$P$196,2,FALSE),0)))</f>
        <v>-9.4950241971421795E-2</v>
      </c>
      <c r="H280" s="184">
        <f>VLOOKUP(E280,Data!$B$23:$E$273,3,FALSE)</f>
        <v>3456.48</v>
      </c>
      <c r="I280" s="333">
        <f>VLOOKUP(E280,Data!$B$23:$E$273,2,FALSE)</f>
        <v>37515</v>
      </c>
      <c r="J280" s="157"/>
      <c r="M280" s="157"/>
    </row>
    <row r="281" spans="1:13" ht="14.25" x14ac:dyDescent="0.2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70512.143978370004</v>
      </c>
      <c r="G281" s="286">
        <f>IF(IFERROR(VLOOKUP(E281,Data!$O$23:$P$196,2,FALSE),0)=0,0,(F281-IFERROR(VLOOKUP(E281,Data!$O$23:$P$196,2,FALSE),0))/ABS(IFERROR(VLOOKUP(E281,Data!$O$23:$P$196,2,FALSE),0)))</f>
        <v>-4.3660060619840818E-2</v>
      </c>
      <c r="H281" s="184">
        <f>VLOOKUP(E281,Data!$B$23:$E$273,3,FALSE)</f>
        <v>74737.112388790003</v>
      </c>
      <c r="I281" s="333">
        <f>VLOOKUP(E281,Data!$B$23:$E$273,2,FALSE)</f>
        <v>42877</v>
      </c>
      <c r="J281" s="157"/>
      <c r="M281" s="157"/>
    </row>
    <row r="282" spans="1:13" ht="14.25" x14ac:dyDescent="0.2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14469.724026780001</v>
      </c>
      <c r="G282" s="286">
        <f>IF(IFERROR(VLOOKUP(E282,Data!$O$23:$P$196,2,FALSE),0)=0,0,(F282-IFERROR(VLOOKUP(E282,Data!$O$23:$P$196,2,FALSE),0))/ABS(IFERROR(VLOOKUP(E282,Data!$O$23:$P$196,2,FALSE),0)))</f>
        <v>-2.0654936600025139E-2</v>
      </c>
      <c r="H282" s="184">
        <f>VLOOKUP(E282,Data!$B$23:$E$273,3,FALSE)</f>
        <v>17911.36431723</v>
      </c>
      <c r="I282" s="333">
        <f>VLOOKUP(E282,Data!$B$23:$E$273,2,FALSE)</f>
        <v>42118</v>
      </c>
      <c r="J282" s="157"/>
      <c r="M282" s="157"/>
    </row>
    <row r="283" spans="1:13" ht="14.25" x14ac:dyDescent="0.2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73183.626410330005</v>
      </c>
      <c r="G283" s="286">
        <f>IF(IFERROR(VLOOKUP(E283,Data!$O$23:$P$196,2,FALSE),0)=0,0,(F283-IFERROR(VLOOKUP(E283,Data!$O$23:$P$196,2,FALSE),0))/ABS(IFERROR(VLOOKUP(E283,Data!$O$23:$P$196,2,FALSE),0)))</f>
        <v>-3.879218602182738E-2</v>
      </c>
      <c r="H283" s="184">
        <f>VLOOKUP(E283,Data!$B$23:$E$273,3,FALSE)</f>
        <v>77813.852225080002</v>
      </c>
      <c r="I283" s="333">
        <f>VLOOKUP(E283,Data!$B$23:$E$273,2,FALSE)</f>
        <v>42312</v>
      </c>
      <c r="J283" s="157"/>
      <c r="M283" s="157"/>
    </row>
    <row r="284" spans="1:13" ht="14.25" x14ac:dyDescent="0.2">
      <c r="A284" s="248"/>
      <c r="B284" s="248"/>
      <c r="C284" s="184"/>
      <c r="D284" s="184"/>
      <c r="E284" s="248"/>
      <c r="F284" s="184"/>
      <c r="G284" s="184"/>
      <c r="H284" s="184"/>
      <c r="I284" s="333"/>
    </row>
    <row r="285" spans="1:13" ht="15" x14ac:dyDescent="0.25">
      <c r="A285" s="332" t="s">
        <v>70</v>
      </c>
      <c r="B285" s="332"/>
      <c r="C285" s="332"/>
      <c r="D285" s="332"/>
      <c r="E285" s="332"/>
      <c r="F285" s="332"/>
      <c r="G285" s="332"/>
      <c r="H285" s="332"/>
      <c r="I285" s="332"/>
    </row>
    <row r="286" spans="1:13" s="161" customFormat="1" ht="14.25" x14ac:dyDescent="0.2">
      <c r="A286" s="305" t="s">
        <v>71</v>
      </c>
      <c r="B286" s="305"/>
      <c r="C286" s="185"/>
      <c r="D286" s="185"/>
      <c r="E286" s="305" t="s">
        <v>72</v>
      </c>
      <c r="F286" s="185">
        <f>IFERROR(VLOOKUP(E286,Data!$G$23:$H$196,2,FALSE),0)</f>
        <v>0</v>
      </c>
      <c r="G286" s="334">
        <f>IF(IFERROR(VLOOKUP(E286,Data!$O$23:$P$196,2,FALSE),0)=0,0,(F286-IFERROR(VLOOKUP(E286,Data!$O$23:$P$196,2,FALSE),0))/ABS(IFERROR(VLOOKUP(E286,Data!$O$23:$P$196,2,FALSE),0)))</f>
        <v>0</v>
      </c>
      <c r="H286" s="185">
        <f>VLOOKUP(E286,Data!$B$23:$E$273,3,FALSE)</f>
        <v>24943.07</v>
      </c>
      <c r="I286" s="335">
        <f>VLOOKUP(E286,Data!$B$23:$E$273,2,FALSE)</f>
        <v>39381</v>
      </c>
      <c r="K286" s="175"/>
      <c r="L286" s="175"/>
    </row>
    <row r="287" spans="1:13" ht="14.25" x14ac:dyDescent="0.2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21376.997606100002</v>
      </c>
      <c r="G287" s="286">
        <f>IF(IFERROR(VLOOKUP(E287,Data!$O$23:$P$196,2,FALSE),0)=0,0,(F287-IFERROR(VLOOKUP(E287,Data!$O$23:$P$196,2,FALSE),0))/ABS(IFERROR(VLOOKUP(E287,Data!$O$23:$P$196,2,FALSE),0)))</f>
        <v>-3.0757896566673049E-2</v>
      </c>
      <c r="H287" s="184">
        <f>VLOOKUP(E287,Data!$B$23:$E$273,3,FALSE)</f>
        <v>42763.39</v>
      </c>
      <c r="I287" s="333">
        <f>VLOOKUP(E287,Data!$B$23:$E$273,2,FALSE)</f>
        <v>39590</v>
      </c>
    </row>
    <row r="288" spans="1:13" ht="14.25" x14ac:dyDescent="0.2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45434.879282939997</v>
      </c>
      <c r="G288" s="286">
        <f>IF(IFERROR(VLOOKUP(E288,Data!$O$23:$P$196,2,FALSE),0)=0,0,(F288-IFERROR(VLOOKUP(E288,Data!$O$23:$P$196,2,FALSE),0))/ABS(IFERROR(VLOOKUP(E288,Data!$O$23:$P$196,2,FALSE),0)))</f>
        <v>-3.8867434616145453E-2</v>
      </c>
      <c r="H288" s="184">
        <f>VLOOKUP(E288,Data!$B$23:$E$273,3,FALSE)</f>
        <v>49802.0548605</v>
      </c>
      <c r="I288" s="333">
        <f>VLOOKUP(E288,Data!$B$23:$E$273,2,FALSE)</f>
        <v>42594</v>
      </c>
    </row>
    <row r="289" spans="1:9" ht="14.25" x14ac:dyDescent="0.2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76533.551018369995</v>
      </c>
      <c r="G289" s="286">
        <f>IF(IFERROR(VLOOKUP(E289,Data!$O$23:$P$196,2,FALSE),0)=0,0,(F289-IFERROR(VLOOKUP(E289,Data!$O$23:$P$196,2,FALSE),0))/ABS(IFERROR(VLOOKUP(E289,Data!$O$23:$P$196,2,FALSE),0)))</f>
        <v>-3.4984970624446964E-2</v>
      </c>
      <c r="H289" s="184">
        <f>VLOOKUP(E289,Data!$B$23:$E$273,3,FALSE)</f>
        <v>82900.72771716</v>
      </c>
      <c r="I289" s="333">
        <f>VLOOKUP(E289,Data!$B$23:$E$273,2,FALSE)</f>
        <v>42520</v>
      </c>
    </row>
    <row r="290" spans="1:9" ht="14.25" x14ac:dyDescent="0.2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19640.987453270001</v>
      </c>
      <c r="G290" s="286">
        <f>IF(IFERROR(VLOOKUP(E290,Data!$O$23:$P$196,2,FALSE),0)=0,0,(F290-IFERROR(VLOOKUP(E290,Data!$O$23:$P$196,2,FALSE),0))/ABS(IFERROR(VLOOKUP(E290,Data!$O$23:$P$196,2,FALSE),0)))</f>
        <v>-5.3587304123288673E-2</v>
      </c>
      <c r="H290" s="184">
        <f>VLOOKUP(E290,Data!$B$23:$E$273,3,FALSE)</f>
        <v>35813.949999999997</v>
      </c>
      <c r="I290" s="333">
        <f>VLOOKUP(E290,Data!$B$23:$E$273,2,FALSE)</f>
        <v>39381</v>
      </c>
    </row>
    <row r="291" spans="1:9" ht="14.25" x14ac:dyDescent="0.2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39845.010615669999</v>
      </c>
      <c r="G291" s="286">
        <f>IF(IFERROR(VLOOKUP(E291,Data!$O$23:$P$196,2,FALSE),0)=0,0,(F291-IFERROR(VLOOKUP(E291,Data!$O$23:$P$196,2,FALSE),0))/ABS(IFERROR(VLOOKUP(E291,Data!$O$23:$P$196,2,FALSE),0)))</f>
        <v>-2.2786505342665613E-2</v>
      </c>
      <c r="H291" s="184">
        <f>VLOOKUP(E291,Data!$B$23:$E$273,3,FALSE)</f>
        <v>46982.462386940002</v>
      </c>
      <c r="I291" s="333">
        <f>VLOOKUP(E291,Data!$B$23:$E$273,2,FALSE)</f>
        <v>42117</v>
      </c>
    </row>
    <row r="292" spans="1:9" ht="14.25" x14ac:dyDescent="0.2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54192.464700999997</v>
      </c>
      <c r="G292" s="286">
        <f>IF(IFERROR(VLOOKUP(E292,Data!$O$23:$P$196,2,FALSE),0)=0,0,(F292-IFERROR(VLOOKUP(E292,Data!$O$23:$P$196,2,FALSE),0))/ABS(IFERROR(VLOOKUP(E292,Data!$O$23:$P$196,2,FALSE),0)))</f>
        <v>6.1074516959411546E-2</v>
      </c>
      <c r="H292" s="184">
        <f>VLOOKUP(E292,Data!$B$23:$E$273,3,FALSE)</f>
        <v>71088.506129760004</v>
      </c>
      <c r="I292" s="333">
        <f>VLOOKUP(E292,Data!$B$23:$E$273,2,FALSE)</f>
        <v>42222</v>
      </c>
    </row>
    <row r="293" spans="1:9" ht="14.25" x14ac:dyDescent="0.2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6635.4685095100003</v>
      </c>
      <c r="G293" s="286">
        <f>IF(IFERROR(VLOOKUP(E293,Data!$O$23:$P$196,2,FALSE),0)=0,0,(F293-IFERROR(VLOOKUP(E293,Data!$O$23:$P$196,2,FALSE),0))/ABS(IFERROR(VLOOKUP(E293,Data!$O$23:$P$196,2,FALSE),0)))</f>
        <v>-3.28163898886955E-2</v>
      </c>
      <c r="H293" s="184">
        <f>VLOOKUP(E293,Data!$B$23:$E$273,3,FALSE)</f>
        <v>65291.38</v>
      </c>
      <c r="I293" s="333">
        <f>VLOOKUP(E293,Data!$B$23:$E$273,2,FALSE)</f>
        <v>39381</v>
      </c>
    </row>
    <row r="294" spans="1:9" ht="14.25" x14ac:dyDescent="0.2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7537.7222661400001</v>
      </c>
      <c r="G294" s="286">
        <f>IF(IFERROR(VLOOKUP(E294,Data!$O$23:$P$196,2,FALSE),0)=0,0,(F294-IFERROR(VLOOKUP(E294,Data!$O$23:$P$196,2,FALSE),0))/ABS(IFERROR(VLOOKUP(E294,Data!$O$23:$P$196,2,FALSE),0)))</f>
        <v>-5.2635451709584058E-2</v>
      </c>
      <c r="H294" s="184">
        <f>VLOOKUP(E294,Data!$B$23:$E$273,3,FALSE)</f>
        <v>95446.135778840006</v>
      </c>
      <c r="I294" s="333">
        <f>VLOOKUP(E294,Data!$B$23:$E$273,2,FALSE)</f>
        <v>41893</v>
      </c>
    </row>
    <row r="295" spans="1:9" ht="14.25" x14ac:dyDescent="0.2">
      <c r="A295" s="248"/>
      <c r="B295" s="248"/>
      <c r="C295" s="184"/>
      <c r="D295" s="184"/>
      <c r="E295" s="248"/>
      <c r="F295" s="184"/>
      <c r="G295" s="184"/>
      <c r="H295" s="184"/>
      <c r="I295" s="333"/>
    </row>
    <row r="296" spans="1:9" ht="15" x14ac:dyDescent="0.25">
      <c r="A296" s="332" t="s">
        <v>89</v>
      </c>
      <c r="B296" s="332"/>
      <c r="C296" s="332"/>
      <c r="D296" s="332"/>
      <c r="E296" s="332"/>
      <c r="F296" s="332"/>
      <c r="G296" s="332"/>
      <c r="H296" s="332"/>
      <c r="I296" s="332"/>
    </row>
    <row r="297" spans="1:9" ht="14.25" x14ac:dyDescent="0.2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3">
        <f>VLOOKUP(E297,Data!$B$23:$E$273,2,FALSE)</f>
        <v>41849</v>
      </c>
    </row>
    <row r="298" spans="1:9" ht="14.25" x14ac:dyDescent="0.2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3192.7509002299998</v>
      </c>
      <c r="G298" s="286">
        <f>IF(IFERROR(VLOOKUP(E298,Data!$O$23:$P$196,2,FALSE),0)=0,0,(F298-IFERROR(VLOOKUP(E298,Data!$O$23:$P$196,2,FALSE),0))/ABS(IFERROR(VLOOKUP(E298,Data!$O$23:$P$196,2,FALSE),0)))</f>
        <v>-2.9033444839459747E-2</v>
      </c>
      <c r="H298" s="184">
        <f>VLOOKUP(E298,Data!$B$23:$E$273,3,FALSE)</f>
        <v>4599.9677435399999</v>
      </c>
      <c r="I298" s="333">
        <f>VLOOKUP(E298,Data!$B$23:$E$273,2,FALSE)</f>
        <v>41849</v>
      </c>
    </row>
    <row r="299" spans="1:9" ht="14.25" x14ac:dyDescent="0.2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893.16097927999999</v>
      </c>
      <c r="G299" s="286">
        <f>IF(IFERROR(VLOOKUP(E299,Data!$O$23:$P$196,2,FALSE),0)=0,0,(F299-IFERROR(VLOOKUP(E299,Data!$O$23:$P$196,2,FALSE),0))/ABS(IFERROR(VLOOKUP(E299,Data!$O$23:$P$196,2,FALSE),0)))</f>
        <v>-1.2940462193796383E-2</v>
      </c>
      <c r="H299" s="184">
        <f>VLOOKUP(E299,Data!$B$23:$E$273,3,FALSE)</f>
        <v>1035.8389392900001</v>
      </c>
      <c r="I299" s="333">
        <f>VLOOKUP(E299,Data!$B$23:$E$273,2,FALSE)</f>
        <v>42303</v>
      </c>
    </row>
    <row r="300" spans="1:9" ht="14.25" x14ac:dyDescent="0.2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626.87263446999998</v>
      </c>
      <c r="G300" s="286">
        <f>IF(IFERROR(VLOOKUP(E300,Data!$O$23:$P$196,2,FALSE),0)=0,0,(F300-IFERROR(VLOOKUP(E300,Data!$O$23:$P$196,2,FALSE),0))/ABS(IFERROR(VLOOKUP(E300,Data!$O$23:$P$196,2,FALSE),0)))</f>
        <v>-1.151240408187522E-4</v>
      </c>
      <c r="H300" s="184">
        <f>VLOOKUP(E300,Data!$B$23:$E$273,3,FALSE)</f>
        <v>678.08424324999999</v>
      </c>
      <c r="I300" s="333">
        <f>VLOOKUP(E300,Data!$B$23:$E$273,2,FALSE)</f>
        <v>42578</v>
      </c>
    </row>
    <row r="301" spans="1:9" ht="14.25" x14ac:dyDescent="0.2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514.70859125000004</v>
      </c>
      <c r="G301" s="286">
        <f>IF(IFERROR(VLOOKUP(E301,Data!$O$23:$P$196,2,FALSE),0)=0,0,(F301-IFERROR(VLOOKUP(E301,Data!$O$23:$P$196,2,FALSE),0))/ABS(IFERROR(VLOOKUP(E301,Data!$O$23:$P$196,2,FALSE),0)))</f>
        <v>-2.6923251666392777E-3</v>
      </c>
      <c r="H301" s="184">
        <f>VLOOKUP(E301,Data!$B$23:$E$273,3,FALSE)</f>
        <v>597.8558587</v>
      </c>
      <c r="I301" s="333">
        <f>VLOOKUP(E301,Data!$B$23:$E$273,2,FALSE)</f>
        <v>42305</v>
      </c>
    </row>
    <row r="302" spans="1:9" ht="14.25" x14ac:dyDescent="0.2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17056.670516760001</v>
      </c>
      <c r="G302" s="286">
        <f>IF(IFERROR(VLOOKUP(E302,Data!$O$23:$P$196,2,FALSE),0)=0,0,(F302-IFERROR(VLOOKUP(E302,Data!$O$23:$P$196,2,FALSE),0))/ABS(IFERROR(VLOOKUP(E302,Data!$O$23:$P$196,2,FALSE),0)))</f>
        <v>-3.075789656686503E-2</v>
      </c>
      <c r="H302" s="184">
        <f>VLOOKUP(E302,Data!$B$23:$E$273,3,FALSE)</f>
        <v>42495.61</v>
      </c>
      <c r="I302" s="333">
        <f>VLOOKUP(E302,Data!$B$23:$E$273,2,FALSE)</f>
        <v>39590</v>
      </c>
    </row>
    <row r="303" spans="1:9" ht="14.25" x14ac:dyDescent="0.2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338.28984776999999</v>
      </c>
      <c r="G303" s="286">
        <f>IF(IFERROR(VLOOKUP(E303,Data!$O$23:$P$196,2,FALSE),0)=0,0,(F303-IFERROR(VLOOKUP(E303,Data!$O$23:$P$196,2,FALSE),0))/ABS(IFERROR(VLOOKUP(E303,Data!$O$23:$P$196,2,FALSE),0)))</f>
        <v>-3.4781893747643976E-2</v>
      </c>
      <c r="H303" s="184">
        <f>VLOOKUP(E303,Data!$B$23:$E$273,3,FALSE)</f>
        <v>431.46959335999998</v>
      </c>
      <c r="I303" s="333">
        <f>VLOOKUP(E303,Data!$B$23:$E$273,2,FALSE)</f>
        <v>42129</v>
      </c>
    </row>
    <row r="304" spans="1:9" ht="14.25" x14ac:dyDescent="0.2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607.95016446</v>
      </c>
      <c r="G304" s="286">
        <f>IF(IFERROR(VLOOKUP(E304,Data!$O$23:$P$196,2,FALSE),0)=0,0,(F304-IFERROR(VLOOKUP(E304,Data!$O$23:$P$196,2,FALSE),0))/ABS(IFERROR(VLOOKUP(E304,Data!$O$23:$P$196,2,FALSE),0)))</f>
        <v>-3.7247374126713459E-2</v>
      </c>
      <c r="H304" s="184">
        <f>VLOOKUP(E304,Data!$B$23:$E$273,3,FALSE)</f>
        <v>640.15345344000002</v>
      </c>
      <c r="I304" s="333">
        <f>VLOOKUP(E304,Data!$B$23:$E$273,2,FALSE)</f>
        <v>42878</v>
      </c>
    </row>
    <row r="305" spans="1:9" ht="14.25" x14ac:dyDescent="0.2">
      <c r="A305" s="248"/>
      <c r="B305" s="248"/>
      <c r="C305" s="184"/>
      <c r="D305" s="184"/>
      <c r="E305" s="248"/>
      <c r="F305" s="184"/>
      <c r="G305" s="184"/>
      <c r="H305" s="184"/>
      <c r="I305" s="333"/>
    </row>
    <row r="306" spans="1:9" ht="15" x14ac:dyDescent="0.25">
      <c r="A306" s="332" t="s">
        <v>104</v>
      </c>
      <c r="B306" s="332"/>
      <c r="C306" s="332"/>
      <c r="D306" s="332"/>
      <c r="E306" s="332"/>
      <c r="F306" s="332"/>
      <c r="G306" s="332"/>
      <c r="H306" s="332"/>
      <c r="I306" s="332"/>
    </row>
    <row r="307" spans="1:9" ht="14.25" x14ac:dyDescent="0.2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18.129459929999999</v>
      </c>
      <c r="G307" s="286">
        <f>IF(IFERROR(VLOOKUP(E307,Data!$O$23:$P$196,2,FALSE),0)=0,0,(F307-IFERROR(VLOOKUP(E307,Data!$O$23:$P$196,2,FALSE),0))/ABS(IFERROR(VLOOKUP(E307,Data!$O$23:$P$196,2,FALSE),0)))</f>
        <v>1.8327952928088762E-4</v>
      </c>
      <c r="H307" s="184">
        <f>VLOOKUP(E307,Data!$B$23:$E$273,3,FALSE)</f>
        <v>146.47999999999999</v>
      </c>
      <c r="I307" s="333">
        <f>VLOOKUP(E307,Data!$B$23:$E$273,2,FALSE)</f>
        <v>39587</v>
      </c>
    </row>
    <row r="308" spans="1:9" ht="14.25" x14ac:dyDescent="0.2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6276.8798406200003</v>
      </c>
      <c r="G308" s="286">
        <f>IF(IFERROR(VLOOKUP(E308,Data!$O$23:$P$196,2,FALSE),0)=0,0,(F308-IFERROR(VLOOKUP(E308,Data!$O$23:$P$196,2,FALSE),0))/ABS(IFERROR(VLOOKUP(E308,Data!$O$23:$P$196,2,FALSE),0)))</f>
        <v>-5.5562142124363388E-3</v>
      </c>
      <c r="H308" s="184">
        <f>VLOOKUP(E308,Data!$B$23:$E$273,3,FALSE)</f>
        <v>12608.67</v>
      </c>
      <c r="I308" s="333">
        <f>VLOOKUP(E308,Data!$B$23:$E$273,2,FALSE)</f>
        <v>39590</v>
      </c>
    </row>
    <row r="309" spans="1:9" ht="14.25" x14ac:dyDescent="0.2">
      <c r="A309" s="248"/>
      <c r="B309" s="248"/>
      <c r="C309" s="184"/>
      <c r="D309" s="184"/>
      <c r="E309" s="248"/>
      <c r="F309" s="184"/>
      <c r="G309" s="184"/>
      <c r="H309" s="184"/>
      <c r="I309" s="333"/>
    </row>
    <row r="310" spans="1:9" ht="15" x14ac:dyDescent="0.25">
      <c r="A310" s="332" t="s">
        <v>109</v>
      </c>
      <c r="B310" s="332"/>
      <c r="C310" s="332"/>
      <c r="D310" s="332"/>
      <c r="E310" s="332"/>
      <c r="F310" s="332"/>
      <c r="G310" s="332"/>
      <c r="H310" s="332"/>
      <c r="I310" s="332"/>
    </row>
    <row r="311" spans="1:9" ht="14.25" x14ac:dyDescent="0.2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0</v>
      </c>
      <c r="G311" s="286">
        <f>IF(IFERROR(VLOOKUP(E311,Data!$O$23:$P$196,2,FALSE),0)=0,0,(F311-IFERROR(VLOOKUP(E311,Data!$O$23:$P$196,2,FALSE),0))/ABS(IFERROR(VLOOKUP(E311,Data!$O$23:$P$196,2,FALSE),0)))</f>
        <v>0</v>
      </c>
      <c r="H311" s="184">
        <f>VLOOKUP(E311,Data!$B$23:$E$273,3,FALSE)</f>
        <v>1703.8449540300001</v>
      </c>
      <c r="I311" s="333">
        <f>VLOOKUP(E311,Data!$B$23:$E$273,2,FALSE)</f>
        <v>42346</v>
      </c>
    </row>
    <row r="312" spans="1:9" ht="14.25" x14ac:dyDescent="0.2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0</v>
      </c>
      <c r="G312" s="286">
        <f>IF(IFERROR(VLOOKUP(E312,Data!$O$23:$P$196,2,FALSE),0)=0,0,(F312-IFERROR(VLOOKUP(E312,Data!$O$23:$P$196,2,FALSE),0))/ABS(IFERROR(VLOOKUP(E312,Data!$O$23:$P$196,2,FALSE),0)))</f>
        <v>0</v>
      </c>
      <c r="H312" s="184">
        <f>VLOOKUP(E312,Data!$B$23:$E$273,3,FALSE)</f>
        <v>641.64</v>
      </c>
      <c r="I312" s="333">
        <f>VLOOKUP(E312,Data!$B$23:$E$273,2,FALSE)</f>
        <v>38723</v>
      </c>
    </row>
    <row r="313" spans="1:9" ht="14.25" x14ac:dyDescent="0.2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1210.72635347</v>
      </c>
      <c r="G313" s="286">
        <f>IF(IFERROR(VLOOKUP(E313,Data!$O$23:$P$196,2,FALSE),0)=0,0,(F313-IFERROR(VLOOKUP(E313,Data!$O$23:$P$196,2,FALSE),0))/ABS(IFERROR(VLOOKUP(E313,Data!$O$23:$P$196,2,FALSE),0)))</f>
        <v>-4.3727514587434513E-2</v>
      </c>
      <c r="H313" s="184">
        <f>VLOOKUP(E313,Data!$B$23:$E$273,3,FALSE)</f>
        <v>5041.9399999999996</v>
      </c>
      <c r="I313" s="333">
        <f>VLOOKUP(E313,Data!$B$23:$E$273,2,FALSE)</f>
        <v>39400</v>
      </c>
    </row>
    <row r="314" spans="1:9" ht="15" thickBot="1" x14ac:dyDescent="0.25">
      <c r="A314" s="289"/>
      <c r="B314" s="289"/>
      <c r="C314" s="182"/>
      <c r="D314" s="182"/>
      <c r="E314" s="182"/>
      <c r="F314" s="336"/>
      <c r="G314" s="289"/>
      <c r="H314" s="289"/>
      <c r="I314" s="289"/>
    </row>
    <row r="315" spans="1:9" ht="13.5" thickTop="1" x14ac:dyDescent="0.2">
      <c r="A315" s="365" t="s">
        <v>532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7" customFormat="1" x14ac:dyDescent="0.2">
      <c r="K334" s="262"/>
      <c r="L334" s="262"/>
    </row>
    <row r="336" spans="11:12" s="247" customFormat="1" x14ac:dyDescent="0.2">
      <c r="K336" s="262"/>
      <c r="L336" s="262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Jun 2017</v>
      </c>
      <c r="E347" s="368" t="s">
        <v>204</v>
      </c>
      <c r="F347" s="368"/>
      <c r="G347" s="368"/>
      <c r="H347" s="368"/>
      <c r="I347" s="125"/>
    </row>
    <row r="348" spans="1:9" ht="13.5" thickBot="1" x14ac:dyDescent="0.25">
      <c r="A348" s="116"/>
      <c r="B348" s="116"/>
      <c r="C348" s="116"/>
      <c r="D348" s="116"/>
      <c r="E348" s="369"/>
      <c r="F348" s="369"/>
      <c r="G348" s="369"/>
      <c r="H348" s="369"/>
      <c r="I348" s="116"/>
    </row>
    <row r="349" spans="1:9" ht="15" x14ac:dyDescent="0.25">
      <c r="A349" s="281"/>
      <c r="B349" s="337"/>
      <c r="C349" s="281"/>
      <c r="D349" s="388" t="str">
        <f>TEXT(DATE(2000,TEXT(H3,"M")-1,1),"mmm")&amp; " "&amp; TEXT(H3,"YYYY")</f>
        <v>May 2017</v>
      </c>
      <c r="E349" s="388"/>
      <c r="F349" s="280" t="s">
        <v>27</v>
      </c>
      <c r="G349" s="310"/>
      <c r="H349" s="281"/>
      <c r="I349" s="280" t="s">
        <v>27</v>
      </c>
    </row>
    <row r="350" spans="1:9" ht="15" x14ac:dyDescent="0.25">
      <c r="A350" s="281"/>
      <c r="B350" s="337"/>
      <c r="C350" s="281"/>
      <c r="D350" s="389"/>
      <c r="E350" s="389"/>
      <c r="F350" s="280" t="s">
        <v>38</v>
      </c>
      <c r="G350" s="310"/>
      <c r="H350" s="281"/>
      <c r="I350" s="280" t="s">
        <v>147</v>
      </c>
    </row>
    <row r="351" spans="1:9" ht="15.75" thickBot="1" x14ac:dyDescent="0.3">
      <c r="A351" s="295"/>
      <c r="B351" s="338"/>
      <c r="C351" s="338" t="str">
        <f>TEXT($H$3,"MMM")&amp;" "&amp;TEXT($H$3,"YYYY")</f>
        <v>Jun 2017</v>
      </c>
      <c r="D351" s="390"/>
      <c r="E351" s="390"/>
      <c r="F351" s="284" t="s">
        <v>1</v>
      </c>
      <c r="G351" s="330"/>
      <c r="H351" s="338" t="str">
        <f>TEXT($H$3,"MMM")&amp;" "&amp;TEXT($H$3,"YYYY")-1</f>
        <v>Jun 2016</v>
      </c>
      <c r="I351" s="284" t="s">
        <v>28</v>
      </c>
    </row>
    <row r="352" spans="1:9" ht="15" x14ac:dyDescent="0.25">
      <c r="A352" s="332" t="s">
        <v>117</v>
      </c>
      <c r="B352" s="332"/>
      <c r="C352" s="332"/>
      <c r="D352" s="332"/>
      <c r="E352" s="332"/>
      <c r="F352" s="332"/>
      <c r="G352" s="332"/>
      <c r="H352" s="332"/>
      <c r="I352" s="332"/>
    </row>
    <row r="353" spans="1:9" ht="14.25" x14ac:dyDescent="0.2">
      <c r="A353" s="339" t="s">
        <v>14</v>
      </c>
      <c r="B353" s="248"/>
      <c r="C353" s="248"/>
      <c r="D353" s="382"/>
      <c r="E353" s="382"/>
      <c r="F353" s="248"/>
      <c r="G353" s="248"/>
      <c r="H353" s="248"/>
      <c r="I353" s="248"/>
    </row>
    <row r="354" spans="1:9" ht="14.25" x14ac:dyDescent="0.2">
      <c r="A354" s="248" t="s">
        <v>446</v>
      </c>
      <c r="B354" s="249"/>
      <c r="C354" s="249">
        <f>SUMIFS(Data!$V$2:$V$14,Data!$S$2:$S$14,MarketProfile!A354,Data!$X$2:$X$14,"1")</f>
        <v>319224</v>
      </c>
      <c r="D354" s="382">
        <f>SUMIFS(Data!$V$30:$V$42,Data!$S$30:$S$42,MarketProfile!A354,Data!$X$30:$X$42,"1")</f>
        <v>235368</v>
      </c>
      <c r="E354" s="382"/>
      <c r="F354" s="286">
        <f>IFERROR(IF(OR(AND(D354="",C354=""),AND(D354=0,C354=0)),"",
IF(OR(D354="",D354=0),1,
IF(OR(D354&lt;&gt;"",D354&lt;&gt;0),(C354-D354)/ABS(D354)))),-1)</f>
        <v>0.35627612929540126</v>
      </c>
      <c r="G354" s="382">
        <f>SUMIFS(Data!$V$60:$V$72,Data!$S$60:$S$72,MarketProfile!A354,Data!$X$60:$X$72,"1")</f>
        <v>304520</v>
      </c>
      <c r="H354" s="382"/>
      <c r="I354" s="286">
        <f t="shared" ref="I354:I367" si="22">IFERROR(IF(OR(AND(G354="",C354=""),AND(G354=0,C354=0)),"",
IF(OR(G354="",G354=0),1,
IF(OR(G354&lt;&gt;"",G354&lt;&gt;0),(C354-G354)/ABS(G354)))),-1)</f>
        <v>4.8285826875082094E-2</v>
      </c>
    </row>
    <row r="355" spans="1:9" ht="14.25" x14ac:dyDescent="0.2">
      <c r="A355" s="248" t="s">
        <v>447</v>
      </c>
      <c r="B355" s="249"/>
      <c r="C355" s="249">
        <f>SUMIFS(Data!$V$2:$V$14,Data!$S$2:$S$14,MarketProfile!A355,Data!$X$2:$X$14,"1")</f>
        <v>8125</v>
      </c>
      <c r="D355" s="382">
        <f>SUMIFS(Data!$V$30:$V$42,Data!$S$30:$S$42,MarketProfile!A355,Data!$X$30:$X$42,"1")</f>
        <v>5313</v>
      </c>
      <c r="E355" s="382"/>
      <c r="F355" s="286">
        <f t="shared" ref="F355:F361" si="23">IFERROR(IF(OR(AND(D355="",C355=""),AND(D355=0,C355=0)),"",
IF(OR(D355="",D355=0),1,
IF(OR(D355&lt;&gt;"",D355&lt;&gt;0),(C355-D355)/ABS(D355)))),-1)</f>
        <v>0.52926783361565966</v>
      </c>
      <c r="G355" s="382">
        <f>SUMIFS(Data!$V$60:$V$72,Data!$S$60:$S$72,MarketProfile!A355,Data!$X$60:$X$72,"1")</f>
        <v>11470</v>
      </c>
      <c r="H355" s="382"/>
      <c r="I355" s="286">
        <f t="shared" si="22"/>
        <v>-0.29163034001743682</v>
      </c>
    </row>
    <row r="356" spans="1:9" ht="14.25" x14ac:dyDescent="0.2">
      <c r="A356" s="248" t="s">
        <v>448</v>
      </c>
      <c r="B356" s="249"/>
      <c r="C356" s="249">
        <f>SUMIFS(Data!$V$2:$V$14,Data!$S$2:$S$14,MarketProfile!A356,Data!$X$2:$X$14,"1")</f>
        <v>7688</v>
      </c>
      <c r="D356" s="382">
        <f>SUMIFS(Data!$V$30:$V$42,Data!$S$30:$S$42,MarketProfile!A356,Data!$X$30:$X$42,"1")</f>
        <v>4769</v>
      </c>
      <c r="E356" s="382"/>
      <c r="F356" s="286">
        <f t="shared" si="23"/>
        <v>0.61207800377437616</v>
      </c>
      <c r="G356" s="382">
        <f>SUMIFS(Data!$V$60:$V$72,Data!$S$60:$S$72,MarketProfile!A356,Data!$X$60:$X$72,"1")</f>
        <v>10949</v>
      </c>
      <c r="H356" s="382"/>
      <c r="I356" s="286">
        <f t="shared" si="22"/>
        <v>-0.2978354187597041</v>
      </c>
    </row>
    <row r="357" spans="1:9" ht="14.25" x14ac:dyDescent="0.2">
      <c r="A357" s="248" t="s">
        <v>182</v>
      </c>
      <c r="B357" s="249"/>
      <c r="C357" s="249">
        <f>SUMIFS(Data!$V$2:$V$14,Data!$S$2:$S$14,MarketProfile!A357,Data!$X$2:$X$14,"1")</f>
        <v>134</v>
      </c>
      <c r="D357" s="382">
        <f>SUMIFS(Data!$V$30:$V$42,Data!$S$30:$S$42,MarketProfile!A357,Data!$X$30:$X$42,"1")</f>
        <v>188</v>
      </c>
      <c r="E357" s="382"/>
      <c r="F357" s="286">
        <f t="shared" si="23"/>
        <v>-0.28723404255319152</v>
      </c>
      <c r="G357" s="382">
        <f>SUMIFS(Data!$V$60:$V$72,Data!$S$60:$S$72,MarketProfile!A357,Data!$X$60:$X$72,"1")</f>
        <v>328</v>
      </c>
      <c r="H357" s="382"/>
      <c r="I357" s="286">
        <f t="shared" si="22"/>
        <v>-0.59146341463414631</v>
      </c>
    </row>
    <row r="358" spans="1:9" ht="14.25" x14ac:dyDescent="0.2">
      <c r="A358" s="248" t="s">
        <v>449</v>
      </c>
      <c r="B358" s="249"/>
      <c r="C358" s="249">
        <f>SUMIFS(Data!$V$2:$V$14,Data!$S$2:$S$14,MarketProfile!A358,Data!$X$2:$X$14,"1")</f>
        <v>618</v>
      </c>
      <c r="D358" s="382">
        <f>SUMIFS(Data!$V$30:$V$42,Data!$S$30:$S$42,MarketProfile!A358,Data!$X$30:$X$42,"1")</f>
        <v>211</v>
      </c>
      <c r="E358" s="382"/>
      <c r="F358" s="286">
        <f t="shared" si="23"/>
        <v>1.9289099526066351</v>
      </c>
      <c r="G358" s="382">
        <f>SUMIFS(Data!$V$60:$V$72,Data!$S$60:$S$72,MarketProfile!A358,Data!$X$60:$X$72,"1")</f>
        <v>831</v>
      </c>
      <c r="H358" s="382"/>
      <c r="I358" s="286">
        <f t="shared" si="22"/>
        <v>-0.2563176895306859</v>
      </c>
    </row>
    <row r="359" spans="1:9" ht="14.25" x14ac:dyDescent="0.2">
      <c r="A359" s="248" t="s">
        <v>450</v>
      </c>
      <c r="B359" s="249"/>
      <c r="C359" s="249">
        <f>SUMIFS(Data!$V$2:$V$14,Data!$S$2:$S$14,MarketProfile!A359,Data!$X$2:$X$14,"1")</f>
        <v>602</v>
      </c>
      <c r="D359" s="382">
        <f>SUMIFS(Data!$V$30:$V$42,Data!$S$30:$S$42,MarketProfile!A359,Data!$X$30:$X$42,"1")</f>
        <v>193</v>
      </c>
      <c r="E359" s="382"/>
      <c r="F359" s="286">
        <f t="shared" si="23"/>
        <v>2.1191709844559585</v>
      </c>
      <c r="G359" s="382">
        <f>SUMIFS(Data!$V$60:$V$72,Data!$S$60:$S$72,MarketProfile!A359,Data!$X$60:$X$72,"1")</f>
        <v>785</v>
      </c>
      <c r="H359" s="382"/>
      <c r="I359" s="286">
        <f t="shared" si="22"/>
        <v>-0.23312101910828026</v>
      </c>
    </row>
    <row r="360" spans="1:9" ht="14.25" x14ac:dyDescent="0.2">
      <c r="A360" s="248" t="s">
        <v>451</v>
      </c>
      <c r="B360" s="249"/>
      <c r="C360" s="249">
        <f>SUMIFS(Data!$V$2:$V$14,Data!$S$2:$S$14,MarketProfile!A360,Data!$X$2:$X$14,"1")</f>
        <v>271</v>
      </c>
      <c r="D360" s="382">
        <f>SUMIFS(Data!$V$30:$V$42,Data!$S$30:$S$42,MarketProfile!A360,Data!$X$30:$X$42,"1")</f>
        <v>235</v>
      </c>
      <c r="E360" s="382"/>
      <c r="F360" s="286">
        <f t="shared" si="23"/>
        <v>0.15319148936170213</v>
      </c>
      <c r="G360" s="382">
        <f>SUMIFS(Data!$V$60:$V$72,Data!$S$60:$S$72,MarketProfile!A360,Data!$X$60:$X$72,"1")</f>
        <v>262</v>
      </c>
      <c r="H360" s="382"/>
      <c r="I360" s="286">
        <f t="shared" si="22"/>
        <v>3.4351145038167941E-2</v>
      </c>
    </row>
    <row r="361" spans="1:9" ht="15" x14ac:dyDescent="0.25">
      <c r="A361" s="288" t="s">
        <v>133</v>
      </c>
      <c r="B361" s="250"/>
      <c r="C361" s="250">
        <f>SUM(C354:C360)</f>
        <v>336662</v>
      </c>
      <c r="D361" s="374">
        <f>SUM(D354:E360)</f>
        <v>246277</v>
      </c>
      <c r="E361" s="374"/>
      <c r="F361" s="326">
        <f t="shared" si="23"/>
        <v>0.36700544508825428</v>
      </c>
      <c r="G361" s="374">
        <f>SUM(G354:H360)</f>
        <v>329145</v>
      </c>
      <c r="H361" s="374">
        <v>228310</v>
      </c>
      <c r="I361" s="326">
        <f t="shared" si="22"/>
        <v>2.283795895426028E-2</v>
      </c>
    </row>
    <row r="362" spans="1:9" ht="14.25" x14ac:dyDescent="0.2">
      <c r="A362" s="248"/>
      <c r="B362" s="249"/>
      <c r="C362" s="249"/>
      <c r="D362" s="382"/>
      <c r="E362" s="382"/>
      <c r="F362" s="286"/>
      <c r="G362" s="248"/>
      <c r="H362" s="249"/>
      <c r="I362" s="286" t="str">
        <f t="shared" si="22"/>
        <v/>
      </c>
    </row>
    <row r="363" spans="1:9" ht="15" x14ac:dyDescent="0.25">
      <c r="A363" s="339" t="s">
        <v>206</v>
      </c>
      <c r="B363" s="250"/>
      <c r="C363" s="250"/>
      <c r="D363" s="382"/>
      <c r="E363" s="382"/>
      <c r="F363" s="286"/>
      <c r="G363" s="248"/>
      <c r="H363" s="250"/>
      <c r="I363" s="326" t="str">
        <f t="shared" si="22"/>
        <v/>
      </c>
    </row>
    <row r="364" spans="1:9" ht="14.25" x14ac:dyDescent="0.2">
      <c r="A364" s="248" t="s">
        <v>446</v>
      </c>
      <c r="B364" s="249"/>
      <c r="C364" s="249">
        <f>SUMIFS(Data!$V$2:$V$14,Data!$S$2:$S$14,MarketProfile!A364,Data!$X$2:$X$14,"0")</f>
        <v>1310</v>
      </c>
      <c r="D364" s="382">
        <f>SUMIFS(Data!$V$30:$V$42,Data!$S$30:$S$42,MarketProfile!A364,Data!$X$30:$X$42,"0")</f>
        <v>1361</v>
      </c>
      <c r="E364" s="382"/>
      <c r="F364" s="286">
        <f t="shared" ref="F364:F368" si="24">IFERROR(IF(OR(AND(D364="",C364=""),AND(D364=0,C364=0)),"",
IF(OR(D364="",D364=0),1,
IF(OR(D364&lt;&gt;"",D364&lt;&gt;0),(C364-D364)/ABS(D364)))),-1)</f>
        <v>-3.7472446730345332E-2</v>
      </c>
      <c r="G364" s="382">
        <f>SUMIFS(Data!$V$60:$V$72,Data!$S$60:$S$72,MarketProfile!A364,Data!$X$60:$X$72,"0")</f>
        <v>1335</v>
      </c>
      <c r="H364" s="382"/>
      <c r="I364" s="286">
        <f t="shared" si="22"/>
        <v>-1.8726591760299626E-2</v>
      </c>
    </row>
    <row r="365" spans="1:9" ht="14.25" x14ac:dyDescent="0.2">
      <c r="A365" s="248" t="s">
        <v>447</v>
      </c>
      <c r="B365" s="249"/>
      <c r="C365" s="249">
        <f>SUMIFS(Data!$V$2:$V$14,Data!$S$2:$S$14,MarketProfile!A365,Data!$X$2:$X$14,"0")</f>
        <v>550</v>
      </c>
      <c r="D365" s="382">
        <f>SUMIFS(Data!$V$30:$V$42,Data!$S$30:$S$42,MarketProfile!A365,Data!$X$30:$X$42,"0")</f>
        <v>794</v>
      </c>
      <c r="E365" s="382"/>
      <c r="F365" s="286">
        <f t="shared" si="24"/>
        <v>-0.30730478589420657</v>
      </c>
      <c r="G365" s="382">
        <f>SUMIFS(Data!$V$60:$V$72,Data!$S$60:$S$72,MarketProfile!A365,Data!$X$60:$X$72,"0")</f>
        <v>560</v>
      </c>
      <c r="H365" s="382"/>
      <c r="I365" s="286">
        <f t="shared" si="22"/>
        <v>-1.7857142857142856E-2</v>
      </c>
    </row>
    <row r="366" spans="1:9" ht="14.25" x14ac:dyDescent="0.2">
      <c r="A366" s="248" t="s">
        <v>451</v>
      </c>
      <c r="B366" s="249"/>
      <c r="C366" s="249">
        <f>SUMIFS(Data!$V$2:$V$14,Data!$S$2:$S$14,MarketProfile!A366,Data!$X$2:$X$14,"0")</f>
        <v>354</v>
      </c>
      <c r="D366" s="382">
        <f>SUMIFS(Data!$V$30:$V$42,Data!$S$30:$S$42,MarketProfile!A366,Data!$X$30:$X$42,"0")</f>
        <v>424</v>
      </c>
      <c r="E366" s="382"/>
      <c r="F366" s="286">
        <f t="shared" si="24"/>
        <v>-0.1650943396226415</v>
      </c>
      <c r="G366" s="382">
        <f>SUMIFS(Data!$V$60:$V$72,Data!$S$60:$S$72,MarketProfile!A366,Data!$X$60:$X$72,"0")</f>
        <v>76</v>
      </c>
      <c r="H366" s="382"/>
      <c r="I366" s="286">
        <f t="shared" si="22"/>
        <v>3.6578947368421053</v>
      </c>
    </row>
    <row r="367" spans="1:9" ht="14.25" x14ac:dyDescent="0.2">
      <c r="A367" s="248" t="s">
        <v>448</v>
      </c>
      <c r="B367" s="249"/>
      <c r="C367" s="249">
        <f>SUMIFS(Data!$V$2:$V$14,Data!$S$2:$S$14,MarketProfile!A367,Data!$X$2:$X$14,"0")</f>
        <v>0</v>
      </c>
      <c r="D367" s="382">
        <f>SUMIFS(Data!$V$30:$V$42,Data!$S$30:$S$42,MarketProfile!A367,Data!$X$30:$X$42,"0")</f>
        <v>0</v>
      </c>
      <c r="E367" s="382"/>
      <c r="F367" s="286" t="str">
        <f t="shared" si="24"/>
        <v/>
      </c>
      <c r="G367" s="382">
        <f>SUMIFS(Data!$V$60:$V$72,Data!$S$60:$S$72,MarketProfile!A367,Data!$X$60:$X$72,"0")</f>
        <v>0</v>
      </c>
      <c r="H367" s="382"/>
      <c r="I367" s="286" t="str">
        <f t="shared" si="22"/>
        <v/>
      </c>
    </row>
    <row r="368" spans="1:9" ht="15" x14ac:dyDescent="0.25">
      <c r="A368" s="288" t="s">
        <v>133</v>
      </c>
      <c r="B368" s="250"/>
      <c r="C368" s="250">
        <f>SUM(C364:C367)</f>
        <v>2214</v>
      </c>
      <c r="D368" s="374">
        <f t="shared" ref="D368:E368" si="25">SUM(D364:D367)</f>
        <v>2579</v>
      </c>
      <c r="E368" s="374">
        <f t="shared" si="25"/>
        <v>0</v>
      </c>
      <c r="F368" s="326">
        <f t="shared" si="24"/>
        <v>-0.14152772392400156</v>
      </c>
      <c r="G368" s="374">
        <f>SUM(G364:H367)</f>
        <v>1971</v>
      </c>
      <c r="H368" s="374">
        <v>1646</v>
      </c>
      <c r="I368" s="326">
        <f>IFERROR(IF(OR(AND(G368="",C368=""),AND(G368=0,C368=0)),"",
IF(OR(G368="",G368=0),1,
IF(OR(G368&lt;&gt;"",G368&lt;&gt;0),(C368-G368)/ABS(G368)))),-1)</f>
        <v>0.12328767123287671</v>
      </c>
    </row>
    <row r="369" spans="1:9" ht="14.25" x14ac:dyDescent="0.2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5" x14ac:dyDescent="0.25">
      <c r="A370" s="332" t="s">
        <v>207</v>
      </c>
      <c r="B370" s="332"/>
      <c r="C370" s="332"/>
      <c r="D370" s="332"/>
      <c r="E370" s="332"/>
      <c r="F370" s="340"/>
      <c r="G370" s="332"/>
      <c r="H370" s="332"/>
      <c r="I370" s="340"/>
    </row>
    <row r="371" spans="1:9" ht="14.25" x14ac:dyDescent="0.2">
      <c r="A371" s="339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4.25" x14ac:dyDescent="0.2">
      <c r="A372" s="248" t="s">
        <v>446</v>
      </c>
      <c r="B372" s="249"/>
      <c r="C372" s="249">
        <f>SUMIFS(Data!$U$2:$U$14,Data!$S$2:$S$14,MarketProfile!A372,Data!$X$2:$X$14,"1")</f>
        <v>3194471</v>
      </c>
      <c r="D372" s="382">
        <f>SUMIFS(Data!$U$30:$U$42,Data!$S$30:$S$42,MarketProfile!A372,Data!$X$30:$X$42,"1")</f>
        <v>1071660</v>
      </c>
      <c r="E372" s="382"/>
      <c r="F372" s="286">
        <f t="shared" ref="F372:F379" si="26">IFERROR(IF(OR(AND(D372="",C372=""),AND(D372=0,C372=0)),"",
IF(OR(D372="",D372=0),1,
IF(OR(D372&lt;&gt;"",D372&lt;&gt;0),(C372-D372)/ABS(D372)))),-1)</f>
        <v>1.9808624003881827</v>
      </c>
      <c r="G372" s="382">
        <f>SUMIFS(Data!$U$60:$U$72,Data!$S$60:$S$72,MarketProfile!A372,Data!$X$60:$X$72,"1")</f>
        <v>3461343</v>
      </c>
      <c r="H372" s="382"/>
      <c r="I372" s="286">
        <f t="shared" ref="I372:I379" si="27">IFERROR(IF(OR(AND(G372="",C372=""),AND(G372=0,C372=0)),"",
IF(OR(G372="",G372=0),1,
IF(OR(G372&lt;&gt;"",G372&lt;&gt;0),(C372-G372)/ABS(G372)))),-1)</f>
        <v>-7.7100709175600343E-2</v>
      </c>
    </row>
    <row r="373" spans="1:9" ht="14.25" x14ac:dyDescent="0.2">
      <c r="A373" s="248" t="s">
        <v>447</v>
      </c>
      <c r="B373" s="249"/>
      <c r="C373" s="249">
        <f>SUMIFS(Data!$U$2:$U$14,Data!$S$2:$S$14,MarketProfile!A373,Data!$X$2:$X$14,"1")</f>
        <v>2808331</v>
      </c>
      <c r="D373" s="382">
        <f>SUMIFS(Data!$U$30:$U$42,Data!$S$30:$S$42,MarketProfile!A373,Data!$X$30:$X$42,"1")</f>
        <v>886023</v>
      </c>
      <c r="E373" s="382"/>
      <c r="F373" s="286">
        <f t="shared" si="26"/>
        <v>2.169591534305543</v>
      </c>
      <c r="G373" s="382">
        <f>SUMIFS(Data!$U$60:$U$72,Data!$S$60:$S$72,MarketProfile!A373,Data!$X$60:$X$72,"1")</f>
        <v>2234023</v>
      </c>
      <c r="H373" s="382"/>
      <c r="I373" s="286">
        <f t="shared" si="27"/>
        <v>0.25707345000476717</v>
      </c>
    </row>
    <row r="374" spans="1:9" ht="14.25" x14ac:dyDescent="0.2">
      <c r="A374" s="248" t="s">
        <v>448</v>
      </c>
      <c r="B374" s="249"/>
      <c r="C374" s="249">
        <f>SUMIFS(Data!$U$2:$U$14,Data!$S$2:$S$14,MarketProfile!A374,Data!$X$2:$X$14,"1")</f>
        <v>1704799</v>
      </c>
      <c r="D374" s="382">
        <f>SUMIFS(Data!$U$30:$U$42,Data!$S$30:$S$42,MarketProfile!A374,Data!$X$30:$X$42,"1")</f>
        <v>379748</v>
      </c>
      <c r="E374" s="382"/>
      <c r="F374" s="286">
        <f t="shared" si="26"/>
        <v>3.4892902661765173</v>
      </c>
      <c r="G374" s="382">
        <f>SUMIFS(Data!$U$60:$U$72,Data!$S$60:$S$72,MarketProfile!A374,Data!$X$60:$X$72,"1")</f>
        <v>1547818</v>
      </c>
      <c r="H374" s="382"/>
      <c r="I374" s="286">
        <f t="shared" si="27"/>
        <v>0.10142083888415822</v>
      </c>
    </row>
    <row r="375" spans="1:9" ht="14.25" x14ac:dyDescent="0.2">
      <c r="A375" s="248" t="s">
        <v>182</v>
      </c>
      <c r="B375" s="249"/>
      <c r="C375" s="249">
        <f>SUMIFS(Data!$U$2:$U$14,Data!$S$2:$S$14,MarketProfile!A375,Data!$X$2:$X$14,"1")</f>
        <v>548830</v>
      </c>
      <c r="D375" s="382">
        <f>SUMIFS(Data!$U$30:$U$42,Data!$S$30:$S$42,MarketProfile!A375,Data!$X$30:$X$42,"1")</f>
        <v>513225</v>
      </c>
      <c r="E375" s="382"/>
      <c r="F375" s="286">
        <f t="shared" si="26"/>
        <v>6.937503044473671E-2</v>
      </c>
      <c r="G375" s="382">
        <f>SUMIFS(Data!$U$60:$U$72,Data!$S$60:$S$72,MarketProfile!A375,Data!$X$60:$X$72,"1")</f>
        <v>2767787</v>
      </c>
      <c r="H375" s="382"/>
      <c r="I375" s="286">
        <f t="shared" si="27"/>
        <v>-0.80170800715517487</v>
      </c>
    </row>
    <row r="376" spans="1:9" ht="14.25" x14ac:dyDescent="0.2">
      <c r="A376" s="248" t="s">
        <v>449</v>
      </c>
      <c r="B376" s="249"/>
      <c r="C376" s="249">
        <f>SUMIFS(Data!$U$2:$U$14,Data!$S$2:$S$14,MarketProfile!A376,Data!$X$2:$X$14,"1")</f>
        <v>32584884</v>
      </c>
      <c r="D376" s="382">
        <f>SUMIFS(Data!$U$30:$U$42,Data!$S$30:$S$42,MarketProfile!A376,Data!$X$30:$X$42,"1")</f>
        <v>19160198</v>
      </c>
      <c r="E376" s="382"/>
      <c r="F376" s="286">
        <f t="shared" si="26"/>
        <v>0.70065486797161491</v>
      </c>
      <c r="G376" s="382">
        <f>SUMIFS(Data!$U$60:$U$72,Data!$S$60:$S$72,MarketProfile!A376,Data!$X$60:$X$72,"1")</f>
        <v>19263981</v>
      </c>
      <c r="H376" s="382"/>
      <c r="I376" s="286">
        <f t="shared" si="27"/>
        <v>0.69149273974055514</v>
      </c>
    </row>
    <row r="377" spans="1:9" ht="14.25" x14ac:dyDescent="0.2">
      <c r="A377" s="248" t="s">
        <v>450</v>
      </c>
      <c r="B377" s="249"/>
      <c r="C377" s="249">
        <f>SUMIFS(Data!$U$2:$U$14,Data!$S$2:$S$14,MarketProfile!A377,Data!$X$2:$X$14,"1")</f>
        <v>30940154</v>
      </c>
      <c r="D377" s="382">
        <f>SUMIFS(Data!$U$30:$U$42,Data!$S$30:$S$42,MarketProfile!A377,Data!$X$30:$X$42,"1")</f>
        <v>19194391</v>
      </c>
      <c r="E377" s="382"/>
      <c r="F377" s="286">
        <f t="shared" si="26"/>
        <v>0.61193725812921074</v>
      </c>
      <c r="G377" s="382">
        <f>SUMIFS(Data!$U$60:$U$72,Data!$S$60:$S$72,MarketProfile!A377,Data!$X$60:$X$72,"1")</f>
        <v>26855011</v>
      </c>
      <c r="H377" s="382"/>
      <c r="I377" s="286">
        <f t="shared" si="27"/>
        <v>0.15211846310545171</v>
      </c>
    </row>
    <row r="378" spans="1:9" ht="14.25" x14ac:dyDescent="0.2">
      <c r="A378" s="248" t="s">
        <v>451</v>
      </c>
      <c r="B378" s="249"/>
      <c r="C378" s="249">
        <f>SUMIFS(Data!$U$2:$U$14,Data!$S$2:$S$14,MarketProfile!A378,Data!$X$2:$X$14,"1")</f>
        <v>387540</v>
      </c>
      <c r="D378" s="382">
        <f>SUMIFS(Data!$U$30:$U$42,Data!$S$30:$S$42,MarketProfile!A378,Data!$X$30:$X$42,"1")</f>
        <v>149817</v>
      </c>
      <c r="E378" s="382"/>
      <c r="F378" s="286">
        <f t="shared" si="26"/>
        <v>1.5867558421273955</v>
      </c>
      <c r="G378" s="382">
        <f>SUMIFS(Data!$U$60:$U$72,Data!$S$60:$S$72,MarketProfile!A378,Data!$X$60:$X$72,"1")</f>
        <v>1428737</v>
      </c>
      <c r="H378" s="382"/>
      <c r="I378" s="286">
        <f t="shared" si="27"/>
        <v>-0.72875343747659649</v>
      </c>
    </row>
    <row r="379" spans="1:9" ht="15" x14ac:dyDescent="0.25">
      <c r="A379" s="288" t="s">
        <v>133</v>
      </c>
      <c r="B379" s="250"/>
      <c r="C379" s="250">
        <f>SUM(C372:C378)</f>
        <v>72169009</v>
      </c>
      <c r="D379" s="374">
        <f>SUM(D372:E378)</f>
        <v>41355062</v>
      </c>
      <c r="E379" s="374"/>
      <c r="F379" s="326">
        <f t="shared" si="26"/>
        <v>0.74510701978877458</v>
      </c>
      <c r="G379" s="374">
        <f>SUM(G372:H378)</f>
        <v>57558700</v>
      </c>
      <c r="H379" s="374">
        <v>17193059</v>
      </c>
      <c r="I379" s="326">
        <f t="shared" si="27"/>
        <v>0.25383319984641767</v>
      </c>
    </row>
    <row r="380" spans="1:9" ht="14.25" x14ac:dyDescent="0.2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5" x14ac:dyDescent="0.25">
      <c r="A381" s="339" t="s">
        <v>206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4.25" x14ac:dyDescent="0.2">
      <c r="A382" s="248" t="s">
        <v>446</v>
      </c>
      <c r="B382" s="249"/>
      <c r="C382" s="249">
        <f>SUMIFS(Data!$U$2:$U$14,Data!$S$2:$S$14,MarketProfile!A382,Data!$X$2:$X$14,"0")</f>
        <v>381451</v>
      </c>
      <c r="D382" s="382">
        <f>SUMIFS(Data!$U$30:$U$42,Data!$S$30:$S$42,MarketProfile!A382,Data!$X$30:$X$42,"0")</f>
        <v>332671</v>
      </c>
      <c r="E382" s="382"/>
      <c r="F382" s="286">
        <f t="shared" ref="F382:F386" si="28">IFERROR(IF(OR(AND(D382="",C382=""),AND(D382=0,C382=0)),"",
IF(OR(D382="",D382=0),1,
IF(OR(D382&lt;&gt;"",D382&lt;&gt;0),(C382-D382)/ABS(D382)))),-1)</f>
        <v>0.14663135650537618</v>
      </c>
      <c r="G382" s="382">
        <f>SUMIFS(Data!$U$60:$U$72,Data!$S$60:$S$72,MarketProfile!A382,Data!$X$60:$X$72,"0")</f>
        <v>373061</v>
      </c>
      <c r="H382" s="382"/>
      <c r="I382" s="286">
        <f t="shared" ref="I382:I386" si="29">IFERROR(IF(OR(AND(G382="",C382=""),AND(G382=0,C382=0)),"",
IF(OR(G382="",G382=0),1,
IF(OR(G382&lt;&gt;"",G382&lt;&gt;0),(C382-G382)/ABS(G382)))),-1)</f>
        <v>2.2489619660055592E-2</v>
      </c>
    </row>
    <row r="383" spans="1:9" ht="14.25" x14ac:dyDescent="0.2">
      <c r="A383" s="248" t="s">
        <v>447</v>
      </c>
      <c r="B383" s="249"/>
      <c r="C383" s="249">
        <f>SUMIFS(Data!$U$2:$U$14,Data!$S$2:$S$14,MarketProfile!A383,Data!$X$2:$X$14,"0")</f>
        <v>945608</v>
      </c>
      <c r="D383" s="382">
        <f>SUMIFS(Data!$U$30:$U$42,Data!$S$30:$S$42,MarketProfile!A383,Data!$X$30:$X$42,"0")</f>
        <v>731102</v>
      </c>
      <c r="E383" s="382"/>
      <c r="F383" s="286">
        <f t="shared" si="28"/>
        <v>0.29340092080174857</v>
      </c>
      <c r="G383" s="382">
        <f>SUMIFS(Data!$U$60:$U$72,Data!$S$60:$S$72,MarketProfile!A383,Data!$X$60:$X$72,"0")</f>
        <v>907558</v>
      </c>
      <c r="H383" s="382"/>
      <c r="I383" s="286">
        <f t="shared" si="29"/>
        <v>4.1925695107089572E-2</v>
      </c>
    </row>
    <row r="384" spans="1:9" ht="14.25" x14ac:dyDescent="0.2">
      <c r="A384" s="248" t="s">
        <v>451</v>
      </c>
      <c r="B384" s="249"/>
      <c r="C384" s="249">
        <f>SUMIFS(Data!$U$2:$U$14,Data!$S$2:$S$14,MarketProfile!A384,Data!$X$2:$X$14,"0")</f>
        <v>237687</v>
      </c>
      <c r="D384" s="382">
        <f>SUMIFS(Data!$U$30:$U$42,Data!$S$30:$S$42,MarketProfile!A384,Data!$X$30:$X$42,"0")</f>
        <v>290188</v>
      </c>
      <c r="E384" s="382"/>
      <c r="F384" s="286">
        <f t="shared" si="28"/>
        <v>-0.18092064454767254</v>
      </c>
      <c r="G384" s="382">
        <f>SUMIFS(Data!$U$60:$U$72,Data!$S$60:$S$72,MarketProfile!A384,Data!$X$60:$X$72,"0")</f>
        <v>148406</v>
      </c>
      <c r="H384" s="382"/>
      <c r="I384" s="286">
        <f t="shared" si="29"/>
        <v>0.60159966578170698</v>
      </c>
    </row>
    <row r="385" spans="1:9" ht="14.25" x14ac:dyDescent="0.2">
      <c r="A385" s="248" t="s">
        <v>448</v>
      </c>
      <c r="B385" s="249"/>
      <c r="C385" s="249">
        <f>SUMIFS(Data!$U$2:$U$14,Data!$S$2:$S$14,MarketProfile!A385,Data!$X$2:$X$14,"0")</f>
        <v>0</v>
      </c>
      <c r="D385" s="382">
        <f>SUMIFS(Data!$U$30:$U$42,Data!$S$30:$S$42,MarketProfile!A385,Data!$X$30:$X$42,"0")</f>
        <v>0</v>
      </c>
      <c r="E385" s="382"/>
      <c r="F385" s="286" t="str">
        <f t="shared" si="28"/>
        <v/>
      </c>
      <c r="G385" s="382">
        <f>SUMIFS(Data!$U$60:$U$72,Data!$S$60:$S$72,MarketProfile!A385,Data!$X$60:$X$72,"0")</f>
        <v>0</v>
      </c>
      <c r="H385" s="382"/>
      <c r="I385" s="286" t="str">
        <f t="shared" si="29"/>
        <v/>
      </c>
    </row>
    <row r="386" spans="1:9" ht="15" x14ac:dyDescent="0.25">
      <c r="A386" s="288" t="s">
        <v>133</v>
      </c>
      <c r="B386" s="250"/>
      <c r="C386" s="250">
        <f>SUM(C382:C385)</f>
        <v>1564746</v>
      </c>
      <c r="D386" s="374">
        <f>SUM(D382:E385)</f>
        <v>1353961</v>
      </c>
      <c r="E386" s="374">
        <f>SUM(E382:E385)</f>
        <v>0</v>
      </c>
      <c r="F386" s="326">
        <f t="shared" si="28"/>
        <v>0.15568025962343079</v>
      </c>
      <c r="G386" s="374">
        <f>SUM(G382:H385)</f>
        <v>1429025</v>
      </c>
      <c r="H386" s="374">
        <v>677531</v>
      </c>
      <c r="I386" s="326">
        <f t="shared" si="29"/>
        <v>9.4974545581777786E-2</v>
      </c>
    </row>
    <row r="387" spans="1:9" ht="14.25" x14ac:dyDescent="0.2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5" x14ac:dyDescent="0.25">
      <c r="A388" s="332" t="s">
        <v>208</v>
      </c>
      <c r="B388" s="332"/>
      <c r="C388" s="332"/>
      <c r="D388" s="332"/>
      <c r="E388" s="332"/>
      <c r="F388" s="340"/>
      <c r="G388" s="332"/>
      <c r="H388" s="332"/>
      <c r="I388" s="340"/>
    </row>
    <row r="389" spans="1:9" ht="14.25" x14ac:dyDescent="0.2">
      <c r="A389" s="339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4.25" x14ac:dyDescent="0.2">
      <c r="A390" s="248" t="s">
        <v>446</v>
      </c>
      <c r="B390" s="249"/>
      <c r="C390" s="249">
        <f>SUMIFS(Data!$T$2:$T$14,Data!$S$2:$S$14,MarketProfile!A390,Data!$X$2:$X$14,"1")/1000</f>
        <v>831852691.70271587</v>
      </c>
      <c r="D390" s="382">
        <f>SUMIFS(Data!$T$30:$T$42,Data!$S$30:$S$42,MarketProfile!A390,Data!$X$30:$X$42,"1")/1000</f>
        <v>314217783.1859867</v>
      </c>
      <c r="E390" s="382"/>
      <c r="F390" s="286">
        <f t="shared" ref="F390:F397" si="30">IFERROR(IF(OR(AND(D390="",C390=""),AND(D390=0,C390=0)),"",
IF(OR(D390="",D390=0),1,
IF(OR(D390&lt;&gt;"",D390&lt;&gt;0),(C390-D390)/ABS(D390)))),-1)</f>
        <v>1.6473762346236753</v>
      </c>
      <c r="G390" s="382">
        <f>SUMIFS(Data!$T$60:$T$72,Data!$S$60:$S$72,MarketProfile!A390,Data!$X$60:$X$72,"1")/1000</f>
        <v>979100304.40147674</v>
      </c>
      <c r="H390" s="382"/>
      <c r="I390" s="286">
        <f t="shared" ref="I390:I397" si="31">IFERROR(IF(OR(AND(G390="",C390=""),AND(G390=0,C390=0)),"",
IF(OR(G390="",G390=0),1,
IF(OR(G390&lt;&gt;"",G390&lt;&gt;0),(C390-G390)/ABS(G390)))),-1)</f>
        <v>-0.15039073324440769</v>
      </c>
    </row>
    <row r="391" spans="1:9" ht="14.25" x14ac:dyDescent="0.2">
      <c r="A391" s="248" t="s">
        <v>447</v>
      </c>
      <c r="B391" s="249"/>
      <c r="C391" s="249">
        <f>SUMIFS(Data!$T$2:$T$14,Data!$S$2:$S$14,MarketProfile!A391,Data!$X$2:$X$14,"1")/1000</f>
        <v>27309106.563873999</v>
      </c>
      <c r="D391" s="382">
        <f>SUMIFS(Data!$T$30:$T$42,Data!$S$30:$S$42,MarketProfile!A391,Data!$X$30:$X$42,"1")/1000</f>
        <v>10253585.03129</v>
      </c>
      <c r="E391" s="382"/>
      <c r="F391" s="286">
        <f t="shared" si="30"/>
        <v>1.6633715408354346</v>
      </c>
      <c r="G391" s="382">
        <f>SUMIFS(Data!$T$60:$T$72,Data!$S$60:$S$72,MarketProfile!A391,Data!$X$60:$X$72,"1")/1000</f>
        <v>23359755.568843</v>
      </c>
      <c r="H391" s="382"/>
      <c r="I391" s="286">
        <f t="shared" si="31"/>
        <v>0.16906645206076568</v>
      </c>
    </row>
    <row r="392" spans="1:9" ht="14.25" x14ac:dyDescent="0.2">
      <c r="A392" s="248" t="s">
        <v>448</v>
      </c>
      <c r="B392" s="249"/>
      <c r="C392" s="249">
        <f>SUMIFS(Data!$T$2:$T$14,Data!$S$2:$S$14,MarketProfile!A392,Data!$X$2:$X$14,"1")/1000</f>
        <v>14631.58736</v>
      </c>
      <c r="D392" s="382">
        <f>SUMIFS(Data!$T$30:$T$42,Data!$S$30:$S$42,MarketProfile!A392,Data!$X$30:$X$42,"1")/1000</f>
        <v>189.982</v>
      </c>
      <c r="E392" s="382"/>
      <c r="F392" s="286">
        <f t="shared" si="30"/>
        <v>76.015650745860128</v>
      </c>
      <c r="G392" s="382">
        <f>SUMIFS(Data!$T$60:$T$72,Data!$S$60:$S$72,MarketProfile!A392,Data!$X$60:$X$72,"1")/1000</f>
        <v>2106.1018399999998</v>
      </c>
      <c r="H392" s="382"/>
      <c r="I392" s="286">
        <f t="shared" si="31"/>
        <v>5.9472363976473241</v>
      </c>
    </row>
    <row r="393" spans="1:9" ht="14.25" x14ac:dyDescent="0.2">
      <c r="A393" s="248" t="s">
        <v>182</v>
      </c>
      <c r="B393" s="249"/>
      <c r="C393" s="249">
        <f>SUMIFS(Data!$T$2:$T$14,Data!$S$2:$S$14,MarketProfile!A393,Data!$X$2:$X$14,"1")/1000</f>
        <v>48840.919090000003</v>
      </c>
      <c r="D393" s="382">
        <f>SUMIFS(Data!$T$30:$T$42,Data!$S$30:$S$42,MarketProfile!A393,Data!$X$30:$X$42,"1")/1000</f>
        <v>41013.814237999999</v>
      </c>
      <c r="E393" s="382"/>
      <c r="F393" s="286">
        <f t="shared" si="30"/>
        <v>0.19084069593186137</v>
      </c>
      <c r="G393" s="382">
        <f>SUMIFS(Data!$T$60:$T$72,Data!$S$60:$S$72,MarketProfile!A393,Data!$X$60:$X$72,"1")/1000</f>
        <v>283902.48928399995</v>
      </c>
      <c r="H393" s="382"/>
      <c r="I393" s="286">
        <f t="shared" si="31"/>
        <v>-0.82796586527586824</v>
      </c>
    </row>
    <row r="394" spans="1:9" ht="14.25" x14ac:dyDescent="0.2">
      <c r="A394" s="248" t="s">
        <v>449</v>
      </c>
      <c r="B394" s="249"/>
      <c r="C394" s="249">
        <f>SUMIFS(Data!$T$2:$T$14,Data!$S$2:$S$14,MarketProfile!A394,Data!$X$2:$X$14,"1")/1000</f>
        <v>5988105.5688879993</v>
      </c>
      <c r="D394" s="382">
        <f>SUMIFS(Data!$T$30:$T$42,Data!$S$30:$S$42,MarketProfile!A394,Data!$X$30:$X$42,"1")/1000</f>
        <v>2494080.3356792</v>
      </c>
      <c r="E394" s="382"/>
      <c r="F394" s="286">
        <f t="shared" si="30"/>
        <v>1.4009273010274905</v>
      </c>
      <c r="G394" s="382">
        <f>SUMIFS(Data!$T$60:$T$72,Data!$S$60:$S$72,MarketProfile!A394,Data!$X$60:$X$72,"1")/1000</f>
        <v>4999774.5940006003</v>
      </c>
      <c r="H394" s="382"/>
      <c r="I394" s="286">
        <f t="shared" si="31"/>
        <v>0.19767510640846309</v>
      </c>
    </row>
    <row r="395" spans="1:9" ht="14.25" x14ac:dyDescent="0.2">
      <c r="A395" s="248" t="s">
        <v>450</v>
      </c>
      <c r="B395" s="249"/>
      <c r="C395" s="249">
        <f>SUMIFS(Data!$T$2:$T$14,Data!$S$2:$S$14,MarketProfile!A395,Data!$X$2:$X$14,"1")/1000</f>
        <v>20.155290000000001</v>
      </c>
      <c r="D395" s="382">
        <f>SUMIFS(Data!$T$30:$T$42,Data!$S$30:$S$42,MarketProfile!A395,Data!$X$30:$X$42,"1")/1000</f>
        <v>0</v>
      </c>
      <c r="E395" s="382"/>
      <c r="F395" s="286">
        <f t="shared" si="30"/>
        <v>1</v>
      </c>
      <c r="G395" s="382">
        <f>SUMIFS(Data!$T$60:$T$72,Data!$S$60:$S$72,MarketProfile!A395,Data!$X$60:$X$72,"1")/1000</f>
        <v>0</v>
      </c>
      <c r="H395" s="382"/>
      <c r="I395" s="286">
        <f t="shared" si="31"/>
        <v>1</v>
      </c>
    </row>
    <row r="396" spans="1:9" ht="14.25" x14ac:dyDescent="0.2">
      <c r="A396" s="248" t="s">
        <v>451</v>
      </c>
      <c r="B396" s="249"/>
      <c r="C396" s="249">
        <f>SUMIFS(Data!$T$2:$T$14,Data!$S$2:$S$14,MarketProfile!A396,Data!$X$2:$X$14,"1")/1000</f>
        <v>8463415.7343729995</v>
      </c>
      <c r="D396" s="382">
        <f>SUMIFS(Data!$T$30:$T$42,Data!$S$30:$S$42,MarketProfile!A396,Data!$X$30:$X$42,"1")/1000</f>
        <v>4815731.4351000004</v>
      </c>
      <c r="E396" s="382"/>
      <c r="F396" s="286">
        <f t="shared" si="30"/>
        <v>0.75745176998169828</v>
      </c>
      <c r="G396" s="382">
        <f>SUMIFS(Data!$T$60:$T$72,Data!$S$60:$S$72,MarketProfile!A396,Data!$X$60:$X$72,"1")/1000</f>
        <v>10726614.534360999</v>
      </c>
      <c r="H396" s="382"/>
      <c r="I396" s="286">
        <f t="shared" si="31"/>
        <v>-0.2109891049723287</v>
      </c>
    </row>
    <row r="397" spans="1:9" ht="15" x14ac:dyDescent="0.25">
      <c r="A397" s="288" t="s">
        <v>133</v>
      </c>
      <c r="B397" s="250"/>
      <c r="C397" s="250">
        <f>SUM(C390:C396)</f>
        <v>873676812.23159087</v>
      </c>
      <c r="D397" s="374">
        <f>SUM(D390:E396)</f>
        <v>331822383.78429389</v>
      </c>
      <c r="E397" s="374">
        <f>SUM(E390:E396)</f>
        <v>0</v>
      </c>
      <c r="F397" s="326">
        <f t="shared" si="30"/>
        <v>1.6329652697556942</v>
      </c>
      <c r="G397" s="374">
        <f>SUM(G390:H396)</f>
        <v>1018472457.6898054</v>
      </c>
      <c r="H397" s="374">
        <v>320543973</v>
      </c>
      <c r="I397" s="326">
        <f t="shared" si="31"/>
        <v>-0.14216942673801269</v>
      </c>
    </row>
    <row r="398" spans="1:9" ht="14.25" x14ac:dyDescent="0.2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5" x14ac:dyDescent="0.25">
      <c r="A399" s="339" t="s">
        <v>206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4.25" x14ac:dyDescent="0.2">
      <c r="A400" s="248" t="s">
        <v>446</v>
      </c>
      <c r="B400" s="249"/>
      <c r="C400" s="249">
        <f>SUMIFS(Data!$T$2:$T$14,Data!$S$2:$S$14,MarketProfile!A400,Data!$X$2:$X$14,"0")/1000</f>
        <v>2621445.4113799999</v>
      </c>
      <c r="D400" s="382">
        <f>SUMIFS(Data!$T$30:$T$42,Data!$S$30:$S$42,MarketProfile!A400,Data!$X$30:$X$42,"0")/1000</f>
        <v>3536754.8975300002</v>
      </c>
      <c r="E400" s="382"/>
      <c r="F400" s="286">
        <f t="shared" ref="F400:F404" si="32">IFERROR(IF(OR(AND(D400="",C400=""),AND(D400=0,C400=0)),"",
IF(OR(D400="",D400=0),1,
IF(OR(D400&lt;&gt;"",D400&lt;&gt;0),(C400-D400)/ABS(D400)))),-1)</f>
        <v>-0.25879924186695391</v>
      </c>
      <c r="G400" s="382">
        <f>SUMIFS(Data!$T$60:$T$72,Data!$S$60:$S$72,MarketProfile!A400,Data!$X$60:$X$72,"0")/1000</f>
        <v>2857196.8448800002</v>
      </c>
      <c r="H400" s="382"/>
      <c r="I400" s="286">
        <f t="shared" ref="I400:I404" si="33">IFERROR(IF(OR(AND(G400="",C400=""),AND(G400=0,C400=0)),"",
IF(OR(G400="",G400=0),1,
IF(OR(G400&lt;&gt;"",G400&lt;&gt;0),(C400-G400)/ABS(G400)))),-1)</f>
        <v>-8.2511442612873812E-2</v>
      </c>
    </row>
    <row r="401" spans="1:9" ht="14.25" x14ac:dyDescent="0.2">
      <c r="A401" s="248" t="s">
        <v>447</v>
      </c>
      <c r="B401" s="249"/>
      <c r="C401" s="249">
        <f>SUMIFS(Data!$T$2:$T$14,Data!$S$2:$S$14,MarketProfile!A401,Data!$X$2:$X$14,"0")/1000</f>
        <v>291659.19870000001</v>
      </c>
      <c r="D401" s="382">
        <f>SUMIFS(Data!$T$30:$T$42,Data!$S$30:$S$42,MarketProfile!A401,Data!$X$30:$X$42,"0")/1000</f>
        <v>617047.20503999991</v>
      </c>
      <c r="E401" s="382"/>
      <c r="F401" s="286">
        <f t="shared" si="32"/>
        <v>-0.52733081631721634</v>
      </c>
      <c r="G401" s="382">
        <f>SUMIFS(Data!$T$60:$T$72,Data!$S$60:$S$72,MarketProfile!A401,Data!$X$60:$X$72,"0")/1000</f>
        <v>352080.40693</v>
      </c>
      <c r="H401" s="382"/>
      <c r="I401" s="286">
        <f t="shared" si="33"/>
        <v>-0.17161195863424694</v>
      </c>
    </row>
    <row r="402" spans="1:9" ht="14.25" x14ac:dyDescent="0.2">
      <c r="A402" s="248" t="s">
        <v>451</v>
      </c>
      <c r="B402" s="249"/>
      <c r="C402" s="249">
        <f>SUMIFS(Data!$T$2:$T$14,Data!$S$2:$S$14,MarketProfile!A402,Data!$X$2:$X$14,"0")/1000</f>
        <v>155841.82037</v>
      </c>
      <c r="D402" s="382">
        <f>SUMIFS(Data!$T$30:$T$42,Data!$S$30:$S$42,MarketProfile!A402,Data!$X$30:$X$42,"0")/1000</f>
        <v>116178.49616</v>
      </c>
      <c r="E402" s="382"/>
      <c r="F402" s="286">
        <f t="shared" si="32"/>
        <v>0.34139987623334378</v>
      </c>
      <c r="G402" s="382">
        <f>SUMIFS(Data!$T$60:$T$72,Data!$S$60:$S$72,MarketProfile!A402,Data!$X$60:$X$72,"0")/1000</f>
        <v>177968.61058000001</v>
      </c>
      <c r="H402" s="382"/>
      <c r="I402" s="286">
        <f t="shared" si="33"/>
        <v>-0.12432973510266085</v>
      </c>
    </row>
    <row r="403" spans="1:9" ht="14.25" x14ac:dyDescent="0.2">
      <c r="A403" s="248" t="s">
        <v>448</v>
      </c>
      <c r="B403" s="249"/>
      <c r="C403" s="249">
        <f>SUMIFS(Data!$T$2:$T$14,Data!$S$2:$S$14,MarketProfile!A403,Data!$X$2:$X$14,"0")/1000</f>
        <v>0</v>
      </c>
      <c r="D403" s="382">
        <f>SUMIFS(Data!$T$30:$T$42,Data!$S$30:$S$42,MarketProfile!A403,Data!$X$30:$X$42,"0")/1000</f>
        <v>0</v>
      </c>
      <c r="E403" s="382"/>
      <c r="F403" s="286" t="str">
        <f t="shared" si="32"/>
        <v/>
      </c>
      <c r="G403" s="382">
        <f>SUMIFS(Data!$T$60:$T$72,Data!$S$60:$S$72,MarketProfile!A403,Data!$X$60:$X$72,"0")/1000</f>
        <v>0</v>
      </c>
      <c r="H403" s="382"/>
      <c r="I403" s="286" t="str">
        <f t="shared" si="33"/>
        <v/>
      </c>
    </row>
    <row r="404" spans="1:9" ht="15" x14ac:dyDescent="0.25">
      <c r="A404" s="288" t="s">
        <v>133</v>
      </c>
      <c r="B404" s="250"/>
      <c r="C404" s="250">
        <f>SUM(C400:C403)</f>
        <v>3068946.4304499999</v>
      </c>
      <c r="D404" s="374">
        <f>SUM(D400:E403)</f>
        <v>4269980.5987299997</v>
      </c>
      <c r="E404" s="374">
        <f>SUM(E400:E403)</f>
        <v>0</v>
      </c>
      <c r="F404" s="326">
        <f t="shared" si="32"/>
        <v>-0.2812739169440765</v>
      </c>
      <c r="G404" s="374">
        <f>SUM(G400:H403)</f>
        <v>3387245.8623900004</v>
      </c>
      <c r="H404" s="374">
        <v>1436842</v>
      </c>
      <c r="I404" s="326">
        <f t="shared" si="33"/>
        <v>-9.3969981770207905E-2</v>
      </c>
    </row>
    <row r="405" spans="1:9" ht="14.25" x14ac:dyDescent="0.2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5" x14ac:dyDescent="0.25">
      <c r="A406" s="332" t="s">
        <v>144</v>
      </c>
      <c r="B406" s="332"/>
      <c r="C406" s="332"/>
      <c r="D406" s="332"/>
      <c r="E406" s="332"/>
      <c r="F406" s="340"/>
      <c r="G406" s="332"/>
      <c r="H406" s="332"/>
      <c r="I406" s="340"/>
    </row>
    <row r="407" spans="1:9" ht="14.25" x14ac:dyDescent="0.2">
      <c r="A407" s="339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4.25" x14ac:dyDescent="0.2">
      <c r="A408" s="248" t="s">
        <v>446</v>
      </c>
      <c r="B408" s="127"/>
      <c r="C408" s="127">
        <f>SUMIFS(Data!$W$15:$W$27,Data!$S$15:$S$27,MarketProfile!A408,Data!$X$15:$X$27,"1")</f>
        <v>686611</v>
      </c>
      <c r="D408" s="382">
        <f>SUMIFS(Data!$W$45:$W$57,Data!$S$45:$S$57,MarketProfile!A408,Data!$X$45:$X$57,"1")</f>
        <v>847734</v>
      </c>
      <c r="E408" s="382"/>
      <c r="F408" s="286">
        <f t="shared" ref="F408:F414" si="34">IFERROR(IF(OR(AND(D408="",C408=""),AND(D408=0,C408=0)),"",
IF(OR(D408="",D408=0),1,
IF(OR(D408&lt;&gt;"",D408&lt;&gt;0),(C408-D408)/ABS(D408)))),-1)</f>
        <v>-0.1900631566033685</v>
      </c>
      <c r="G408" s="382">
        <f>SUMIFS(Data!$W$75:$W$87,Data!$S$75:$S$87,MarketProfile!A408,Data!$X$75:$X$87,"1")</f>
        <v>809245</v>
      </c>
      <c r="H408" s="382"/>
      <c r="I408" s="286">
        <f t="shared" ref="I408:I414" si="35">IFERROR(IF(OR(AND(G408="",C408=""),AND(G408=0,C408=0)),"",
IF(OR(G408="",G408=0),1,
IF(OR(G408&lt;&gt;"",G408&lt;&gt;0),(C408-G408)/ABS(G408)))),-1)</f>
        <v>-0.15154125141335442</v>
      </c>
    </row>
    <row r="409" spans="1:9" ht="14.25" x14ac:dyDescent="0.2">
      <c r="A409" s="248" t="s">
        <v>447</v>
      </c>
      <c r="B409" s="127"/>
      <c r="C409" s="127">
        <f>SUMIFS(Data!$W$15:$W$27,Data!$S$15:$S$27,MarketProfile!A409,Data!$X$15:$X$27,"1")</f>
        <v>1285642</v>
      </c>
      <c r="D409" s="382">
        <f>SUMIFS(Data!$W$45:$W$57,Data!$S$45:$S$57,MarketProfile!A409,Data!$X$45:$X$57,"1")</f>
        <v>1007406</v>
      </c>
      <c r="E409" s="382"/>
      <c r="F409" s="286">
        <f t="shared" si="34"/>
        <v>0.27619053291324452</v>
      </c>
      <c r="G409" s="382">
        <f>SUMIFS(Data!$W$75:$W$87,Data!$S$75:$S$87,MarketProfile!A409,Data!$X$75:$X$87,"1")</f>
        <v>744329</v>
      </c>
      <c r="H409" s="382"/>
      <c r="I409" s="286">
        <f t="shared" si="35"/>
        <v>0.72724964363876732</v>
      </c>
    </row>
    <row r="410" spans="1:9" ht="14.25" x14ac:dyDescent="0.2">
      <c r="A410" s="248" t="s">
        <v>448</v>
      </c>
      <c r="B410" s="127"/>
      <c r="C410" s="127">
        <f>SUMIFS(Data!$W$15:$W$27,Data!$S$15:$S$27,MarketProfile!A410,Data!$X$15:$X$27,"1")</f>
        <v>929721</v>
      </c>
      <c r="D410" s="382">
        <f>SUMIFS(Data!$W$45:$W$57,Data!$S$45:$S$57,MarketProfile!A410,Data!$X$45:$X$57,"1")</f>
        <v>719099</v>
      </c>
      <c r="E410" s="382"/>
      <c r="F410" s="286">
        <f t="shared" si="34"/>
        <v>0.29289708371170031</v>
      </c>
      <c r="G410" s="382">
        <f>SUMIFS(Data!$W$75:$W$87,Data!$S$75:$S$87,MarketProfile!A410,Data!$X$75:$X$87,"1")</f>
        <v>509137</v>
      </c>
      <c r="H410" s="382"/>
      <c r="I410" s="286">
        <f t="shared" si="35"/>
        <v>0.82607235380653932</v>
      </c>
    </row>
    <row r="411" spans="1:9" ht="14.25" x14ac:dyDescent="0.2">
      <c r="A411" s="248" t="s">
        <v>182</v>
      </c>
      <c r="B411" s="127"/>
      <c r="C411" s="127">
        <f>SUMIFS(Data!$W$15:$W$27,Data!$S$15:$S$27,MarketProfile!A411,Data!$X$15:$X$27,"1")</f>
        <v>1920406</v>
      </c>
      <c r="D411" s="382">
        <f>SUMIFS(Data!$W$45:$W$57,Data!$S$45:$S$57,MarketProfile!A411,Data!$X$45:$X$57,"1")</f>
        <v>1735889</v>
      </c>
      <c r="E411" s="382"/>
      <c r="F411" s="286">
        <f t="shared" si="34"/>
        <v>0.10629539100714389</v>
      </c>
      <c r="G411" s="382">
        <f>SUMIFS(Data!$W$75:$W$87,Data!$S$75:$S$87,MarketProfile!A411,Data!$X$75:$X$87,"1")</f>
        <v>1370117</v>
      </c>
      <c r="H411" s="382"/>
      <c r="I411" s="286">
        <f t="shared" si="35"/>
        <v>0.40163650257605737</v>
      </c>
    </row>
    <row r="412" spans="1:9" ht="14.25" x14ac:dyDescent="0.2">
      <c r="A412" s="248" t="s">
        <v>449</v>
      </c>
      <c r="B412" s="127"/>
      <c r="C412" s="127">
        <f>SUMIFS(Data!$W$15:$W$27,Data!$S$15:$S$27,MarketProfile!A412,Data!$X$15:$X$27,"1")</f>
        <v>14085372</v>
      </c>
      <c r="D412" s="382">
        <f>SUMIFS(Data!$W$45:$W$57,Data!$S$45:$S$57,MarketProfile!A412,Data!$X$45:$X$57,"1")</f>
        <v>18048034</v>
      </c>
      <c r="E412" s="382"/>
      <c r="F412" s="286">
        <f t="shared" si="34"/>
        <v>-0.21956197555922158</v>
      </c>
      <c r="G412" s="382">
        <f>SUMIFS(Data!$W$75:$W$87,Data!$S$75:$S$87,MarketProfile!A412,Data!$X$75:$X$87,"1")</f>
        <v>19761408</v>
      </c>
      <c r="H412" s="382"/>
      <c r="I412" s="286">
        <f t="shared" si="35"/>
        <v>-0.28722831895379114</v>
      </c>
    </row>
    <row r="413" spans="1:9" ht="14.25" x14ac:dyDescent="0.2">
      <c r="A413" s="248" t="s">
        <v>450</v>
      </c>
      <c r="B413" s="127"/>
      <c r="C413" s="127">
        <f>SUMIFS(Data!$W$15:$W$27,Data!$S$15:$S$27,MarketProfile!A413,Data!$X$15:$X$27,"1")</f>
        <v>13580366</v>
      </c>
      <c r="D413" s="382">
        <f>SUMIFS(Data!$W$45:$W$57,Data!$S$45:$S$57,MarketProfile!A413,Data!$X$45:$X$57,"1")</f>
        <v>17540416</v>
      </c>
      <c r="E413" s="382"/>
      <c r="F413" s="286">
        <f t="shared" si="34"/>
        <v>-0.22576716538535915</v>
      </c>
      <c r="G413" s="382">
        <f>SUMIFS(Data!$W$75:$W$87,Data!$S$75:$S$87,MarketProfile!A413,Data!$X$75:$X$87,"1")</f>
        <v>19283864</v>
      </c>
      <c r="H413" s="382"/>
      <c r="I413" s="286">
        <f t="shared" si="35"/>
        <v>-0.29576530927619071</v>
      </c>
    </row>
    <row r="414" spans="1:9" ht="14.25" x14ac:dyDescent="0.2">
      <c r="A414" s="248" t="s">
        <v>451</v>
      </c>
      <c r="B414" s="127"/>
      <c r="C414" s="127">
        <f>SUMIFS(Data!$W$15:$W$27,Data!$S$15:$S$27,MarketProfile!A414,Data!$X$15:$X$27,"1")</f>
        <v>301213</v>
      </c>
      <c r="D414" s="382">
        <f>SUMIFS(Data!$W$45:$W$57,Data!$S$45:$S$57,MarketProfile!A414,Data!$X$45:$X$57,"1")</f>
        <v>317579</v>
      </c>
      <c r="E414" s="382"/>
      <c r="F414" s="286">
        <f t="shared" si="34"/>
        <v>-5.1533634150872698E-2</v>
      </c>
      <c r="G414" s="382">
        <f>SUMIFS(Data!$W$75:$W$87,Data!$S$75:$S$87,MarketProfile!A414,Data!$X$75:$X$87,"1")</f>
        <v>744275</v>
      </c>
      <c r="H414" s="382"/>
      <c r="I414" s="286">
        <f t="shared" si="35"/>
        <v>-0.59529340633502403</v>
      </c>
    </row>
    <row r="415" spans="1:9" ht="14.25" x14ac:dyDescent="0.2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4.25" x14ac:dyDescent="0.2">
      <c r="A416" s="339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4.25" x14ac:dyDescent="0.2">
      <c r="A417" s="248" t="s">
        <v>446</v>
      </c>
      <c r="B417" s="127"/>
      <c r="C417" s="127">
        <f>SUMIFS(Data!$W$15:$W$27,Data!$S$15:$S$27,MarketProfile!A417,Data!$X$15:$X$27,"0")</f>
        <v>808972</v>
      </c>
      <c r="D417" s="382">
        <f>SUMIFS(Data!$W$45:$W$57,Data!$S$45:$S$57,MarketProfile!A417,Data!$X$45:$X$57,"0")</f>
        <v>1053192</v>
      </c>
      <c r="E417" s="382"/>
      <c r="F417" s="286">
        <f t="shared" ref="F417:F419" si="36">IFERROR(IF(OR(AND(D417="",C417=""),AND(D417=0,C417=0)),"",
IF(OR(D417="",D417=0),1,
IF(OR(D417&lt;&gt;"",D417&lt;&gt;0),(C417-D417)/ABS(D417)))),-1)</f>
        <v>-0.23188554413630183</v>
      </c>
      <c r="G417" s="382">
        <f>SUMIFS(Data!$W$75:$W$87,Data!$S$75:$S$87,MarketProfile!A417,Data!$X$75:$X$87,"0")</f>
        <v>692191</v>
      </c>
      <c r="H417" s="382"/>
      <c r="I417" s="286">
        <f t="shared" ref="I417:I419" si="37">IFERROR(IF(OR(AND(G417="",C417=""),AND(G417=0,C417=0)),"",
IF(OR(G417="",G417=0),1,
IF(OR(G417&lt;&gt;"",G417&lt;&gt;0),(C417-G417)/ABS(G417)))),-1)</f>
        <v>0.16871210402909023</v>
      </c>
    </row>
    <row r="418" spans="1:12" ht="14.25" x14ac:dyDescent="0.2">
      <c r="A418" s="248" t="s">
        <v>447</v>
      </c>
      <c r="B418" s="127"/>
      <c r="C418" s="127">
        <f>SUMIFS(Data!$W$15:$W$27,Data!$S$15:$S$27,MarketProfile!A418,Data!$X$15:$X$27,"0")</f>
        <v>2066142</v>
      </c>
      <c r="D418" s="382">
        <f>SUMIFS(Data!$W$45:$W$57,Data!$S$45:$S$57,MarketProfile!A418,Data!$X$45:$X$57,"0")</f>
        <v>2535315</v>
      </c>
      <c r="E418" s="382"/>
      <c r="F418" s="286">
        <f t="shared" si="36"/>
        <v>-0.18505511149502132</v>
      </c>
      <c r="G418" s="382">
        <f>SUMIFS(Data!$W$75:$W$87,Data!$S$75:$S$87,MarketProfile!A418,Data!$X$75:$X$87,"0")</f>
        <v>1740386</v>
      </c>
      <c r="H418" s="382"/>
      <c r="I418" s="286">
        <f t="shared" si="37"/>
        <v>0.18717456931967966</v>
      </c>
    </row>
    <row r="419" spans="1:12" ht="14.25" x14ac:dyDescent="0.2">
      <c r="A419" s="248" t="s">
        <v>451</v>
      </c>
      <c r="B419" s="127"/>
      <c r="C419" s="127">
        <f>SUMIFS(Data!$W$15:$W$27,Data!$S$15:$S$27,MarketProfile!A419,Data!$X$15:$X$27,"0")</f>
        <v>237659</v>
      </c>
      <c r="D419" s="382">
        <f>SUMIFS(Data!$W$45:$W$57,Data!$S$45:$S$57,MarketProfile!A419,Data!$X$45:$X$57,"0")</f>
        <v>390292</v>
      </c>
      <c r="E419" s="382"/>
      <c r="F419" s="286">
        <f t="shared" si="36"/>
        <v>-0.39107386264642885</v>
      </c>
      <c r="G419" s="382">
        <f>SUMIFS(Data!$W$75:$W$87,Data!$S$75:$S$87,MarketProfile!A419,Data!$X$75:$X$87,"0")</f>
        <v>394813</v>
      </c>
      <c r="H419" s="382"/>
      <c r="I419" s="286">
        <f t="shared" si="37"/>
        <v>-0.39804667019576356</v>
      </c>
    </row>
    <row r="420" spans="1:12" ht="15" thickBot="1" x14ac:dyDescent="0.25">
      <c r="A420" s="289" t="s">
        <v>448</v>
      </c>
      <c r="B420" s="289"/>
      <c r="C420" s="128">
        <f>SUMIFS(Data!$W$15:$W$27,Data!$S$15:$S$27,MarketProfile!A420,Data!$X$15:$X$27,"0")</f>
        <v>0</v>
      </c>
      <c r="D420" s="289"/>
      <c r="E420" s="289"/>
      <c r="F420" s="291"/>
      <c r="G420" s="289"/>
      <c r="H420" s="289"/>
      <c r="I420" s="291"/>
    </row>
    <row r="421" spans="1:12" s="247" customFormat="1" ht="15" thickTop="1" x14ac:dyDescent="0.2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4.25" x14ac:dyDescent="0.2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4.25" x14ac:dyDescent="0.2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4.25" x14ac:dyDescent="0.2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4.25" x14ac:dyDescent="0.2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4.25" x14ac:dyDescent="0.2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4.25" x14ac:dyDescent="0.2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">
      <c r="A429" s="370" t="str">
        <f>"Market Profile - "&amp; TEXT($H$3,"MMM")&amp;" "&amp;TEXT($H$3,"YYYY")</f>
        <v>Market Profile - Jun 2017</v>
      </c>
      <c r="B429" s="248"/>
      <c r="C429" s="248"/>
      <c r="D429" s="248"/>
      <c r="E429" s="375" t="s">
        <v>205</v>
      </c>
      <c r="F429" s="375"/>
      <c r="G429" s="375"/>
      <c r="H429" s="375"/>
      <c r="I429" s="375"/>
    </row>
    <row r="430" spans="1:12" ht="10.5" customHeight="1" thickBot="1" x14ac:dyDescent="0.25">
      <c r="A430" s="371"/>
      <c r="B430" s="278"/>
      <c r="C430" s="278"/>
      <c r="D430" s="278"/>
      <c r="E430" s="376"/>
      <c r="F430" s="376"/>
      <c r="G430" s="376"/>
      <c r="H430" s="376"/>
      <c r="I430" s="376"/>
    </row>
    <row r="431" spans="1:12" ht="38.25" customHeight="1" thickBot="1" x14ac:dyDescent="0.3">
      <c r="A431" s="330"/>
      <c r="B431" s="330"/>
      <c r="C431" s="341" t="str">
        <f>TEXT($H$3,"MMM")&amp;" "&amp;TEXT($H$3,"YYYY")</f>
        <v>Jun 2017</v>
      </c>
      <c r="D431" s="330"/>
      <c r="E431" s="341" t="str">
        <f>TEXT(DATE(2000,TEXT(H3,"M")-1,1),"mmm")&amp; " "&amp; TEXT(H3,"YYYY")</f>
        <v>May 2017</v>
      </c>
      <c r="F431" s="180" t="s">
        <v>193</v>
      </c>
      <c r="G431" s="330"/>
      <c r="H431" s="342" t="str">
        <f>TEXT($H$3,"MMM")&amp;" "&amp;TEXT($H$3,"YYYY")-1</f>
        <v>Jun 2016</v>
      </c>
      <c r="I431" s="342" t="s">
        <v>194</v>
      </c>
    </row>
    <row r="432" spans="1:12" ht="15" x14ac:dyDescent="0.25">
      <c r="A432" s="332" t="s">
        <v>117</v>
      </c>
      <c r="B432" s="332"/>
      <c r="C432" s="332"/>
      <c r="D432" s="332"/>
      <c r="E432" s="332"/>
      <c r="F432" s="332"/>
      <c r="G432" s="332"/>
      <c r="H432" s="332"/>
      <c r="I432" s="343"/>
    </row>
    <row r="433" spans="1:10" x14ac:dyDescent="0.2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">
      <c r="A434" s="247" t="s">
        <v>461</v>
      </c>
      <c r="B434" s="247"/>
      <c r="C434" s="3">
        <f>SUMIFS(Data!$AC:$AC,Data!$Z:$Z,MarketProfile!A434,Data!$AE:$AE,"1")</f>
        <v>1324</v>
      </c>
      <c r="D434" s="391">
        <f>SUMIFS(Data!$AQ:$AQ,Data!$AN:$AN,MarketProfile!A434,Data!$AS:$AS,"1")</f>
        <v>1087</v>
      </c>
      <c r="E434" s="391"/>
      <c r="F434" s="179">
        <f>IFERROR(IF(OR(AND(D434="",C434=""),AND(D434=0,C434=0)),"",
IF(OR(D434="",D434=0),1,
IF(OR(D434&lt;&gt;"",D434&lt;&gt;0),(C434-D434)/ABS(D434)))),-1)</f>
        <v>0.21803127874885003</v>
      </c>
      <c r="G434" s="391">
        <f>SUMIFS(Data!$BE:$BE,Data!$BB:$BB,MarketProfile!A434,Data!BG:BG,"1")</f>
        <v>1120</v>
      </c>
      <c r="H434" s="391"/>
      <c r="I434" s="179">
        <f t="shared" ref="I434:I441" si="38">IFERROR(IF(OR(AND(G434="",C434=""),AND(G434=0,C434=0)),"",
IF(OR(G434="",G434=0),1,
IF(OR(G434&lt;&gt;"",G434&lt;&gt;0),(C434-G434)/ABS(G434)))),-1)</f>
        <v>0.18214285714285713</v>
      </c>
      <c r="J434" s="158"/>
    </row>
    <row r="435" spans="1:10" x14ac:dyDescent="0.2">
      <c r="A435" s="247" t="s">
        <v>184</v>
      </c>
      <c r="B435" s="247"/>
      <c r="C435" s="3">
        <f>SUMIFS(Data!$AC:$AC,Data!$Z:$Z,MarketProfile!A435,Data!$AE:$AE,"1")</f>
        <v>2932</v>
      </c>
      <c r="D435" s="391">
        <f>SUMIFS(Data!$AQ:$AQ,Data!$AN:$AN,MarketProfile!A435,Data!$AS:$AS,"1")</f>
        <v>3360</v>
      </c>
      <c r="E435" s="391"/>
      <c r="F435" s="179">
        <f t="shared" ref="F435:F442" si="39">IFERROR(IF(OR(AND(D435="",C435=""),AND(D435=0,C435=0)),"",
IF(OR(D435="",D435=0),1,
IF(OR(D435&lt;&gt;"",D435&lt;&gt;0),(C435-D435)/ABS(D435)))),-1)</f>
        <v>-0.12738095238095237</v>
      </c>
      <c r="G435" s="391">
        <f>SUMIFS(Data!$BE:$BE,Data!$BB:$BB,MarketProfile!A435,Data!BG:BG,"1")</f>
        <v>2712</v>
      </c>
      <c r="H435" s="391"/>
      <c r="I435" s="179">
        <f t="shared" si="38"/>
        <v>8.1120943952802366E-2</v>
      </c>
      <c r="J435" s="158"/>
    </row>
    <row r="436" spans="1:10" x14ac:dyDescent="0.2">
      <c r="A436" s="247" t="s">
        <v>462</v>
      </c>
      <c r="B436" s="247"/>
      <c r="C436" s="3">
        <f>SUMIFS(Data!$AC:$AC,Data!$Z:$Z,MarketProfile!A436,Data!$AE:$AE,"1")</f>
        <v>8927</v>
      </c>
      <c r="D436" s="391">
        <f>SUMIFS(Data!$AQ:$AQ,Data!$AN:$AN,MarketProfile!A436,Data!$AS:$AS,"1")</f>
        <v>5743</v>
      </c>
      <c r="E436" s="391"/>
      <c r="F436" s="179">
        <f t="shared" si="39"/>
        <v>0.55441406930175863</v>
      </c>
      <c r="G436" s="391">
        <f>SUMIFS(Data!$BE:$BE,Data!$BB:$BB,MarketProfile!A436,Data!BG:BG,"1")</f>
        <v>8453</v>
      </c>
      <c r="H436" s="391"/>
      <c r="I436" s="179">
        <f t="shared" si="38"/>
        <v>5.6074766355140186E-2</v>
      </c>
      <c r="J436" s="158"/>
    </row>
    <row r="437" spans="1:10" x14ac:dyDescent="0.2">
      <c r="A437" s="247" t="s">
        <v>140</v>
      </c>
      <c r="B437" s="247"/>
      <c r="C437" s="3">
        <f>SUMIFS(Data!$AC:$AC,Data!$Z:$Z,MarketProfile!A437,Data!$AE:$AE,"1")</f>
        <v>32</v>
      </c>
      <c r="D437" s="391">
        <f>SUMIFS(Data!$AQ:$AQ,Data!$AN:$AN,MarketProfile!A437,Data!$AS:$AS,"1")</f>
        <v>38</v>
      </c>
      <c r="E437" s="391"/>
      <c r="F437" s="179">
        <f t="shared" si="39"/>
        <v>-0.15789473684210525</v>
      </c>
      <c r="G437" s="391">
        <f>SUMIFS(Data!$BE:$BE,Data!$BB:$BB,MarketProfile!A437,Data!BG:BG,"1")</f>
        <v>52</v>
      </c>
      <c r="H437" s="391"/>
      <c r="I437" s="179">
        <f t="shared" si="38"/>
        <v>-0.38461538461538464</v>
      </c>
      <c r="J437" s="158"/>
    </row>
    <row r="438" spans="1:10" x14ac:dyDescent="0.2">
      <c r="A438" s="247" t="s">
        <v>463</v>
      </c>
      <c r="B438" s="247"/>
      <c r="C438" s="3">
        <f>SUMIFS(Data!$AC:$AC,Data!$Z:$Z,MarketProfile!A438,Data!$AE:$AE,"1")</f>
        <v>3799</v>
      </c>
      <c r="D438" s="391">
        <f>SUMIFS(Data!$AQ:$AQ,Data!$AN:$AN,MarketProfile!A438,Data!$AS:$AS,"1")</f>
        <v>2850</v>
      </c>
      <c r="E438" s="391"/>
      <c r="F438" s="179">
        <f t="shared" si="39"/>
        <v>0.33298245614035088</v>
      </c>
      <c r="G438" s="391">
        <f>SUMIFS(Data!$BE:$BE,Data!$BB:$BB,MarketProfile!A438,Data!BG:BG,"1")</f>
        <v>3392</v>
      </c>
      <c r="H438" s="391"/>
      <c r="I438" s="179">
        <f t="shared" si="38"/>
        <v>0.11998820754716981</v>
      </c>
      <c r="J438" s="158"/>
    </row>
    <row r="439" spans="1:10" x14ac:dyDescent="0.2">
      <c r="A439" s="247" t="s">
        <v>464</v>
      </c>
      <c r="B439" s="247"/>
      <c r="C439" s="3">
        <f>SUMIFS(Data!$AC:$AC,Data!$Z:$Z,MarketProfile!A439,Data!$AE:$AE,"1")</f>
        <v>16218</v>
      </c>
      <c r="D439" s="391">
        <f>SUMIFS(Data!$AQ:$AQ,Data!$AN:$AN,MarketProfile!A439,Data!$AS:$AS,"1")</f>
        <v>10143</v>
      </c>
      <c r="E439" s="391"/>
      <c r="F439" s="179">
        <f t="shared" si="39"/>
        <v>0.59893522626441886</v>
      </c>
      <c r="G439" s="391">
        <f>SUMIFS(Data!$BE:$BE,Data!$BB:$BB,MarketProfile!A439,Data!BG:BG,"1")</f>
        <v>16588</v>
      </c>
      <c r="H439" s="391"/>
      <c r="I439" s="179">
        <f t="shared" si="38"/>
        <v>-2.2305280925970582E-2</v>
      </c>
      <c r="J439" s="158"/>
    </row>
    <row r="440" spans="1:10" x14ac:dyDescent="0.2">
      <c r="A440" s="247" t="s">
        <v>465</v>
      </c>
      <c r="B440" s="247"/>
      <c r="C440" s="3">
        <f>SUMIFS(Data!$AC:$AC,Data!$Z:$Z,MarketProfile!A440,Data!$AE:$AE,"1")</f>
        <v>21</v>
      </c>
      <c r="D440" s="391">
        <f>SUMIFS(Data!$AQ:$AQ,Data!$AN:$AN,MarketProfile!A440,Data!$AS:$AS,"1")</f>
        <v>22</v>
      </c>
      <c r="E440" s="391"/>
      <c r="F440" s="179">
        <f t="shared" si="39"/>
        <v>-4.5454545454545456E-2</v>
      </c>
      <c r="G440" s="391">
        <f>SUMIFS(Data!$BE:$BE,Data!$BB:$BB,MarketProfile!A440,Data!BG:BG,"1")</f>
        <v>63</v>
      </c>
      <c r="H440" s="391"/>
      <c r="I440" s="179">
        <f t="shared" si="38"/>
        <v>-0.66666666666666663</v>
      </c>
      <c r="J440" s="158"/>
    </row>
    <row r="441" spans="1:10" x14ac:dyDescent="0.2">
      <c r="A441" s="247" t="s">
        <v>141</v>
      </c>
      <c r="B441" s="247"/>
      <c r="C441" s="3">
        <f>SUMIFS(Data!$AC:$AC,Data!$Z:$Z,MarketProfile!A441,Data!$AE:$AE,"1")</f>
        <v>32</v>
      </c>
      <c r="D441" s="391">
        <f>SUMIFS(Data!$AQ:$AQ,Data!$AN:$AN,MarketProfile!A441,Data!$AS:$AS,"1")</f>
        <v>10</v>
      </c>
      <c r="E441" s="391"/>
      <c r="F441" s="179">
        <f t="shared" si="39"/>
        <v>2.2000000000000002</v>
      </c>
      <c r="G441" s="391">
        <f>SUMIFS(Data!$BE:$BE,Data!$BB:$BB,MarketProfile!A441,Data!BG:BG,"1")</f>
        <v>43</v>
      </c>
      <c r="H441" s="391"/>
      <c r="I441" s="179">
        <f t="shared" si="38"/>
        <v>-0.2558139534883721</v>
      </c>
      <c r="J441" s="158"/>
    </row>
    <row r="442" spans="1:10" x14ac:dyDescent="0.2">
      <c r="A442" s="246" t="s">
        <v>187</v>
      </c>
      <c r="B442" s="247"/>
      <c r="C442" s="4">
        <f>SUM(C434:C441)</f>
        <v>33285</v>
      </c>
      <c r="D442" s="392">
        <f>SUM(D434:E441)</f>
        <v>23253</v>
      </c>
      <c r="E442" s="392">
        <f>SUM(E434:E441)</f>
        <v>0</v>
      </c>
      <c r="F442" s="166">
        <f t="shared" si="39"/>
        <v>0.4314282028125403</v>
      </c>
      <c r="G442" s="392">
        <f>SUM(G434:H441)</f>
        <v>32423</v>
      </c>
      <c r="H442" s="392">
        <f>SUM(H434:H441)</f>
        <v>0</v>
      </c>
      <c r="I442" s="166">
        <f>IFERROR(IF(OR(AND(G442="",C442=""),AND(G442=0,C442=0)),"",
IF(OR(G442="",G442=0),1,
IF(OR(G442&lt;&gt;"",G442&lt;&gt;0),(C442-G442)/ABS(G442)))),-1)</f>
        <v>2.6586065447367611E-2</v>
      </c>
      <c r="J442" s="158"/>
    </row>
    <row r="443" spans="1:10" x14ac:dyDescent="0.2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191</v>
      </c>
    </row>
    <row r="444" spans="1:10" x14ac:dyDescent="0.2">
      <c r="A444" s="247" t="s">
        <v>461</v>
      </c>
      <c r="B444" s="247"/>
      <c r="C444" s="3">
        <f>SUMIFS(Data!$AC:$AC,Data!$Z:$Z,MarketProfile!A444,Data!$AE:$AE,"0")</f>
        <v>0</v>
      </c>
      <c r="D444" s="391">
        <f>SUMIFS(Data!$AQ:$AQ,Data!$AN:$AN,MarketProfile!A444,Data!$AS:$AS,"0")</f>
        <v>0</v>
      </c>
      <c r="E444" s="391"/>
      <c r="F444" s="179" t="str">
        <f t="shared" ref="F444:F452" si="40">IFERROR(IF(OR(AND(D444="",C444=""),AND(D444=0,C444=0)),"",
IF(OR(D444="",D444=0),1,
IF(OR(D444&lt;&gt;"",D444&lt;&gt;0),(C444-D444)/ABS(D444)))),-1)</f>
        <v/>
      </c>
      <c r="G444" s="391">
        <f>SUMIFS(Data!$BE:$BE,Data!$BB:$BB,MarketProfile!A444,Data!BG:BG,"0")</f>
        <v>16</v>
      </c>
      <c r="H444" s="391"/>
      <c r="I444" s="179">
        <f t="shared" ref="I444:I452" si="41">IFERROR(IF(OR(AND(G444="",C444=""),AND(G444=0,C444=0)),"",
IF(OR(G444="",G444=0),1,
IF(OR(G444&lt;&gt;"",G444&lt;&gt;0),(C444-G444)/ABS(G444)))),-1)</f>
        <v>-1</v>
      </c>
    </row>
    <row r="445" spans="1:10" x14ac:dyDescent="0.2">
      <c r="A445" s="247" t="s">
        <v>184</v>
      </c>
      <c r="B445" s="247"/>
      <c r="C445" s="3">
        <f>SUMIFS(Data!$AC:$AC,Data!$Z:$Z,MarketProfile!A445,Data!$AE:$AE,"0")</f>
        <v>57</v>
      </c>
      <c r="D445" s="391">
        <f>SUMIFS(Data!$AQ:$AQ,Data!$AN:$AN,MarketProfile!A445,Data!$AS:$AS,"0")</f>
        <v>101</v>
      </c>
      <c r="E445" s="391"/>
      <c r="F445" s="179">
        <f t="shared" si="40"/>
        <v>-0.43564356435643564</v>
      </c>
      <c r="G445" s="391">
        <f>SUMIFS(Data!$BE:$BE,Data!$BB:$BB,MarketProfile!A445,Data!BG:BG,"0")</f>
        <v>152</v>
      </c>
      <c r="H445" s="391"/>
      <c r="I445" s="179">
        <f t="shared" si="41"/>
        <v>-0.625</v>
      </c>
    </row>
    <row r="446" spans="1:10" x14ac:dyDescent="0.2">
      <c r="A446" s="247" t="s">
        <v>462</v>
      </c>
      <c r="B446" s="247"/>
      <c r="C446" s="3">
        <f>SUMIFS(Data!$AC:$AC,Data!$Z:$Z,MarketProfile!A446,Data!$AE:$AE,"0")</f>
        <v>323</v>
      </c>
      <c r="D446" s="391">
        <f>SUMIFS(Data!$AQ:$AQ,Data!$AN:$AN,MarketProfile!A446,Data!$AS:$AS,"0")</f>
        <v>353</v>
      </c>
      <c r="E446" s="391"/>
      <c r="F446" s="179">
        <f t="shared" si="40"/>
        <v>-8.4985835694050993E-2</v>
      </c>
      <c r="G446" s="391">
        <f>SUMIFS(Data!$BE:$BE,Data!$BB:$BB,MarketProfile!A446,Data!BG:BG,"0")</f>
        <v>563</v>
      </c>
      <c r="H446" s="391"/>
      <c r="I446" s="179">
        <f t="shared" si="41"/>
        <v>-0.42628774422735344</v>
      </c>
    </row>
    <row r="447" spans="1:10" x14ac:dyDescent="0.2">
      <c r="A447" s="247" t="s">
        <v>140</v>
      </c>
      <c r="B447" s="247"/>
      <c r="C447" s="3">
        <f>SUMIFS(Data!$AC:$AC,Data!$Z:$Z,MarketProfile!A447,Data!$AE:$AE,"0")</f>
        <v>0</v>
      </c>
      <c r="D447" s="391">
        <f>SUMIFS(Data!$AQ:$AQ,Data!$AN:$AN,MarketProfile!A447,Data!$AS:$AS,"0")</f>
        <v>0</v>
      </c>
      <c r="E447" s="391"/>
      <c r="F447" s="179" t="str">
        <f t="shared" si="40"/>
        <v/>
      </c>
      <c r="G447" s="391">
        <f>SUMIFS(Data!$BE:$BE,Data!$BB:$BB,MarketProfile!A447,Data!BG:BG,"0")</f>
        <v>0</v>
      </c>
      <c r="H447" s="391"/>
      <c r="I447" s="179" t="str">
        <f t="shared" si="41"/>
        <v/>
      </c>
    </row>
    <row r="448" spans="1:10" x14ac:dyDescent="0.2">
      <c r="A448" s="247" t="s">
        <v>463</v>
      </c>
      <c r="B448" s="247"/>
      <c r="C448" s="3">
        <f>SUMIFS(Data!$AC:$AC,Data!$Z:$Z,MarketProfile!A448,Data!$AE:$AE,"0")</f>
        <v>174</v>
      </c>
      <c r="D448" s="391">
        <f>SUMIFS(Data!$AQ:$AQ,Data!$AN:$AN,MarketProfile!A448,Data!$AS:$AS,"0")</f>
        <v>143</v>
      </c>
      <c r="E448" s="391"/>
      <c r="F448" s="179">
        <f t="shared" si="40"/>
        <v>0.21678321678321677</v>
      </c>
      <c r="G448" s="391">
        <f>SUMIFS(Data!$BE:$BE,Data!$BB:$BB,MarketProfile!A448,Data!BG:BG,"0")</f>
        <v>218</v>
      </c>
      <c r="H448" s="391"/>
      <c r="I448" s="179">
        <f t="shared" si="41"/>
        <v>-0.20183486238532111</v>
      </c>
    </row>
    <row r="449" spans="1:9" x14ac:dyDescent="0.2">
      <c r="A449" s="247" t="s">
        <v>464</v>
      </c>
      <c r="B449" s="247"/>
      <c r="C449" s="3">
        <f>SUMIFS(Data!$AC:$AC,Data!$Z:$Z,MarketProfile!A449,Data!$AE:$AE,"0")</f>
        <v>1783</v>
      </c>
      <c r="D449" s="391">
        <f>SUMIFS(Data!$AQ:$AQ,Data!$AN:$AN,MarketProfile!A449,Data!$AS:$AS,"0")</f>
        <v>1755</v>
      </c>
      <c r="E449" s="391"/>
      <c r="F449" s="179">
        <f t="shared" si="40"/>
        <v>1.5954415954415956E-2</v>
      </c>
      <c r="G449" s="391">
        <f>SUMIFS(Data!$BE:$BE,Data!$BB:$BB,MarketProfile!A449,Data!BG:BG,"0")</f>
        <v>2612</v>
      </c>
      <c r="H449" s="391"/>
      <c r="I449" s="179">
        <f t="shared" si="41"/>
        <v>-0.31738131699846861</v>
      </c>
    </row>
    <row r="450" spans="1:9" x14ac:dyDescent="0.2">
      <c r="A450" s="247" t="s">
        <v>465</v>
      </c>
      <c r="B450" s="247"/>
      <c r="C450" s="3">
        <f>SUMIFS(Data!$AC:$AC,Data!$Z:$Z,MarketProfile!A450,Data!$AE:$AE,"0")</f>
        <v>3</v>
      </c>
      <c r="D450" s="391">
        <f>SUMIFS(Data!$AQ:$AQ,Data!$AN:$AN,MarketProfile!A450,Data!$AS:$AS,"0")</f>
        <v>0</v>
      </c>
      <c r="E450" s="391"/>
      <c r="F450" s="179">
        <f t="shared" si="40"/>
        <v>1</v>
      </c>
      <c r="G450" s="391">
        <f>SUMIFS(Data!$BE:$BE,Data!$BB:$BB,MarketProfile!A450,Data!BG:BG,"0")</f>
        <v>5</v>
      </c>
      <c r="H450" s="391"/>
      <c r="I450" s="179">
        <f t="shared" si="41"/>
        <v>-0.4</v>
      </c>
    </row>
    <row r="451" spans="1:9" x14ac:dyDescent="0.2">
      <c r="A451" s="247" t="s">
        <v>141</v>
      </c>
      <c r="B451" s="247"/>
      <c r="C451" s="3">
        <f>SUMIFS(Data!$AC:$AC,Data!$Z:$Z,MarketProfile!A451,Data!$AE:$AE,"0")</f>
        <v>0</v>
      </c>
      <c r="D451" s="391">
        <f>SUMIFS(Data!$AQ:$AQ,Data!$AN:$AN,MarketProfile!A451,Data!$AS:$AS,"0")</f>
        <v>0</v>
      </c>
      <c r="E451" s="391"/>
      <c r="F451" s="179" t="str">
        <f t="shared" si="40"/>
        <v/>
      </c>
      <c r="G451" s="391">
        <f>SUMIFS(Data!$BE:$BE,Data!$BB:$BB,MarketProfile!A451,Data!BG:BG,"0")</f>
        <v>0</v>
      </c>
      <c r="H451" s="391"/>
      <c r="I451" s="179" t="str">
        <f t="shared" si="41"/>
        <v/>
      </c>
    </row>
    <row r="452" spans="1:9" x14ac:dyDescent="0.2">
      <c r="A452" s="246" t="s">
        <v>188</v>
      </c>
      <c r="B452" s="247"/>
      <c r="C452" s="4">
        <f>SUM(C444:C451)</f>
        <v>2340</v>
      </c>
      <c r="D452" s="392">
        <f>SUM(D444:E451)</f>
        <v>2352</v>
      </c>
      <c r="E452" s="392">
        <f>SUM(E444:E451)</f>
        <v>0</v>
      </c>
      <c r="F452" s="166">
        <f t="shared" si="40"/>
        <v>-5.1020408163265302E-3</v>
      </c>
      <c r="G452" s="392">
        <f>SUM(G444:H451)</f>
        <v>3566</v>
      </c>
      <c r="H452" s="392">
        <f>SUM(H444:H451)</f>
        <v>0</v>
      </c>
      <c r="I452" s="166">
        <f t="shared" si="41"/>
        <v>-0.34380257992148067</v>
      </c>
    </row>
    <row r="453" spans="1:9" x14ac:dyDescent="0.2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">
      <c r="A455" s="247" t="s">
        <v>461</v>
      </c>
      <c r="B455" s="247"/>
      <c r="C455" s="3">
        <f>SUMIFS(Data!$AB:$AB,Data!$Z:$Z,MarketProfile!A455,Data!$AE:$AE,"1")</f>
        <v>24898</v>
      </c>
      <c r="D455" s="391">
        <f>SUMIFS(Data!$AP:$AP,Data!$AN:$AN,MarketProfile!A455,Data!$AS:$AS,"1")</f>
        <v>12772</v>
      </c>
      <c r="E455" s="391"/>
      <c r="F455" s="179">
        <f t="shared" ref="F455:F463" si="42">IFERROR(IF(OR(AND(D455="",C455=""),AND(D455=0,C455=0)),"",
IF(OR(D455="",D455=0),1,
IF(OR(D455&lt;&gt;"",D455&lt;&gt;0),(C455-D455)/ABS(D455)))),-1)</f>
        <v>0.9494206075790792</v>
      </c>
      <c r="G455" s="391">
        <f>SUMIFS(Data!$BD:$BD,Data!$BB:$BB,MarketProfile!A455,Data!BG:BG,"1")</f>
        <v>22972</v>
      </c>
      <c r="H455" s="391"/>
      <c r="I455" s="179">
        <f t="shared" ref="I455:I463" si="43">IFERROR(IF(OR(AND(G455="",C455=""),AND(G455=0,C455=0)),"",
IF(OR(G455="",G455=0),1,
IF(OR(G455&lt;&gt;"",G455&lt;&gt;0),(C455-G455)/ABS(G455)))),-1)</f>
        <v>8.3841197980149745E-2</v>
      </c>
    </row>
    <row r="456" spans="1:9" x14ac:dyDescent="0.2">
      <c r="A456" s="247" t="s">
        <v>184</v>
      </c>
      <c r="B456" s="247"/>
      <c r="C456" s="3">
        <f>SUMIFS(Data!$AB:$AB,Data!$Z:$Z,MarketProfile!A456,Data!$AE:$AE,"1")</f>
        <v>36026</v>
      </c>
      <c r="D456" s="391">
        <f>SUMIFS(Data!$AP:$AP,Data!$AN:$AN,MarketProfile!A456,Data!$AS:$AS,"1")</f>
        <v>48702</v>
      </c>
      <c r="E456" s="391"/>
      <c r="F456" s="179">
        <f t="shared" si="42"/>
        <v>-0.26027678534762433</v>
      </c>
      <c r="G456" s="391">
        <f>SUMIFS(Data!$BD:$BD,Data!$BB:$BB,MarketProfile!A456,Data!BG:BG,"1")</f>
        <v>38012</v>
      </c>
      <c r="H456" s="391"/>
      <c r="I456" s="179">
        <f t="shared" si="43"/>
        <v>-5.2246658949805326E-2</v>
      </c>
    </row>
    <row r="457" spans="1:9" x14ac:dyDescent="0.2">
      <c r="A457" s="247" t="s">
        <v>462</v>
      </c>
      <c r="B457" s="247"/>
      <c r="C457" s="3">
        <f>SUMIFS(Data!$AB:$AB,Data!$Z:$Z,MarketProfile!A457,Data!$AE:$AE,"1")</f>
        <v>80213</v>
      </c>
      <c r="D457" s="391">
        <f>SUMIFS(Data!$AP:$AP,Data!$AN:$AN,MarketProfile!A457,Data!$AS:$AS,"1")</f>
        <v>48859</v>
      </c>
      <c r="E457" s="391"/>
      <c r="F457" s="179">
        <f t="shared" si="42"/>
        <v>0.64172414498864083</v>
      </c>
      <c r="G457" s="391">
        <f>SUMIFS(Data!$BD:$BD,Data!$BB:$BB,MarketProfile!A457,Data!BG:BG,"1")</f>
        <v>61739</v>
      </c>
      <c r="H457" s="391"/>
      <c r="I457" s="179">
        <f t="shared" si="43"/>
        <v>0.29922739273392829</v>
      </c>
    </row>
    <row r="458" spans="1:9" x14ac:dyDescent="0.2">
      <c r="A458" s="247" t="s">
        <v>140</v>
      </c>
      <c r="B458" s="247"/>
      <c r="C458" s="3">
        <f>SUMIFS(Data!$AB:$AB,Data!$Z:$Z,MarketProfile!A458,Data!$AE:$AE,"1")</f>
        <v>122</v>
      </c>
      <c r="D458" s="391">
        <f>SUMIFS(Data!$AP:$AP,Data!$AN:$AN,MarketProfile!A458,Data!$AS:$AS,"1")</f>
        <v>2301</v>
      </c>
      <c r="E458" s="391"/>
      <c r="F458" s="179">
        <f t="shared" si="42"/>
        <v>-0.9469795740982182</v>
      </c>
      <c r="G458" s="391">
        <f>SUMIFS(Data!$BD:$BD,Data!$BB:$BB,MarketProfile!A458,Data!BG:BG,"1")</f>
        <v>2790</v>
      </c>
      <c r="H458" s="391"/>
      <c r="I458" s="179">
        <f t="shared" si="43"/>
        <v>-0.95627240143369174</v>
      </c>
    </row>
    <row r="459" spans="1:9" x14ac:dyDescent="0.2">
      <c r="A459" s="247" t="s">
        <v>463</v>
      </c>
      <c r="B459" s="247"/>
      <c r="C459" s="3">
        <f>SUMIFS(Data!$AB:$AB,Data!$Z:$Z,MarketProfile!A459,Data!$AE:$AE,"1")</f>
        <v>34095</v>
      </c>
      <c r="D459" s="391">
        <f>SUMIFS(Data!$AP:$AP,Data!$AN:$AN,MarketProfile!A459,Data!$AS:$AS,"1")</f>
        <v>27261</v>
      </c>
      <c r="E459" s="391"/>
      <c r="F459" s="179">
        <f t="shared" si="42"/>
        <v>0.25068779575217343</v>
      </c>
      <c r="G459" s="391">
        <f>SUMIFS(Data!$BD:$BD,Data!$BB:$BB,MarketProfile!A459,Data!BG:BG,"1")</f>
        <v>27404</v>
      </c>
      <c r="H459" s="391"/>
      <c r="I459" s="179">
        <f t="shared" si="43"/>
        <v>0.24416143628667347</v>
      </c>
    </row>
    <row r="460" spans="1:9" x14ac:dyDescent="0.2">
      <c r="A460" s="247" t="s">
        <v>464</v>
      </c>
      <c r="B460" s="247"/>
      <c r="C460" s="3">
        <f>SUMIFS(Data!$AB:$AB,Data!$Z:$Z,MarketProfile!A460,Data!$AE:$AE,"1")</f>
        <v>105902</v>
      </c>
      <c r="D460" s="391">
        <f>SUMIFS(Data!$AP:$AP,Data!$AN:$AN,MarketProfile!A460,Data!$AS:$AS,"1")</f>
        <v>59958</v>
      </c>
      <c r="E460" s="391"/>
      <c r="F460" s="179">
        <f t="shared" si="42"/>
        <v>0.76626972213883049</v>
      </c>
      <c r="G460" s="391">
        <f>SUMIFS(Data!$BD:$BD,Data!$BB:$BB,MarketProfile!A460,Data!BG:BG,"1")</f>
        <v>105974</v>
      </c>
      <c r="H460" s="391"/>
      <c r="I460" s="179">
        <f t="shared" si="43"/>
        <v>-6.7941193122841447E-4</v>
      </c>
    </row>
    <row r="461" spans="1:9" x14ac:dyDescent="0.2">
      <c r="A461" s="247" t="s">
        <v>465</v>
      </c>
      <c r="B461" s="247"/>
      <c r="C461" s="3">
        <f>SUMIFS(Data!$AB:$AB,Data!$Z:$Z,MarketProfile!A461,Data!$AE:$AE,"1")</f>
        <v>76</v>
      </c>
      <c r="D461" s="391">
        <f>SUMIFS(Data!$AP:$AP,Data!$AN:$AN,MarketProfile!A461,Data!$AS:$AS,"1")</f>
        <v>329</v>
      </c>
      <c r="E461" s="391"/>
      <c r="F461" s="179">
        <f t="shared" si="42"/>
        <v>-0.76899696048632216</v>
      </c>
      <c r="G461" s="391">
        <f>SUMIFS(Data!$BD:$BD,Data!$BB:$BB,MarketProfile!A461,Data!BG:BG,"1")</f>
        <v>1386</v>
      </c>
      <c r="H461" s="391"/>
      <c r="I461" s="179">
        <f t="shared" si="43"/>
        <v>-0.94516594516594521</v>
      </c>
    </row>
    <row r="462" spans="1:9" x14ac:dyDescent="0.2">
      <c r="A462" s="247" t="s">
        <v>141</v>
      </c>
      <c r="B462" s="247"/>
      <c r="C462" s="3">
        <f>SUMIFS(Data!$AB:$AB,Data!$Z:$Z,MarketProfile!A462,Data!$AE:$AE,"1")</f>
        <v>1724</v>
      </c>
      <c r="D462" s="391">
        <f>SUMIFS(Data!$AP:$AP,Data!$AN:$AN,MarketProfile!A462,Data!$AS:$AS,"1")</f>
        <v>99</v>
      </c>
      <c r="E462" s="391"/>
      <c r="F462" s="179">
        <f t="shared" si="42"/>
        <v>16.414141414141415</v>
      </c>
      <c r="G462" s="391">
        <f>SUMIFS(Data!$BD:$BD,Data!$BB:$BB,MarketProfile!A462,Data!BG:BG,"1")</f>
        <v>1535</v>
      </c>
      <c r="H462" s="391"/>
      <c r="I462" s="179">
        <f t="shared" si="43"/>
        <v>0.12312703583061889</v>
      </c>
    </row>
    <row r="463" spans="1:9" x14ac:dyDescent="0.2">
      <c r="A463" s="246" t="s">
        <v>187</v>
      </c>
      <c r="B463" s="247"/>
      <c r="C463" s="4">
        <f>SUM(C455:C462)</f>
        <v>283056</v>
      </c>
      <c r="D463" s="392">
        <f>SUM(D455:E462)</f>
        <v>200281</v>
      </c>
      <c r="E463" s="392">
        <f>SUM(E455:E462)</f>
        <v>0</v>
      </c>
      <c r="F463" s="166">
        <f t="shared" si="42"/>
        <v>0.41329432147832296</v>
      </c>
      <c r="G463" s="392">
        <f>SUM(G455:H462)</f>
        <v>261812</v>
      </c>
      <c r="H463" s="392">
        <f>SUM(H455:H462)</f>
        <v>0</v>
      </c>
      <c r="I463" s="166">
        <f t="shared" si="43"/>
        <v>8.1142193635127494E-2</v>
      </c>
    </row>
    <row r="464" spans="1:9" x14ac:dyDescent="0.2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">
      <c r="A465" s="247" t="s">
        <v>461</v>
      </c>
      <c r="B465" s="247"/>
      <c r="C465" s="3">
        <f>SUMIFS(Data!$AB:$AB,Data!$Z:$Z,MarketProfile!A465,Data!$AE:$AE,"0")</f>
        <v>0</v>
      </c>
      <c r="D465" s="391">
        <f>SUMIFS(Data!$AP:$AP,Data!$AN:$AN,MarketProfile!A465,Data!$AS:$AS,"0")</f>
        <v>0</v>
      </c>
      <c r="E465" s="391"/>
      <c r="F465" s="179" t="str">
        <f t="shared" ref="F465:F473" si="44">IFERROR(IF(OR(AND(D465="",C465=""),AND(D465=0,C465=0)),"",
IF(OR(D465="",D465=0),1,
IF(OR(D465&lt;&gt;"",D465&lt;&gt;0),(C465-D465)/ABS(D465)))),-1)</f>
        <v/>
      </c>
      <c r="G465" s="391">
        <f>SUMIFS(Data!$BD:$BD,Data!$BB:$BB,MarketProfile!A465,Data!BG:BG,"0")</f>
        <v>432</v>
      </c>
      <c r="H465" s="391"/>
      <c r="I465" s="179">
        <f t="shared" ref="I465:I473" si="45">IFERROR(IF(OR(AND(G465="",C465=""),AND(G465=0,C465=0)),"",
IF(OR(G465="",G465=0),1,
IF(OR(G465&lt;&gt;"",G465&lt;&gt;0),(C465-G465)/ABS(G465)))),-1)</f>
        <v>-1</v>
      </c>
    </row>
    <row r="466" spans="1:9" x14ac:dyDescent="0.2">
      <c r="A466" s="247" t="s">
        <v>184</v>
      </c>
      <c r="B466" s="247"/>
      <c r="C466" s="3">
        <f>SUMIFS(Data!$AB:$AB,Data!$Z:$Z,MarketProfile!A466,Data!$AE:$AE,"0")</f>
        <v>1036</v>
      </c>
      <c r="D466" s="391">
        <f>SUMIFS(Data!$AP:$AP,Data!$AN:$AN,MarketProfile!A466,Data!$AS:$AS,"0")</f>
        <v>2139</v>
      </c>
      <c r="E466" s="391"/>
      <c r="F466" s="179">
        <f t="shared" si="44"/>
        <v>-0.51566152407667132</v>
      </c>
      <c r="G466" s="391">
        <f>SUMIFS(Data!$BD:$BD,Data!$BB:$BB,MarketProfile!A466,Data!BG:BG,"0")</f>
        <v>2523</v>
      </c>
      <c r="H466" s="391"/>
      <c r="I466" s="179">
        <f t="shared" si="45"/>
        <v>-0.58937772493063811</v>
      </c>
    </row>
    <row r="467" spans="1:9" x14ac:dyDescent="0.2">
      <c r="A467" s="247" t="s">
        <v>462</v>
      </c>
      <c r="B467" s="247"/>
      <c r="C467" s="3">
        <f>SUMIFS(Data!$AB:$AB,Data!$Z:$Z,MarketProfile!A467,Data!$AE:$AE,"0")</f>
        <v>2582</v>
      </c>
      <c r="D467" s="391">
        <f>SUMIFS(Data!$AP:$AP,Data!$AN:$AN,MarketProfile!A467,Data!$AS:$AS,"0")</f>
        <v>4693</v>
      </c>
      <c r="E467" s="391"/>
      <c r="F467" s="179">
        <f t="shared" si="44"/>
        <v>-0.44981887918176006</v>
      </c>
      <c r="G467" s="391">
        <f>SUMIFS(Data!$BD:$BD,Data!$BB:$BB,MarketProfile!A467,Data!BG:BG,"0")</f>
        <v>11556</v>
      </c>
      <c r="H467" s="391"/>
      <c r="I467" s="179">
        <f t="shared" si="45"/>
        <v>-0.77656628591208032</v>
      </c>
    </row>
    <row r="468" spans="1:9" x14ac:dyDescent="0.2">
      <c r="A468" s="247" t="s">
        <v>140</v>
      </c>
      <c r="B468" s="247"/>
      <c r="C468" s="3">
        <f>SUMIFS(Data!$AB:$AB,Data!$Z:$Z,MarketProfile!A468,Data!$AE:$AE,"0")</f>
        <v>0</v>
      </c>
      <c r="D468" s="391">
        <f>SUMIFS(Data!$AP:$AP,Data!$AN:$AN,MarketProfile!A468,Data!$AS:$AS,"0")</f>
        <v>0</v>
      </c>
      <c r="E468" s="391"/>
      <c r="F468" s="179" t="str">
        <f t="shared" si="44"/>
        <v/>
      </c>
      <c r="G468" s="391">
        <f>SUMIFS(Data!$BD:$BD,Data!$BB:$BB,MarketProfile!A468,Data!BG:BG,"0")</f>
        <v>0</v>
      </c>
      <c r="H468" s="391"/>
      <c r="I468" s="179" t="str">
        <f t="shared" si="45"/>
        <v/>
      </c>
    </row>
    <row r="469" spans="1:9" x14ac:dyDescent="0.2">
      <c r="A469" s="247" t="s">
        <v>463</v>
      </c>
      <c r="B469" s="247"/>
      <c r="C469" s="3">
        <f>SUMIFS(Data!$AB:$AB,Data!$Z:$Z,MarketProfile!A469,Data!$AE:$AE,"0")</f>
        <v>3260</v>
      </c>
      <c r="D469" s="391">
        <f>SUMIFS(Data!$AP:$AP,Data!$AN:$AN,MarketProfile!A469,Data!$AS:$AS,"0")</f>
        <v>3064</v>
      </c>
      <c r="E469" s="391"/>
      <c r="F469" s="179">
        <f t="shared" si="44"/>
        <v>6.3968668407310705E-2</v>
      </c>
      <c r="G469" s="391">
        <f>SUMIFS(Data!$BD:$BD,Data!$BB:$BB,MarketProfile!A469,Data!BG:BG,"0")</f>
        <v>3859</v>
      </c>
      <c r="H469" s="391"/>
      <c r="I469" s="179">
        <f t="shared" si="45"/>
        <v>-0.15522155998963463</v>
      </c>
    </row>
    <row r="470" spans="1:9" x14ac:dyDescent="0.2">
      <c r="A470" s="247" t="s">
        <v>464</v>
      </c>
      <c r="B470" s="247"/>
      <c r="C470" s="3">
        <f>SUMIFS(Data!$AB:$AB,Data!$Z:$Z,MarketProfile!A470,Data!$AE:$AE,"0")</f>
        <v>11327</v>
      </c>
      <c r="D470" s="391">
        <f>SUMIFS(Data!$AP:$AP,Data!$AN:$AN,MarketProfile!A470,Data!$AS:$AS,"0")</f>
        <v>12248</v>
      </c>
      <c r="E470" s="391"/>
      <c r="F470" s="179">
        <f t="shared" si="44"/>
        <v>-7.5195950359242328E-2</v>
      </c>
      <c r="G470" s="391">
        <f>SUMIFS(Data!$BD:$BD,Data!$BB:$BB,MarketProfile!A470,Data!BG:BG,"0")</f>
        <v>19756</v>
      </c>
      <c r="H470" s="391"/>
      <c r="I470" s="179">
        <f t="shared" si="45"/>
        <v>-0.42665519335897956</v>
      </c>
    </row>
    <row r="471" spans="1:9" x14ac:dyDescent="0.2">
      <c r="A471" s="247" t="s">
        <v>465</v>
      </c>
      <c r="B471" s="247"/>
      <c r="C471" s="3">
        <f>SUMIFS(Data!$AB:$AB,Data!$Z:$Z,MarketProfile!A471,Data!$AE:$AE,"0")</f>
        <v>30</v>
      </c>
      <c r="D471" s="391">
        <f>SUMIFS(Data!$AP:$AP,Data!$AN:$AN,MarketProfile!A471,Data!$AS:$AS,"0")</f>
        <v>0</v>
      </c>
      <c r="E471" s="391"/>
      <c r="F471" s="179">
        <f t="shared" si="44"/>
        <v>1</v>
      </c>
      <c r="G471" s="391">
        <f>SUMIFS(Data!$BD:$BD,Data!$BB:$BB,MarketProfile!A471,Data!BG:BG,"0")</f>
        <v>50</v>
      </c>
      <c r="H471" s="391"/>
      <c r="I471" s="179">
        <f t="shared" si="45"/>
        <v>-0.4</v>
      </c>
    </row>
    <row r="472" spans="1:9" x14ac:dyDescent="0.2">
      <c r="A472" s="247" t="s">
        <v>141</v>
      </c>
      <c r="B472" s="247"/>
      <c r="C472" s="3">
        <f>SUMIFS(Data!$AB:$AB,Data!$Z:$Z,MarketProfile!A472,Data!$AE:$AE,"0")</f>
        <v>0</v>
      </c>
      <c r="D472" s="391">
        <f>SUMIFS(Data!$AP:$AP,Data!$AN:$AN,MarketProfile!A472,Data!$AS:$AS,"0")</f>
        <v>0</v>
      </c>
      <c r="E472" s="391"/>
      <c r="F472" s="179" t="str">
        <f t="shared" si="44"/>
        <v/>
      </c>
      <c r="G472" s="391">
        <f>SUMIFS(Data!$BD:$BD,Data!$BB:$BB,MarketProfile!A472,Data!BG:BG,"0")</f>
        <v>0</v>
      </c>
      <c r="H472" s="391"/>
      <c r="I472" s="179" t="str">
        <f t="shared" si="45"/>
        <v/>
      </c>
    </row>
    <row r="473" spans="1:9" x14ac:dyDescent="0.2">
      <c r="A473" s="246" t="s">
        <v>188</v>
      </c>
      <c r="B473" s="247"/>
      <c r="C473" s="4">
        <f>SUM(C465:C472)</f>
        <v>18235</v>
      </c>
      <c r="D473" s="392">
        <f>SUM(D465:E472)</f>
        <v>22144</v>
      </c>
      <c r="E473" s="392">
        <v>34213</v>
      </c>
      <c r="F473" s="166">
        <f t="shared" si="44"/>
        <v>-0.17652637283236994</v>
      </c>
      <c r="G473" s="392">
        <f>SUM(G465:H472)</f>
        <v>38176</v>
      </c>
      <c r="H473" s="392">
        <f>SUM(H465:H472)</f>
        <v>0</v>
      </c>
      <c r="I473" s="166">
        <f t="shared" si="45"/>
        <v>-0.52234388097233864</v>
      </c>
    </row>
    <row r="474" spans="1:9" x14ac:dyDescent="0.2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">
      <c r="A476" s="247" t="s">
        <v>461</v>
      </c>
      <c r="B476" s="247"/>
      <c r="C476" s="3">
        <f>SUMIFS(Data!$AA:$AA,Data!$Z:$Z,MarketProfile!A476,Data!$AE:$AE,"1")/1000</f>
        <v>5028897.4305500006</v>
      </c>
      <c r="D476" s="391">
        <f>SUMIFS(Data!$AO:$AO,Data!$AN:$AN,MarketProfile!A476,Data!$AS:$AS,"1")/1000</f>
        <v>2664375.9017399997</v>
      </c>
      <c r="E476" s="391"/>
      <c r="F476" s="179">
        <f t="shared" ref="F476:F484" si="46">IFERROR(IF(OR(AND(D476="",C476=""),AND(D476=0,C476=0)),"",
IF(OR(D476="",D476=0),1,
IF(OR(D476&lt;&gt;"",D476&lt;&gt;0),(C476-D476)/ABS(D476)))),-1)</f>
        <v>0.88745793236826098</v>
      </c>
      <c r="G476" s="391">
        <f>SUMIFS(Data!$BC:$BC,Data!$BB:$BB,MarketProfile!A476,Data!BG:BG,"1")/1000</f>
        <v>5805570.5172600001</v>
      </c>
      <c r="H476" s="391"/>
      <c r="I476" s="179">
        <f t="shared" ref="I476:I484" si="47">IFERROR(IF(OR(AND(G476="",C476=""),AND(G476=0,C476=0)),"",
IF(OR(G476="",G476=0),1,
IF(OR(G476&lt;&gt;"",G476&lt;&gt;0),(C476-G476)/ABS(G476)))),-1)</f>
        <v>-0.1337806653800768</v>
      </c>
    </row>
    <row r="477" spans="1:9" x14ac:dyDescent="0.2">
      <c r="A477" s="247" t="s">
        <v>184</v>
      </c>
      <c r="B477" s="247"/>
      <c r="C477" s="3">
        <f>SUMIFS(Data!$AA:$AA,Data!$Z:$Z,MarketProfile!A477,Data!$AE:$AE,"1")/1000</f>
        <v>8259404.810575</v>
      </c>
      <c r="D477" s="391">
        <f>SUMIFS(Data!$AO:$AO,Data!$AN:$AN,MarketProfile!A477,Data!$AS:$AS,"1")/1000</f>
        <v>11622572.880580001</v>
      </c>
      <c r="E477" s="391"/>
      <c r="F477" s="179">
        <f t="shared" si="46"/>
        <v>-0.28936519517330561</v>
      </c>
      <c r="G477" s="391">
        <f>SUMIFS(Data!$BC:$BC,Data!$BB:$BB,MarketProfile!A477,Data!BG:BG,"1")/1000</f>
        <v>14708053.13669</v>
      </c>
      <c r="H477" s="391"/>
      <c r="I477" s="179">
        <f t="shared" si="47"/>
        <v>-0.43844336610591328</v>
      </c>
    </row>
    <row r="478" spans="1:9" x14ac:dyDescent="0.2">
      <c r="A478" s="247" t="s">
        <v>462</v>
      </c>
      <c r="B478" s="247"/>
      <c r="C478" s="3">
        <f>SUMIFS(Data!$AA:$AA,Data!$Z:$Z,MarketProfile!A478,Data!$AE:$AE,"1")/1000</f>
        <v>15350532.483139999</v>
      </c>
      <c r="D478" s="391">
        <f>SUMIFS(Data!$AO:$AO,Data!$AN:$AN,MarketProfile!A478,Data!$AS:$AS,"1")/1000</f>
        <v>9772805.71734</v>
      </c>
      <c r="E478" s="391"/>
      <c r="F478" s="179">
        <f t="shared" si="46"/>
        <v>0.5707395529109287</v>
      </c>
      <c r="G478" s="391">
        <f>SUMIFS(Data!$BC:$BC,Data!$BB:$BB,MarketProfile!A478,Data!BG:BG,"1")/1000</f>
        <v>22844620.076369997</v>
      </c>
      <c r="H478" s="391"/>
      <c r="I478" s="179">
        <f t="shared" si="47"/>
        <v>-0.32804605934251135</v>
      </c>
    </row>
    <row r="479" spans="1:9" x14ac:dyDescent="0.2">
      <c r="A479" s="247" t="s">
        <v>140</v>
      </c>
      <c r="B479" s="247"/>
      <c r="C479" s="3">
        <f>SUMIFS(Data!$AA:$AA,Data!$Z:$Z,MarketProfile!A479,Data!$AE:$AE,"1")/1000</f>
        <v>19972.62</v>
      </c>
      <c r="D479" s="391">
        <f>SUMIFS(Data!$AO:$AO,Data!$AN:$AN,MarketProfile!A479,Data!$AS:$AS,"1")/1000</f>
        <v>386728.03943900001</v>
      </c>
      <c r="E479" s="391"/>
      <c r="F479" s="179">
        <f t="shared" si="46"/>
        <v>-0.94835486966765348</v>
      </c>
      <c r="G479" s="391">
        <f>SUMIFS(Data!$BC:$BC,Data!$BB:$BB,MarketProfile!A479,Data!BG:BG,"1")/1000</f>
        <v>533519.271358</v>
      </c>
      <c r="H479" s="391"/>
      <c r="I479" s="179">
        <f t="shared" si="47"/>
        <v>-0.96256438881924089</v>
      </c>
    </row>
    <row r="480" spans="1:9" x14ac:dyDescent="0.2">
      <c r="A480" s="247" t="s">
        <v>463</v>
      </c>
      <c r="B480" s="247"/>
      <c r="C480" s="3">
        <f>SUMIFS(Data!$AA:$AA,Data!$Z:$Z,MarketProfile!A480,Data!$AE:$AE,"1")/1000</f>
        <v>7856631.0623699995</v>
      </c>
      <c r="D480" s="391">
        <f>SUMIFS(Data!$AO:$AO,Data!$AN:$AN,MarketProfile!A480,Data!$AS:$AS,"1")/1000</f>
        <v>6489937.7659900002</v>
      </c>
      <c r="E480" s="391"/>
      <c r="F480" s="179">
        <f t="shared" si="46"/>
        <v>0.21058650262288278</v>
      </c>
      <c r="G480" s="391">
        <f>SUMIFS(Data!$BC:$BC,Data!$BB:$BB,MarketProfile!A480,Data!BG:BG,"1")/1000</f>
        <v>9040971.6087849997</v>
      </c>
      <c r="H480" s="391"/>
      <c r="I480" s="179">
        <f t="shared" si="47"/>
        <v>-0.13099704297978232</v>
      </c>
    </row>
    <row r="481" spans="1:9" x14ac:dyDescent="0.2">
      <c r="A481" s="247" t="s">
        <v>464</v>
      </c>
      <c r="B481" s="247"/>
      <c r="C481" s="3">
        <f>SUMIFS(Data!$AA:$AA,Data!$Z:$Z,MarketProfile!A481,Data!$AE:$AE,"1")/1000</f>
        <v>18972616.37819</v>
      </c>
      <c r="D481" s="391">
        <f>SUMIFS(Data!$AO:$AO,Data!$AN:$AN,MarketProfile!A481,Data!$AS:$AS,"1")/1000</f>
        <v>11215195.59093</v>
      </c>
      <c r="E481" s="391"/>
      <c r="F481" s="179">
        <f t="shared" si="46"/>
        <v>0.69168840831751643</v>
      </c>
      <c r="G481" s="391">
        <f>SUMIFS(Data!$BC:$BC,Data!$BB:$BB,MarketProfile!A481,Data!BG:BG,"1")/1000</f>
        <v>50761169.489119984</v>
      </c>
      <c r="H481" s="391"/>
      <c r="I481" s="179">
        <f t="shared" si="47"/>
        <v>-0.62623760309035947</v>
      </c>
    </row>
    <row r="482" spans="1:9" x14ac:dyDescent="0.2">
      <c r="A482" s="247" t="s">
        <v>465</v>
      </c>
      <c r="B482" s="247"/>
      <c r="C482" s="3">
        <f>SUMIFS(Data!$AA:$AA,Data!$Z:$Z,MarketProfile!A482,Data!$AE:$AE,"1")/1000</f>
        <v>9187.4199940000017</v>
      </c>
      <c r="D482" s="391">
        <f>SUMIFS(Data!$AO:$AO,Data!$AN:$AN,MarketProfile!A482,Data!$AS:$AS,"1")/1000</f>
        <v>40971.600034000003</v>
      </c>
      <c r="E482" s="391"/>
      <c r="F482" s="179">
        <f t="shared" si="46"/>
        <v>-0.77576125935096785</v>
      </c>
      <c r="G482" s="391">
        <f>SUMIFS(Data!$BC:$BC,Data!$BB:$BB,MarketProfile!A482,Data!BG:BG,"1")/1000</f>
        <v>209046.51712400001</v>
      </c>
      <c r="H482" s="391"/>
      <c r="I482" s="179">
        <f t="shared" si="47"/>
        <v>-0.95605083442480743</v>
      </c>
    </row>
    <row r="483" spans="1:9" x14ac:dyDescent="0.2">
      <c r="A483" s="247" t="s">
        <v>141</v>
      </c>
      <c r="B483" s="247"/>
      <c r="C483" s="3">
        <f>SUMIFS(Data!$AA:$AA,Data!$Z:$Z,MarketProfile!A483,Data!$AE:$AE,"1")/1000</f>
        <v>102318.48</v>
      </c>
      <c r="D483" s="391">
        <f>SUMIFS(Data!$AO:$AO,Data!$AN:$AN,MarketProfile!A483,Data!$AS:$AS,"1")/1000</f>
        <v>6519.84</v>
      </c>
      <c r="E483" s="391"/>
      <c r="F483" s="179">
        <f t="shared" si="46"/>
        <v>14.693403519104763</v>
      </c>
      <c r="G483" s="391">
        <f>SUMIFS(Data!$BC:$BC,Data!$BB:$BB,MarketProfile!A483,Data!BG:BG,"1")/1000</f>
        <v>120654.62773000001</v>
      </c>
      <c r="H483" s="391"/>
      <c r="I483" s="179">
        <f t="shared" si="47"/>
        <v>-0.15197218768129225</v>
      </c>
    </row>
    <row r="484" spans="1:9" x14ac:dyDescent="0.2">
      <c r="A484" s="246" t="s">
        <v>187</v>
      </c>
      <c r="B484" s="247"/>
      <c r="C484" s="4">
        <f>SUM(C476:C483)</f>
        <v>55599560.684818991</v>
      </c>
      <c r="D484" s="392">
        <f>SUM(D476:E483)</f>
        <v>42199107.336052999</v>
      </c>
      <c r="E484" s="392">
        <f>SUM(E476:E483)</f>
        <v>0</v>
      </c>
      <c r="F484" s="166">
        <f t="shared" si="46"/>
        <v>0.31755300513945361</v>
      </c>
      <c r="G484" s="392">
        <f>SUM(G476:H483)</f>
        <v>104023605.24443696</v>
      </c>
      <c r="H484" s="392">
        <f>SUM(H476:H483)</f>
        <v>0</v>
      </c>
      <c r="I484" s="166">
        <f t="shared" si="47"/>
        <v>-0.46551015460221828</v>
      </c>
    </row>
    <row r="485" spans="1:9" x14ac:dyDescent="0.2">
      <c r="A485" s="139" t="s">
        <v>15</v>
      </c>
      <c r="B485" s="247"/>
      <c r="C485" s="3"/>
      <c r="D485" s="247"/>
      <c r="E485" s="141"/>
      <c r="F485" s="179" t="s">
        <v>191</v>
      </c>
      <c r="G485" s="247"/>
      <c r="H485" s="141"/>
      <c r="I485" s="179"/>
    </row>
    <row r="486" spans="1:9" x14ac:dyDescent="0.2">
      <c r="A486" s="247" t="s">
        <v>461</v>
      </c>
      <c r="B486" s="247"/>
      <c r="C486" s="3">
        <f>SUMIFS(Data!$AA:$AA,Data!$Z:$Z,MarketProfile!A486,Data!$AE:$AE,"0")/1000</f>
        <v>0</v>
      </c>
      <c r="D486" s="391">
        <f>SUMIFS(Data!$AO:$AO,Data!$AN:$AN,MarketProfile!A486,Data!$AS:$AS,"0")/1000</f>
        <v>0</v>
      </c>
      <c r="E486" s="391"/>
      <c r="F486" s="179" t="str">
        <f t="shared" ref="F486:F494" si="48">IFERROR(IF(OR(AND(D486="",C486=""),AND(D486=0,C486=0)),"",
IF(OR(D486="",D486=0),1,
IF(OR(D486&lt;&gt;"",D486&lt;&gt;0),(C486-D486)/ABS(D486)))),-1)</f>
        <v/>
      </c>
      <c r="G486" s="391">
        <f>SUMIFS(Data!$BC:$BC,Data!$BB:$BB,MarketProfile!A486,Data!BG:BG,"0")/1000</f>
        <v>4484.5490499999996</v>
      </c>
      <c r="H486" s="391"/>
      <c r="I486" s="179">
        <f t="shared" ref="I486:I494" si="49">IFERROR(IF(OR(AND(G486="",C486=""),AND(G486=0,C486=0)),"",
IF(OR(G486="",G486=0),1,
IF(OR(G486&lt;&gt;"",G486&lt;&gt;0),(C486-G486)/ABS(G486)))),-1)</f>
        <v>-1</v>
      </c>
    </row>
    <row r="487" spans="1:9" x14ac:dyDescent="0.2">
      <c r="A487" s="247" t="s">
        <v>184</v>
      </c>
      <c r="B487" s="247"/>
      <c r="C487" s="3">
        <f>SUMIFS(Data!$AA:$AA,Data!$Z:$Z,MarketProfile!A487,Data!$AE:$AE,"0")/1000</f>
        <v>10676.371300000001</v>
      </c>
      <c r="D487" s="391">
        <f>SUMIFS(Data!$AO:$AO,Data!$AN:$AN,MarketProfile!A487,Data!$AS:$AS,"0")/1000</f>
        <v>15180.708500000001</v>
      </c>
      <c r="E487" s="391"/>
      <c r="F487" s="179">
        <f t="shared" si="48"/>
        <v>-0.29671455716312578</v>
      </c>
      <c r="G487" s="391">
        <f>SUMIFS(Data!$BC:$BC,Data!$BB:$BB,MarketProfile!A487,Data!BG:BG,"0")/1000</f>
        <v>45267.589200000002</v>
      </c>
      <c r="H487" s="391"/>
      <c r="I487" s="179">
        <f t="shared" si="49"/>
        <v>-0.76414977053825528</v>
      </c>
    </row>
    <row r="488" spans="1:9" x14ac:dyDescent="0.2">
      <c r="A488" s="247" t="s">
        <v>462</v>
      </c>
      <c r="B488" s="247"/>
      <c r="C488" s="3">
        <f>SUMIFS(Data!$AA:$AA,Data!$Z:$Z,MarketProfile!A488,Data!$AE:$AE,"0")/1000</f>
        <v>20901.3086</v>
      </c>
      <c r="D488" s="391">
        <f>SUMIFS(Data!$AO:$AO,Data!$AN:$AN,MarketProfile!A488,Data!$AS:$AS,"0")/1000</f>
        <v>29483.32186</v>
      </c>
      <c r="E488" s="391"/>
      <c r="F488" s="179">
        <f t="shared" si="48"/>
        <v>-0.29108026906707585</v>
      </c>
      <c r="G488" s="391">
        <f>SUMIFS(Data!$BC:$BC,Data!$BB:$BB,MarketProfile!A488,Data!BG:BG,"0")/1000</f>
        <v>167621.08343</v>
      </c>
      <c r="H488" s="391"/>
      <c r="I488" s="179">
        <f t="shared" si="49"/>
        <v>-0.87530620747521559</v>
      </c>
    </row>
    <row r="489" spans="1:9" x14ac:dyDescent="0.2">
      <c r="A489" s="247" t="s">
        <v>140</v>
      </c>
      <c r="B489" s="247"/>
      <c r="C489" s="3">
        <f>SUMIFS(Data!$AA:$AA,Data!$Z:$Z,MarketProfile!A489,Data!$AE:$AE,"0")/1000</f>
        <v>0</v>
      </c>
      <c r="D489" s="391">
        <f>SUMIFS(Data!$AO:$AO,Data!$AN:$AN,MarketProfile!A489,Data!$AS:$AS,"0")/1000</f>
        <v>0</v>
      </c>
      <c r="E489" s="391"/>
      <c r="F489" s="179" t="str">
        <f t="shared" si="48"/>
        <v/>
      </c>
      <c r="G489" s="391">
        <f>SUMIFS(Data!$BC:$BC,Data!$BB:$BB,MarketProfile!A489,Data!BG:BG,"0")/1000</f>
        <v>0</v>
      </c>
      <c r="H489" s="391"/>
      <c r="I489" s="179" t="str">
        <f t="shared" si="49"/>
        <v/>
      </c>
    </row>
    <row r="490" spans="1:9" x14ac:dyDescent="0.2">
      <c r="A490" s="247" t="s">
        <v>463</v>
      </c>
      <c r="B490" s="247"/>
      <c r="C490" s="3">
        <f>SUMIFS(Data!$AA:$AA,Data!$Z:$Z,MarketProfile!A490,Data!$AE:$AE,"0")/1000</f>
        <v>30687.212780000002</v>
      </c>
      <c r="D490" s="391">
        <f>SUMIFS(Data!$AO:$AO,Data!$AN:$AN,MarketProfile!A490,Data!$AS:$AS,"0")/1000</f>
        <v>18723.295280000002</v>
      </c>
      <c r="E490" s="391"/>
      <c r="F490" s="179">
        <f t="shared" si="48"/>
        <v>0.63898567645726934</v>
      </c>
      <c r="G490" s="391">
        <f>SUMIFS(Data!$BC:$BC,Data!$BB:$BB,MarketProfile!A490,Data!BG:BG,"0")/1000</f>
        <v>41435.11346</v>
      </c>
      <c r="H490" s="391"/>
      <c r="I490" s="179">
        <f t="shared" si="49"/>
        <v>-0.25939112464059361</v>
      </c>
    </row>
    <row r="491" spans="1:9" x14ac:dyDescent="0.2">
      <c r="A491" s="247" t="s">
        <v>464</v>
      </c>
      <c r="B491" s="247"/>
      <c r="C491" s="3">
        <f>SUMIFS(Data!$AA:$AA,Data!$Z:$Z,MarketProfile!A491,Data!$AE:$AE,"0")/1000</f>
        <v>104180.879</v>
      </c>
      <c r="D491" s="391">
        <f>SUMIFS(Data!$AO:$AO,Data!$AN:$AN,MarketProfile!A491,Data!$AS:$AS,"0")/1000</f>
        <v>110016.59579999</v>
      </c>
      <c r="E491" s="391"/>
      <c r="F491" s="179">
        <f>IFERROR(IF(OR(AND(D491="",C491=""),AND(D491=0,C491=0)),"",
IF(OR(D491="",D491=0),1,
IF(OR(D491&lt;&gt;"",D491&lt;&gt;0),(C491-D491)/ABS(D491)))),-1)</f>
        <v>-5.3043968117313149E-2</v>
      </c>
      <c r="G491" s="391">
        <f>SUMIFS(Data!$BC:$BC,Data!$BB:$BB,MarketProfile!A491,Data!BG:BG,"0")/1000</f>
        <v>409145.23892999999</v>
      </c>
      <c r="H491" s="391"/>
      <c r="I491" s="179">
        <f t="shared" si="49"/>
        <v>-0.74536944564611163</v>
      </c>
    </row>
    <row r="492" spans="1:9" x14ac:dyDescent="0.2">
      <c r="A492" s="247" t="s">
        <v>465</v>
      </c>
      <c r="B492" s="247"/>
      <c r="C492" s="3">
        <f>SUMIFS(Data!$AA:$AA,Data!$Z:$Z,MarketProfile!A492,Data!$AE:$AE,"0")/1000</f>
        <v>370.7</v>
      </c>
      <c r="D492" s="391">
        <f>SUMIFS(Data!$AO:$AO,Data!$AN:$AN,MarketProfile!A492,Data!$AS:$AS,"0")/1000</f>
        <v>0</v>
      </c>
      <c r="E492" s="391"/>
      <c r="F492" s="179">
        <f t="shared" si="48"/>
        <v>1</v>
      </c>
      <c r="G492" s="391">
        <f>SUMIFS(Data!$BC:$BC,Data!$BB:$BB,MarketProfile!A492,Data!BG:BG,"0")/1000</f>
        <v>72.599999999999994</v>
      </c>
      <c r="H492" s="391"/>
      <c r="I492" s="179">
        <f t="shared" si="49"/>
        <v>4.1060606060606064</v>
      </c>
    </row>
    <row r="493" spans="1:9" x14ac:dyDescent="0.2">
      <c r="A493" s="247" t="s">
        <v>141</v>
      </c>
      <c r="B493" s="247"/>
      <c r="C493" s="3">
        <f>SUMIFS(Data!$AA:$AA,Data!$Z:$Z,MarketProfile!A493,Data!$AE:$AE,"0")/1000</f>
        <v>0</v>
      </c>
      <c r="D493" s="391">
        <f>SUMIFS(Data!$AO:$AO,Data!$AN:$AN,MarketProfile!A493,Data!$AS:$AS,"0")/1000</f>
        <v>0</v>
      </c>
      <c r="E493" s="391"/>
      <c r="F493" s="179" t="str">
        <f t="shared" si="48"/>
        <v/>
      </c>
      <c r="G493" s="391">
        <f>SUMIFS(Data!$BC:$BC,Data!$BB:$BB,MarketProfile!A493,Data!BG:BG,"0")/1000</f>
        <v>0</v>
      </c>
      <c r="H493" s="391"/>
      <c r="I493" s="179" t="str">
        <f t="shared" si="49"/>
        <v/>
      </c>
    </row>
    <row r="494" spans="1:9" x14ac:dyDescent="0.2">
      <c r="A494" s="246" t="s">
        <v>188</v>
      </c>
      <c r="B494" s="247"/>
      <c r="C494" s="4">
        <f>SUM(C486:C493)</f>
        <v>166816.47168000002</v>
      </c>
      <c r="D494" s="392">
        <f>SUM(D486:E493)</f>
        <v>173403.92143998999</v>
      </c>
      <c r="E494" s="392">
        <f>SUM(E486:E493)</f>
        <v>0</v>
      </c>
      <c r="F494" s="166">
        <f t="shared" si="48"/>
        <v>-3.7989047221574514E-2</v>
      </c>
      <c r="G494" s="392">
        <f>SUM(G486:H493)</f>
        <v>668026.17406999995</v>
      </c>
      <c r="H494" s="392">
        <f>SUM(H486:H493)</f>
        <v>0</v>
      </c>
      <c r="I494" s="166">
        <f t="shared" si="49"/>
        <v>-0.75028452753032404</v>
      </c>
    </row>
    <row r="495" spans="1:9" x14ac:dyDescent="0.2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">
      <c r="A497" s="247" t="s">
        <v>461</v>
      </c>
      <c r="B497" s="247"/>
      <c r="C497" s="3">
        <f>SUMIFS(Data!$AK:$AK,Data!$AG:$AG,MarketProfile!A497,Data!$AL:$AL,"1")</f>
        <v>17420</v>
      </c>
      <c r="D497" s="391">
        <f>SUMIFS(Data!$AY:$AY,Data!$AU:$AU,MarketProfile!A497,Data!$AZ:$AZ,"1")</f>
        <v>12534</v>
      </c>
      <c r="E497" s="391"/>
      <c r="F497" s="179">
        <f t="shared" ref="F497:F512" si="50">IFERROR(IF(OR(AND(D497="",C497=""),AND(D497=0,C497=0)),"",
IF(OR(D497="",D497=0),1,
IF(OR(D497&lt;&gt;"",D497&lt;&gt;0),(C497-D497)/ABS(D497)))),-1)</f>
        <v>0.38981969044199777</v>
      </c>
      <c r="G497" s="391">
        <f>SUMIFS(Data!$BL:$BL,Data!$BH:$BH,MarketProfile!A497,Data!$BM:$BM,"1")</f>
        <v>1997</v>
      </c>
      <c r="H497" s="391"/>
      <c r="I497" s="179">
        <f t="shared" ref="I497:I504" si="51">IFERROR(IF(OR(AND(G497="",C497=""),AND(G497=0,C497=0)),"",
IF(OR(G497="",G497=0),1,
IF(OR(G497&lt;&gt;"",G497&lt;&gt;0),(C497-G497)/ABS(G497)))),-1)</f>
        <v>7.7230846269404108</v>
      </c>
    </row>
    <row r="498" spans="1:9" x14ac:dyDescent="0.2">
      <c r="A498" s="247" t="s">
        <v>184</v>
      </c>
      <c r="B498" s="247"/>
      <c r="C498" s="3">
        <f>SUMIFS(Data!$AK:$AK,Data!$AG:$AG,MarketProfile!A498,Data!$AL:$AL,"1")</f>
        <v>16291</v>
      </c>
      <c r="D498" s="391">
        <f>SUMIFS(Data!$AY:$AY,Data!$AU:$AU,MarketProfile!A498,Data!$AZ:$AZ,"1")</f>
        <v>14944</v>
      </c>
      <c r="E498" s="391"/>
      <c r="F498" s="179">
        <f t="shared" si="50"/>
        <v>9.0136509635974305E-2</v>
      </c>
      <c r="G498" s="391">
        <f>SUMIFS(Data!$BL:$BL,Data!$BH:$BH,MarketProfile!A498,Data!$BM:$BM,"1")</f>
        <v>10942</v>
      </c>
      <c r="H498" s="391"/>
      <c r="I498" s="179">
        <f t="shared" si="51"/>
        <v>0.48885030159020287</v>
      </c>
    </row>
    <row r="499" spans="1:9" x14ac:dyDescent="0.2">
      <c r="A499" s="247" t="s">
        <v>462</v>
      </c>
      <c r="B499" s="247"/>
      <c r="C499" s="3">
        <f>SUMIFS(Data!$AK:$AK,Data!$AG:$AG,MarketProfile!A499,Data!$AL:$AL,"1")</f>
        <v>29530</v>
      </c>
      <c r="D499" s="391">
        <f>SUMIFS(Data!$AY:$AY,Data!$AU:$AU,MarketProfile!A499,Data!$AZ:$AZ,"1")</f>
        <v>23472</v>
      </c>
      <c r="E499" s="391"/>
      <c r="F499" s="179">
        <f t="shared" si="50"/>
        <v>0.2580947511929107</v>
      </c>
      <c r="G499" s="391">
        <f>SUMIFS(Data!$BL:$BL,Data!$BH:$BH,MarketProfile!A499,Data!$BM:$BM,"1")</f>
        <v>16278</v>
      </c>
      <c r="H499" s="391"/>
      <c r="I499" s="179">
        <f t="shared" si="51"/>
        <v>0.81410492689519598</v>
      </c>
    </row>
    <row r="500" spans="1:9" x14ac:dyDescent="0.2">
      <c r="A500" s="247" t="s">
        <v>140</v>
      </c>
      <c r="B500" s="247"/>
      <c r="C500" s="3">
        <f>SUMIFS(Data!$AK:$AK,Data!$AG:$AG,MarketProfile!A500,Data!$AL:$AL,"1")</f>
        <v>924</v>
      </c>
      <c r="D500" s="391">
        <f>SUMIFS(Data!$AY:$AY,Data!$AU:$AU,MarketProfile!A500,Data!$AZ:$AZ,"1")</f>
        <v>958</v>
      </c>
      <c r="E500" s="391"/>
      <c r="F500" s="179">
        <f t="shared" si="50"/>
        <v>-3.5490605427974949E-2</v>
      </c>
      <c r="G500" s="391">
        <f>SUMIFS(Data!$BL:$BL,Data!$BH:$BH,MarketProfile!A500,Data!$BM:$BM,"1")</f>
        <v>1137</v>
      </c>
      <c r="H500" s="391"/>
      <c r="I500" s="179">
        <f t="shared" si="51"/>
        <v>-0.18733509234828497</v>
      </c>
    </row>
    <row r="501" spans="1:9" x14ac:dyDescent="0.2">
      <c r="A501" s="247" t="s">
        <v>463</v>
      </c>
      <c r="B501" s="247"/>
      <c r="C501" s="3">
        <f>SUMIFS(Data!$AK:$AK,Data!$AG:$AG,MarketProfile!A501,Data!$AL:$AL,"1")</f>
        <v>11700</v>
      </c>
      <c r="D501" s="391">
        <f>SUMIFS(Data!$AY:$AY,Data!$AU:$AU,MarketProfile!A501,Data!$AZ:$AZ,"1")</f>
        <v>9493</v>
      </c>
      <c r="E501" s="391"/>
      <c r="F501" s="179">
        <f t="shared" si="50"/>
        <v>0.23248709575476667</v>
      </c>
      <c r="G501" s="391">
        <f>SUMIFS(Data!$BL:$BL,Data!$BH:$BH,MarketProfile!A501,Data!$BM:$BM,"1")</f>
        <v>6155</v>
      </c>
      <c r="H501" s="391"/>
      <c r="I501" s="179">
        <f t="shared" si="51"/>
        <v>0.90089358245328999</v>
      </c>
    </row>
    <row r="502" spans="1:9" x14ac:dyDescent="0.2">
      <c r="A502" s="247" t="s">
        <v>464</v>
      </c>
      <c r="B502" s="247"/>
      <c r="C502" s="3">
        <f>SUMIFS(Data!$AK:$AK,Data!$AG:$AG,MarketProfile!A502,Data!$AL:$AL,"1")</f>
        <v>37422</v>
      </c>
      <c r="D502" s="391">
        <f>SUMIFS(Data!$AY:$AY,Data!$AU:$AU,MarketProfile!A502,Data!$AZ:$AZ,"1")</f>
        <v>28880</v>
      </c>
      <c r="E502" s="391"/>
      <c r="F502" s="179">
        <f t="shared" si="50"/>
        <v>0.29577562326869805</v>
      </c>
      <c r="G502" s="391">
        <f>SUMIFS(Data!$BL:$BL,Data!$BH:$BH,MarketProfile!A502,Data!$BM:$BM,"1")</f>
        <v>22830</v>
      </c>
      <c r="H502" s="391"/>
      <c r="I502" s="179">
        <f t="shared" si="51"/>
        <v>0.63915900131406045</v>
      </c>
    </row>
    <row r="503" spans="1:9" x14ac:dyDescent="0.2">
      <c r="A503" s="247" t="s">
        <v>465</v>
      </c>
      <c r="B503" s="247"/>
      <c r="C503" s="3">
        <f>SUMIFS(Data!$AK:$AK,Data!$AG:$AG,MarketProfile!A503,Data!$AL:$AL,"1")</f>
        <v>45</v>
      </c>
      <c r="D503" s="391">
        <f>SUMIFS(Data!$AY:$AY,Data!$AU:$AU,MarketProfile!A503,Data!$AZ:$AZ,"1")</f>
        <v>45</v>
      </c>
      <c r="E503" s="391"/>
      <c r="F503" s="179">
        <f t="shared" si="50"/>
        <v>0</v>
      </c>
      <c r="G503" s="391">
        <f>SUMIFS(Data!$BL:$BL,Data!$BH:$BH,MarketProfile!A503,Data!$BM:$BM,"1")</f>
        <v>41</v>
      </c>
      <c r="H503" s="391"/>
      <c r="I503" s="179">
        <f t="shared" si="51"/>
        <v>9.7560975609756101E-2</v>
      </c>
    </row>
    <row r="504" spans="1:9" x14ac:dyDescent="0.2">
      <c r="A504" s="247" t="s">
        <v>141</v>
      </c>
      <c r="B504" s="247"/>
      <c r="C504" s="3">
        <f>SUMIFS(Data!$AK:$AK,Data!$AG:$AG,MarketProfile!A504,Data!$AL:$AL,"1")</f>
        <v>964</v>
      </c>
      <c r="D504" s="391">
        <f>SUMIFS(Data!$AY:$AY,Data!$AU:$AU,MarketProfile!A504,Data!$AZ:$AZ,"1")</f>
        <v>713</v>
      </c>
      <c r="E504" s="391"/>
      <c r="F504" s="179">
        <f t="shared" si="50"/>
        <v>0.35203366058906033</v>
      </c>
      <c r="G504" s="391">
        <f>SUMIFS(Data!$BL:$BL,Data!$BH:$BH,MarketProfile!A504,Data!$BM:$BM,"1")</f>
        <v>714</v>
      </c>
      <c r="H504" s="391"/>
      <c r="I504" s="179">
        <f t="shared" si="51"/>
        <v>0.35014005602240894</v>
      </c>
    </row>
    <row r="505" spans="1:9" x14ac:dyDescent="0.2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">
      <c r="A506" s="247" t="s">
        <v>461</v>
      </c>
      <c r="B506" s="247"/>
      <c r="C506" s="3">
        <f>SUMIFS(Data!$AK:$AK,Data!$AG:$AG,MarketProfile!A506,Data!$AL:$AL,"0")</f>
        <v>0</v>
      </c>
      <c r="D506" s="391">
        <f>SUMIFS(Data!$AY:$AY,Data!$AU:$AU,MarketProfile!A506,Data!$AZ:$AZ,"0")</f>
        <v>5</v>
      </c>
      <c r="E506" s="391"/>
      <c r="F506" s="179">
        <f t="shared" si="50"/>
        <v>-1</v>
      </c>
      <c r="G506" s="391">
        <f>SUMIFS(Data!$BL:$BL,Data!$BH:$BH,MarketProfile!A506,Data!$BM:$BM,"0")</f>
        <v>167</v>
      </c>
      <c r="H506" s="391"/>
      <c r="I506" s="179">
        <f t="shared" ref="I506:I513" si="52">IFERROR(IF(OR(AND(G506="",C506=""),AND(G506=0,C506=0)),"",
IF(OR(G506="",G506=0),1,
IF(OR(G506&lt;&gt;"",G506&lt;&gt;0),(C506-G506)/ABS(G506)))),-1)</f>
        <v>-1</v>
      </c>
    </row>
    <row r="507" spans="1:9" x14ac:dyDescent="0.2">
      <c r="A507" s="247" t="s">
        <v>184</v>
      </c>
      <c r="B507" s="247"/>
      <c r="C507" s="3">
        <f>SUMIFS(Data!$AK:$AK,Data!$AG:$AG,MarketProfile!A507,Data!$AL:$AL,"0")</f>
        <v>1188</v>
      </c>
      <c r="D507" s="391">
        <f>SUMIFS(Data!$AY:$AY,Data!$AU:$AU,MarketProfile!A507,Data!$AZ:$AZ,"0")</f>
        <v>2535</v>
      </c>
      <c r="E507" s="391"/>
      <c r="F507" s="179">
        <f t="shared" si="50"/>
        <v>-0.53136094674556211</v>
      </c>
      <c r="G507" s="391">
        <f>SUMIFS(Data!$BL:$BL,Data!$BH:$BH,MarketProfile!A507,Data!$BM:$BM,"0")</f>
        <v>2578</v>
      </c>
      <c r="H507" s="391"/>
      <c r="I507" s="179">
        <f t="shared" si="52"/>
        <v>-0.53917765709852594</v>
      </c>
    </row>
    <row r="508" spans="1:9" x14ac:dyDescent="0.2">
      <c r="A508" s="247" t="s">
        <v>462</v>
      </c>
      <c r="B508" s="247"/>
      <c r="C508" s="3">
        <f>SUMIFS(Data!$AK:$AK,Data!$AG:$AG,MarketProfile!A508,Data!$AL:$AL,"0")</f>
        <v>3485</v>
      </c>
      <c r="D508" s="391">
        <f>SUMIFS(Data!$AY:$AY,Data!$AU:$AU,MarketProfile!A508,Data!$AZ:$AZ,"0")</f>
        <v>11544</v>
      </c>
      <c r="E508" s="391"/>
      <c r="F508" s="179">
        <f t="shared" si="50"/>
        <v>-0.69811157311157312</v>
      </c>
      <c r="G508" s="391">
        <f>SUMIFS(Data!$BL:$BL,Data!$BH:$BH,MarketProfile!A508,Data!$BM:$BM,"0")</f>
        <v>11984</v>
      </c>
      <c r="H508" s="391"/>
      <c r="I508" s="179">
        <f t="shared" si="52"/>
        <v>-0.70919559412550071</v>
      </c>
    </row>
    <row r="509" spans="1:9" x14ac:dyDescent="0.2">
      <c r="A509" s="247" t="s">
        <v>140</v>
      </c>
      <c r="B509" s="247"/>
      <c r="C509" s="3">
        <f>SUMIFS(Data!$AK:$AK,Data!$AG:$AG,MarketProfile!A509,Data!$AL:$AL,"0")</f>
        <v>0</v>
      </c>
      <c r="D509" s="391">
        <f>SUMIFS(Data!$AY:$AY,Data!$AU:$AU,MarketProfile!A509,Data!$AZ:$AZ,"0")</f>
        <v>0</v>
      </c>
      <c r="E509" s="391"/>
      <c r="F509" s="179" t="str">
        <f t="shared" si="50"/>
        <v/>
      </c>
      <c r="G509" s="391">
        <f>SUMIFS(Data!$BL:$BL,Data!$BH:$BH,MarketProfile!A509,Data!$BM:$BM,"0")</f>
        <v>0</v>
      </c>
      <c r="H509" s="391"/>
      <c r="I509" s="179" t="str">
        <f t="shared" si="52"/>
        <v/>
      </c>
    </row>
    <row r="510" spans="1:9" x14ac:dyDescent="0.2">
      <c r="A510" s="247" t="s">
        <v>463</v>
      </c>
      <c r="B510" s="247"/>
      <c r="C510" s="3">
        <f>SUMIFS(Data!$AK:$AK,Data!$AG:$AG,MarketProfile!A510,Data!$AL:$AL,"0")</f>
        <v>3234</v>
      </c>
      <c r="D510" s="391">
        <f>SUMIFS(Data!$AY:$AY,Data!$AU:$AU,MarketProfile!A510,Data!$AZ:$AZ,"0")</f>
        <v>4256</v>
      </c>
      <c r="E510" s="391"/>
      <c r="F510" s="179">
        <f t="shared" si="50"/>
        <v>-0.24013157894736842</v>
      </c>
      <c r="G510" s="391">
        <f>SUMIFS(Data!$BL:$BL,Data!$BH:$BH,MarketProfile!A510,Data!$BM:$BM,"0")</f>
        <v>1894</v>
      </c>
      <c r="H510" s="391"/>
      <c r="I510" s="179">
        <f t="shared" si="52"/>
        <v>0.70749736008447728</v>
      </c>
    </row>
    <row r="511" spans="1:9" x14ac:dyDescent="0.2">
      <c r="A511" s="247" t="s">
        <v>464</v>
      </c>
      <c r="B511" s="247"/>
      <c r="C511" s="3">
        <f>SUMIFS(Data!$AK:$AK,Data!$AG:$AG,MarketProfile!A511,Data!$AL:$AL,"0")</f>
        <v>15967</v>
      </c>
      <c r="D511" s="391">
        <f>SUMIFS(Data!$AY:$AY,Data!$AU:$AU,MarketProfile!A511,Data!$AZ:$AZ,"0")</f>
        <v>36893</v>
      </c>
      <c r="E511" s="391"/>
      <c r="F511" s="179">
        <f t="shared" si="50"/>
        <v>-0.56720787141192097</v>
      </c>
      <c r="G511" s="391">
        <f>SUMIFS(Data!$BL:$BL,Data!$BH:$BH,MarketProfile!A511,Data!$BM:$BM,"0")</f>
        <v>19932</v>
      </c>
      <c r="H511" s="391"/>
      <c r="I511" s="179">
        <f t="shared" si="52"/>
        <v>-0.19892634958860125</v>
      </c>
    </row>
    <row r="512" spans="1:9" x14ac:dyDescent="0.2">
      <c r="A512" s="247" t="s">
        <v>465</v>
      </c>
      <c r="B512" s="247"/>
      <c r="C512" s="3">
        <f>SUMIFS(Data!$AK:$AK,Data!$AG:$AG,MarketProfile!A512,Data!$AL:$AL,"0")</f>
        <v>30</v>
      </c>
      <c r="D512" s="391">
        <f>SUMIFS(Data!$AY:$AY,Data!$AU:$AU,MarketProfile!A512,Data!$AZ:$AZ,"0")</f>
        <v>60</v>
      </c>
      <c r="E512" s="391"/>
      <c r="F512" s="179">
        <f t="shared" si="50"/>
        <v>-0.5</v>
      </c>
      <c r="G512" s="391">
        <f>SUMIFS(Data!$BL:$BL,Data!$BH:$BH,MarketProfile!A512,Data!$BM:$BM,"0")</f>
        <v>90</v>
      </c>
      <c r="H512" s="391"/>
      <c r="I512" s="179">
        <f t="shared" si="52"/>
        <v>-0.66666666666666663</v>
      </c>
    </row>
    <row r="513" spans="1:9" x14ac:dyDescent="0.2">
      <c r="A513" s="247" t="s">
        <v>141</v>
      </c>
      <c r="B513" s="247"/>
      <c r="C513" s="3">
        <f>SUMIFS(Data!$AK:$AK,Data!$AG:$AG,MarketProfile!A513,Data!$AL:$AL,"0")</f>
        <v>0</v>
      </c>
      <c r="D513" s="391">
        <f>SUMIFS(Data!$AY:$AY,Data!$AU:$AU,MarketProfile!A513,Data!$AZ:$AZ,"0")</f>
        <v>0</v>
      </c>
      <c r="E513" s="391"/>
      <c r="F513" s="179" t="str">
        <f t="shared" ref="F513" si="53">IFERROR(IF(OR(AND(C513="",D513=""),AND(C513=0,D513=0)),"",
IF(OR(C513="",C513=0),1,
IF(OR(C513&lt;&gt;"",C513&lt;&gt;0),(D513-C513)/ABS(C513)))),-1)</f>
        <v/>
      </c>
      <c r="G513" s="391">
        <f>SUMIFS(Data!$BL:$BL,Data!$BH:$BH,MarketProfile!A513,Data!$BM:$BM,"0")</f>
        <v>0</v>
      </c>
      <c r="H513" s="391"/>
      <c r="I513" s="179" t="str">
        <f t="shared" si="52"/>
        <v/>
      </c>
    </row>
    <row r="514" spans="1:9" x14ac:dyDescent="0.2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Page &amp;P</oddFooter>
  </headerFooter>
  <rowBreaks count="5" manualBreakCount="5">
    <brk id="82" max="16383" man="1"/>
    <brk id="170" max="16383" man="1"/>
    <brk id="252" max="16383" man="1"/>
    <brk id="337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79"/>
  <sheetViews>
    <sheetView topLeftCell="BU1" zoomScaleNormal="100" workbookViewId="0">
      <selection activeCell="DL14" sqref="DL14"/>
    </sheetView>
  </sheetViews>
  <sheetFormatPr defaultColWidth="9.140625" defaultRowHeight="12.75" x14ac:dyDescent="0.2"/>
  <cols>
    <col min="1" max="1" width="23.140625" style="147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6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7" customWidth="1"/>
    <col min="33" max="38" width="11.5703125" style="157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8" t="s">
        <v>210</v>
      </c>
      <c r="B1" s="188" t="s">
        <v>536</v>
      </c>
      <c r="C1" s="188" t="s">
        <v>537</v>
      </c>
      <c r="D1" s="188" t="s">
        <v>538</v>
      </c>
      <c r="E1" s="153" t="s">
        <v>217</v>
      </c>
      <c r="F1" s="211" t="s">
        <v>538</v>
      </c>
      <c r="G1" s="211" t="s">
        <v>536</v>
      </c>
      <c r="H1" s="211" t="s">
        <v>537</v>
      </c>
      <c r="I1" s="153" t="s">
        <v>218</v>
      </c>
      <c r="J1" s="153" t="s">
        <v>220</v>
      </c>
      <c r="K1" s="235" t="s">
        <v>539</v>
      </c>
      <c r="L1" s="235" t="s">
        <v>540</v>
      </c>
      <c r="M1" s="237" t="s">
        <v>537</v>
      </c>
      <c r="N1" s="153" t="s">
        <v>223</v>
      </c>
      <c r="O1" s="242" t="s">
        <v>524</v>
      </c>
      <c r="P1" s="242" t="s">
        <v>525</v>
      </c>
      <c r="Q1" s="242" t="s">
        <v>526</v>
      </c>
      <c r="R1" s="153" t="s">
        <v>452</v>
      </c>
      <c r="S1" s="254" t="s">
        <v>553</v>
      </c>
      <c r="T1" s="257" t="s">
        <v>554</v>
      </c>
      <c r="U1" s="257" t="s">
        <v>555</v>
      </c>
      <c r="V1" s="257" t="s">
        <v>556</v>
      </c>
      <c r="W1" s="257" t="s">
        <v>557</v>
      </c>
      <c r="X1" s="257" t="s">
        <v>558</v>
      </c>
      <c r="Y1" s="252" t="s">
        <v>458</v>
      </c>
      <c r="Z1" s="254" t="s">
        <v>521</v>
      </c>
      <c r="AA1" s="254" t="s">
        <v>554</v>
      </c>
      <c r="AB1" s="254" t="s">
        <v>555</v>
      </c>
      <c r="AC1" s="254" t="s">
        <v>556</v>
      </c>
      <c r="AD1" s="254" t="s">
        <v>557</v>
      </c>
      <c r="AE1" s="254" t="s">
        <v>558</v>
      </c>
      <c r="AF1" s="252" t="s">
        <v>466</v>
      </c>
      <c r="AG1" s="254" t="s">
        <v>521</v>
      </c>
      <c r="AH1" s="254" t="s">
        <v>554</v>
      </c>
      <c r="AI1" s="254" t="s">
        <v>555</v>
      </c>
      <c r="AJ1" s="254" t="s">
        <v>556</v>
      </c>
      <c r="AK1" s="254" t="s">
        <v>557</v>
      </c>
      <c r="AL1" s="254" t="s">
        <v>558</v>
      </c>
      <c r="AM1" s="252" t="s">
        <v>460</v>
      </c>
      <c r="AN1" s="254" t="s">
        <v>521</v>
      </c>
      <c r="AO1" s="254" t="s">
        <v>554</v>
      </c>
      <c r="AP1" s="254" t="s">
        <v>555</v>
      </c>
      <c r="AQ1" s="254" t="s">
        <v>556</v>
      </c>
      <c r="AR1" s="254" t="s">
        <v>557</v>
      </c>
      <c r="AS1" s="254" t="s">
        <v>558</v>
      </c>
      <c r="AT1" s="252" t="s">
        <v>467</v>
      </c>
      <c r="AU1" s="254" t="s">
        <v>521</v>
      </c>
      <c r="AV1" s="254" t="s">
        <v>554</v>
      </c>
      <c r="AW1" s="254" t="s">
        <v>555</v>
      </c>
      <c r="AX1" s="254" t="s">
        <v>556</v>
      </c>
      <c r="AY1" s="254" t="s">
        <v>557</v>
      </c>
      <c r="AZ1" s="254" t="s">
        <v>558</v>
      </c>
      <c r="BA1" s="252" t="s">
        <v>459</v>
      </c>
      <c r="BB1" s="254" t="s">
        <v>521</v>
      </c>
      <c r="BC1" s="254" t="s">
        <v>554</v>
      </c>
      <c r="BD1" s="254" t="s">
        <v>555</v>
      </c>
      <c r="BE1" s="254" t="s">
        <v>556</v>
      </c>
      <c r="BF1" s="254" t="s">
        <v>557</v>
      </c>
      <c r="BG1" s="254" t="s">
        <v>558</v>
      </c>
      <c r="BH1" s="252" t="s">
        <v>521</v>
      </c>
      <c r="BI1" s="254" t="s">
        <v>554</v>
      </c>
      <c r="BJ1" s="254" t="s">
        <v>555</v>
      </c>
      <c r="BK1" s="254" t="s">
        <v>556</v>
      </c>
      <c r="BL1" s="254" t="s">
        <v>557</v>
      </c>
      <c r="BM1" s="254" t="s">
        <v>558</v>
      </c>
      <c r="BN1" s="254"/>
      <c r="BO1" s="252" t="s">
        <v>468</v>
      </c>
      <c r="BP1" s="264" t="s">
        <v>554</v>
      </c>
      <c r="BQ1" s="264" t="s">
        <v>555</v>
      </c>
      <c r="BR1" s="264" t="s">
        <v>556</v>
      </c>
      <c r="BS1" s="261" t="s">
        <v>501</v>
      </c>
      <c r="BT1" s="266" t="s">
        <v>614</v>
      </c>
      <c r="BU1" s="266" t="s">
        <v>615</v>
      </c>
      <c r="BV1" s="266" t="s">
        <v>616</v>
      </c>
      <c r="BW1" s="266" t="s">
        <v>617</v>
      </c>
      <c r="BX1" s="266" t="s">
        <v>618</v>
      </c>
      <c r="BY1" s="266" t="s">
        <v>619</v>
      </c>
      <c r="BZ1" s="266" t="s">
        <v>620</v>
      </c>
      <c r="CA1" s="266" t="s">
        <v>621</v>
      </c>
      <c r="CB1" s="266" t="s">
        <v>622</v>
      </c>
      <c r="CC1" s="267" t="s">
        <v>502</v>
      </c>
      <c r="CD1" s="268" t="s">
        <v>627</v>
      </c>
      <c r="CE1" s="268" t="s">
        <v>628</v>
      </c>
      <c r="CF1" s="267" t="s">
        <v>507</v>
      </c>
      <c r="CG1" s="266" t="s">
        <v>6</v>
      </c>
      <c r="CH1" s="266" t="s">
        <v>629</v>
      </c>
      <c r="CI1" s="267" t="s">
        <v>509</v>
      </c>
      <c r="CJ1" s="247" t="s">
        <v>117</v>
      </c>
      <c r="CK1" s="247">
        <v>24491</v>
      </c>
      <c r="CL1" s="267" t="s">
        <v>512</v>
      </c>
      <c r="CM1" s="247" t="s">
        <v>117</v>
      </c>
      <c r="CN1" s="247">
        <v>13156</v>
      </c>
      <c r="CO1" s="267" t="s">
        <v>515</v>
      </c>
      <c r="CP1" s="247" t="s">
        <v>117</v>
      </c>
      <c r="CQ1" s="247">
        <v>534</v>
      </c>
      <c r="CR1" s="267" t="s">
        <v>518</v>
      </c>
      <c r="CS1" s="276" t="s">
        <v>633</v>
      </c>
      <c r="CT1" s="275" t="s">
        <v>634</v>
      </c>
      <c r="CU1" s="275" t="s">
        <v>635</v>
      </c>
      <c r="CV1" s="275" t="s">
        <v>636</v>
      </c>
      <c r="CW1" s="275" t="s">
        <v>637</v>
      </c>
      <c r="CX1" s="275" t="s">
        <v>638</v>
      </c>
      <c r="CY1" s="275" t="s">
        <v>639</v>
      </c>
      <c r="CZ1" s="275" t="s">
        <v>640</v>
      </c>
      <c r="DA1" s="275" t="s">
        <v>641</v>
      </c>
      <c r="DB1" s="275" t="s">
        <v>642</v>
      </c>
      <c r="DC1" s="275" t="s">
        <v>643</v>
      </c>
      <c r="DD1" s="275" t="s">
        <v>644</v>
      </c>
      <c r="DF1" s="356" t="s">
        <v>529</v>
      </c>
      <c r="DG1" s="347" t="s">
        <v>654</v>
      </c>
      <c r="DH1" s="347" t="s">
        <v>655</v>
      </c>
      <c r="DI1" s="356" t="s">
        <v>530</v>
      </c>
      <c r="DJ1" s="354" t="s">
        <v>654</v>
      </c>
      <c r="DK1" s="354" t="s">
        <v>655</v>
      </c>
      <c r="DL1" s="356" t="s">
        <v>531</v>
      </c>
      <c r="DM1" s="349" t="s">
        <v>654</v>
      </c>
      <c r="DN1" s="349" t="s">
        <v>655</v>
      </c>
    </row>
    <row r="2" spans="1:118" x14ac:dyDescent="0.2">
      <c r="B2" s="188">
        <v>7799326251</v>
      </c>
      <c r="C2" s="188">
        <v>524817426511.26569</v>
      </c>
      <c r="D2" s="188">
        <v>6545801</v>
      </c>
      <c r="E2" s="209"/>
      <c r="F2" s="211">
        <v>3137</v>
      </c>
      <c r="G2" s="211">
        <v>813084061</v>
      </c>
      <c r="H2" s="211">
        <v>48597820090.910675</v>
      </c>
      <c r="J2" s="152" t="str">
        <f>K2&amp;L2</f>
        <v>ABuy</v>
      </c>
      <c r="K2" s="234" t="s">
        <v>541</v>
      </c>
      <c r="L2" s="234" t="s">
        <v>542</v>
      </c>
      <c r="M2" s="238">
        <v>226678911318.42841</v>
      </c>
      <c r="O2" s="241">
        <v>93462923197.479996</v>
      </c>
      <c r="P2" s="241">
        <v>-112566550589.86</v>
      </c>
      <c r="Q2" s="241">
        <v>-19103627392.380001</v>
      </c>
      <c r="S2" s="253" t="s">
        <v>446</v>
      </c>
      <c r="T2" s="258">
        <v>831852691702.71582</v>
      </c>
      <c r="U2" s="258">
        <v>3194471</v>
      </c>
      <c r="V2" s="258">
        <v>319224</v>
      </c>
      <c r="W2" s="258">
        <v>686611</v>
      </c>
      <c r="X2" s="258">
        <v>1</v>
      </c>
      <c r="Y2" s="245"/>
      <c r="Z2" s="253" t="s">
        <v>560</v>
      </c>
      <c r="AA2" s="253">
        <v>0</v>
      </c>
      <c r="AB2" s="253">
        <v>0</v>
      </c>
      <c r="AC2" s="253">
        <v>0</v>
      </c>
      <c r="AD2" s="253">
        <v>0</v>
      </c>
      <c r="AE2" s="253">
        <v>1</v>
      </c>
      <c r="AF2" s="253"/>
      <c r="AG2" s="253" t="s">
        <v>560</v>
      </c>
      <c r="AH2" s="253">
        <v>0</v>
      </c>
      <c r="AI2" s="253">
        <v>0</v>
      </c>
      <c r="AJ2" s="253">
        <v>0</v>
      </c>
      <c r="AK2" s="253">
        <v>0</v>
      </c>
      <c r="AL2" s="253">
        <v>1</v>
      </c>
      <c r="AM2" s="245"/>
      <c r="AN2" s="253" t="s">
        <v>560</v>
      </c>
      <c r="AO2" s="253">
        <v>0</v>
      </c>
      <c r="AP2" s="253">
        <v>0</v>
      </c>
      <c r="AQ2" s="253">
        <v>0</v>
      </c>
      <c r="AR2" s="253">
        <v>0</v>
      </c>
      <c r="AS2" s="253">
        <v>1</v>
      </c>
      <c r="AT2" s="245"/>
      <c r="AU2" s="253" t="s">
        <v>560</v>
      </c>
      <c r="AV2" s="253">
        <v>0</v>
      </c>
      <c r="AW2" s="253">
        <v>0</v>
      </c>
      <c r="AX2" s="253">
        <v>0</v>
      </c>
      <c r="AY2" s="253">
        <v>0</v>
      </c>
      <c r="AZ2" s="253">
        <v>1</v>
      </c>
      <c r="BA2" s="245"/>
      <c r="BB2" s="253" t="s">
        <v>561</v>
      </c>
      <c r="BC2" s="253">
        <v>0</v>
      </c>
      <c r="BD2" s="253">
        <v>0</v>
      </c>
      <c r="BE2" s="253">
        <v>0</v>
      </c>
      <c r="BF2" s="253">
        <v>0</v>
      </c>
      <c r="BG2" s="253">
        <v>0</v>
      </c>
      <c r="BH2" s="247" t="s">
        <v>561</v>
      </c>
      <c r="BI2" s="253">
        <v>0</v>
      </c>
      <c r="BJ2" s="253">
        <v>0</v>
      </c>
      <c r="BK2" s="253">
        <v>0</v>
      </c>
      <c r="BL2" s="253">
        <v>0</v>
      </c>
      <c r="BM2" s="253">
        <v>0</v>
      </c>
      <c r="BN2" s="253"/>
      <c r="BO2" s="245"/>
      <c r="BP2" s="263">
        <v>2972555517236.6904</v>
      </c>
      <c r="BQ2" s="263">
        <v>170849903</v>
      </c>
      <c r="BR2" s="263">
        <v>1589757</v>
      </c>
      <c r="BS2" s="245"/>
      <c r="BT2" s="265" t="s">
        <v>139</v>
      </c>
      <c r="BU2" s="265">
        <v>57</v>
      </c>
      <c r="BV2" s="265">
        <v>2</v>
      </c>
      <c r="BW2" s="265">
        <v>0</v>
      </c>
      <c r="BX2" s="265">
        <v>0</v>
      </c>
      <c r="BY2" s="265">
        <v>0</v>
      </c>
      <c r="BZ2" s="265">
        <v>59</v>
      </c>
      <c r="CA2" s="265">
        <v>42</v>
      </c>
      <c r="CB2" s="265">
        <v>15</v>
      </c>
      <c r="CC2" s="245"/>
      <c r="CD2" s="269">
        <v>821</v>
      </c>
      <c r="CE2" s="269">
        <v>13656559215086.494</v>
      </c>
      <c r="CF2" s="245"/>
      <c r="CG2" s="265">
        <v>2017</v>
      </c>
      <c r="CH2" s="265">
        <v>21</v>
      </c>
      <c r="CI2" s="245"/>
      <c r="CJ2" s="247" t="s">
        <v>631</v>
      </c>
      <c r="CK2" s="247">
        <v>643537904938</v>
      </c>
      <c r="CL2" s="247"/>
      <c r="CM2" s="247" t="s">
        <v>631</v>
      </c>
      <c r="CN2" s="247">
        <v>1679022143186</v>
      </c>
      <c r="CO2" s="247"/>
      <c r="CP2" s="247" t="s">
        <v>631</v>
      </c>
      <c r="CQ2" s="247">
        <v>30021154324</v>
      </c>
      <c r="CR2" s="245"/>
      <c r="CS2" s="277">
        <v>2017</v>
      </c>
      <c r="CT2" s="275">
        <v>39</v>
      </c>
      <c r="CU2" s="275" t="s">
        <v>645</v>
      </c>
      <c r="CV2" s="275">
        <v>0</v>
      </c>
      <c r="CW2" s="275">
        <v>19252812269</v>
      </c>
      <c r="CX2" s="275">
        <v>2020</v>
      </c>
      <c r="CY2" s="275">
        <v>0</v>
      </c>
      <c r="CZ2" s="275">
        <v>85931271763</v>
      </c>
      <c r="DA2" s="275">
        <v>1094</v>
      </c>
      <c r="DB2" s="275">
        <v>0</v>
      </c>
      <c r="DC2" s="275">
        <v>66678459494</v>
      </c>
      <c r="DD2" s="275">
        <v>926</v>
      </c>
      <c r="DG2" s="348" t="s">
        <v>656</v>
      </c>
      <c r="DH2" s="346">
        <v>1628200004.0999999</v>
      </c>
      <c r="DJ2" s="352" t="s">
        <v>656</v>
      </c>
      <c r="DK2" s="350">
        <v>6431988040.8100004</v>
      </c>
      <c r="DM2" s="351" t="s">
        <v>656</v>
      </c>
      <c r="DN2" s="353">
        <v>6127613855.8699999</v>
      </c>
    </row>
    <row r="3" spans="1:118" x14ac:dyDescent="0.2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543</v>
      </c>
      <c r="L3" s="234" t="s">
        <v>542</v>
      </c>
      <c r="M3" s="238">
        <v>298138515192.83722</v>
      </c>
      <c r="N3" s="136"/>
      <c r="O3" s="239"/>
      <c r="P3" s="239"/>
      <c r="Q3" s="239"/>
      <c r="S3" s="253" t="s">
        <v>451</v>
      </c>
      <c r="T3" s="258">
        <v>155841820.37</v>
      </c>
      <c r="U3" s="258">
        <v>237687</v>
      </c>
      <c r="V3" s="258">
        <v>354</v>
      </c>
      <c r="W3" s="258">
        <v>237659</v>
      </c>
      <c r="X3" s="258">
        <v>0</v>
      </c>
      <c r="Y3" s="245"/>
      <c r="Z3" s="253" t="s">
        <v>561</v>
      </c>
      <c r="AA3" s="253">
        <v>0</v>
      </c>
      <c r="AB3" s="253">
        <v>0</v>
      </c>
      <c r="AC3" s="253">
        <v>0</v>
      </c>
      <c r="AD3" s="253">
        <v>0</v>
      </c>
      <c r="AE3" s="253">
        <v>0</v>
      </c>
      <c r="AF3" s="253"/>
      <c r="AG3" s="253" t="s">
        <v>561</v>
      </c>
      <c r="AH3" s="253">
        <v>0</v>
      </c>
      <c r="AI3" s="253">
        <v>0</v>
      </c>
      <c r="AJ3" s="253">
        <v>0</v>
      </c>
      <c r="AK3" s="253">
        <v>0</v>
      </c>
      <c r="AL3" s="253">
        <v>0</v>
      </c>
      <c r="AM3" s="245"/>
      <c r="AN3" s="253" t="s">
        <v>561</v>
      </c>
      <c r="AO3" s="253">
        <v>0</v>
      </c>
      <c r="AP3" s="253">
        <v>0</v>
      </c>
      <c r="AQ3" s="253">
        <v>0</v>
      </c>
      <c r="AR3" s="253">
        <v>0</v>
      </c>
      <c r="AS3" s="253">
        <v>0</v>
      </c>
      <c r="AT3" s="245"/>
      <c r="AU3" s="253" t="s">
        <v>561</v>
      </c>
      <c r="AV3" s="253">
        <v>0</v>
      </c>
      <c r="AW3" s="253">
        <v>0</v>
      </c>
      <c r="AX3" s="253">
        <v>0</v>
      </c>
      <c r="AY3" s="253">
        <v>0</v>
      </c>
      <c r="AZ3" s="253">
        <v>0</v>
      </c>
      <c r="BA3" s="245"/>
      <c r="BB3" s="253" t="s">
        <v>562</v>
      </c>
      <c r="BC3" s="253">
        <v>4484549.05</v>
      </c>
      <c r="BD3" s="253">
        <v>432</v>
      </c>
      <c r="BE3" s="253">
        <v>16</v>
      </c>
      <c r="BF3" s="253">
        <v>3763</v>
      </c>
      <c r="BG3" s="253">
        <v>0</v>
      </c>
      <c r="BH3" s="247" t="s">
        <v>562</v>
      </c>
      <c r="BI3" s="253">
        <v>0</v>
      </c>
      <c r="BJ3" s="253">
        <v>0</v>
      </c>
      <c r="BK3" s="253">
        <v>0</v>
      </c>
      <c r="BL3" s="253">
        <v>167</v>
      </c>
      <c r="BM3" s="253">
        <v>0</v>
      </c>
      <c r="BN3" s="253"/>
      <c r="BO3" s="245"/>
      <c r="BP3" s="245"/>
      <c r="BQ3" s="245"/>
      <c r="BR3" s="245"/>
      <c r="BS3" s="245"/>
      <c r="BT3" s="265" t="s">
        <v>623</v>
      </c>
      <c r="BU3" s="265">
        <v>2</v>
      </c>
      <c r="BV3" s="265">
        <v>0</v>
      </c>
      <c r="BW3" s="265">
        <v>0</v>
      </c>
      <c r="BX3" s="265">
        <v>0</v>
      </c>
      <c r="BY3" s="265">
        <v>0</v>
      </c>
      <c r="BZ3" s="265">
        <v>2</v>
      </c>
      <c r="CA3" s="265">
        <v>2</v>
      </c>
      <c r="CB3" s="265">
        <v>0</v>
      </c>
      <c r="CC3" s="245"/>
      <c r="CD3" s="245"/>
      <c r="CE3" s="245"/>
      <c r="CF3" s="245"/>
      <c r="CG3" s="265">
        <v>2016</v>
      </c>
      <c r="CH3" s="265">
        <v>21</v>
      </c>
      <c r="CI3" s="245"/>
      <c r="CJ3" s="247" t="s">
        <v>632</v>
      </c>
      <c r="CK3" s="247">
        <v>671287361921.14026</v>
      </c>
      <c r="CL3" s="247"/>
      <c r="CM3" s="247" t="s">
        <v>632</v>
      </c>
      <c r="CN3" s="247">
        <v>1645682284706.99</v>
      </c>
      <c r="CO3" s="247"/>
      <c r="CP3" s="247" t="s">
        <v>632</v>
      </c>
      <c r="CQ3" s="247">
        <v>5922462563.1799994</v>
      </c>
      <c r="CR3" s="245"/>
      <c r="CS3" s="277">
        <v>2017</v>
      </c>
      <c r="CT3" s="275">
        <v>2</v>
      </c>
      <c r="CU3" s="275" t="s">
        <v>646</v>
      </c>
      <c r="CV3" s="275">
        <v>294888623.24000001</v>
      </c>
      <c r="CW3" s="275">
        <v>300110000</v>
      </c>
      <c r="CX3" s="275">
        <v>2</v>
      </c>
      <c r="CY3" s="275">
        <v>294888623.24000001</v>
      </c>
      <c r="CZ3" s="275">
        <v>300110000</v>
      </c>
      <c r="DA3" s="275">
        <v>2</v>
      </c>
      <c r="DB3" s="275">
        <v>0</v>
      </c>
      <c r="DC3" s="275">
        <v>0</v>
      </c>
      <c r="DD3" s="275">
        <v>0</v>
      </c>
      <c r="DG3" s="348" t="s">
        <v>657</v>
      </c>
      <c r="DH3" s="346">
        <v>190100775.21000001</v>
      </c>
      <c r="DJ3" s="352" t="s">
        <v>657</v>
      </c>
      <c r="DK3" s="350">
        <v>6480957876.96</v>
      </c>
      <c r="DM3" s="351" t="s">
        <v>657</v>
      </c>
      <c r="DN3" s="353">
        <v>17043148799.91</v>
      </c>
    </row>
    <row r="4" spans="1:118" x14ac:dyDescent="0.2">
      <c r="A4" s="148" t="s">
        <v>211</v>
      </c>
      <c r="B4" s="188" t="s">
        <v>536</v>
      </c>
      <c r="C4" s="188" t="s">
        <v>537</v>
      </c>
      <c r="D4" s="188" t="s">
        <v>538</v>
      </c>
      <c r="E4" s="209"/>
      <c r="F4" s="211" t="s">
        <v>538</v>
      </c>
      <c r="G4" s="211" t="s">
        <v>536</v>
      </c>
      <c r="H4" s="211" t="s">
        <v>537</v>
      </c>
      <c r="J4" s="152" t="str">
        <f t="shared" si="0"/>
        <v>ASell</v>
      </c>
      <c r="K4" s="234" t="s">
        <v>541</v>
      </c>
      <c r="L4" s="234" t="s">
        <v>544</v>
      </c>
      <c r="M4" s="238">
        <v>216634965309.85516</v>
      </c>
      <c r="N4" s="153" t="s">
        <v>224</v>
      </c>
      <c r="O4" s="242" t="s">
        <v>524</v>
      </c>
      <c r="P4" s="242" t="s">
        <v>525</v>
      </c>
      <c r="Q4" s="242" t="s">
        <v>526</v>
      </c>
      <c r="S4" s="253" t="s">
        <v>446</v>
      </c>
      <c r="T4" s="258">
        <v>2621445411.3800001</v>
      </c>
      <c r="U4" s="258">
        <v>381451</v>
      </c>
      <c r="V4" s="258">
        <v>1310</v>
      </c>
      <c r="W4" s="258">
        <v>808972</v>
      </c>
      <c r="X4" s="258">
        <v>0</v>
      </c>
      <c r="Y4" s="245"/>
      <c r="Z4" s="253" t="s">
        <v>562</v>
      </c>
      <c r="AA4" s="253">
        <v>0</v>
      </c>
      <c r="AB4" s="253">
        <v>0</v>
      </c>
      <c r="AC4" s="253">
        <v>0</v>
      </c>
      <c r="AD4" s="253">
        <v>75</v>
      </c>
      <c r="AE4" s="253">
        <v>0</v>
      </c>
      <c r="AF4" s="253"/>
      <c r="AG4" s="253" t="s">
        <v>562</v>
      </c>
      <c r="AH4" s="253">
        <v>0</v>
      </c>
      <c r="AI4" s="253">
        <v>0</v>
      </c>
      <c r="AJ4" s="253">
        <v>0</v>
      </c>
      <c r="AK4" s="253">
        <v>0</v>
      </c>
      <c r="AL4" s="253">
        <v>0</v>
      </c>
      <c r="AM4" s="245"/>
      <c r="AN4" s="253" t="s">
        <v>562</v>
      </c>
      <c r="AO4" s="253">
        <v>0</v>
      </c>
      <c r="AP4" s="253">
        <v>0</v>
      </c>
      <c r="AQ4" s="253">
        <v>0</v>
      </c>
      <c r="AR4" s="253">
        <v>110</v>
      </c>
      <c r="AS4" s="253">
        <v>0</v>
      </c>
      <c r="AT4" s="245"/>
      <c r="AU4" s="253" t="s">
        <v>562</v>
      </c>
      <c r="AV4" s="253">
        <v>0</v>
      </c>
      <c r="AW4" s="253">
        <v>0</v>
      </c>
      <c r="AX4" s="253">
        <v>0</v>
      </c>
      <c r="AY4" s="253">
        <v>5</v>
      </c>
      <c r="AZ4" s="253">
        <v>0</v>
      </c>
      <c r="BA4" s="245"/>
      <c r="BB4" s="253" t="s">
        <v>608</v>
      </c>
      <c r="BC4" s="253">
        <v>0</v>
      </c>
      <c r="BD4" s="253">
        <v>0</v>
      </c>
      <c r="BE4" s="253">
        <v>0</v>
      </c>
      <c r="BF4" s="253">
        <v>0</v>
      </c>
      <c r="BG4" s="253">
        <v>1</v>
      </c>
      <c r="BH4" s="247" t="s">
        <v>608</v>
      </c>
      <c r="BI4" s="253">
        <v>0</v>
      </c>
      <c r="BJ4" s="253">
        <v>0</v>
      </c>
      <c r="BK4" s="253">
        <v>0</v>
      </c>
      <c r="BL4" s="253">
        <v>0</v>
      </c>
      <c r="BM4" s="253">
        <v>1</v>
      </c>
      <c r="BN4" s="253"/>
      <c r="BO4" s="252" t="s">
        <v>469</v>
      </c>
      <c r="BP4" s="264" t="s">
        <v>554</v>
      </c>
      <c r="BQ4" s="264" t="s">
        <v>555</v>
      </c>
      <c r="BR4" s="264" t="s">
        <v>556</v>
      </c>
      <c r="BS4" s="245"/>
      <c r="BT4" s="265" t="s">
        <v>624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503</v>
      </c>
      <c r="CD4" s="270" t="s">
        <v>627</v>
      </c>
      <c r="CE4" s="270" t="s">
        <v>628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2017</v>
      </c>
      <c r="CT4" s="275">
        <v>22</v>
      </c>
      <c r="CU4" s="275" t="s">
        <v>647</v>
      </c>
      <c r="CV4" s="275">
        <v>111498086433.15009</v>
      </c>
      <c r="CW4" s="275">
        <v>120677018000</v>
      </c>
      <c r="CX4" s="275">
        <v>3522</v>
      </c>
      <c r="CY4" s="275">
        <v>231589873002.89008</v>
      </c>
      <c r="CZ4" s="275">
        <v>238087435000</v>
      </c>
      <c r="DA4" s="275">
        <v>2619</v>
      </c>
      <c r="DB4" s="275">
        <v>120091786569.74004</v>
      </c>
      <c r="DC4" s="275">
        <v>117410417000</v>
      </c>
      <c r="DD4" s="275">
        <v>903</v>
      </c>
      <c r="DG4" s="348" t="s">
        <v>658</v>
      </c>
      <c r="DH4" s="346">
        <v>450188893.01999998</v>
      </c>
      <c r="DJ4" s="352" t="s">
        <v>658</v>
      </c>
      <c r="DK4" s="350">
        <v>7402581612.5100002</v>
      </c>
      <c r="DM4" s="351" t="s">
        <v>658</v>
      </c>
      <c r="DN4" s="353">
        <v>3930812757.6700001</v>
      </c>
    </row>
    <row r="5" spans="1:118" x14ac:dyDescent="0.2">
      <c r="B5" s="188">
        <v>39817320716</v>
      </c>
      <c r="C5" s="188">
        <v>2602429027347.2456</v>
      </c>
      <c r="D5" s="194">
        <v>35521437</v>
      </c>
      <c r="E5" s="209"/>
      <c r="F5" s="211">
        <v>17453</v>
      </c>
      <c r="G5" s="211">
        <v>3521532171</v>
      </c>
      <c r="H5" s="225">
        <v>164106014024.67056</v>
      </c>
      <c r="J5" s="152" t="str">
        <f t="shared" si="0"/>
        <v>PSell</v>
      </c>
      <c r="K5" s="234" t="s">
        <v>543</v>
      </c>
      <c r="L5" s="234" t="s">
        <v>544</v>
      </c>
      <c r="M5" s="238">
        <v>308182461201.41052</v>
      </c>
      <c r="N5" s="136"/>
      <c r="O5" s="241">
        <v>441431752447.95001</v>
      </c>
      <c r="P5" s="241">
        <v>-515539634800.21997</v>
      </c>
      <c r="Q5" s="241">
        <v>-74107882352.270004</v>
      </c>
      <c r="S5" s="253" t="s">
        <v>447</v>
      </c>
      <c r="T5" s="258">
        <v>27309106563.874001</v>
      </c>
      <c r="U5" s="258">
        <v>2808331</v>
      </c>
      <c r="V5" s="258">
        <v>8125</v>
      </c>
      <c r="W5" s="258">
        <v>1285642</v>
      </c>
      <c r="X5" s="258">
        <v>1</v>
      </c>
      <c r="Y5" s="245"/>
      <c r="Z5" s="253" t="s">
        <v>563</v>
      </c>
      <c r="AA5" s="253">
        <v>10676371.300000001</v>
      </c>
      <c r="AB5" s="253">
        <v>1036</v>
      </c>
      <c r="AC5" s="253">
        <v>57</v>
      </c>
      <c r="AD5" s="253">
        <v>49639</v>
      </c>
      <c r="AE5" s="253">
        <v>0</v>
      </c>
      <c r="AF5" s="253"/>
      <c r="AG5" s="253" t="s">
        <v>563</v>
      </c>
      <c r="AH5" s="253">
        <v>12200</v>
      </c>
      <c r="AI5" s="253">
        <v>2</v>
      </c>
      <c r="AJ5" s="253">
        <v>2</v>
      </c>
      <c r="AK5" s="253">
        <v>1188</v>
      </c>
      <c r="AL5" s="253">
        <v>0</v>
      </c>
      <c r="AM5" s="245"/>
      <c r="AN5" s="253" t="s">
        <v>563</v>
      </c>
      <c r="AO5" s="253">
        <v>15180708.5</v>
      </c>
      <c r="AP5" s="253">
        <v>2139</v>
      </c>
      <c r="AQ5" s="253">
        <v>101</v>
      </c>
      <c r="AR5" s="253">
        <v>49739</v>
      </c>
      <c r="AS5" s="253">
        <v>0</v>
      </c>
      <c r="AT5" s="245"/>
      <c r="AU5" s="253" t="s">
        <v>563</v>
      </c>
      <c r="AV5" s="253">
        <v>1675950</v>
      </c>
      <c r="AW5" s="253">
        <v>150</v>
      </c>
      <c r="AX5" s="253">
        <v>2</v>
      </c>
      <c r="AY5" s="253">
        <v>2535</v>
      </c>
      <c r="AZ5" s="253">
        <v>0</v>
      </c>
      <c r="BA5" s="245"/>
      <c r="BB5" s="253" t="s">
        <v>563</v>
      </c>
      <c r="BC5" s="253">
        <v>45267589.200000003</v>
      </c>
      <c r="BD5" s="253">
        <v>2523</v>
      </c>
      <c r="BE5" s="253">
        <v>152</v>
      </c>
      <c r="BF5" s="253">
        <v>57106</v>
      </c>
      <c r="BG5" s="253">
        <v>0</v>
      </c>
      <c r="BH5" s="247" t="s">
        <v>563</v>
      </c>
      <c r="BI5" s="253">
        <v>49500</v>
      </c>
      <c r="BJ5" s="253">
        <v>4</v>
      </c>
      <c r="BK5" s="253">
        <v>2</v>
      </c>
      <c r="BL5" s="253">
        <v>2578</v>
      </c>
      <c r="BM5" s="253">
        <v>0</v>
      </c>
      <c r="BN5" s="253"/>
      <c r="BO5" s="245"/>
      <c r="BP5" s="263">
        <v>23083221442.470001</v>
      </c>
      <c r="BQ5" s="263">
        <v>10616509</v>
      </c>
      <c r="BR5" s="263">
        <v>15401</v>
      </c>
      <c r="BS5" s="245"/>
      <c r="BT5" s="265" t="s">
        <v>625</v>
      </c>
      <c r="BU5" s="265">
        <v>324</v>
      </c>
      <c r="BV5" s="265">
        <v>1</v>
      </c>
      <c r="BW5" s="265">
        <v>3</v>
      </c>
      <c r="BX5" s="265">
        <v>0</v>
      </c>
      <c r="BY5" s="265">
        <v>0</v>
      </c>
      <c r="BZ5" s="265">
        <v>322</v>
      </c>
      <c r="CA5" s="265">
        <v>264</v>
      </c>
      <c r="CB5" s="265">
        <v>60</v>
      </c>
      <c r="CC5" s="245"/>
      <c r="CD5" s="271">
        <v>814</v>
      </c>
      <c r="CE5" s="271">
        <v>15332580169999.529</v>
      </c>
      <c r="CF5" s="267" t="s">
        <v>508</v>
      </c>
      <c r="CG5" s="266" t="s">
        <v>6</v>
      </c>
      <c r="CH5" s="266" t="s">
        <v>629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2017</v>
      </c>
      <c r="CT5" s="275">
        <v>22</v>
      </c>
      <c r="CU5" s="275" t="s">
        <v>648</v>
      </c>
      <c r="CV5" s="275">
        <v>-114841540634.3602</v>
      </c>
      <c r="CW5" s="275">
        <v>-123655018000</v>
      </c>
      <c r="CX5" s="275">
        <v>3481</v>
      </c>
      <c r="CY5" s="275">
        <v>114609286232.12006</v>
      </c>
      <c r="CZ5" s="275">
        <v>112105417000</v>
      </c>
      <c r="DA5" s="275">
        <v>883</v>
      </c>
      <c r="DB5" s="275">
        <v>229450826866.47992</v>
      </c>
      <c r="DC5" s="275">
        <v>235760435000</v>
      </c>
      <c r="DD5" s="275">
        <v>2598</v>
      </c>
      <c r="DG5" s="348" t="s">
        <v>659</v>
      </c>
      <c r="DH5" s="346">
        <v>52313913.840000004</v>
      </c>
      <c r="DJ5" s="352" t="s">
        <v>659</v>
      </c>
      <c r="DK5" s="350">
        <v>624383178.89999998</v>
      </c>
      <c r="DM5" s="351" t="s">
        <v>659</v>
      </c>
      <c r="DN5" s="353">
        <v>938551619.97000003</v>
      </c>
    </row>
    <row r="6" spans="1:118" x14ac:dyDescent="0.2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449</v>
      </c>
      <c r="T6" s="258">
        <v>5988105568.8879995</v>
      </c>
      <c r="U6" s="258">
        <v>32584884</v>
      </c>
      <c r="V6" s="258">
        <v>618</v>
      </c>
      <c r="W6" s="258">
        <v>14085372</v>
      </c>
      <c r="X6" s="258">
        <v>1</v>
      </c>
      <c r="Y6" s="245"/>
      <c r="Z6" s="253" t="s">
        <v>564</v>
      </c>
      <c r="AA6" s="253">
        <v>111410391.84</v>
      </c>
      <c r="AB6" s="253">
        <v>1803</v>
      </c>
      <c r="AC6" s="253">
        <v>26</v>
      </c>
      <c r="AD6" s="253">
        <v>14122</v>
      </c>
      <c r="AE6" s="253">
        <v>1</v>
      </c>
      <c r="AF6" s="253"/>
      <c r="AG6" s="253" t="s">
        <v>564</v>
      </c>
      <c r="AH6" s="253">
        <v>0</v>
      </c>
      <c r="AI6" s="253">
        <v>0</v>
      </c>
      <c r="AJ6" s="253">
        <v>0</v>
      </c>
      <c r="AK6" s="253">
        <v>683</v>
      </c>
      <c r="AL6" s="253">
        <v>1</v>
      </c>
      <c r="AM6" s="245"/>
      <c r="AN6" s="253" t="s">
        <v>564</v>
      </c>
      <c r="AO6" s="253">
        <v>154819690.00999999</v>
      </c>
      <c r="AP6" s="253">
        <v>2220</v>
      </c>
      <c r="AQ6" s="253">
        <v>82</v>
      </c>
      <c r="AR6" s="253">
        <v>18452</v>
      </c>
      <c r="AS6" s="253">
        <v>1</v>
      </c>
      <c r="AT6" s="245"/>
      <c r="AU6" s="253" t="s">
        <v>564</v>
      </c>
      <c r="AV6" s="253">
        <v>0</v>
      </c>
      <c r="AW6" s="253">
        <v>0</v>
      </c>
      <c r="AX6" s="253">
        <v>0</v>
      </c>
      <c r="AY6" s="253">
        <v>521</v>
      </c>
      <c r="AZ6" s="253">
        <v>1</v>
      </c>
      <c r="BA6" s="245"/>
      <c r="BB6" s="253" t="s">
        <v>564</v>
      </c>
      <c r="BC6" s="253">
        <v>279062525.48000002</v>
      </c>
      <c r="BD6" s="253">
        <v>3543</v>
      </c>
      <c r="BE6" s="253">
        <v>55</v>
      </c>
      <c r="BF6" s="253">
        <v>16985</v>
      </c>
      <c r="BG6" s="253">
        <v>1</v>
      </c>
      <c r="BH6" s="247" t="s">
        <v>564</v>
      </c>
      <c r="BI6" s="253">
        <v>0</v>
      </c>
      <c r="BJ6" s="253">
        <v>0</v>
      </c>
      <c r="BK6" s="253">
        <v>0</v>
      </c>
      <c r="BL6" s="253">
        <v>644</v>
      </c>
      <c r="BM6" s="253">
        <v>1</v>
      </c>
      <c r="BN6" s="253"/>
      <c r="BO6" s="247"/>
      <c r="BP6" s="263"/>
      <c r="BQ6" s="263"/>
      <c r="BR6" s="263"/>
      <c r="BS6" s="245"/>
      <c r="BT6" s="265" t="s">
        <v>626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2017</v>
      </c>
      <c r="CH6" s="265">
        <v>123</v>
      </c>
      <c r="CI6" s="267" t="s">
        <v>510</v>
      </c>
      <c r="CJ6" s="247" t="s">
        <v>117</v>
      </c>
      <c r="CK6" s="247">
        <v>139305</v>
      </c>
      <c r="CL6" s="267" t="s">
        <v>513</v>
      </c>
      <c r="CM6" s="247" t="s">
        <v>117</v>
      </c>
      <c r="CN6" s="247">
        <v>75015</v>
      </c>
      <c r="CO6" s="267" t="s">
        <v>516</v>
      </c>
      <c r="CP6" s="247" t="s">
        <v>117</v>
      </c>
      <c r="CQ6" s="247">
        <v>3579</v>
      </c>
      <c r="CR6" s="245"/>
      <c r="CS6" s="277">
        <v>2017</v>
      </c>
      <c r="CT6" s="275">
        <v>348</v>
      </c>
      <c r="CU6" s="275" t="s">
        <v>649</v>
      </c>
      <c r="CV6" s="275">
        <v>-25146111820.430069</v>
      </c>
      <c r="CW6" s="275">
        <v>-23239209967</v>
      </c>
      <c r="CX6" s="275">
        <v>4443</v>
      </c>
      <c r="CY6" s="275">
        <v>50598943969.049988</v>
      </c>
      <c r="CZ6" s="275">
        <v>49800625817</v>
      </c>
      <c r="DA6" s="275">
        <v>2533</v>
      </c>
      <c r="DB6" s="275">
        <v>75745055789.480011</v>
      </c>
      <c r="DC6" s="275">
        <v>73039835784</v>
      </c>
      <c r="DD6" s="275">
        <v>1910</v>
      </c>
      <c r="DG6" s="348" t="s">
        <v>660</v>
      </c>
      <c r="DH6" s="346">
        <v>1720139053.3599999</v>
      </c>
      <c r="DJ6" s="352" t="s">
        <v>660</v>
      </c>
      <c r="DK6" s="350">
        <v>4972916744.4399996</v>
      </c>
      <c r="DM6" s="351" t="s">
        <v>660</v>
      </c>
      <c r="DN6" s="353">
        <v>4441832592.2600002</v>
      </c>
    </row>
    <row r="7" spans="1:118" x14ac:dyDescent="0.2">
      <c r="A7" s="148" t="s">
        <v>212</v>
      </c>
      <c r="B7" s="188" t="s">
        <v>536</v>
      </c>
      <c r="C7" s="188" t="s">
        <v>537</v>
      </c>
      <c r="D7" s="188" t="s">
        <v>538</v>
      </c>
      <c r="E7" s="209"/>
      <c r="F7" s="211" t="s">
        <v>538</v>
      </c>
      <c r="G7" s="211" t="s">
        <v>536</v>
      </c>
      <c r="H7" s="211" t="s">
        <v>537</v>
      </c>
      <c r="I7" s="153" t="s">
        <v>219</v>
      </c>
      <c r="J7" s="148" t="s">
        <v>220</v>
      </c>
      <c r="K7" s="235" t="s">
        <v>539</v>
      </c>
      <c r="L7" s="235" t="s">
        <v>540</v>
      </c>
      <c r="M7" s="237" t="s">
        <v>537</v>
      </c>
      <c r="N7" s="153" t="s">
        <v>225</v>
      </c>
      <c r="O7" s="242" t="s">
        <v>524</v>
      </c>
      <c r="P7" s="242" t="s">
        <v>525</v>
      </c>
      <c r="Q7" s="242" t="s">
        <v>526</v>
      </c>
      <c r="S7" s="253" t="s">
        <v>182</v>
      </c>
      <c r="T7" s="258">
        <v>48840919.090000004</v>
      </c>
      <c r="U7" s="258">
        <v>548830</v>
      </c>
      <c r="V7" s="258">
        <v>134</v>
      </c>
      <c r="W7" s="258">
        <v>1920406</v>
      </c>
      <c r="X7" s="258">
        <v>1</v>
      </c>
      <c r="Y7" s="245"/>
      <c r="Z7" s="253" t="s">
        <v>565</v>
      </c>
      <c r="AA7" s="253">
        <v>19977576.149999999</v>
      </c>
      <c r="AB7" s="253">
        <v>858</v>
      </c>
      <c r="AC7" s="253">
        <v>12</v>
      </c>
      <c r="AD7" s="253">
        <v>3621</v>
      </c>
      <c r="AE7" s="253">
        <v>1</v>
      </c>
      <c r="AF7" s="253"/>
      <c r="AG7" s="253" t="s">
        <v>565</v>
      </c>
      <c r="AH7" s="253">
        <v>0</v>
      </c>
      <c r="AI7" s="253">
        <v>0</v>
      </c>
      <c r="AJ7" s="253">
        <v>0</v>
      </c>
      <c r="AK7" s="253">
        <v>38</v>
      </c>
      <c r="AL7" s="253">
        <v>1</v>
      </c>
      <c r="AM7" s="245"/>
      <c r="AN7" s="253" t="s">
        <v>565</v>
      </c>
      <c r="AO7" s="253">
        <v>43171492.049999997</v>
      </c>
      <c r="AP7" s="253">
        <v>1697</v>
      </c>
      <c r="AQ7" s="253">
        <v>6</v>
      </c>
      <c r="AR7" s="253">
        <v>24763</v>
      </c>
      <c r="AS7" s="253">
        <v>1</v>
      </c>
      <c r="AT7" s="245"/>
      <c r="AU7" s="253" t="s">
        <v>565</v>
      </c>
      <c r="AV7" s="253">
        <v>0</v>
      </c>
      <c r="AW7" s="253">
        <v>0</v>
      </c>
      <c r="AX7" s="253">
        <v>0</v>
      </c>
      <c r="AY7" s="253">
        <v>863</v>
      </c>
      <c r="AZ7" s="253">
        <v>1</v>
      </c>
      <c r="BA7" s="245"/>
      <c r="BB7" s="253" t="s">
        <v>565</v>
      </c>
      <c r="BC7" s="253">
        <v>37709707.450000003</v>
      </c>
      <c r="BD7" s="253">
        <v>1268</v>
      </c>
      <c r="BE7" s="253">
        <v>10</v>
      </c>
      <c r="BF7" s="253">
        <v>54027</v>
      </c>
      <c r="BG7" s="253">
        <v>1</v>
      </c>
      <c r="BH7" s="247" t="s">
        <v>565</v>
      </c>
      <c r="BI7" s="253">
        <v>0</v>
      </c>
      <c r="BJ7" s="253">
        <v>0</v>
      </c>
      <c r="BK7" s="253">
        <v>0</v>
      </c>
      <c r="BL7" s="253">
        <v>2505</v>
      </c>
      <c r="BM7" s="253">
        <v>1</v>
      </c>
      <c r="BN7" s="253"/>
      <c r="BO7" s="252" t="s">
        <v>471</v>
      </c>
      <c r="BP7" s="264" t="s">
        <v>554</v>
      </c>
      <c r="BQ7" s="264" t="s">
        <v>555</v>
      </c>
      <c r="BR7" s="264" t="s">
        <v>556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2016</v>
      </c>
      <c r="CH7" s="265">
        <v>123</v>
      </c>
      <c r="CI7" s="245"/>
      <c r="CJ7" s="247" t="s">
        <v>631</v>
      </c>
      <c r="CK7" s="247">
        <v>3587171666055</v>
      </c>
      <c r="CL7" s="247"/>
      <c r="CM7" s="247" t="s">
        <v>631</v>
      </c>
      <c r="CN7" s="247">
        <v>9500364242194</v>
      </c>
      <c r="CO7" s="247"/>
      <c r="CP7" s="247" t="s">
        <v>631</v>
      </c>
      <c r="CQ7" s="247">
        <v>244802787059</v>
      </c>
      <c r="CR7" s="245"/>
      <c r="CS7" s="277">
        <v>2017</v>
      </c>
      <c r="CT7" s="275">
        <v>120</v>
      </c>
      <c r="CU7" s="275" t="s">
        <v>650</v>
      </c>
      <c r="CV7" s="275">
        <v>64887648311.22995</v>
      </c>
      <c r="CW7" s="275">
        <v>66705047220</v>
      </c>
      <c r="CX7" s="275">
        <v>16434</v>
      </c>
      <c r="CY7" s="275">
        <v>459797063047.98114</v>
      </c>
      <c r="CZ7" s="275">
        <v>440319750947</v>
      </c>
      <c r="DA7" s="275">
        <v>9053</v>
      </c>
      <c r="DB7" s="275">
        <v>394909414736.74908</v>
      </c>
      <c r="DC7" s="275">
        <v>373614703727</v>
      </c>
      <c r="DD7" s="275">
        <v>7381</v>
      </c>
      <c r="DG7" s="10" t="s">
        <v>661</v>
      </c>
      <c r="DH7" s="366">
        <v>15436018215.360001</v>
      </c>
      <c r="DJ7" s="10" t="s">
        <v>661</v>
      </c>
      <c r="DK7" s="366">
        <v>26687560950.07</v>
      </c>
      <c r="DM7" s="10" t="s">
        <v>661</v>
      </c>
      <c r="DN7" s="366">
        <v>6914967216.3800001</v>
      </c>
    </row>
    <row r="8" spans="1:118" x14ac:dyDescent="0.2">
      <c r="B8" s="188">
        <v>40809206919</v>
      </c>
      <c r="C8" s="188">
        <v>3040922232234.2788</v>
      </c>
      <c r="D8" s="194">
        <v>34204012</v>
      </c>
      <c r="E8" s="209"/>
      <c r="F8" s="211">
        <v>18476</v>
      </c>
      <c r="G8" s="211">
        <v>3184175435</v>
      </c>
      <c r="H8" s="225">
        <v>199605957622.50885</v>
      </c>
      <c r="J8" s="152" t="str">
        <f>K8&amp;L8</f>
        <v>ABuy</v>
      </c>
      <c r="K8" s="234" t="s">
        <v>541</v>
      </c>
      <c r="L8" s="234" t="s">
        <v>542</v>
      </c>
      <c r="M8" s="238">
        <v>198070891408.51324</v>
      </c>
      <c r="O8" s="244">
        <v>538355653491.53998</v>
      </c>
      <c r="P8" s="244">
        <v>-615347787583.26001</v>
      </c>
      <c r="Q8" s="241">
        <v>-76992134091.720001</v>
      </c>
      <c r="S8" s="253" t="s">
        <v>559</v>
      </c>
      <c r="T8" s="258">
        <v>0</v>
      </c>
      <c r="U8" s="258">
        <v>0</v>
      </c>
      <c r="V8" s="258">
        <v>0</v>
      </c>
      <c r="W8" s="258">
        <v>0</v>
      </c>
      <c r="X8" s="258">
        <v>1</v>
      </c>
      <c r="Y8" s="245"/>
      <c r="Z8" s="253" t="s">
        <v>566</v>
      </c>
      <c r="AA8" s="253">
        <v>0</v>
      </c>
      <c r="AB8" s="253">
        <v>0</v>
      </c>
      <c r="AC8" s="253">
        <v>0</v>
      </c>
      <c r="AD8" s="253">
        <v>0</v>
      </c>
      <c r="AE8" s="253">
        <v>1</v>
      </c>
      <c r="AF8" s="253"/>
      <c r="AG8" s="253" t="s">
        <v>566</v>
      </c>
      <c r="AH8" s="253">
        <v>0</v>
      </c>
      <c r="AI8" s="253">
        <v>0</v>
      </c>
      <c r="AJ8" s="253">
        <v>0</v>
      </c>
      <c r="AK8" s="253">
        <v>0</v>
      </c>
      <c r="AL8" s="253">
        <v>1</v>
      </c>
      <c r="AM8" s="245"/>
      <c r="AN8" s="253" t="s">
        <v>566</v>
      </c>
      <c r="AO8" s="253">
        <v>0</v>
      </c>
      <c r="AP8" s="253">
        <v>0</v>
      </c>
      <c r="AQ8" s="253">
        <v>0</v>
      </c>
      <c r="AR8" s="253">
        <v>0</v>
      </c>
      <c r="AS8" s="253">
        <v>1</v>
      </c>
      <c r="AT8" s="245"/>
      <c r="AU8" s="253" t="s">
        <v>566</v>
      </c>
      <c r="AV8" s="253">
        <v>0</v>
      </c>
      <c r="AW8" s="253">
        <v>0</v>
      </c>
      <c r="AX8" s="253">
        <v>0</v>
      </c>
      <c r="AY8" s="253">
        <v>0</v>
      </c>
      <c r="AZ8" s="253">
        <v>1</v>
      </c>
      <c r="BA8" s="245"/>
      <c r="BB8" s="253" t="s">
        <v>567</v>
      </c>
      <c r="BC8" s="253">
        <v>36188605</v>
      </c>
      <c r="BD8" s="253">
        <v>260</v>
      </c>
      <c r="BE8" s="253">
        <v>5</v>
      </c>
      <c r="BF8" s="253">
        <v>540</v>
      </c>
      <c r="BG8" s="253">
        <v>1</v>
      </c>
      <c r="BH8" s="247" t="s">
        <v>567</v>
      </c>
      <c r="BI8" s="253">
        <v>0</v>
      </c>
      <c r="BJ8" s="253">
        <v>0</v>
      </c>
      <c r="BK8" s="253">
        <v>0</v>
      </c>
      <c r="BL8" s="253">
        <v>5</v>
      </c>
      <c r="BM8" s="253">
        <v>1</v>
      </c>
      <c r="BN8" s="253"/>
      <c r="BO8" s="247"/>
      <c r="BP8" s="263">
        <v>3625506141268.5444</v>
      </c>
      <c r="BQ8" s="263">
        <v>247307074</v>
      </c>
      <c r="BR8" s="263">
        <v>1896736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504</v>
      </c>
      <c r="CD8" s="266" t="s">
        <v>628</v>
      </c>
      <c r="CE8" s="266" t="s">
        <v>630</v>
      </c>
      <c r="CF8" s="245"/>
      <c r="CG8" s="245"/>
      <c r="CH8" s="245"/>
      <c r="CI8" s="245"/>
      <c r="CJ8" s="247" t="s">
        <v>632</v>
      </c>
      <c r="CK8" s="247">
        <v>3807273335224.374</v>
      </c>
      <c r="CL8" s="247"/>
      <c r="CM8" s="247" t="s">
        <v>632</v>
      </c>
      <c r="CN8" s="247">
        <v>9292382011555.7324</v>
      </c>
      <c r="CO8" s="247"/>
      <c r="CP8" s="247" t="s">
        <v>632</v>
      </c>
      <c r="CQ8" s="247">
        <v>68129800443.930008</v>
      </c>
      <c r="CR8" s="245"/>
      <c r="CS8" s="277">
        <v>2017</v>
      </c>
      <c r="CT8" s="275">
        <v>23</v>
      </c>
      <c r="CU8" s="275" t="s">
        <v>651</v>
      </c>
      <c r="CV8" s="275">
        <v>-5777948687.3500013</v>
      </c>
      <c r="CW8" s="275">
        <v>-6080688848</v>
      </c>
      <c r="CX8" s="275">
        <v>460</v>
      </c>
      <c r="CY8" s="275">
        <v>16035361273.67</v>
      </c>
      <c r="CZ8" s="275">
        <v>17181327232</v>
      </c>
      <c r="DA8" s="275">
        <v>189</v>
      </c>
      <c r="DB8" s="275">
        <v>21813309961.019993</v>
      </c>
      <c r="DC8" s="275">
        <v>23262016080</v>
      </c>
      <c r="DD8" s="275">
        <v>271</v>
      </c>
    </row>
    <row r="9" spans="1:118" x14ac:dyDescent="0.2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543</v>
      </c>
      <c r="L9" s="234" t="s">
        <v>542</v>
      </c>
      <c r="M9" s="238">
        <v>235606999932.85583</v>
      </c>
      <c r="N9" s="19"/>
      <c r="O9" s="239"/>
      <c r="P9" s="239"/>
      <c r="Q9" s="239"/>
      <c r="S9" s="253" t="s">
        <v>451</v>
      </c>
      <c r="T9" s="258">
        <v>8463415734.3730001</v>
      </c>
      <c r="U9" s="258">
        <v>387540</v>
      </c>
      <c r="V9" s="258">
        <v>271</v>
      </c>
      <c r="W9" s="258">
        <v>301213</v>
      </c>
      <c r="X9" s="258">
        <v>1</v>
      </c>
      <c r="Y9" s="245"/>
      <c r="Z9" s="253" t="s">
        <v>567</v>
      </c>
      <c r="AA9" s="253">
        <v>4404170.0199999996</v>
      </c>
      <c r="AB9" s="253">
        <v>39</v>
      </c>
      <c r="AC9" s="253">
        <v>12</v>
      </c>
      <c r="AD9" s="253">
        <v>260</v>
      </c>
      <c r="AE9" s="253">
        <v>1</v>
      </c>
      <c r="AF9" s="253"/>
      <c r="AG9" s="253" t="s">
        <v>567</v>
      </c>
      <c r="AH9" s="253">
        <v>246920</v>
      </c>
      <c r="AI9" s="253">
        <v>2</v>
      </c>
      <c r="AJ9" s="253">
        <v>1</v>
      </c>
      <c r="AK9" s="253">
        <v>6</v>
      </c>
      <c r="AL9" s="253">
        <v>1</v>
      </c>
      <c r="AM9" s="245"/>
      <c r="AN9" s="253" t="s">
        <v>567</v>
      </c>
      <c r="AO9" s="253">
        <v>549350</v>
      </c>
      <c r="AP9" s="253">
        <v>5</v>
      </c>
      <c r="AQ9" s="253">
        <v>2</v>
      </c>
      <c r="AR9" s="253">
        <v>24</v>
      </c>
      <c r="AS9" s="253">
        <v>1</v>
      </c>
      <c r="AT9" s="245"/>
      <c r="AU9" s="253" t="s">
        <v>567</v>
      </c>
      <c r="AV9" s="253">
        <v>0</v>
      </c>
      <c r="AW9" s="253">
        <v>0</v>
      </c>
      <c r="AX9" s="253">
        <v>0</v>
      </c>
      <c r="AY9" s="253">
        <v>5</v>
      </c>
      <c r="AZ9" s="253">
        <v>1</v>
      </c>
      <c r="BA9" s="245"/>
      <c r="BB9" s="253" t="s">
        <v>568</v>
      </c>
      <c r="BC9" s="253">
        <v>0</v>
      </c>
      <c r="BD9" s="253">
        <v>0</v>
      </c>
      <c r="BE9" s="253">
        <v>0</v>
      </c>
      <c r="BF9" s="253">
        <v>0</v>
      </c>
      <c r="BG9" s="253">
        <v>0</v>
      </c>
      <c r="BH9" s="247" t="s">
        <v>568</v>
      </c>
      <c r="BI9" s="253">
        <v>0</v>
      </c>
      <c r="BJ9" s="253">
        <v>0</v>
      </c>
      <c r="BK9" s="253">
        <v>0</v>
      </c>
      <c r="BL9" s="253">
        <v>0</v>
      </c>
      <c r="BM9" s="253">
        <v>0</v>
      </c>
      <c r="BN9" s="253"/>
      <c r="BO9" s="247"/>
      <c r="BP9" s="247"/>
      <c r="BQ9" s="247"/>
      <c r="BR9" s="247"/>
      <c r="BS9" s="256" t="s">
        <v>499</v>
      </c>
      <c r="BT9" s="266" t="s">
        <v>614</v>
      </c>
      <c r="BU9" s="266" t="s">
        <v>615</v>
      </c>
      <c r="BV9" s="266" t="s">
        <v>616</v>
      </c>
      <c r="BW9" s="266" t="s">
        <v>617</v>
      </c>
      <c r="BX9" s="266" t="s">
        <v>618</v>
      </c>
      <c r="BY9" s="266" t="s">
        <v>619</v>
      </c>
      <c r="BZ9" s="266" t="s">
        <v>620</v>
      </c>
      <c r="CA9" s="266" t="s">
        <v>621</v>
      </c>
      <c r="CB9" s="266" t="s">
        <v>622</v>
      </c>
      <c r="CC9" s="245"/>
      <c r="CD9" s="269">
        <v>284614657885680.31</v>
      </c>
      <c r="CE9" s="272">
        <v>518127358657.17523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">
      <c r="A10" s="148" t="s">
        <v>213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541</v>
      </c>
      <c r="L10" s="234" t="s">
        <v>544</v>
      </c>
      <c r="M10" s="238">
        <v>210621044957.77893</v>
      </c>
      <c r="N10" s="162" t="s">
        <v>213</v>
      </c>
      <c r="O10" s="243" t="s">
        <v>524</v>
      </c>
      <c r="P10" s="243" t="s">
        <v>525</v>
      </c>
      <c r="Q10" s="243" t="s">
        <v>526</v>
      </c>
      <c r="S10" s="253" t="s">
        <v>450</v>
      </c>
      <c r="T10" s="258">
        <v>20155.29</v>
      </c>
      <c r="U10" s="258">
        <v>30940154</v>
      </c>
      <c r="V10" s="258">
        <v>602</v>
      </c>
      <c r="W10" s="258">
        <v>13580366</v>
      </c>
      <c r="X10" s="258">
        <v>1</v>
      </c>
      <c r="Y10" s="245"/>
      <c r="Z10" s="253" t="s">
        <v>568</v>
      </c>
      <c r="AA10" s="253">
        <v>0</v>
      </c>
      <c r="AB10" s="253">
        <v>0</v>
      </c>
      <c r="AC10" s="253">
        <v>0</v>
      </c>
      <c r="AD10" s="253">
        <v>0</v>
      </c>
      <c r="AE10" s="253">
        <v>0</v>
      </c>
      <c r="AF10" s="253"/>
      <c r="AG10" s="253" t="s">
        <v>568</v>
      </c>
      <c r="AH10" s="253">
        <v>0</v>
      </c>
      <c r="AI10" s="253">
        <v>0</v>
      </c>
      <c r="AJ10" s="253">
        <v>0</v>
      </c>
      <c r="AK10" s="253">
        <v>0</v>
      </c>
      <c r="AL10" s="253">
        <v>0</v>
      </c>
      <c r="AM10" s="245"/>
      <c r="AN10" s="253" t="s">
        <v>568</v>
      </c>
      <c r="AO10" s="253">
        <v>0</v>
      </c>
      <c r="AP10" s="253">
        <v>0</v>
      </c>
      <c r="AQ10" s="253">
        <v>0</v>
      </c>
      <c r="AR10" s="253">
        <v>0</v>
      </c>
      <c r="AS10" s="253">
        <v>0</v>
      </c>
      <c r="AT10" s="245"/>
      <c r="AU10" s="253" t="s">
        <v>568</v>
      </c>
      <c r="AV10" s="253">
        <v>0</v>
      </c>
      <c r="AW10" s="253">
        <v>0</v>
      </c>
      <c r="AX10" s="253">
        <v>0</v>
      </c>
      <c r="AY10" s="253">
        <v>0</v>
      </c>
      <c r="AZ10" s="253">
        <v>0</v>
      </c>
      <c r="BA10" s="245"/>
      <c r="BB10" s="253" t="s">
        <v>569</v>
      </c>
      <c r="BC10" s="253">
        <v>562941899.99000001</v>
      </c>
      <c r="BD10" s="253">
        <v>872</v>
      </c>
      <c r="BE10" s="253">
        <v>128</v>
      </c>
      <c r="BF10" s="253">
        <v>4688</v>
      </c>
      <c r="BG10" s="253">
        <v>1</v>
      </c>
      <c r="BH10" s="247" t="s">
        <v>569</v>
      </c>
      <c r="BI10" s="253">
        <v>6210000</v>
      </c>
      <c r="BJ10" s="253">
        <v>10</v>
      </c>
      <c r="BK10" s="253">
        <v>1</v>
      </c>
      <c r="BL10" s="253">
        <v>195</v>
      </c>
      <c r="BM10" s="253">
        <v>1</v>
      </c>
      <c r="BN10" s="253"/>
      <c r="BO10" s="252" t="s">
        <v>472</v>
      </c>
      <c r="BP10" s="264" t="s">
        <v>554</v>
      </c>
      <c r="BQ10" s="264" t="s">
        <v>555</v>
      </c>
      <c r="BR10" s="264" t="s">
        <v>556</v>
      </c>
      <c r="BS10" s="245"/>
      <c r="BT10" s="265" t="s">
        <v>139</v>
      </c>
      <c r="BU10" s="265">
        <v>57</v>
      </c>
      <c r="BV10" s="265">
        <v>4</v>
      </c>
      <c r="BW10" s="265">
        <v>3</v>
      </c>
      <c r="BX10" s="265">
        <v>3</v>
      </c>
      <c r="BY10" s="265">
        <v>0</v>
      </c>
      <c r="BZ10" s="265">
        <v>55</v>
      </c>
      <c r="CA10" s="265">
        <v>42</v>
      </c>
      <c r="CB10" s="265">
        <v>15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543</v>
      </c>
      <c r="L11" s="234" t="s">
        <v>544</v>
      </c>
      <c r="M11" s="238">
        <v>223056846383.59015</v>
      </c>
      <c r="N11" s="156"/>
      <c r="O11" s="344">
        <v>969468452821</v>
      </c>
      <c r="P11" s="344">
        <v>-970485061219</v>
      </c>
      <c r="Q11" s="344">
        <v>-1016608398</v>
      </c>
      <c r="S11" s="253" t="s">
        <v>449</v>
      </c>
      <c r="T11" s="258">
        <v>0</v>
      </c>
      <c r="U11" s="258">
        <v>0</v>
      </c>
      <c r="V11" s="258">
        <v>0</v>
      </c>
      <c r="W11" s="258">
        <v>0</v>
      </c>
      <c r="X11" s="258">
        <v>0</v>
      </c>
      <c r="Y11" s="245"/>
      <c r="Z11" s="253" t="s">
        <v>569</v>
      </c>
      <c r="AA11" s="253">
        <v>245916500.28999999</v>
      </c>
      <c r="AB11" s="253">
        <v>548</v>
      </c>
      <c r="AC11" s="253">
        <v>57</v>
      </c>
      <c r="AD11" s="253">
        <v>3820</v>
      </c>
      <c r="AE11" s="253">
        <v>1</v>
      </c>
      <c r="AF11" s="253"/>
      <c r="AG11" s="253" t="s">
        <v>569</v>
      </c>
      <c r="AH11" s="253">
        <v>9556299.9700000007</v>
      </c>
      <c r="AI11" s="253">
        <v>21</v>
      </c>
      <c r="AJ11" s="253">
        <v>3</v>
      </c>
      <c r="AK11" s="253">
        <v>290</v>
      </c>
      <c r="AL11" s="253">
        <v>1</v>
      </c>
      <c r="AM11" s="245"/>
      <c r="AN11" s="253" t="s">
        <v>569</v>
      </c>
      <c r="AO11" s="253">
        <v>120699066.84</v>
      </c>
      <c r="AP11" s="253">
        <v>251</v>
      </c>
      <c r="AQ11" s="253">
        <v>47</v>
      </c>
      <c r="AR11" s="253">
        <v>2302</v>
      </c>
      <c r="AS11" s="253">
        <v>1</v>
      </c>
      <c r="AT11" s="245"/>
      <c r="AU11" s="253" t="s">
        <v>569</v>
      </c>
      <c r="AV11" s="253">
        <v>8105580</v>
      </c>
      <c r="AW11" s="253">
        <v>18</v>
      </c>
      <c r="AX11" s="253">
        <v>5</v>
      </c>
      <c r="AY11" s="253">
        <v>97</v>
      </c>
      <c r="AZ11" s="253">
        <v>1</v>
      </c>
      <c r="BA11" s="245"/>
      <c r="BB11" s="253" t="s">
        <v>570</v>
      </c>
      <c r="BC11" s="253">
        <v>0</v>
      </c>
      <c r="BD11" s="253">
        <v>0</v>
      </c>
      <c r="BE11" s="253">
        <v>0</v>
      </c>
      <c r="BF11" s="253">
        <v>2780</v>
      </c>
      <c r="BG11" s="253">
        <v>1</v>
      </c>
      <c r="BH11" s="247" t="s">
        <v>570</v>
      </c>
      <c r="BI11" s="253">
        <v>0</v>
      </c>
      <c r="BJ11" s="253">
        <v>0</v>
      </c>
      <c r="BK11" s="253">
        <v>0</v>
      </c>
      <c r="BL11" s="253">
        <v>132</v>
      </c>
      <c r="BM11" s="253">
        <v>1</v>
      </c>
      <c r="BN11" s="253"/>
      <c r="BO11" s="247"/>
      <c r="BP11" s="263">
        <v>21264862831.16</v>
      </c>
      <c r="BQ11" s="263">
        <v>6977747</v>
      </c>
      <c r="BR11" s="263">
        <v>9418</v>
      </c>
      <c r="BS11" s="245"/>
      <c r="BT11" s="265" t="s">
        <v>623</v>
      </c>
      <c r="BU11" s="265">
        <v>2</v>
      </c>
      <c r="BV11" s="265">
        <v>0</v>
      </c>
      <c r="BW11" s="265">
        <v>0</v>
      </c>
      <c r="BX11" s="265">
        <v>0</v>
      </c>
      <c r="BY11" s="265">
        <v>0</v>
      </c>
      <c r="BZ11" s="265">
        <v>2</v>
      </c>
      <c r="CA11" s="265">
        <v>2</v>
      </c>
      <c r="CB11" s="265">
        <v>0</v>
      </c>
      <c r="CC11" s="267" t="s">
        <v>505</v>
      </c>
      <c r="CD11" s="266" t="s">
        <v>628</v>
      </c>
      <c r="CE11" s="266" t="s">
        <v>630</v>
      </c>
      <c r="CF11" s="245"/>
      <c r="CG11" s="245"/>
      <c r="CH11" s="245"/>
      <c r="CI11" s="267" t="s">
        <v>511</v>
      </c>
      <c r="CJ11" s="247" t="s">
        <v>117</v>
      </c>
      <c r="CK11" s="247">
        <v>147655</v>
      </c>
      <c r="CL11" s="267" t="s">
        <v>514</v>
      </c>
      <c r="CM11" s="247" t="s">
        <v>117</v>
      </c>
      <c r="CN11" s="247">
        <v>88808</v>
      </c>
      <c r="CO11" s="267" t="s">
        <v>517</v>
      </c>
      <c r="CP11" s="247" t="s">
        <v>117</v>
      </c>
      <c r="CQ11" s="247">
        <v>2913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447</v>
      </c>
      <c r="T12" s="258">
        <v>291659198.69999999</v>
      </c>
      <c r="U12" s="258">
        <v>945608</v>
      </c>
      <c r="V12" s="258">
        <v>550</v>
      </c>
      <c r="W12" s="258">
        <v>2066142</v>
      </c>
      <c r="X12" s="258">
        <v>0</v>
      </c>
      <c r="Y12" s="245"/>
      <c r="Z12" s="253" t="s">
        <v>570</v>
      </c>
      <c r="AA12" s="253">
        <v>340250</v>
      </c>
      <c r="AB12" s="253">
        <v>4</v>
      </c>
      <c r="AC12" s="253">
        <v>2</v>
      </c>
      <c r="AD12" s="253">
        <v>2777</v>
      </c>
      <c r="AE12" s="253">
        <v>1</v>
      </c>
      <c r="AF12" s="253"/>
      <c r="AG12" s="253" t="s">
        <v>570</v>
      </c>
      <c r="AH12" s="253">
        <v>0</v>
      </c>
      <c r="AI12" s="253">
        <v>0</v>
      </c>
      <c r="AJ12" s="253">
        <v>0</v>
      </c>
      <c r="AK12" s="253">
        <v>127</v>
      </c>
      <c r="AL12" s="253">
        <v>1</v>
      </c>
      <c r="AM12" s="245"/>
      <c r="AN12" s="253" t="s">
        <v>570</v>
      </c>
      <c r="AO12" s="253">
        <v>21734375</v>
      </c>
      <c r="AP12" s="253">
        <v>250</v>
      </c>
      <c r="AQ12" s="253">
        <v>2</v>
      </c>
      <c r="AR12" s="253">
        <v>3014</v>
      </c>
      <c r="AS12" s="253">
        <v>1</v>
      </c>
      <c r="AT12" s="245"/>
      <c r="AU12" s="253" t="s">
        <v>570</v>
      </c>
      <c r="AV12" s="253">
        <v>0</v>
      </c>
      <c r="AW12" s="253">
        <v>0</v>
      </c>
      <c r="AX12" s="253">
        <v>0</v>
      </c>
      <c r="AY12" s="253">
        <v>137</v>
      </c>
      <c r="AZ12" s="253">
        <v>1</v>
      </c>
      <c r="BA12" s="245"/>
      <c r="BB12" s="253" t="s">
        <v>571</v>
      </c>
      <c r="BC12" s="253">
        <v>0</v>
      </c>
      <c r="BD12" s="253">
        <v>0</v>
      </c>
      <c r="BE12" s="253">
        <v>0</v>
      </c>
      <c r="BF12" s="253">
        <v>0</v>
      </c>
      <c r="BG12" s="253">
        <v>0</v>
      </c>
      <c r="BH12" s="247" t="s">
        <v>571</v>
      </c>
      <c r="BI12" s="253">
        <v>0</v>
      </c>
      <c r="BJ12" s="253">
        <v>0</v>
      </c>
      <c r="BK12" s="253">
        <v>0</v>
      </c>
      <c r="BL12" s="253">
        <v>0</v>
      </c>
      <c r="BM12" s="253">
        <v>0</v>
      </c>
      <c r="BN12" s="253"/>
      <c r="BO12" s="247"/>
      <c r="BP12" s="263"/>
      <c r="BQ12" s="263"/>
      <c r="BR12" s="263"/>
      <c r="BS12" s="245"/>
      <c r="BT12" s="265" t="s">
        <v>624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1679891694415868</v>
      </c>
      <c r="CE12" s="272">
        <v>2565611430821.2725</v>
      </c>
      <c r="CF12" s="245"/>
      <c r="CG12" s="245"/>
      <c r="CH12" s="245"/>
      <c r="CI12" s="247"/>
      <c r="CJ12" s="247" t="s">
        <v>631</v>
      </c>
      <c r="CK12" s="247">
        <v>3788618032677</v>
      </c>
      <c r="CL12" s="247"/>
      <c r="CM12" s="247" t="s">
        <v>631</v>
      </c>
      <c r="CN12" s="247">
        <v>10974008775328</v>
      </c>
      <c r="CO12" s="247"/>
      <c r="CP12" s="247" t="s">
        <v>631</v>
      </c>
      <c r="CQ12" s="247">
        <v>359530737627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">
      <c r="A13" s="148" t="s">
        <v>214</v>
      </c>
      <c r="B13" s="189"/>
      <c r="C13" s="189"/>
      <c r="D13" s="189"/>
      <c r="E13" s="221"/>
      <c r="F13" s="221"/>
      <c r="G13" s="221"/>
      <c r="H13" s="221"/>
      <c r="I13" s="153" t="s">
        <v>221</v>
      </c>
      <c r="J13" s="148" t="s">
        <v>220</v>
      </c>
      <c r="K13" s="235" t="s">
        <v>539</v>
      </c>
      <c r="L13" s="235" t="s">
        <v>540</v>
      </c>
      <c r="M13" s="237" t="s">
        <v>537</v>
      </c>
      <c r="N13" s="162" t="s">
        <v>214</v>
      </c>
      <c r="O13" s="243" t="s">
        <v>524</v>
      </c>
      <c r="P13" s="243" t="s">
        <v>525</v>
      </c>
      <c r="Q13" s="243" t="s">
        <v>526</v>
      </c>
      <c r="S13" s="253" t="s">
        <v>448</v>
      </c>
      <c r="T13" s="258">
        <v>14631587.359999999</v>
      </c>
      <c r="U13" s="258">
        <v>1704799</v>
      </c>
      <c r="V13" s="258">
        <v>7688</v>
      </c>
      <c r="W13" s="258">
        <v>929721</v>
      </c>
      <c r="X13" s="258">
        <v>1</v>
      </c>
      <c r="Y13" s="245"/>
      <c r="Z13" s="253" t="s">
        <v>571</v>
      </c>
      <c r="AA13" s="253">
        <v>0</v>
      </c>
      <c r="AB13" s="253">
        <v>0</v>
      </c>
      <c r="AC13" s="253">
        <v>0</v>
      </c>
      <c r="AD13" s="253">
        <v>0</v>
      </c>
      <c r="AE13" s="253">
        <v>0</v>
      </c>
      <c r="AF13" s="253"/>
      <c r="AG13" s="253" t="s">
        <v>571</v>
      </c>
      <c r="AH13" s="253">
        <v>0</v>
      </c>
      <c r="AI13" s="253">
        <v>0</v>
      </c>
      <c r="AJ13" s="253">
        <v>0</v>
      </c>
      <c r="AK13" s="253">
        <v>0</v>
      </c>
      <c r="AL13" s="253">
        <v>0</v>
      </c>
      <c r="AM13" s="245"/>
      <c r="AN13" s="253" t="s">
        <v>571</v>
      </c>
      <c r="AO13" s="253">
        <v>0</v>
      </c>
      <c r="AP13" s="253">
        <v>0</v>
      </c>
      <c r="AQ13" s="253">
        <v>0</v>
      </c>
      <c r="AR13" s="253">
        <v>0</v>
      </c>
      <c r="AS13" s="253">
        <v>0</v>
      </c>
      <c r="AT13" s="245"/>
      <c r="AU13" s="253" t="s">
        <v>571</v>
      </c>
      <c r="AV13" s="253">
        <v>0</v>
      </c>
      <c r="AW13" s="253">
        <v>0</v>
      </c>
      <c r="AX13" s="253">
        <v>0</v>
      </c>
      <c r="AY13" s="253">
        <v>0</v>
      </c>
      <c r="AZ13" s="253">
        <v>0</v>
      </c>
      <c r="BA13" s="245"/>
      <c r="BB13" s="253" t="s">
        <v>572</v>
      </c>
      <c r="BC13" s="253">
        <v>22844620076.369999</v>
      </c>
      <c r="BD13" s="253">
        <v>61739</v>
      </c>
      <c r="BE13" s="253">
        <v>8453</v>
      </c>
      <c r="BF13" s="253">
        <v>353928</v>
      </c>
      <c r="BG13" s="253">
        <v>1</v>
      </c>
      <c r="BH13" s="247" t="s">
        <v>572</v>
      </c>
      <c r="BI13" s="253">
        <v>1524416432.5899999</v>
      </c>
      <c r="BJ13" s="253">
        <v>4302</v>
      </c>
      <c r="BK13" s="253">
        <v>345</v>
      </c>
      <c r="BL13" s="253">
        <v>16278</v>
      </c>
      <c r="BM13" s="253">
        <v>1</v>
      </c>
      <c r="BN13" s="253"/>
      <c r="BO13" s="252" t="s">
        <v>484</v>
      </c>
      <c r="BP13" s="264" t="s">
        <v>557</v>
      </c>
      <c r="BQ13" s="263"/>
      <c r="BR13" s="263"/>
      <c r="BS13" s="245"/>
      <c r="BT13" s="265" t="s">
        <v>625</v>
      </c>
      <c r="BU13" s="265">
        <v>324</v>
      </c>
      <c r="BV13" s="265">
        <v>4</v>
      </c>
      <c r="BW13" s="265">
        <v>8</v>
      </c>
      <c r="BX13" s="265">
        <v>0</v>
      </c>
      <c r="BY13" s="265">
        <v>3</v>
      </c>
      <c r="BZ13" s="265">
        <v>323</v>
      </c>
      <c r="CA13" s="265">
        <v>264</v>
      </c>
      <c r="CB13" s="265">
        <v>60</v>
      </c>
      <c r="CC13" s="245"/>
      <c r="CD13" s="245"/>
      <c r="CE13" s="245"/>
      <c r="CF13" s="245"/>
      <c r="CG13" s="245"/>
      <c r="CH13" s="245"/>
      <c r="CI13" s="247"/>
      <c r="CJ13" s="247" t="s">
        <v>632</v>
      </c>
      <c r="CK13" s="247">
        <v>3862004495672.2383</v>
      </c>
      <c r="CL13" s="247"/>
      <c r="CM13" s="247" t="s">
        <v>632</v>
      </c>
      <c r="CN13" s="247">
        <v>10599084315999.178</v>
      </c>
      <c r="CO13" s="247"/>
      <c r="CP13" s="247" t="s">
        <v>632</v>
      </c>
      <c r="CQ13" s="247">
        <v>175654031468.82001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541</v>
      </c>
      <c r="L14" s="234" t="s">
        <v>542</v>
      </c>
      <c r="M14" s="238">
        <v>214473082134.08499</v>
      </c>
      <c r="N14" s="156"/>
      <c r="O14" s="344">
        <v>784579000000</v>
      </c>
      <c r="P14" s="344">
        <v>-771216000000</v>
      </c>
      <c r="Q14" s="344">
        <v>13363000000</v>
      </c>
      <c r="S14" s="245"/>
      <c r="T14" s="245"/>
      <c r="U14" s="245"/>
      <c r="V14" s="245"/>
      <c r="W14" s="245"/>
      <c r="X14" s="245"/>
      <c r="Y14" s="245"/>
      <c r="Z14" s="253" t="s">
        <v>572</v>
      </c>
      <c r="AA14" s="253">
        <v>15350532483.139999</v>
      </c>
      <c r="AB14" s="253">
        <v>80213</v>
      </c>
      <c r="AC14" s="253">
        <v>8927</v>
      </c>
      <c r="AD14" s="253">
        <v>538129</v>
      </c>
      <c r="AE14" s="253">
        <v>1</v>
      </c>
      <c r="AF14" s="253"/>
      <c r="AG14" s="253" t="s">
        <v>572</v>
      </c>
      <c r="AH14" s="253">
        <v>1377669808.71</v>
      </c>
      <c r="AI14" s="253">
        <v>7307</v>
      </c>
      <c r="AJ14" s="253">
        <v>310</v>
      </c>
      <c r="AK14" s="253">
        <v>29530</v>
      </c>
      <c r="AL14" s="253">
        <v>1</v>
      </c>
      <c r="AM14" s="245"/>
      <c r="AN14" s="253" t="s">
        <v>572</v>
      </c>
      <c r="AO14" s="253">
        <v>9772805717.3400002</v>
      </c>
      <c r="AP14" s="253">
        <v>48859</v>
      </c>
      <c r="AQ14" s="253">
        <v>5743</v>
      </c>
      <c r="AR14" s="253">
        <v>481649</v>
      </c>
      <c r="AS14" s="253">
        <v>1</v>
      </c>
      <c r="AT14" s="245"/>
      <c r="AU14" s="253" t="s">
        <v>572</v>
      </c>
      <c r="AV14" s="253">
        <v>369182964.25999999</v>
      </c>
      <c r="AW14" s="253">
        <v>1915</v>
      </c>
      <c r="AX14" s="253">
        <v>301</v>
      </c>
      <c r="AY14" s="253">
        <v>23472</v>
      </c>
      <c r="AZ14" s="253">
        <v>1</v>
      </c>
      <c r="BA14" s="245"/>
      <c r="BB14" s="253" t="s">
        <v>573</v>
      </c>
      <c r="BC14" s="253">
        <v>0</v>
      </c>
      <c r="BD14" s="253">
        <v>0</v>
      </c>
      <c r="BE14" s="253">
        <v>0</v>
      </c>
      <c r="BF14" s="253">
        <v>0</v>
      </c>
      <c r="BG14" s="253">
        <v>1</v>
      </c>
      <c r="BH14" s="247" t="s">
        <v>573</v>
      </c>
      <c r="BI14" s="253">
        <v>0</v>
      </c>
      <c r="BJ14" s="253">
        <v>0</v>
      </c>
      <c r="BK14" s="253">
        <v>0</v>
      </c>
      <c r="BL14" s="253">
        <v>0</v>
      </c>
      <c r="BM14" s="253">
        <v>1</v>
      </c>
      <c r="BN14" s="253"/>
      <c r="BO14" s="247"/>
      <c r="BP14" s="263">
        <v>43222375</v>
      </c>
      <c r="BQ14" s="263"/>
      <c r="BR14" s="263"/>
      <c r="BS14" s="245"/>
      <c r="BT14" s="265" t="s">
        <v>626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506</v>
      </c>
      <c r="CD14" s="273" t="s">
        <v>628</v>
      </c>
      <c r="CE14" s="273" t="s">
        <v>630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519</v>
      </c>
      <c r="CS14" s="276" t="s">
        <v>652</v>
      </c>
      <c r="CT14" s="275" t="s">
        <v>634</v>
      </c>
      <c r="CU14" s="275" t="s">
        <v>635</v>
      </c>
      <c r="CV14" s="275" t="s">
        <v>636</v>
      </c>
      <c r="CW14" s="275" t="s">
        <v>637</v>
      </c>
      <c r="CX14" s="275" t="s">
        <v>638</v>
      </c>
      <c r="CY14" s="275" t="s">
        <v>639</v>
      </c>
      <c r="CZ14" s="275" t="s">
        <v>640</v>
      </c>
      <c r="DA14" s="275" t="s">
        <v>641</v>
      </c>
      <c r="DB14" s="275" t="s">
        <v>642</v>
      </c>
      <c r="DC14" s="275" t="s">
        <v>643</v>
      </c>
      <c r="DD14" s="275" t="s">
        <v>644</v>
      </c>
    </row>
    <row r="15" spans="1:118" x14ac:dyDescent="0.2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543</v>
      </c>
      <c r="L15" s="234" t="s">
        <v>542</v>
      </c>
      <c r="M15" s="238">
        <v>261746524286.27002</v>
      </c>
      <c r="N15" s="156"/>
      <c r="O15" s="240"/>
      <c r="P15" s="240"/>
      <c r="Q15" s="240"/>
      <c r="R15" s="153" t="s">
        <v>453</v>
      </c>
      <c r="S15" s="254" t="s">
        <v>553</v>
      </c>
      <c r="T15" s="257" t="s">
        <v>554</v>
      </c>
      <c r="U15" s="257" t="s">
        <v>555</v>
      </c>
      <c r="V15" s="257" t="s">
        <v>556</v>
      </c>
      <c r="W15" s="257" t="s">
        <v>557</v>
      </c>
      <c r="X15" s="257" t="s">
        <v>558</v>
      </c>
      <c r="Y15" s="245"/>
      <c r="Z15" s="253" t="s">
        <v>573</v>
      </c>
      <c r="AA15" s="253">
        <v>0</v>
      </c>
      <c r="AB15" s="253">
        <v>0</v>
      </c>
      <c r="AC15" s="253">
        <v>0</v>
      </c>
      <c r="AD15" s="253">
        <v>0</v>
      </c>
      <c r="AE15" s="253">
        <v>1</v>
      </c>
      <c r="AF15" s="253"/>
      <c r="AG15" s="253" t="s">
        <v>573</v>
      </c>
      <c r="AH15" s="253">
        <v>0</v>
      </c>
      <c r="AI15" s="253">
        <v>0</v>
      </c>
      <c r="AJ15" s="253">
        <v>0</v>
      </c>
      <c r="AK15" s="253">
        <v>0</v>
      </c>
      <c r="AL15" s="253">
        <v>1</v>
      </c>
      <c r="AM15" s="245"/>
      <c r="AN15" s="253" t="s">
        <v>573</v>
      </c>
      <c r="AO15" s="253">
        <v>0</v>
      </c>
      <c r="AP15" s="253">
        <v>0</v>
      </c>
      <c r="AQ15" s="253">
        <v>0</v>
      </c>
      <c r="AR15" s="253">
        <v>0</v>
      </c>
      <c r="AS15" s="253">
        <v>1</v>
      </c>
      <c r="AT15" s="245"/>
      <c r="AU15" s="253" t="s">
        <v>573</v>
      </c>
      <c r="AV15" s="253">
        <v>0</v>
      </c>
      <c r="AW15" s="253">
        <v>0</v>
      </c>
      <c r="AX15" s="253">
        <v>0</v>
      </c>
      <c r="AY15" s="253">
        <v>0</v>
      </c>
      <c r="AZ15" s="253">
        <v>1</v>
      </c>
      <c r="BA15" s="245"/>
      <c r="BB15" s="253" t="s">
        <v>574</v>
      </c>
      <c r="BC15" s="253">
        <v>0</v>
      </c>
      <c r="BD15" s="253">
        <v>0</v>
      </c>
      <c r="BE15" s="253">
        <v>0</v>
      </c>
      <c r="BF15" s="253">
        <v>0</v>
      </c>
      <c r="BG15" s="253">
        <v>0</v>
      </c>
      <c r="BH15" s="247" t="s">
        <v>574</v>
      </c>
      <c r="BI15" s="253">
        <v>0</v>
      </c>
      <c r="BJ15" s="253">
        <v>0</v>
      </c>
      <c r="BK15" s="253">
        <v>0</v>
      </c>
      <c r="BL15" s="253">
        <v>0</v>
      </c>
      <c r="BM15" s="253">
        <v>0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1794989038669813.5</v>
      </c>
      <c r="CE15" s="274">
        <v>2988840740669.1958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653</v>
      </c>
      <c r="CT15" s="275">
        <v>27</v>
      </c>
      <c r="CU15" s="275" t="s">
        <v>645</v>
      </c>
      <c r="CV15" s="275">
        <v>0</v>
      </c>
      <c r="CW15" s="275">
        <v>3205463881</v>
      </c>
      <c r="CX15" s="275">
        <v>379</v>
      </c>
      <c r="CY15" s="275">
        <v>0</v>
      </c>
      <c r="CZ15" s="275">
        <v>12554289206</v>
      </c>
      <c r="DA15" s="275">
        <v>211</v>
      </c>
      <c r="DB15" s="275">
        <v>0</v>
      </c>
      <c r="DC15" s="275">
        <v>9348825325</v>
      </c>
      <c r="DD15" s="275">
        <v>168</v>
      </c>
    </row>
    <row r="16" spans="1:118" x14ac:dyDescent="0.2">
      <c r="A16" s="148" t="s">
        <v>215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541</v>
      </c>
      <c r="L16" s="234" t="s">
        <v>544</v>
      </c>
      <c r="M16" s="238">
        <v>211372224259.84998</v>
      </c>
      <c r="N16" s="162" t="s">
        <v>215</v>
      </c>
      <c r="O16" s="243" t="s">
        <v>524</v>
      </c>
      <c r="P16" s="243" t="s">
        <v>525</v>
      </c>
      <c r="Q16" s="243" t="s">
        <v>526</v>
      </c>
      <c r="S16" s="253" t="s">
        <v>449</v>
      </c>
      <c r="T16" s="258">
        <v>16622518.800000001</v>
      </c>
      <c r="U16" s="258">
        <v>17300</v>
      </c>
      <c r="V16" s="258">
        <v>6</v>
      </c>
      <c r="W16" s="258">
        <v>14085372</v>
      </c>
      <c r="X16" s="258">
        <v>1</v>
      </c>
      <c r="Y16" s="245"/>
      <c r="Z16" s="253" t="s">
        <v>574</v>
      </c>
      <c r="AA16" s="253">
        <v>0</v>
      </c>
      <c r="AB16" s="253">
        <v>0</v>
      </c>
      <c r="AC16" s="253">
        <v>0</v>
      </c>
      <c r="AD16" s="253">
        <v>0</v>
      </c>
      <c r="AE16" s="253">
        <v>0</v>
      </c>
      <c r="AF16" s="253"/>
      <c r="AG16" s="253" t="s">
        <v>574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45"/>
      <c r="AN16" s="253" t="s">
        <v>574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574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 t="s">
        <v>609</v>
      </c>
      <c r="BC16" s="253">
        <v>0</v>
      </c>
      <c r="BD16" s="253">
        <v>0</v>
      </c>
      <c r="BE16" s="253">
        <v>0</v>
      </c>
      <c r="BF16" s="253">
        <v>0</v>
      </c>
      <c r="BG16" s="253">
        <v>0</v>
      </c>
      <c r="BH16" s="247" t="s">
        <v>609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485</v>
      </c>
      <c r="BP16" s="264" t="s">
        <v>557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653</v>
      </c>
      <c r="CT16" s="275">
        <v>20</v>
      </c>
      <c r="CU16" s="275" t="s">
        <v>647</v>
      </c>
      <c r="CV16" s="275">
        <v>-6133538888.4599943</v>
      </c>
      <c r="CW16" s="275">
        <v>-1644612000</v>
      </c>
      <c r="CX16" s="275">
        <v>782</v>
      </c>
      <c r="CY16" s="275">
        <v>37729603915.139969</v>
      </c>
      <c r="CZ16" s="275">
        <v>40298000000</v>
      </c>
      <c r="DA16" s="275">
        <v>516</v>
      </c>
      <c r="DB16" s="275">
        <v>43863142803.599983</v>
      </c>
      <c r="DC16" s="275">
        <v>41942612000</v>
      </c>
      <c r="DD16" s="275">
        <v>266</v>
      </c>
    </row>
    <row r="17" spans="1:108" x14ac:dyDescent="0.2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543</v>
      </c>
      <c r="L17" s="234" t="s">
        <v>544</v>
      </c>
      <c r="M17" s="238">
        <v>264847382160.505</v>
      </c>
      <c r="N17" s="156"/>
      <c r="O17" s="344">
        <v>645668000000</v>
      </c>
      <c r="P17" s="344">
        <v>-645833000000</v>
      </c>
      <c r="Q17" s="344">
        <v>-165000000</v>
      </c>
      <c r="S17" s="253" t="s">
        <v>447</v>
      </c>
      <c r="T17" s="258">
        <v>6966082.9199999999</v>
      </c>
      <c r="U17" s="258">
        <v>8783</v>
      </c>
      <c r="V17" s="258">
        <v>22</v>
      </c>
      <c r="W17" s="258">
        <v>2066142</v>
      </c>
      <c r="X17" s="258">
        <v>0</v>
      </c>
      <c r="Y17" s="245"/>
      <c r="Z17" s="253" t="s">
        <v>575</v>
      </c>
      <c r="AA17" s="253">
        <v>0</v>
      </c>
      <c r="AB17" s="253">
        <v>0</v>
      </c>
      <c r="AC17" s="253">
        <v>0</v>
      </c>
      <c r="AD17" s="253">
        <v>0</v>
      </c>
      <c r="AE17" s="253">
        <v>0</v>
      </c>
      <c r="AF17" s="253"/>
      <c r="AG17" s="253" t="s">
        <v>575</v>
      </c>
      <c r="AH17" s="253">
        <v>0</v>
      </c>
      <c r="AI17" s="253">
        <v>0</v>
      </c>
      <c r="AJ17" s="253">
        <v>0</v>
      </c>
      <c r="AK17" s="253">
        <v>0</v>
      </c>
      <c r="AL17" s="253">
        <v>0</v>
      </c>
      <c r="AM17" s="245"/>
      <c r="AN17" s="253" t="s">
        <v>575</v>
      </c>
      <c r="AO17" s="253">
        <v>0</v>
      </c>
      <c r="AP17" s="253">
        <v>0</v>
      </c>
      <c r="AQ17" s="253">
        <v>0</v>
      </c>
      <c r="AR17" s="253">
        <v>0</v>
      </c>
      <c r="AS17" s="253">
        <v>0</v>
      </c>
      <c r="AT17" s="245"/>
      <c r="AU17" s="253" t="s">
        <v>575</v>
      </c>
      <c r="AV17" s="253">
        <v>0</v>
      </c>
      <c r="AW17" s="253">
        <v>0</v>
      </c>
      <c r="AX17" s="253">
        <v>0</v>
      </c>
      <c r="AY17" s="253">
        <v>0</v>
      </c>
      <c r="AZ17" s="253">
        <v>0</v>
      </c>
      <c r="BA17" s="245"/>
      <c r="BB17" s="253" t="s">
        <v>575</v>
      </c>
      <c r="BC17" s="253">
        <v>0</v>
      </c>
      <c r="BD17" s="253">
        <v>0</v>
      </c>
      <c r="BE17" s="253">
        <v>0</v>
      </c>
      <c r="BF17" s="253">
        <v>0</v>
      </c>
      <c r="BG17" s="253">
        <v>0</v>
      </c>
      <c r="BH17" s="247" t="s">
        <v>575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2827390</v>
      </c>
      <c r="BQ17" s="263"/>
      <c r="BR17" s="263"/>
      <c r="BS17" s="256" t="s">
        <v>500</v>
      </c>
      <c r="BT17" s="266" t="s">
        <v>614</v>
      </c>
      <c r="BU17" s="266" t="s">
        <v>615</v>
      </c>
      <c r="BV17" s="266" t="s">
        <v>616</v>
      </c>
      <c r="BW17" s="266" t="s">
        <v>617</v>
      </c>
      <c r="BX17" s="266" t="s">
        <v>618</v>
      </c>
      <c r="BY17" s="266" t="s">
        <v>619</v>
      </c>
      <c r="BZ17" s="266" t="s">
        <v>620</v>
      </c>
      <c r="CA17" s="266" t="s">
        <v>621</v>
      </c>
      <c r="CB17" s="266" t="s">
        <v>622</v>
      </c>
      <c r="CC17" s="358" t="s">
        <v>528</v>
      </c>
      <c r="CD17" s="357" t="s">
        <v>628</v>
      </c>
      <c r="CE17" s="357" t="s">
        <v>630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653</v>
      </c>
      <c r="CT17" s="275">
        <v>20</v>
      </c>
      <c r="CU17" s="275" t="s">
        <v>648</v>
      </c>
      <c r="CV17" s="275">
        <v>4388349206.2300024</v>
      </c>
      <c r="CW17" s="275">
        <v>65612000</v>
      </c>
      <c r="CX17" s="275">
        <v>772</v>
      </c>
      <c r="CY17" s="275">
        <v>41690871617.289978</v>
      </c>
      <c r="CZ17" s="275">
        <v>39916612000</v>
      </c>
      <c r="DA17" s="275">
        <v>260</v>
      </c>
      <c r="DB17" s="275">
        <v>37302522411.060013</v>
      </c>
      <c r="DC17" s="275">
        <v>39851000000</v>
      </c>
      <c r="DD17" s="275">
        <v>512</v>
      </c>
    </row>
    <row r="18" spans="1:108" x14ac:dyDescent="0.2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 t="s">
        <v>451</v>
      </c>
      <c r="T18" s="258">
        <v>0</v>
      </c>
      <c r="U18" s="258">
        <v>0</v>
      </c>
      <c r="V18" s="258">
        <v>0</v>
      </c>
      <c r="W18" s="258">
        <v>237659</v>
      </c>
      <c r="X18" s="258">
        <v>0</v>
      </c>
      <c r="Y18" s="245"/>
      <c r="Z18" s="253" t="s">
        <v>576</v>
      </c>
      <c r="AA18" s="253">
        <v>0</v>
      </c>
      <c r="AB18" s="253">
        <v>0</v>
      </c>
      <c r="AC18" s="253">
        <v>0</v>
      </c>
      <c r="AD18" s="253">
        <v>0</v>
      </c>
      <c r="AE18" s="253">
        <v>0</v>
      </c>
      <c r="AF18" s="253"/>
      <c r="AG18" s="253" t="s">
        <v>576</v>
      </c>
      <c r="AH18" s="253">
        <v>0</v>
      </c>
      <c r="AI18" s="253">
        <v>0</v>
      </c>
      <c r="AJ18" s="253">
        <v>0</v>
      </c>
      <c r="AK18" s="253">
        <v>0</v>
      </c>
      <c r="AL18" s="253">
        <v>0</v>
      </c>
      <c r="AM18" s="245"/>
      <c r="AN18" s="253" t="s">
        <v>576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45"/>
      <c r="AU18" s="253" t="s">
        <v>576</v>
      </c>
      <c r="AV18" s="253">
        <v>0</v>
      </c>
      <c r="AW18" s="253">
        <v>0</v>
      </c>
      <c r="AX18" s="253">
        <v>0</v>
      </c>
      <c r="AY18" s="253">
        <v>0</v>
      </c>
      <c r="AZ18" s="253">
        <v>0</v>
      </c>
      <c r="BA18" s="245"/>
      <c r="BB18" s="253" t="s">
        <v>576</v>
      </c>
      <c r="BC18" s="253">
        <v>0</v>
      </c>
      <c r="BD18" s="253">
        <v>0</v>
      </c>
      <c r="BE18" s="253">
        <v>0</v>
      </c>
      <c r="BF18" s="253">
        <v>0</v>
      </c>
      <c r="BG18" s="253">
        <v>0</v>
      </c>
      <c r="BH18" s="247" t="s">
        <v>576</v>
      </c>
      <c r="BI18" s="253">
        <v>0</v>
      </c>
      <c r="BJ18" s="253">
        <v>0</v>
      </c>
      <c r="BK18" s="253">
        <v>0</v>
      </c>
      <c r="BL18" s="253">
        <v>0</v>
      </c>
      <c r="BM18" s="253">
        <v>0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60</v>
      </c>
      <c r="BV18" s="265">
        <v>2</v>
      </c>
      <c r="BW18" s="265">
        <v>5</v>
      </c>
      <c r="BX18" s="265">
        <v>1</v>
      </c>
      <c r="BY18" s="265">
        <v>0</v>
      </c>
      <c r="BZ18" s="265">
        <v>56</v>
      </c>
      <c r="CA18" s="265">
        <v>43</v>
      </c>
      <c r="CB18" s="265">
        <v>17</v>
      </c>
      <c r="CC18" s="355"/>
      <c r="CD18" s="359">
        <v>13510604513580.264</v>
      </c>
      <c r="CE18" s="360">
        <v>19024278597.850357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653</v>
      </c>
      <c r="CT18" s="275">
        <v>133</v>
      </c>
      <c r="CU18" s="275" t="s">
        <v>649</v>
      </c>
      <c r="CV18" s="275">
        <v>-9474034248.5500011</v>
      </c>
      <c r="CW18" s="275">
        <v>-8547422450</v>
      </c>
      <c r="CX18" s="275">
        <v>865</v>
      </c>
      <c r="CY18" s="275">
        <v>7095803978.5100021</v>
      </c>
      <c r="CZ18" s="275">
        <v>7051599055</v>
      </c>
      <c r="DA18" s="275">
        <v>512</v>
      </c>
      <c r="DB18" s="275">
        <v>16569838227.059998</v>
      </c>
      <c r="DC18" s="275">
        <v>15599021505</v>
      </c>
      <c r="DD18" s="275">
        <v>353</v>
      </c>
    </row>
    <row r="19" spans="1:108" x14ac:dyDescent="0.2">
      <c r="A19" s="148" t="s">
        <v>216</v>
      </c>
      <c r="B19" s="189"/>
      <c r="C19" s="189"/>
      <c r="D19" s="189"/>
      <c r="E19" s="221"/>
      <c r="F19" s="221"/>
      <c r="G19" s="221"/>
      <c r="H19" s="221"/>
      <c r="I19" s="153" t="s">
        <v>222</v>
      </c>
      <c r="J19" s="148" t="s">
        <v>220</v>
      </c>
      <c r="K19" s="235" t="s">
        <v>539</v>
      </c>
      <c r="L19" s="235" t="s">
        <v>540</v>
      </c>
      <c r="M19" s="237" t="s">
        <v>537</v>
      </c>
      <c r="N19" s="162" t="s">
        <v>216</v>
      </c>
      <c r="O19" s="243" t="s">
        <v>524</v>
      </c>
      <c r="P19" s="243" t="s">
        <v>525</v>
      </c>
      <c r="Q19" s="243" t="s">
        <v>526</v>
      </c>
      <c r="S19" s="253" t="s">
        <v>446</v>
      </c>
      <c r="T19" s="258">
        <v>94302786.659999996</v>
      </c>
      <c r="U19" s="258">
        <v>22426</v>
      </c>
      <c r="V19" s="258">
        <v>100</v>
      </c>
      <c r="W19" s="258">
        <v>808972</v>
      </c>
      <c r="X19" s="258">
        <v>0</v>
      </c>
      <c r="Y19" s="245"/>
      <c r="Z19" s="253" t="s">
        <v>577</v>
      </c>
      <c r="AA19" s="253">
        <v>19752889.965</v>
      </c>
      <c r="AB19" s="253">
        <v>175</v>
      </c>
      <c r="AC19" s="253">
        <v>5</v>
      </c>
      <c r="AD19" s="253">
        <v>4053</v>
      </c>
      <c r="AE19" s="253">
        <v>1</v>
      </c>
      <c r="AF19" s="253"/>
      <c r="AG19" s="253" t="s">
        <v>577</v>
      </c>
      <c r="AH19" s="253">
        <v>0</v>
      </c>
      <c r="AI19" s="253">
        <v>0</v>
      </c>
      <c r="AJ19" s="253">
        <v>0</v>
      </c>
      <c r="AK19" s="253">
        <v>275</v>
      </c>
      <c r="AL19" s="253">
        <v>1</v>
      </c>
      <c r="AM19" s="245"/>
      <c r="AN19" s="253" t="s">
        <v>577</v>
      </c>
      <c r="AO19" s="253">
        <v>40672699.961000003</v>
      </c>
      <c r="AP19" s="253">
        <v>405</v>
      </c>
      <c r="AQ19" s="253">
        <v>5</v>
      </c>
      <c r="AR19" s="253">
        <v>5376</v>
      </c>
      <c r="AS19" s="253">
        <v>1</v>
      </c>
      <c r="AT19" s="245"/>
      <c r="AU19" s="253" t="s">
        <v>577</v>
      </c>
      <c r="AV19" s="253">
        <v>0</v>
      </c>
      <c r="AW19" s="253">
        <v>0</v>
      </c>
      <c r="AX19" s="253">
        <v>0</v>
      </c>
      <c r="AY19" s="253">
        <v>100</v>
      </c>
      <c r="AZ19" s="253">
        <v>1</v>
      </c>
      <c r="BA19" s="245"/>
      <c r="BB19" s="253" t="s">
        <v>577</v>
      </c>
      <c r="BC19" s="253">
        <v>39156666.395999998</v>
      </c>
      <c r="BD19" s="253">
        <v>464</v>
      </c>
      <c r="BE19" s="253">
        <v>8</v>
      </c>
      <c r="BF19" s="253">
        <v>5974</v>
      </c>
      <c r="BG19" s="253">
        <v>1</v>
      </c>
      <c r="BH19" s="247" t="s">
        <v>577</v>
      </c>
      <c r="BI19" s="253">
        <v>0</v>
      </c>
      <c r="BJ19" s="253">
        <v>0</v>
      </c>
      <c r="BK19" s="253">
        <v>0</v>
      </c>
      <c r="BL19" s="253">
        <v>158</v>
      </c>
      <c r="BM19" s="253">
        <v>1</v>
      </c>
      <c r="BN19" s="253"/>
      <c r="BO19" s="256" t="s">
        <v>482</v>
      </c>
      <c r="BP19" s="264" t="s">
        <v>537</v>
      </c>
      <c r="BQ19" s="264" t="s">
        <v>555</v>
      </c>
      <c r="BR19" s="264" t="s">
        <v>556</v>
      </c>
      <c r="BS19" s="245"/>
      <c r="BT19" s="265" t="s">
        <v>623</v>
      </c>
      <c r="BU19" s="265">
        <v>2</v>
      </c>
      <c r="BV19" s="265">
        <v>0</v>
      </c>
      <c r="BW19" s="265">
        <v>0</v>
      </c>
      <c r="BX19" s="265">
        <v>0</v>
      </c>
      <c r="BY19" s="265">
        <v>0</v>
      </c>
      <c r="BZ19" s="265">
        <v>2</v>
      </c>
      <c r="CA19" s="265">
        <v>2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653</v>
      </c>
      <c r="CT19" s="275">
        <v>43</v>
      </c>
      <c r="CU19" s="275" t="s">
        <v>650</v>
      </c>
      <c r="CV19" s="275">
        <v>5136645649.6800013</v>
      </c>
      <c r="CW19" s="275">
        <v>6660587594</v>
      </c>
      <c r="CX19" s="275">
        <v>2679</v>
      </c>
      <c r="CY19" s="275">
        <v>79765285921.379959</v>
      </c>
      <c r="CZ19" s="275">
        <v>78344129565</v>
      </c>
      <c r="DA19" s="275">
        <v>1447</v>
      </c>
      <c r="DB19" s="275">
        <v>74628640271.700012</v>
      </c>
      <c r="DC19" s="275">
        <v>71683541971</v>
      </c>
      <c r="DD19" s="275">
        <v>1232</v>
      </c>
    </row>
    <row r="20" spans="1:108" x14ac:dyDescent="0.2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541</v>
      </c>
      <c r="L20" s="234" t="s">
        <v>542</v>
      </c>
      <c r="M20" s="238">
        <v>193465992603.87003</v>
      </c>
      <c r="N20" s="156"/>
      <c r="O20" s="344">
        <v>525050000000</v>
      </c>
      <c r="P20" s="344">
        <v>-528401000000</v>
      </c>
      <c r="Q20" s="344">
        <v>-3351000000</v>
      </c>
      <c r="S20" s="253" t="s">
        <v>559</v>
      </c>
      <c r="T20" s="258">
        <v>0</v>
      </c>
      <c r="U20" s="258">
        <v>0</v>
      </c>
      <c r="V20" s="258">
        <v>0</v>
      </c>
      <c r="W20" s="258">
        <v>0</v>
      </c>
      <c r="X20" s="258">
        <v>1</v>
      </c>
      <c r="Y20" s="245"/>
      <c r="Z20" s="253" t="s">
        <v>578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/>
      <c r="AG20" s="253" t="s">
        <v>578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578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578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 t="s">
        <v>578</v>
      </c>
      <c r="BC20" s="253">
        <v>0</v>
      </c>
      <c r="BD20" s="253">
        <v>0</v>
      </c>
      <c r="BE20" s="253">
        <v>0</v>
      </c>
      <c r="BF20" s="253">
        <v>0</v>
      </c>
      <c r="BG20" s="253">
        <v>0</v>
      </c>
      <c r="BH20" s="247" t="s">
        <v>578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19330245668.419998</v>
      </c>
      <c r="BQ20" s="263">
        <v>177592</v>
      </c>
      <c r="BR20" s="263">
        <v>656</v>
      </c>
      <c r="BS20" s="245"/>
      <c r="BT20" s="265" t="s">
        <v>624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8" t="s">
        <v>527</v>
      </c>
      <c r="CD20" s="357" t="s">
        <v>628</v>
      </c>
      <c r="CE20" s="357" t="s">
        <v>630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653</v>
      </c>
      <c r="CT20" s="275">
        <v>7</v>
      </c>
      <c r="CU20" s="275" t="s">
        <v>651</v>
      </c>
      <c r="CV20" s="275">
        <v>-332249603.65000004</v>
      </c>
      <c r="CW20" s="275">
        <v>-347000000</v>
      </c>
      <c r="CX20" s="275">
        <v>11</v>
      </c>
      <c r="CY20" s="275">
        <v>49013857.800000004</v>
      </c>
      <c r="CZ20" s="275">
        <v>52000000</v>
      </c>
      <c r="DA20" s="275">
        <v>4</v>
      </c>
      <c r="DB20" s="275">
        <v>381263461.44999999</v>
      </c>
      <c r="DC20" s="275">
        <v>399000000</v>
      </c>
      <c r="DD20" s="275">
        <v>7</v>
      </c>
    </row>
    <row r="21" spans="1:108" x14ac:dyDescent="0.2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543</v>
      </c>
      <c r="L21" s="234" t="s">
        <v>542</v>
      </c>
      <c r="M21" s="238">
        <v>215889120833.92999</v>
      </c>
      <c r="O21" s="239"/>
      <c r="P21" s="239"/>
      <c r="Q21" s="239"/>
      <c r="S21" s="253" t="s">
        <v>447</v>
      </c>
      <c r="T21" s="258">
        <v>233279448.80000001</v>
      </c>
      <c r="U21" s="258">
        <v>20758</v>
      </c>
      <c r="V21" s="258">
        <v>145</v>
      </c>
      <c r="W21" s="258">
        <v>1285642</v>
      </c>
      <c r="X21" s="258">
        <v>1</v>
      </c>
      <c r="Y21" s="245"/>
      <c r="Z21" s="253" t="s">
        <v>579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579</v>
      </c>
      <c r="AH21" s="253">
        <v>0</v>
      </c>
      <c r="AI21" s="253">
        <v>0</v>
      </c>
      <c r="AJ21" s="253">
        <v>0</v>
      </c>
      <c r="AK21" s="253">
        <v>0</v>
      </c>
      <c r="AL21" s="253">
        <v>0</v>
      </c>
      <c r="AM21" s="245"/>
      <c r="AN21" s="253" t="s">
        <v>579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579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 t="s">
        <v>579</v>
      </c>
      <c r="BC21" s="253">
        <v>0</v>
      </c>
      <c r="BD21" s="253">
        <v>0</v>
      </c>
      <c r="BE21" s="253">
        <v>0</v>
      </c>
      <c r="BF21" s="253">
        <v>0</v>
      </c>
      <c r="BG21" s="253">
        <v>0</v>
      </c>
      <c r="BH21" s="247" t="s">
        <v>579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625</v>
      </c>
      <c r="BU21" s="265">
        <v>322</v>
      </c>
      <c r="BV21" s="265">
        <v>4</v>
      </c>
      <c r="BW21" s="265">
        <v>10</v>
      </c>
      <c r="BX21" s="265">
        <v>0</v>
      </c>
      <c r="BY21" s="265">
        <v>2</v>
      </c>
      <c r="BZ21" s="265">
        <v>318</v>
      </c>
      <c r="CA21" s="265">
        <v>267</v>
      </c>
      <c r="CB21" s="265">
        <v>55</v>
      </c>
      <c r="CC21" s="355"/>
      <c r="CD21" s="359">
        <v>3502210849678388.5</v>
      </c>
      <c r="CE21" s="360">
        <v>5404384969493.6113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/>
      <c r="CT21" s="275"/>
      <c r="CU21" s="275"/>
      <c r="CV21" s="275"/>
      <c r="CW21" s="275"/>
      <c r="CX21" s="275"/>
      <c r="CY21" s="275"/>
      <c r="CZ21" s="275"/>
      <c r="DA21" s="275"/>
      <c r="DB21" s="275"/>
      <c r="DC21" s="275"/>
      <c r="DD21" s="275"/>
    </row>
    <row r="22" spans="1:108" x14ac:dyDescent="0.2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541</v>
      </c>
      <c r="L22" s="234" t="s">
        <v>544</v>
      </c>
      <c r="M22" s="238">
        <v>205515710180.22</v>
      </c>
      <c r="O22" s="239"/>
      <c r="P22" s="239"/>
      <c r="Q22" s="239"/>
      <c r="S22" s="253" t="s">
        <v>182</v>
      </c>
      <c r="T22" s="258">
        <v>296589.70600000001</v>
      </c>
      <c r="U22" s="258">
        <v>3487</v>
      </c>
      <c r="V22" s="258">
        <v>2</v>
      </c>
      <c r="W22" s="258">
        <v>1920406</v>
      </c>
      <c r="X22" s="258">
        <v>1</v>
      </c>
      <c r="Y22" s="245"/>
      <c r="Z22" s="253" t="s">
        <v>580</v>
      </c>
      <c r="AA22" s="253">
        <v>0</v>
      </c>
      <c r="AB22" s="253">
        <v>0</v>
      </c>
      <c r="AC22" s="253">
        <v>0</v>
      </c>
      <c r="AD22" s="253">
        <v>0</v>
      </c>
      <c r="AE22" s="253">
        <v>0</v>
      </c>
      <c r="AF22" s="253"/>
      <c r="AG22" s="253" t="s">
        <v>580</v>
      </c>
      <c r="AH22" s="253">
        <v>0</v>
      </c>
      <c r="AI22" s="253">
        <v>0</v>
      </c>
      <c r="AJ22" s="253">
        <v>0</v>
      </c>
      <c r="AK22" s="253">
        <v>0</v>
      </c>
      <c r="AL22" s="253">
        <v>0</v>
      </c>
      <c r="AM22" s="245"/>
      <c r="AN22" s="253" t="s">
        <v>580</v>
      </c>
      <c r="AO22" s="253">
        <v>0</v>
      </c>
      <c r="AP22" s="253">
        <v>0</v>
      </c>
      <c r="AQ22" s="253">
        <v>0</v>
      </c>
      <c r="AR22" s="253">
        <v>0</v>
      </c>
      <c r="AS22" s="253">
        <v>0</v>
      </c>
      <c r="AT22" s="245"/>
      <c r="AU22" s="253" t="s">
        <v>580</v>
      </c>
      <c r="AV22" s="253">
        <v>0</v>
      </c>
      <c r="AW22" s="253">
        <v>0</v>
      </c>
      <c r="AX22" s="253">
        <v>0</v>
      </c>
      <c r="AY22" s="253">
        <v>0</v>
      </c>
      <c r="AZ22" s="253">
        <v>0</v>
      </c>
      <c r="BA22" s="245"/>
      <c r="BB22" s="253" t="s">
        <v>580</v>
      </c>
      <c r="BC22" s="253">
        <v>0</v>
      </c>
      <c r="BD22" s="253">
        <v>0</v>
      </c>
      <c r="BE22" s="253">
        <v>0</v>
      </c>
      <c r="BF22" s="253">
        <v>0</v>
      </c>
      <c r="BG22" s="253">
        <v>0</v>
      </c>
      <c r="BH22" s="247" t="s">
        <v>580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483</v>
      </c>
      <c r="BP22" s="264" t="s">
        <v>537</v>
      </c>
      <c r="BQ22" s="264" t="s">
        <v>555</v>
      </c>
      <c r="BR22" s="264" t="s">
        <v>556</v>
      </c>
      <c r="BS22" s="245"/>
      <c r="BT22" s="245" t="s">
        <v>626</v>
      </c>
      <c r="BU22" s="265">
        <v>1</v>
      </c>
      <c r="BV22" s="245">
        <v>0</v>
      </c>
      <c r="BW22" s="245">
        <v>0</v>
      </c>
      <c r="BX22" s="245">
        <v>1</v>
      </c>
      <c r="BY22" s="245">
        <v>0</v>
      </c>
      <c r="BZ22" s="245">
        <v>0</v>
      </c>
      <c r="CA22" s="245">
        <v>1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">
      <c r="A23" s="163" t="s">
        <v>202</v>
      </c>
      <c r="B23" s="191" t="s">
        <v>226</v>
      </c>
      <c r="C23" s="192" t="s">
        <v>227</v>
      </c>
      <c r="D23" s="191" t="s">
        <v>228</v>
      </c>
      <c r="E23" s="224" t="s">
        <v>551</v>
      </c>
      <c r="F23" s="227" t="s">
        <v>444</v>
      </c>
      <c r="G23" s="224" t="s">
        <v>226</v>
      </c>
      <c r="H23" s="224" t="s">
        <v>545</v>
      </c>
      <c r="I23" s="165"/>
      <c r="J23" s="152" t="str">
        <f>K23&amp;L23</f>
        <v>PSell</v>
      </c>
      <c r="K23" s="234" t="s">
        <v>543</v>
      </c>
      <c r="L23" s="234" t="s">
        <v>544</v>
      </c>
      <c r="M23" s="238">
        <v>203839403257.57999</v>
      </c>
      <c r="N23" s="163" t="s">
        <v>445</v>
      </c>
      <c r="O23" s="242" t="s">
        <v>226</v>
      </c>
      <c r="P23" s="242" t="s">
        <v>545</v>
      </c>
      <c r="Q23" s="239"/>
      <c r="S23" s="253" t="s">
        <v>449</v>
      </c>
      <c r="T23" s="258">
        <v>0</v>
      </c>
      <c r="U23" s="258">
        <v>0</v>
      </c>
      <c r="V23" s="258">
        <v>0</v>
      </c>
      <c r="W23" s="258">
        <v>0</v>
      </c>
      <c r="X23" s="258">
        <v>0</v>
      </c>
      <c r="Y23" s="245"/>
      <c r="Z23" s="253" t="s">
        <v>581</v>
      </c>
      <c r="AA23" s="253">
        <v>0</v>
      </c>
      <c r="AB23" s="253">
        <v>0</v>
      </c>
      <c r="AC23" s="253">
        <v>0</v>
      </c>
      <c r="AD23" s="253">
        <v>0</v>
      </c>
      <c r="AE23" s="253">
        <v>0</v>
      </c>
      <c r="AF23" s="253"/>
      <c r="AG23" s="253" t="s">
        <v>582</v>
      </c>
      <c r="AH23" s="253">
        <v>0</v>
      </c>
      <c r="AI23" s="253">
        <v>0</v>
      </c>
      <c r="AJ23" s="253">
        <v>0</v>
      </c>
      <c r="AK23" s="253">
        <v>0</v>
      </c>
      <c r="AL23" s="253">
        <v>0</v>
      </c>
      <c r="AM23" s="245"/>
      <c r="AN23" s="253" t="s">
        <v>581</v>
      </c>
      <c r="AO23" s="253">
        <v>0</v>
      </c>
      <c r="AP23" s="253">
        <v>0</v>
      </c>
      <c r="AQ23" s="253">
        <v>0</v>
      </c>
      <c r="AR23" s="253">
        <v>0</v>
      </c>
      <c r="AS23" s="253">
        <v>0</v>
      </c>
      <c r="AT23" s="245"/>
      <c r="AU23" s="253" t="s">
        <v>581</v>
      </c>
      <c r="AV23" s="253">
        <v>0</v>
      </c>
      <c r="AW23" s="253">
        <v>0</v>
      </c>
      <c r="AX23" s="253">
        <v>0</v>
      </c>
      <c r="AY23" s="253">
        <v>0</v>
      </c>
      <c r="AZ23" s="253">
        <v>0</v>
      </c>
      <c r="BA23" s="245"/>
      <c r="BB23" s="253" t="s">
        <v>582</v>
      </c>
      <c r="BC23" s="253">
        <v>0</v>
      </c>
      <c r="BD23" s="253">
        <v>0</v>
      </c>
      <c r="BE23" s="253">
        <v>0</v>
      </c>
      <c r="BF23" s="253">
        <v>0</v>
      </c>
      <c r="BG23" s="253">
        <v>0</v>
      </c>
      <c r="BH23" s="247" t="s">
        <v>582</v>
      </c>
      <c r="BI23" s="253">
        <v>0</v>
      </c>
      <c r="BJ23" s="253">
        <v>0</v>
      </c>
      <c r="BK23" s="253">
        <v>0</v>
      </c>
      <c r="BL23" s="253">
        <v>0</v>
      </c>
      <c r="BM23" s="253">
        <v>0</v>
      </c>
      <c r="BN23" s="253"/>
      <c r="BO23" s="247"/>
      <c r="BP23" s="263">
        <v>2413422938.1999998</v>
      </c>
      <c r="BQ23" s="263">
        <v>23320</v>
      </c>
      <c r="BR23" s="263">
        <v>67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">
      <c r="B24" s="190" t="s">
        <v>230</v>
      </c>
      <c r="C24" s="193">
        <v>38713</v>
      </c>
      <c r="D24" s="190">
        <v>17296.830000000002</v>
      </c>
      <c r="E24" s="223">
        <v>1</v>
      </c>
      <c r="F24" s="209"/>
      <c r="G24" s="223" t="s">
        <v>271</v>
      </c>
      <c r="H24" s="223">
        <v>9589.4365293299998</v>
      </c>
      <c r="I24" s="164"/>
      <c r="K24" s="231"/>
      <c r="L24" s="228"/>
      <c r="M24" s="228"/>
      <c r="O24" s="241" t="s">
        <v>271</v>
      </c>
      <c r="P24" s="241">
        <v>9954.21438734</v>
      </c>
      <c r="Q24" s="239"/>
      <c r="S24" s="253" t="s">
        <v>446</v>
      </c>
      <c r="T24" s="258">
        <v>11876806908.5338</v>
      </c>
      <c r="U24" s="258">
        <v>38627</v>
      </c>
      <c r="V24" s="258">
        <v>12221</v>
      </c>
      <c r="W24" s="258">
        <v>686611</v>
      </c>
      <c r="X24" s="258">
        <v>1</v>
      </c>
      <c r="Y24" s="245"/>
      <c r="Z24" s="253" t="s">
        <v>582</v>
      </c>
      <c r="AA24" s="253">
        <v>0</v>
      </c>
      <c r="AB24" s="253">
        <v>0</v>
      </c>
      <c r="AC24" s="253">
        <v>0</v>
      </c>
      <c r="AD24" s="253">
        <v>0</v>
      </c>
      <c r="AE24" s="253">
        <v>0</v>
      </c>
      <c r="AF24" s="253"/>
      <c r="AG24" s="253" t="s">
        <v>583</v>
      </c>
      <c r="AH24" s="253">
        <v>9000</v>
      </c>
      <c r="AI24" s="253">
        <v>5</v>
      </c>
      <c r="AJ24" s="253">
        <v>1</v>
      </c>
      <c r="AK24" s="253">
        <v>3234</v>
      </c>
      <c r="AL24" s="253">
        <v>0</v>
      </c>
      <c r="AM24" s="245"/>
      <c r="AN24" s="253" t="s">
        <v>582</v>
      </c>
      <c r="AO24" s="253">
        <v>0</v>
      </c>
      <c r="AP24" s="253">
        <v>0</v>
      </c>
      <c r="AQ24" s="253">
        <v>0</v>
      </c>
      <c r="AR24" s="253">
        <v>0</v>
      </c>
      <c r="AS24" s="253">
        <v>0</v>
      </c>
      <c r="AT24" s="245"/>
      <c r="AU24" s="253" t="s">
        <v>582</v>
      </c>
      <c r="AV24" s="253">
        <v>0</v>
      </c>
      <c r="AW24" s="253">
        <v>0</v>
      </c>
      <c r="AX24" s="253">
        <v>0</v>
      </c>
      <c r="AY24" s="253">
        <v>0</v>
      </c>
      <c r="AZ24" s="253">
        <v>0</v>
      </c>
      <c r="BA24" s="245"/>
      <c r="BB24" s="253" t="s">
        <v>583</v>
      </c>
      <c r="BC24" s="253">
        <v>41435113.460000001</v>
      </c>
      <c r="BD24" s="253">
        <v>3859</v>
      </c>
      <c r="BE24" s="253">
        <v>218</v>
      </c>
      <c r="BF24" s="253">
        <v>62143</v>
      </c>
      <c r="BG24" s="253">
        <v>0</v>
      </c>
      <c r="BH24" s="247" t="s">
        <v>583</v>
      </c>
      <c r="BI24" s="253">
        <v>1468956.6</v>
      </c>
      <c r="BJ24" s="253">
        <v>113</v>
      </c>
      <c r="BK24" s="253">
        <v>4</v>
      </c>
      <c r="BL24" s="253">
        <v>1894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">
      <c r="B25" s="190" t="s">
        <v>231</v>
      </c>
      <c r="C25" s="193">
        <v>38713</v>
      </c>
      <c r="D25" s="190">
        <v>20229.37</v>
      </c>
      <c r="E25" s="223">
        <v>1</v>
      </c>
      <c r="F25" s="209"/>
      <c r="G25" s="223" t="s">
        <v>272</v>
      </c>
      <c r="H25" s="223">
        <v>10047.89675933</v>
      </c>
      <c r="I25" s="164"/>
      <c r="K25" s="231"/>
      <c r="L25" s="228"/>
      <c r="M25" s="228"/>
      <c r="O25" s="241" t="s">
        <v>272</v>
      </c>
      <c r="P25" s="241">
        <v>10492.90874567</v>
      </c>
      <c r="Q25" s="239"/>
      <c r="S25" s="253" t="s">
        <v>451</v>
      </c>
      <c r="T25" s="258">
        <v>677877.83499999996</v>
      </c>
      <c r="U25" s="258">
        <v>7</v>
      </c>
      <c r="V25" s="258">
        <v>3</v>
      </c>
      <c r="W25" s="258">
        <v>301213</v>
      </c>
      <c r="X25" s="258">
        <v>1</v>
      </c>
      <c r="Y25" s="245"/>
      <c r="Z25" s="253" t="s">
        <v>583</v>
      </c>
      <c r="AA25" s="253">
        <v>30687212.780000001</v>
      </c>
      <c r="AB25" s="253">
        <v>3260</v>
      </c>
      <c r="AC25" s="253">
        <v>174</v>
      </c>
      <c r="AD25" s="253">
        <v>103057</v>
      </c>
      <c r="AE25" s="253">
        <v>0</v>
      </c>
      <c r="AF25" s="253"/>
      <c r="AG25" s="253" t="s">
        <v>584</v>
      </c>
      <c r="AH25" s="253">
        <v>139575</v>
      </c>
      <c r="AI25" s="253">
        <v>19</v>
      </c>
      <c r="AJ25" s="253">
        <v>7</v>
      </c>
      <c r="AK25" s="253">
        <v>1320</v>
      </c>
      <c r="AL25" s="253">
        <v>0</v>
      </c>
      <c r="AM25" s="245"/>
      <c r="AN25" s="253" t="s">
        <v>583</v>
      </c>
      <c r="AO25" s="253">
        <v>18723295.280000001</v>
      </c>
      <c r="AP25" s="253">
        <v>3064</v>
      </c>
      <c r="AQ25" s="253">
        <v>143</v>
      </c>
      <c r="AR25" s="253">
        <v>70359</v>
      </c>
      <c r="AS25" s="253">
        <v>0</v>
      </c>
      <c r="AT25" s="245"/>
      <c r="AU25" s="253" t="s">
        <v>583</v>
      </c>
      <c r="AV25" s="253">
        <v>2029373.4</v>
      </c>
      <c r="AW25" s="253">
        <v>242</v>
      </c>
      <c r="AX25" s="253">
        <v>10</v>
      </c>
      <c r="AY25" s="253">
        <v>4256</v>
      </c>
      <c r="AZ25" s="253">
        <v>0</v>
      </c>
      <c r="BA25" s="245"/>
      <c r="BB25" s="253" t="s">
        <v>584</v>
      </c>
      <c r="BC25" s="253">
        <v>8254664.2000000002</v>
      </c>
      <c r="BD25" s="253">
        <v>1747</v>
      </c>
      <c r="BE25" s="253">
        <v>81</v>
      </c>
      <c r="BF25" s="253">
        <v>68066</v>
      </c>
      <c r="BG25" s="253">
        <v>0</v>
      </c>
      <c r="BH25" s="247" t="s">
        <v>584</v>
      </c>
      <c r="BI25" s="253">
        <v>4100</v>
      </c>
      <c r="BJ25" s="253">
        <v>2</v>
      </c>
      <c r="BK25" s="253">
        <v>2</v>
      </c>
      <c r="BL25" s="253">
        <v>2762</v>
      </c>
      <c r="BM25" s="253">
        <v>0</v>
      </c>
      <c r="BN25" s="253"/>
      <c r="BO25" s="256" t="s">
        <v>486</v>
      </c>
      <c r="BP25" s="264" t="s">
        <v>557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">
      <c r="B26" s="190" t="s">
        <v>232</v>
      </c>
      <c r="C26" s="193">
        <v>38628</v>
      </c>
      <c r="D26" s="190">
        <v>10207.67</v>
      </c>
      <c r="E26" s="223">
        <v>1</v>
      </c>
      <c r="F26" s="209"/>
      <c r="G26" s="223" t="s">
        <v>273</v>
      </c>
      <c r="H26" s="223">
        <v>18943.0455836</v>
      </c>
      <c r="I26" s="164"/>
      <c r="J26" s="157"/>
      <c r="K26" s="232"/>
      <c r="L26" s="228"/>
      <c r="M26" s="228"/>
      <c r="O26" s="241" t="s">
        <v>273</v>
      </c>
      <c r="P26" s="241">
        <v>20258.963880790001</v>
      </c>
      <c r="Q26" s="239"/>
      <c r="S26" s="253" t="s">
        <v>450</v>
      </c>
      <c r="T26" s="258">
        <v>0</v>
      </c>
      <c r="U26" s="258">
        <v>15275</v>
      </c>
      <c r="V26" s="258">
        <v>6</v>
      </c>
      <c r="W26" s="258">
        <v>13580366</v>
      </c>
      <c r="X26" s="258">
        <v>1</v>
      </c>
      <c r="Y26" s="245"/>
      <c r="Z26" s="253" t="s">
        <v>584</v>
      </c>
      <c r="AA26" s="253">
        <v>9853132</v>
      </c>
      <c r="AB26" s="253">
        <v>1219</v>
      </c>
      <c r="AC26" s="253">
        <v>44</v>
      </c>
      <c r="AD26" s="253">
        <v>13286</v>
      </c>
      <c r="AE26" s="253">
        <v>0</v>
      </c>
      <c r="AF26" s="253"/>
      <c r="AG26" s="253" t="s">
        <v>585</v>
      </c>
      <c r="AH26" s="253">
        <v>1640585959.77</v>
      </c>
      <c r="AI26" s="253">
        <v>9175</v>
      </c>
      <c r="AJ26" s="253">
        <v>1108</v>
      </c>
      <c r="AK26" s="253">
        <v>37422</v>
      </c>
      <c r="AL26" s="253">
        <v>1</v>
      </c>
      <c r="AM26" s="245"/>
      <c r="AN26" s="253" t="s">
        <v>584</v>
      </c>
      <c r="AO26" s="253">
        <v>802663</v>
      </c>
      <c r="AP26" s="253">
        <v>82</v>
      </c>
      <c r="AQ26" s="253">
        <v>14</v>
      </c>
      <c r="AR26" s="253">
        <v>2151</v>
      </c>
      <c r="AS26" s="253">
        <v>0</v>
      </c>
      <c r="AT26" s="245"/>
      <c r="AU26" s="253" t="s">
        <v>584</v>
      </c>
      <c r="AV26" s="253">
        <v>0</v>
      </c>
      <c r="AW26" s="253">
        <v>0</v>
      </c>
      <c r="AX26" s="253">
        <v>0</v>
      </c>
      <c r="AY26" s="253">
        <v>139</v>
      </c>
      <c r="AZ26" s="253">
        <v>0</v>
      </c>
      <c r="BA26" s="245"/>
      <c r="BB26" s="253" t="s">
        <v>585</v>
      </c>
      <c r="BC26" s="253">
        <v>50761169489.119987</v>
      </c>
      <c r="BD26" s="253">
        <v>105974</v>
      </c>
      <c r="BE26" s="253">
        <v>16588</v>
      </c>
      <c r="BF26" s="253">
        <v>559658</v>
      </c>
      <c r="BG26" s="253">
        <v>1</v>
      </c>
      <c r="BH26" s="247" t="s">
        <v>585</v>
      </c>
      <c r="BI26" s="253">
        <v>2752113361.0100002</v>
      </c>
      <c r="BJ26" s="253">
        <v>5873</v>
      </c>
      <c r="BK26" s="253">
        <v>554</v>
      </c>
      <c r="BL26" s="253">
        <v>22830</v>
      </c>
      <c r="BM26" s="253">
        <v>1</v>
      </c>
      <c r="BN26" s="253"/>
      <c r="BO26" s="247"/>
      <c r="BP26" s="263">
        <v>873037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">
      <c r="B27" s="190" t="s">
        <v>233</v>
      </c>
      <c r="C27" s="193">
        <v>38713</v>
      </c>
      <c r="D27" s="190">
        <v>17257.37</v>
      </c>
      <c r="E27" s="223">
        <v>1</v>
      </c>
      <c r="F27" s="209"/>
      <c r="G27" s="223" t="s">
        <v>274</v>
      </c>
      <c r="H27" s="223">
        <v>2821.4188543599998</v>
      </c>
      <c r="I27" s="164"/>
      <c r="J27" s="157"/>
      <c r="K27" s="231"/>
      <c r="L27" s="228"/>
      <c r="M27" s="228"/>
      <c r="O27" s="241" t="s">
        <v>274</v>
      </c>
      <c r="P27" s="241">
        <v>2907.16791195</v>
      </c>
      <c r="Q27" s="239"/>
      <c r="S27" s="253" t="s">
        <v>448</v>
      </c>
      <c r="T27" s="258">
        <v>0</v>
      </c>
      <c r="U27" s="258">
        <v>8312</v>
      </c>
      <c r="V27" s="258">
        <v>136</v>
      </c>
      <c r="W27" s="258">
        <v>929721</v>
      </c>
      <c r="X27" s="258">
        <v>1</v>
      </c>
      <c r="Y27" s="245"/>
      <c r="Z27" s="253" t="s">
        <v>585</v>
      </c>
      <c r="AA27" s="253">
        <v>18972616378.189999</v>
      </c>
      <c r="AB27" s="253">
        <v>105902</v>
      </c>
      <c r="AC27" s="253">
        <v>16218</v>
      </c>
      <c r="AD27" s="253">
        <v>699753</v>
      </c>
      <c r="AE27" s="253">
        <v>1</v>
      </c>
      <c r="AF27" s="253"/>
      <c r="AG27" s="253" t="s">
        <v>586</v>
      </c>
      <c r="AH27" s="253">
        <v>0</v>
      </c>
      <c r="AI27" s="253">
        <v>0</v>
      </c>
      <c r="AJ27" s="253">
        <v>0</v>
      </c>
      <c r="AK27" s="253">
        <v>0</v>
      </c>
      <c r="AL27" s="253">
        <v>0</v>
      </c>
      <c r="AM27" s="245"/>
      <c r="AN27" s="253" t="s">
        <v>585</v>
      </c>
      <c r="AO27" s="253">
        <v>11215195590.93</v>
      </c>
      <c r="AP27" s="253">
        <v>59958</v>
      </c>
      <c r="AQ27" s="253">
        <v>10143</v>
      </c>
      <c r="AR27" s="253">
        <v>568297</v>
      </c>
      <c r="AS27" s="253">
        <v>1</v>
      </c>
      <c r="AT27" s="245"/>
      <c r="AU27" s="253" t="s">
        <v>585</v>
      </c>
      <c r="AV27" s="253">
        <v>652970811.87</v>
      </c>
      <c r="AW27" s="253">
        <v>3584</v>
      </c>
      <c r="AX27" s="253">
        <v>500</v>
      </c>
      <c r="AY27" s="253">
        <v>28880</v>
      </c>
      <c r="AZ27" s="253">
        <v>1</v>
      </c>
      <c r="BA27" s="245"/>
      <c r="BB27" s="253" t="s">
        <v>586</v>
      </c>
      <c r="BC27" s="253">
        <v>0</v>
      </c>
      <c r="BD27" s="253">
        <v>0</v>
      </c>
      <c r="BE27" s="253">
        <v>0</v>
      </c>
      <c r="BF27" s="253">
        <v>0</v>
      </c>
      <c r="BG27" s="253">
        <v>0</v>
      </c>
      <c r="BH27" s="247" t="s">
        <v>586</v>
      </c>
      <c r="BI27" s="253">
        <v>0</v>
      </c>
      <c r="BJ27" s="253">
        <v>0</v>
      </c>
      <c r="BK27" s="253">
        <v>0</v>
      </c>
      <c r="BL27" s="253">
        <v>0</v>
      </c>
      <c r="BM27" s="253">
        <v>0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520</v>
      </c>
      <c r="CS27" s="276" t="s">
        <v>633</v>
      </c>
      <c r="CT27" s="275" t="s">
        <v>634</v>
      </c>
      <c r="CU27" s="275" t="s">
        <v>635</v>
      </c>
      <c r="CV27" s="275" t="s">
        <v>636</v>
      </c>
      <c r="CW27" s="275" t="s">
        <v>637</v>
      </c>
      <c r="CX27" s="275" t="s">
        <v>638</v>
      </c>
      <c r="CY27" s="275" t="s">
        <v>639</v>
      </c>
      <c r="CZ27" s="275" t="s">
        <v>640</v>
      </c>
      <c r="DA27" s="275" t="s">
        <v>641</v>
      </c>
      <c r="DB27" s="275" t="s">
        <v>642</v>
      </c>
      <c r="DC27" s="275" t="s">
        <v>643</v>
      </c>
      <c r="DD27" s="275" t="s">
        <v>644</v>
      </c>
    </row>
    <row r="28" spans="1:108" ht="15" x14ac:dyDescent="0.25">
      <c r="B28" s="190" t="s">
        <v>234</v>
      </c>
      <c r="C28" s="193">
        <v>38716</v>
      </c>
      <c r="D28" s="190">
        <v>10070.700000000001</v>
      </c>
      <c r="E28" s="223">
        <v>1</v>
      </c>
      <c r="F28" s="209"/>
      <c r="G28" s="223" t="s">
        <v>275</v>
      </c>
      <c r="H28" s="223">
        <v>3128.2034307200001</v>
      </c>
      <c r="I28" s="164"/>
      <c r="J28" s="157"/>
      <c r="K28" s="231"/>
      <c r="L28" s="233"/>
      <c r="M28" s="236"/>
      <c r="O28" s="241" t="s">
        <v>275</v>
      </c>
      <c r="P28" s="241">
        <v>3233.1685286100001</v>
      </c>
      <c r="Q28" s="239"/>
      <c r="S28" s="245"/>
      <c r="T28" s="245"/>
      <c r="U28" s="245"/>
      <c r="V28" s="245"/>
      <c r="W28" s="245"/>
      <c r="X28" s="245"/>
      <c r="Y28" s="245"/>
      <c r="Z28" s="253" t="s">
        <v>586</v>
      </c>
      <c r="AA28" s="253">
        <v>0</v>
      </c>
      <c r="AB28" s="253">
        <v>0</v>
      </c>
      <c r="AC28" s="253">
        <v>0</v>
      </c>
      <c r="AD28" s="253">
        <v>0</v>
      </c>
      <c r="AE28" s="253">
        <v>0</v>
      </c>
      <c r="AF28" s="253"/>
      <c r="AG28" s="253" t="s">
        <v>587</v>
      </c>
      <c r="AH28" s="253">
        <v>0</v>
      </c>
      <c r="AI28" s="253">
        <v>0</v>
      </c>
      <c r="AJ28" s="253">
        <v>0</v>
      </c>
      <c r="AK28" s="253">
        <v>0</v>
      </c>
      <c r="AL28" s="253">
        <v>0</v>
      </c>
      <c r="AM28" s="245"/>
      <c r="AN28" s="253" t="s">
        <v>586</v>
      </c>
      <c r="AO28" s="253">
        <v>0</v>
      </c>
      <c r="AP28" s="253">
        <v>0</v>
      </c>
      <c r="AQ28" s="253">
        <v>0</v>
      </c>
      <c r="AR28" s="253">
        <v>0</v>
      </c>
      <c r="AS28" s="253">
        <v>0</v>
      </c>
      <c r="AT28" s="245"/>
      <c r="AU28" s="253" t="s">
        <v>586</v>
      </c>
      <c r="AV28" s="253">
        <v>0</v>
      </c>
      <c r="AW28" s="253">
        <v>0</v>
      </c>
      <c r="AX28" s="253">
        <v>0</v>
      </c>
      <c r="AY28" s="253">
        <v>0</v>
      </c>
      <c r="AZ28" s="253">
        <v>0</v>
      </c>
      <c r="BA28" s="245"/>
      <c r="BB28" s="253" t="s">
        <v>588</v>
      </c>
      <c r="BC28" s="253">
        <v>0</v>
      </c>
      <c r="BD28" s="253">
        <v>0</v>
      </c>
      <c r="BE28" s="253">
        <v>0</v>
      </c>
      <c r="BF28" s="253">
        <v>0</v>
      </c>
      <c r="BG28" s="253">
        <v>0</v>
      </c>
      <c r="BH28" s="247" t="s">
        <v>588</v>
      </c>
      <c r="BI28" s="253">
        <v>0</v>
      </c>
      <c r="BJ28" s="253">
        <v>0</v>
      </c>
      <c r="BK28" s="253">
        <v>0</v>
      </c>
      <c r="BL28" s="253">
        <v>0</v>
      </c>
      <c r="BM28" s="253">
        <v>0</v>
      </c>
      <c r="BN28" s="253"/>
      <c r="BO28" s="256" t="s">
        <v>487</v>
      </c>
      <c r="BP28" s="264" t="s">
        <v>557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2016</v>
      </c>
      <c r="CT28" s="275">
        <v>28</v>
      </c>
      <c r="CU28" s="275" t="s">
        <v>645</v>
      </c>
      <c r="CV28" s="275">
        <v>0</v>
      </c>
      <c r="CW28" s="275">
        <v>-5551149291</v>
      </c>
      <c r="CX28" s="275">
        <v>591</v>
      </c>
      <c r="CY28" s="275">
        <v>0</v>
      </c>
      <c r="CZ28" s="275">
        <v>39407357964</v>
      </c>
      <c r="DA28" s="275">
        <v>314</v>
      </c>
      <c r="DB28" s="275">
        <v>0</v>
      </c>
      <c r="DC28" s="275">
        <v>44958507255</v>
      </c>
      <c r="DD28" s="275">
        <v>277</v>
      </c>
    </row>
    <row r="29" spans="1:108" x14ac:dyDescent="0.2">
      <c r="B29" s="190" t="s">
        <v>235</v>
      </c>
      <c r="C29" s="193">
        <v>38677</v>
      </c>
      <c r="D29" s="190">
        <v>28766.959999999999</v>
      </c>
      <c r="E29" s="223">
        <v>1</v>
      </c>
      <c r="F29" s="209"/>
      <c r="G29" s="223" t="s">
        <v>93</v>
      </c>
      <c r="H29" s="223">
        <v>3192.7509002299998</v>
      </c>
      <c r="I29" s="164"/>
      <c r="J29" s="157"/>
      <c r="K29" s="231"/>
      <c r="L29" s="228"/>
      <c r="M29" s="228"/>
      <c r="O29" s="241" t="s">
        <v>93</v>
      </c>
      <c r="P29" s="241">
        <v>3288.2192319199999</v>
      </c>
      <c r="Q29" s="239"/>
      <c r="S29" s="245"/>
      <c r="T29" s="245"/>
      <c r="U29" s="245"/>
      <c r="V29" s="245"/>
      <c r="W29" s="245"/>
      <c r="X29" s="245"/>
      <c r="Y29" s="245"/>
      <c r="Z29" s="253" t="s">
        <v>587</v>
      </c>
      <c r="AA29" s="253">
        <v>0</v>
      </c>
      <c r="AB29" s="253">
        <v>0</v>
      </c>
      <c r="AC29" s="253">
        <v>0</v>
      </c>
      <c r="AD29" s="253">
        <v>0</v>
      </c>
      <c r="AE29" s="253">
        <v>0</v>
      </c>
      <c r="AF29" s="253"/>
      <c r="AG29" s="253" t="s">
        <v>588</v>
      </c>
      <c r="AH29" s="253">
        <v>0</v>
      </c>
      <c r="AI29" s="253">
        <v>0</v>
      </c>
      <c r="AJ29" s="253">
        <v>0</v>
      </c>
      <c r="AK29" s="253">
        <v>0</v>
      </c>
      <c r="AL29" s="253">
        <v>0</v>
      </c>
      <c r="AM29" s="245"/>
      <c r="AN29" s="253" t="s">
        <v>587</v>
      </c>
      <c r="AO29" s="253">
        <v>0</v>
      </c>
      <c r="AP29" s="253">
        <v>0</v>
      </c>
      <c r="AQ29" s="253">
        <v>0</v>
      </c>
      <c r="AR29" s="253">
        <v>0</v>
      </c>
      <c r="AS29" s="253">
        <v>0</v>
      </c>
      <c r="AT29" s="245"/>
      <c r="AU29" s="253" t="s">
        <v>587</v>
      </c>
      <c r="AV29" s="253">
        <v>0</v>
      </c>
      <c r="AW29" s="253">
        <v>0</v>
      </c>
      <c r="AX29" s="253">
        <v>0</v>
      </c>
      <c r="AY29" s="253">
        <v>0</v>
      </c>
      <c r="AZ29" s="253">
        <v>0</v>
      </c>
      <c r="BA29" s="245"/>
      <c r="BB29" s="253" t="s">
        <v>589</v>
      </c>
      <c r="BC29" s="253">
        <v>12338820</v>
      </c>
      <c r="BD29" s="253">
        <v>33</v>
      </c>
      <c r="BE29" s="253">
        <v>23</v>
      </c>
      <c r="BF29" s="253">
        <v>375</v>
      </c>
      <c r="BG29" s="253">
        <v>1</v>
      </c>
      <c r="BH29" s="247" t="s">
        <v>589</v>
      </c>
      <c r="BI29" s="253">
        <v>0</v>
      </c>
      <c r="BJ29" s="253">
        <v>0</v>
      </c>
      <c r="BK29" s="253">
        <v>0</v>
      </c>
      <c r="BL29" s="253">
        <v>11</v>
      </c>
      <c r="BM29" s="253">
        <v>1</v>
      </c>
      <c r="BN29" s="253"/>
      <c r="BO29" s="247"/>
      <c r="BP29" s="263">
        <v>44365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2016</v>
      </c>
      <c r="CT29" s="275">
        <v>2</v>
      </c>
      <c r="CU29" s="275" t="s">
        <v>646</v>
      </c>
      <c r="CV29" s="275">
        <v>16106989.25</v>
      </c>
      <c r="CW29" s="275">
        <v>-1670000</v>
      </c>
      <c r="CX29" s="275">
        <v>2</v>
      </c>
      <c r="CY29" s="275">
        <v>34282135.25</v>
      </c>
      <c r="CZ29" s="275">
        <v>18330000</v>
      </c>
      <c r="DA29" s="275">
        <v>1</v>
      </c>
      <c r="DB29" s="275">
        <v>18175146</v>
      </c>
      <c r="DC29" s="275">
        <v>20000000</v>
      </c>
      <c r="DD29" s="275">
        <v>1</v>
      </c>
    </row>
    <row r="30" spans="1:108" x14ac:dyDescent="0.2">
      <c r="B30" s="190" t="s">
        <v>236</v>
      </c>
      <c r="C30" s="193">
        <v>37432</v>
      </c>
      <c r="D30" s="190">
        <v>30613.119999999999</v>
      </c>
      <c r="E30" s="223">
        <v>1</v>
      </c>
      <c r="F30" s="209"/>
      <c r="G30" s="223" t="s">
        <v>63</v>
      </c>
      <c r="H30" s="223">
        <v>1207.8667176700001</v>
      </c>
      <c r="I30" s="164"/>
      <c r="J30" s="157"/>
      <c r="K30" s="231"/>
      <c r="L30" s="228"/>
      <c r="M30" s="228"/>
      <c r="O30" s="241" t="s">
        <v>63</v>
      </c>
      <c r="P30" s="241">
        <v>1334.58597934</v>
      </c>
      <c r="Q30" s="239"/>
      <c r="R30" s="153" t="s">
        <v>454</v>
      </c>
      <c r="S30" s="254" t="s">
        <v>553</v>
      </c>
      <c r="T30" s="257" t="s">
        <v>554</v>
      </c>
      <c r="U30" s="257" t="s">
        <v>555</v>
      </c>
      <c r="V30" s="257" t="s">
        <v>556</v>
      </c>
      <c r="W30" s="257" t="s">
        <v>557</v>
      </c>
      <c r="X30" s="257" t="s">
        <v>558</v>
      </c>
      <c r="Y30" s="245"/>
      <c r="Z30" s="253" t="s">
        <v>588</v>
      </c>
      <c r="AA30" s="253">
        <v>0</v>
      </c>
      <c r="AB30" s="253">
        <v>0</v>
      </c>
      <c r="AC30" s="253">
        <v>0</v>
      </c>
      <c r="AD30" s="253">
        <v>0</v>
      </c>
      <c r="AE30" s="253">
        <v>0</v>
      </c>
      <c r="AF30" s="253"/>
      <c r="AG30" s="253" t="s">
        <v>589</v>
      </c>
      <c r="AH30" s="253">
        <v>0</v>
      </c>
      <c r="AI30" s="253">
        <v>0</v>
      </c>
      <c r="AJ30" s="253">
        <v>0</v>
      </c>
      <c r="AK30" s="253">
        <v>16</v>
      </c>
      <c r="AL30" s="253">
        <v>1</v>
      </c>
      <c r="AM30" s="245"/>
      <c r="AN30" s="253" t="s">
        <v>588</v>
      </c>
      <c r="AO30" s="253">
        <v>0</v>
      </c>
      <c r="AP30" s="253">
        <v>0</v>
      </c>
      <c r="AQ30" s="253">
        <v>0</v>
      </c>
      <c r="AR30" s="253">
        <v>0</v>
      </c>
      <c r="AS30" s="253">
        <v>0</v>
      </c>
      <c r="AT30" s="245"/>
      <c r="AU30" s="253" t="s">
        <v>588</v>
      </c>
      <c r="AV30" s="253">
        <v>0</v>
      </c>
      <c r="AW30" s="253">
        <v>0</v>
      </c>
      <c r="AX30" s="253">
        <v>0</v>
      </c>
      <c r="AY30" s="253">
        <v>0</v>
      </c>
      <c r="AZ30" s="253">
        <v>0</v>
      </c>
      <c r="BA30" s="245"/>
      <c r="BB30" s="253" t="s">
        <v>590</v>
      </c>
      <c r="BC30" s="253">
        <v>0</v>
      </c>
      <c r="BD30" s="253">
        <v>0</v>
      </c>
      <c r="BE30" s="253">
        <v>0</v>
      </c>
      <c r="BF30" s="253">
        <v>0</v>
      </c>
      <c r="BG30" s="253">
        <v>0</v>
      </c>
      <c r="BH30" s="247" t="s">
        <v>590</v>
      </c>
      <c r="BI30" s="253">
        <v>0</v>
      </c>
      <c r="BJ30" s="253">
        <v>0</v>
      </c>
      <c r="BK30" s="253">
        <v>0</v>
      </c>
      <c r="BL30" s="253">
        <v>0</v>
      </c>
      <c r="BM30" s="253">
        <v>0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2016</v>
      </c>
      <c r="CT30" s="275">
        <v>26</v>
      </c>
      <c r="CU30" s="275" t="s">
        <v>647</v>
      </c>
      <c r="CV30" s="275">
        <v>-10197573787.829975</v>
      </c>
      <c r="CW30" s="275">
        <v>-8845885300</v>
      </c>
      <c r="CX30" s="275">
        <v>4779</v>
      </c>
      <c r="CY30" s="275">
        <v>342867530512.67975</v>
      </c>
      <c r="CZ30" s="275">
        <v>362029472000</v>
      </c>
      <c r="DA30" s="275">
        <v>2580</v>
      </c>
      <c r="DB30" s="275">
        <v>353065104300.50977</v>
      </c>
      <c r="DC30" s="275">
        <v>370875357300</v>
      </c>
      <c r="DD30" s="275">
        <v>2199</v>
      </c>
    </row>
    <row r="31" spans="1:108" x14ac:dyDescent="0.2">
      <c r="B31" s="190" t="s">
        <v>237</v>
      </c>
      <c r="C31" s="193">
        <v>38425</v>
      </c>
      <c r="D31" s="190">
        <v>14581.36</v>
      </c>
      <c r="E31" s="223">
        <v>1</v>
      </c>
      <c r="F31" s="214"/>
      <c r="G31" s="223" t="s">
        <v>276</v>
      </c>
      <c r="H31" s="223">
        <v>11756.83464974</v>
      </c>
      <c r="I31" s="164"/>
      <c r="J31" s="158"/>
      <c r="K31" s="229"/>
      <c r="L31" s="228"/>
      <c r="M31" s="228"/>
      <c r="O31" s="241" t="s">
        <v>276</v>
      </c>
      <c r="P31" s="241">
        <v>12905.970423569999</v>
      </c>
      <c r="Q31" s="239"/>
      <c r="R31" s="157"/>
      <c r="S31" s="253" t="s">
        <v>449</v>
      </c>
      <c r="T31" s="258">
        <v>2494080335.6792002</v>
      </c>
      <c r="U31" s="258">
        <v>19160198</v>
      </c>
      <c r="V31" s="258">
        <v>211</v>
      </c>
      <c r="W31" s="258">
        <v>18048034</v>
      </c>
      <c r="X31" s="258">
        <v>1</v>
      </c>
      <c r="Y31" s="245"/>
      <c r="Z31" s="253" t="s">
        <v>589</v>
      </c>
      <c r="AA31" s="253">
        <v>3129600</v>
      </c>
      <c r="AB31" s="253">
        <v>10</v>
      </c>
      <c r="AC31" s="253">
        <v>2</v>
      </c>
      <c r="AD31" s="253">
        <v>236</v>
      </c>
      <c r="AE31" s="253">
        <v>1</v>
      </c>
      <c r="AF31" s="253"/>
      <c r="AG31" s="253" t="s">
        <v>590</v>
      </c>
      <c r="AH31" s="253">
        <v>0</v>
      </c>
      <c r="AI31" s="253">
        <v>0</v>
      </c>
      <c r="AJ31" s="253">
        <v>0</v>
      </c>
      <c r="AK31" s="253">
        <v>0</v>
      </c>
      <c r="AL31" s="253">
        <v>0</v>
      </c>
      <c r="AM31" s="245"/>
      <c r="AN31" s="253" t="s">
        <v>589</v>
      </c>
      <c r="AO31" s="253">
        <v>1960100</v>
      </c>
      <c r="AP31" s="253">
        <v>7</v>
      </c>
      <c r="AQ31" s="253">
        <v>2</v>
      </c>
      <c r="AR31" s="253">
        <v>471</v>
      </c>
      <c r="AS31" s="253">
        <v>1</v>
      </c>
      <c r="AT31" s="245"/>
      <c r="AU31" s="253" t="s">
        <v>589</v>
      </c>
      <c r="AV31" s="253">
        <v>0</v>
      </c>
      <c r="AW31" s="253">
        <v>0</v>
      </c>
      <c r="AX31" s="253">
        <v>0</v>
      </c>
      <c r="AY31" s="253">
        <v>9</v>
      </c>
      <c r="AZ31" s="253">
        <v>1</v>
      </c>
      <c r="BA31" s="245"/>
      <c r="BB31" s="253" t="s">
        <v>574</v>
      </c>
      <c r="BC31" s="253">
        <v>0</v>
      </c>
      <c r="BD31" s="253">
        <v>0</v>
      </c>
      <c r="BE31" s="253">
        <v>0</v>
      </c>
      <c r="BF31" s="253">
        <v>0</v>
      </c>
      <c r="BG31" s="253">
        <v>1</v>
      </c>
      <c r="BH31" s="247" t="s">
        <v>574</v>
      </c>
      <c r="BI31" s="253">
        <v>0</v>
      </c>
      <c r="BJ31" s="253">
        <v>0</v>
      </c>
      <c r="BK31" s="253">
        <v>0</v>
      </c>
      <c r="BL31" s="253">
        <v>0</v>
      </c>
      <c r="BM31" s="253">
        <v>1</v>
      </c>
      <c r="BN31" s="253"/>
      <c r="BO31" s="256" t="s">
        <v>470</v>
      </c>
      <c r="BP31" s="264" t="s">
        <v>537</v>
      </c>
      <c r="BQ31" s="264" t="s">
        <v>555</v>
      </c>
      <c r="BR31" s="264" t="s">
        <v>556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2016</v>
      </c>
      <c r="CT31" s="275">
        <v>26</v>
      </c>
      <c r="CU31" s="275" t="s">
        <v>648</v>
      </c>
      <c r="CV31" s="275">
        <v>543843065.53996992</v>
      </c>
      <c r="CW31" s="275">
        <v>-1010538700</v>
      </c>
      <c r="CX31" s="275">
        <v>4713</v>
      </c>
      <c r="CY31" s="275">
        <v>340632896160.44958</v>
      </c>
      <c r="CZ31" s="275">
        <v>358141633300</v>
      </c>
      <c r="DA31" s="275">
        <v>2158</v>
      </c>
      <c r="DB31" s="275">
        <v>340089053094.90942</v>
      </c>
      <c r="DC31" s="275">
        <v>359152172000</v>
      </c>
      <c r="DD31" s="275">
        <v>2555</v>
      </c>
    </row>
    <row r="32" spans="1:108" x14ac:dyDescent="0.2">
      <c r="B32" s="190" t="s">
        <v>238</v>
      </c>
      <c r="C32" s="193">
        <v>38715</v>
      </c>
      <c r="D32" s="190">
        <v>17673.63</v>
      </c>
      <c r="E32" s="223">
        <v>1</v>
      </c>
      <c r="F32" s="209"/>
      <c r="G32" s="223" t="s">
        <v>106</v>
      </c>
      <c r="H32" s="223">
        <v>18.129459929999999</v>
      </c>
      <c r="I32" s="164"/>
      <c r="J32" s="157"/>
      <c r="K32" s="229"/>
      <c r="L32" s="228"/>
      <c r="M32" s="228"/>
      <c r="O32" s="241" t="s">
        <v>106</v>
      </c>
      <c r="P32" s="241">
        <v>18.126137780000001</v>
      </c>
      <c r="Q32" s="239"/>
      <c r="R32" s="157"/>
      <c r="S32" s="253" t="s">
        <v>447</v>
      </c>
      <c r="T32" s="258">
        <v>617047205.03999996</v>
      </c>
      <c r="U32" s="258">
        <v>731102</v>
      </c>
      <c r="V32" s="258">
        <v>794</v>
      </c>
      <c r="W32" s="258">
        <v>2535315</v>
      </c>
      <c r="X32" s="258">
        <v>0</v>
      </c>
      <c r="Y32" s="245"/>
      <c r="Z32" s="253" t="s">
        <v>590</v>
      </c>
      <c r="AA32" s="253">
        <v>0</v>
      </c>
      <c r="AB32" s="253">
        <v>0</v>
      </c>
      <c r="AC32" s="253">
        <v>0</v>
      </c>
      <c r="AD32" s="253">
        <v>0</v>
      </c>
      <c r="AE32" s="253">
        <v>0</v>
      </c>
      <c r="AF32" s="253"/>
      <c r="AG32" s="253" t="s">
        <v>574</v>
      </c>
      <c r="AH32" s="253">
        <v>0</v>
      </c>
      <c r="AI32" s="253">
        <v>0</v>
      </c>
      <c r="AJ32" s="253">
        <v>0</v>
      </c>
      <c r="AK32" s="253">
        <v>45</v>
      </c>
      <c r="AL32" s="253">
        <v>1</v>
      </c>
      <c r="AM32" s="245"/>
      <c r="AN32" s="253" t="s">
        <v>590</v>
      </c>
      <c r="AO32" s="253">
        <v>0</v>
      </c>
      <c r="AP32" s="253">
        <v>0</v>
      </c>
      <c r="AQ32" s="253">
        <v>0</v>
      </c>
      <c r="AR32" s="253">
        <v>0</v>
      </c>
      <c r="AS32" s="253">
        <v>0</v>
      </c>
      <c r="AT32" s="245"/>
      <c r="AU32" s="253" t="s">
        <v>590</v>
      </c>
      <c r="AV32" s="253">
        <v>0</v>
      </c>
      <c r="AW32" s="253">
        <v>0</v>
      </c>
      <c r="AX32" s="253">
        <v>0</v>
      </c>
      <c r="AY32" s="253">
        <v>0</v>
      </c>
      <c r="AZ32" s="253">
        <v>0</v>
      </c>
      <c r="BA32" s="245"/>
      <c r="BB32" s="253" t="s">
        <v>591</v>
      </c>
      <c r="BC32" s="253">
        <v>2725000</v>
      </c>
      <c r="BD32" s="253">
        <v>69</v>
      </c>
      <c r="BE32" s="253">
        <v>14</v>
      </c>
      <c r="BF32" s="253">
        <v>351</v>
      </c>
      <c r="BG32" s="253">
        <v>1</v>
      </c>
      <c r="BH32" s="247" t="s">
        <v>591</v>
      </c>
      <c r="BI32" s="253">
        <v>0</v>
      </c>
      <c r="BJ32" s="253">
        <v>0</v>
      </c>
      <c r="BK32" s="253">
        <v>0</v>
      </c>
      <c r="BL32" s="253">
        <v>10</v>
      </c>
      <c r="BM32" s="253">
        <v>1</v>
      </c>
      <c r="BN32" s="253"/>
      <c r="BO32" s="245"/>
      <c r="BP32" s="263">
        <v>604048028181.97009</v>
      </c>
      <c r="BQ32" s="263">
        <v>5290818</v>
      </c>
      <c r="BR32" s="263">
        <v>5184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2016</v>
      </c>
      <c r="CT32" s="275">
        <v>403</v>
      </c>
      <c r="CU32" s="275" t="s">
        <v>649</v>
      </c>
      <c r="CV32" s="275">
        <v>-20617605483.350006</v>
      </c>
      <c r="CW32" s="275">
        <v>-19446760368</v>
      </c>
      <c r="CX32" s="275">
        <v>5499</v>
      </c>
      <c r="CY32" s="275">
        <v>64559616306.100189</v>
      </c>
      <c r="CZ32" s="275">
        <v>66416669982</v>
      </c>
      <c r="DA32" s="275">
        <v>3311</v>
      </c>
      <c r="DB32" s="275">
        <v>85177221789.450012</v>
      </c>
      <c r="DC32" s="275">
        <v>85863430350</v>
      </c>
      <c r="DD32" s="275">
        <v>2188</v>
      </c>
    </row>
    <row r="33" spans="1:108" x14ac:dyDescent="0.2">
      <c r="B33" s="190" t="s">
        <v>239</v>
      </c>
      <c r="C33" s="193">
        <v>38715</v>
      </c>
      <c r="D33" s="190">
        <v>34075.21</v>
      </c>
      <c r="E33" s="223">
        <v>1</v>
      </c>
      <c r="F33" s="210"/>
      <c r="G33" s="223" t="s">
        <v>108</v>
      </c>
      <c r="H33" s="223">
        <v>6276.8798406200003</v>
      </c>
      <c r="I33" s="164"/>
      <c r="J33" s="157"/>
      <c r="K33" s="228"/>
      <c r="L33" s="228"/>
      <c r="M33" s="228"/>
      <c r="O33" s="241" t="s">
        <v>108</v>
      </c>
      <c r="P33" s="241">
        <v>6311.9503890799997</v>
      </c>
      <c r="Q33" s="239"/>
      <c r="R33" s="157"/>
      <c r="S33" s="253" t="s">
        <v>451</v>
      </c>
      <c r="T33" s="258">
        <v>116178496.16</v>
      </c>
      <c r="U33" s="258">
        <v>290188</v>
      </c>
      <c r="V33" s="258">
        <v>424</v>
      </c>
      <c r="W33" s="258">
        <v>390292</v>
      </c>
      <c r="X33" s="258">
        <v>0</v>
      </c>
      <c r="Y33" s="245"/>
      <c r="Z33" s="253" t="s">
        <v>574</v>
      </c>
      <c r="AA33" s="253">
        <v>3318150.04</v>
      </c>
      <c r="AB33" s="253">
        <v>165</v>
      </c>
      <c r="AC33" s="253">
        <v>19</v>
      </c>
      <c r="AD33" s="253">
        <v>1255</v>
      </c>
      <c r="AE33" s="253">
        <v>1</v>
      </c>
      <c r="AF33" s="253"/>
      <c r="AG33" s="253" t="s">
        <v>591</v>
      </c>
      <c r="AH33" s="253">
        <v>0</v>
      </c>
      <c r="AI33" s="253">
        <v>0</v>
      </c>
      <c r="AJ33" s="253">
        <v>0</v>
      </c>
      <c r="AK33" s="253">
        <v>3</v>
      </c>
      <c r="AL33" s="253">
        <v>1</v>
      </c>
      <c r="AM33" s="245"/>
      <c r="AN33" s="253" t="s">
        <v>574</v>
      </c>
      <c r="AO33" s="253">
        <v>5871500.0300000003</v>
      </c>
      <c r="AP33" s="253">
        <v>294</v>
      </c>
      <c r="AQ33" s="253">
        <v>6</v>
      </c>
      <c r="AR33" s="253">
        <v>2252</v>
      </c>
      <c r="AS33" s="253">
        <v>1</v>
      </c>
      <c r="AT33" s="245"/>
      <c r="AU33" s="253" t="s">
        <v>574</v>
      </c>
      <c r="AV33" s="253">
        <v>0</v>
      </c>
      <c r="AW33" s="253">
        <v>0</v>
      </c>
      <c r="AX33" s="253">
        <v>0</v>
      </c>
      <c r="AY33" s="253">
        <v>125</v>
      </c>
      <c r="AZ33" s="253">
        <v>1</v>
      </c>
      <c r="BA33" s="245"/>
      <c r="BB33" s="253" t="s">
        <v>593</v>
      </c>
      <c r="BC33" s="253">
        <v>0</v>
      </c>
      <c r="BD33" s="253">
        <v>0</v>
      </c>
      <c r="BE33" s="253">
        <v>0</v>
      </c>
      <c r="BF33" s="253">
        <v>0</v>
      </c>
      <c r="BG33" s="253">
        <v>0</v>
      </c>
      <c r="BH33" s="247" t="s">
        <v>593</v>
      </c>
      <c r="BI33" s="253">
        <v>0</v>
      </c>
      <c r="BJ33" s="253">
        <v>0</v>
      </c>
      <c r="BK33" s="253">
        <v>0</v>
      </c>
      <c r="BL33" s="253">
        <v>0</v>
      </c>
      <c r="BM33" s="253">
        <v>0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2016</v>
      </c>
      <c r="CT33" s="275">
        <v>132</v>
      </c>
      <c r="CU33" s="275" t="s">
        <v>650</v>
      </c>
      <c r="CV33" s="275">
        <v>61802838150.920082</v>
      </c>
      <c r="CW33" s="275">
        <v>64630355798</v>
      </c>
      <c r="CX33" s="275">
        <v>17831</v>
      </c>
      <c r="CY33" s="275">
        <v>445613489885.09998</v>
      </c>
      <c r="CZ33" s="275">
        <v>448289493910</v>
      </c>
      <c r="DA33" s="275">
        <v>9505</v>
      </c>
      <c r="DB33" s="275">
        <v>383810651734.17957</v>
      </c>
      <c r="DC33" s="275">
        <v>383659138112</v>
      </c>
      <c r="DD33" s="275">
        <v>8326</v>
      </c>
    </row>
    <row r="34" spans="1:108" x14ac:dyDescent="0.2">
      <c r="B34" s="190" t="s">
        <v>240</v>
      </c>
      <c r="C34" s="193">
        <v>38680</v>
      </c>
      <c r="D34" s="190">
        <v>18105.080000000002</v>
      </c>
      <c r="E34" s="223">
        <v>1</v>
      </c>
      <c r="F34" s="210"/>
      <c r="G34" s="223" t="s">
        <v>279</v>
      </c>
      <c r="H34" s="223">
        <v>60535.092470700001</v>
      </c>
      <c r="I34" s="164"/>
      <c r="J34" s="157"/>
      <c r="K34" s="228"/>
      <c r="L34" s="228"/>
      <c r="M34" s="228"/>
      <c r="O34" s="241" t="s">
        <v>279</v>
      </c>
      <c r="P34" s="241">
        <v>62693.48842822</v>
      </c>
      <c r="Q34" s="239"/>
      <c r="R34" s="157"/>
      <c r="S34" s="253" t="s">
        <v>446</v>
      </c>
      <c r="T34" s="258">
        <v>3536754897.5300002</v>
      </c>
      <c r="U34" s="258">
        <v>332671</v>
      </c>
      <c r="V34" s="258">
        <v>1361</v>
      </c>
      <c r="W34" s="258">
        <v>1053192</v>
      </c>
      <c r="X34" s="258">
        <v>0</v>
      </c>
      <c r="Y34" s="245"/>
      <c r="Z34" s="253" t="s">
        <v>591</v>
      </c>
      <c r="AA34" s="253">
        <v>950960</v>
      </c>
      <c r="AB34" s="253">
        <v>21</v>
      </c>
      <c r="AC34" s="253">
        <v>7</v>
      </c>
      <c r="AD34" s="253">
        <v>183</v>
      </c>
      <c r="AE34" s="253">
        <v>1</v>
      </c>
      <c r="AF34" s="253"/>
      <c r="AG34" s="253" t="s">
        <v>592</v>
      </c>
      <c r="AH34" s="253">
        <v>292172800</v>
      </c>
      <c r="AI34" s="253">
        <v>1616</v>
      </c>
      <c r="AJ34" s="253">
        <v>2</v>
      </c>
      <c r="AK34" s="253">
        <v>1616</v>
      </c>
      <c r="AL34" s="253">
        <v>1</v>
      </c>
      <c r="AM34" s="245"/>
      <c r="AN34" s="253" t="s">
        <v>591</v>
      </c>
      <c r="AO34" s="253">
        <v>0</v>
      </c>
      <c r="AP34" s="253">
        <v>0</v>
      </c>
      <c r="AQ34" s="253">
        <v>0</v>
      </c>
      <c r="AR34" s="253">
        <v>352</v>
      </c>
      <c r="AS34" s="253">
        <v>1</v>
      </c>
      <c r="AT34" s="245"/>
      <c r="AU34" s="253" t="s">
        <v>591</v>
      </c>
      <c r="AV34" s="253">
        <v>0</v>
      </c>
      <c r="AW34" s="253">
        <v>0</v>
      </c>
      <c r="AX34" s="253">
        <v>0</v>
      </c>
      <c r="AY34" s="253">
        <v>16</v>
      </c>
      <c r="AZ34" s="253">
        <v>1</v>
      </c>
      <c r="BA34" s="245"/>
      <c r="BB34" s="253" t="s">
        <v>594</v>
      </c>
      <c r="BC34" s="253">
        <v>0</v>
      </c>
      <c r="BD34" s="253">
        <v>0</v>
      </c>
      <c r="BE34" s="253">
        <v>0</v>
      </c>
      <c r="BF34" s="253">
        <v>0</v>
      </c>
      <c r="BG34" s="253">
        <v>0</v>
      </c>
      <c r="BH34" s="247" t="s">
        <v>594</v>
      </c>
      <c r="BI34" s="253">
        <v>0</v>
      </c>
      <c r="BJ34" s="253">
        <v>0</v>
      </c>
      <c r="BK34" s="253">
        <v>0</v>
      </c>
      <c r="BL34" s="253">
        <v>0</v>
      </c>
      <c r="BM34" s="253">
        <v>0</v>
      </c>
      <c r="BN34" s="253"/>
      <c r="BO34" s="256" t="s">
        <v>481</v>
      </c>
      <c r="BP34" s="264" t="s">
        <v>537</v>
      </c>
      <c r="BQ34" s="264" t="s">
        <v>555</v>
      </c>
      <c r="BR34" s="264" t="s">
        <v>556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>
        <v>2016</v>
      </c>
      <c r="CT34" s="275">
        <v>27</v>
      </c>
      <c r="CU34" s="275" t="s">
        <v>651</v>
      </c>
      <c r="CV34" s="275">
        <v>-18005268414.939999</v>
      </c>
      <c r="CW34" s="275">
        <v>-21016503305</v>
      </c>
      <c r="CX34" s="275">
        <v>1298</v>
      </c>
      <c r="CY34" s="275">
        <v>50406813472.469994</v>
      </c>
      <c r="CZ34" s="275">
        <v>52437785000</v>
      </c>
      <c r="DA34" s="275">
        <v>566</v>
      </c>
      <c r="DB34" s="275">
        <v>68412081887.409866</v>
      </c>
      <c r="DC34" s="275">
        <v>73454288305</v>
      </c>
      <c r="DD34" s="275">
        <v>732</v>
      </c>
    </row>
    <row r="35" spans="1:108" x14ac:dyDescent="0.2">
      <c r="B35" s="190" t="s">
        <v>241</v>
      </c>
      <c r="C35" s="193">
        <v>38604</v>
      </c>
      <c r="D35" s="190">
        <v>28742.13</v>
      </c>
      <c r="E35" s="223">
        <v>1</v>
      </c>
      <c r="F35" s="226"/>
      <c r="G35" s="223" t="s">
        <v>280</v>
      </c>
      <c r="H35" s="223">
        <v>9885.4686482300003</v>
      </c>
      <c r="I35" s="164"/>
      <c r="J35" s="157"/>
      <c r="K35" s="228"/>
      <c r="L35" s="228"/>
      <c r="M35" s="228"/>
      <c r="O35" s="241" t="s">
        <v>280</v>
      </c>
      <c r="P35" s="241">
        <v>9801.4999275600003</v>
      </c>
      <c r="Q35" s="239"/>
      <c r="R35" s="157"/>
      <c r="S35" s="253" t="s">
        <v>559</v>
      </c>
      <c r="T35" s="258">
        <v>0</v>
      </c>
      <c r="U35" s="258">
        <v>0</v>
      </c>
      <c r="V35" s="258">
        <v>0</v>
      </c>
      <c r="W35" s="258">
        <v>0</v>
      </c>
      <c r="X35" s="258">
        <v>1</v>
      </c>
      <c r="Y35" s="245"/>
      <c r="Z35" s="253" t="s">
        <v>592</v>
      </c>
      <c r="AA35" s="253">
        <v>292172800</v>
      </c>
      <c r="AB35" s="253">
        <v>1616</v>
      </c>
      <c r="AC35" s="253">
        <v>2</v>
      </c>
      <c r="AD35" s="253">
        <v>1616</v>
      </c>
      <c r="AE35" s="253">
        <v>1</v>
      </c>
      <c r="AF35" s="253"/>
      <c r="AG35" s="253" t="s">
        <v>593</v>
      </c>
      <c r="AH35" s="253">
        <v>0</v>
      </c>
      <c r="AI35" s="253">
        <v>0</v>
      </c>
      <c r="AJ35" s="253">
        <v>0</v>
      </c>
      <c r="AK35" s="253">
        <v>0</v>
      </c>
      <c r="AL35" s="253">
        <v>0</v>
      </c>
      <c r="AM35" s="245"/>
      <c r="AN35" s="253" t="s">
        <v>593</v>
      </c>
      <c r="AO35" s="253">
        <v>0</v>
      </c>
      <c r="AP35" s="253">
        <v>0</v>
      </c>
      <c r="AQ35" s="253">
        <v>0</v>
      </c>
      <c r="AR35" s="253">
        <v>0</v>
      </c>
      <c r="AS35" s="253">
        <v>0</v>
      </c>
      <c r="AT35" s="245"/>
      <c r="AU35" s="253" t="s">
        <v>593</v>
      </c>
      <c r="AV35" s="253">
        <v>0</v>
      </c>
      <c r="AW35" s="253">
        <v>0</v>
      </c>
      <c r="AX35" s="253">
        <v>0</v>
      </c>
      <c r="AY35" s="253">
        <v>0</v>
      </c>
      <c r="AZ35" s="253">
        <v>0</v>
      </c>
      <c r="BA35" s="245"/>
      <c r="BB35" s="253" t="s">
        <v>575</v>
      </c>
      <c r="BC35" s="253">
        <v>0</v>
      </c>
      <c r="BD35" s="253">
        <v>0</v>
      </c>
      <c r="BE35" s="253">
        <v>0</v>
      </c>
      <c r="BF35" s="253">
        <v>0</v>
      </c>
      <c r="BG35" s="253">
        <v>1</v>
      </c>
      <c r="BH35" s="247" t="s">
        <v>575</v>
      </c>
      <c r="BI35" s="253">
        <v>0</v>
      </c>
      <c r="BJ35" s="253">
        <v>0</v>
      </c>
      <c r="BK35" s="253">
        <v>0</v>
      </c>
      <c r="BL35" s="253">
        <v>0</v>
      </c>
      <c r="BM35" s="253">
        <v>1</v>
      </c>
      <c r="BN35" s="253"/>
      <c r="BO35" s="251"/>
      <c r="BP35" s="263">
        <v>8854646024.7900009</v>
      </c>
      <c r="BQ35" s="263">
        <v>89018</v>
      </c>
      <c r="BR35" s="263">
        <v>201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">
      <c r="B36" s="190" t="s">
        <v>242</v>
      </c>
      <c r="C36" s="193">
        <v>38709</v>
      </c>
      <c r="D36" s="190">
        <v>10955.45</v>
      </c>
      <c r="E36" s="223">
        <v>1</v>
      </c>
      <c r="F36" s="210"/>
      <c r="G36" s="223" t="s">
        <v>281</v>
      </c>
      <c r="H36" s="223">
        <v>21339.174599670001</v>
      </c>
      <c r="I36" s="164"/>
      <c r="J36" s="157"/>
      <c r="K36" s="228"/>
      <c r="L36" s="228"/>
      <c r="M36" s="228"/>
      <c r="O36" s="241" t="s">
        <v>281</v>
      </c>
      <c r="P36" s="241">
        <v>21800.922832010001</v>
      </c>
      <c r="Q36" s="239"/>
      <c r="R36" s="157"/>
      <c r="S36" s="253" t="s">
        <v>447</v>
      </c>
      <c r="T36" s="258">
        <v>10253585031.290001</v>
      </c>
      <c r="U36" s="258">
        <v>886023</v>
      </c>
      <c r="V36" s="258">
        <v>5313</v>
      </c>
      <c r="W36" s="258">
        <v>1007406</v>
      </c>
      <c r="X36" s="258">
        <v>1</v>
      </c>
      <c r="Y36" s="245"/>
      <c r="Z36" s="253" t="s">
        <v>593</v>
      </c>
      <c r="AA36" s="253">
        <v>0</v>
      </c>
      <c r="AB36" s="253">
        <v>0</v>
      </c>
      <c r="AC36" s="253">
        <v>0</v>
      </c>
      <c r="AD36" s="253">
        <v>0</v>
      </c>
      <c r="AE36" s="253">
        <v>0</v>
      </c>
      <c r="AF36" s="253"/>
      <c r="AG36" s="253" t="s">
        <v>594</v>
      </c>
      <c r="AH36" s="253">
        <v>0</v>
      </c>
      <c r="AI36" s="253">
        <v>0</v>
      </c>
      <c r="AJ36" s="253">
        <v>0</v>
      </c>
      <c r="AK36" s="253">
        <v>0</v>
      </c>
      <c r="AL36" s="253">
        <v>0</v>
      </c>
      <c r="AM36" s="245"/>
      <c r="AN36" s="253" t="s">
        <v>594</v>
      </c>
      <c r="AO36" s="253">
        <v>0</v>
      </c>
      <c r="AP36" s="253">
        <v>0</v>
      </c>
      <c r="AQ36" s="253">
        <v>0</v>
      </c>
      <c r="AR36" s="253">
        <v>0</v>
      </c>
      <c r="AS36" s="253">
        <v>0</v>
      </c>
      <c r="AT36" s="245"/>
      <c r="AU36" s="253" t="s">
        <v>594</v>
      </c>
      <c r="AV36" s="253">
        <v>0</v>
      </c>
      <c r="AW36" s="253">
        <v>0</v>
      </c>
      <c r="AX36" s="253">
        <v>0</v>
      </c>
      <c r="AY36" s="253">
        <v>0</v>
      </c>
      <c r="AZ36" s="253">
        <v>0</v>
      </c>
      <c r="BA36" s="245"/>
      <c r="BB36" s="253" t="s">
        <v>584</v>
      </c>
      <c r="BC36" s="253">
        <v>11400234993.145</v>
      </c>
      <c r="BD36" s="253">
        <v>47461</v>
      </c>
      <c r="BE36" s="253">
        <v>3834</v>
      </c>
      <c r="BF36" s="253">
        <v>308338</v>
      </c>
      <c r="BG36" s="253">
        <v>1</v>
      </c>
      <c r="BH36" s="247" t="s">
        <v>584</v>
      </c>
      <c r="BI36" s="253">
        <v>1186276700.3199999</v>
      </c>
      <c r="BJ36" s="253">
        <v>5006</v>
      </c>
      <c r="BK36" s="253">
        <v>110</v>
      </c>
      <c r="BL36" s="253">
        <v>13040</v>
      </c>
      <c r="BM36" s="253">
        <v>1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">
      <c r="B37" s="190" t="s">
        <v>243</v>
      </c>
      <c r="C37" s="193">
        <v>38580</v>
      </c>
      <c r="D37" s="190">
        <v>2321.6</v>
      </c>
      <c r="E37" s="223">
        <v>1</v>
      </c>
      <c r="F37" s="214"/>
      <c r="G37" s="223" t="s">
        <v>56</v>
      </c>
      <c r="H37" s="223">
        <v>45421.75899943</v>
      </c>
      <c r="I37" s="164"/>
      <c r="J37" s="157"/>
      <c r="K37" s="228"/>
      <c r="L37" s="228"/>
      <c r="M37" s="228"/>
      <c r="O37" s="241" t="s">
        <v>56</v>
      </c>
      <c r="P37" s="241">
        <v>47153.91268601</v>
      </c>
      <c r="Q37" s="239"/>
      <c r="R37" s="157"/>
      <c r="S37" s="253" t="s">
        <v>182</v>
      </c>
      <c r="T37" s="258">
        <v>41013814.237999998</v>
      </c>
      <c r="U37" s="258">
        <v>513225</v>
      </c>
      <c r="V37" s="258">
        <v>188</v>
      </c>
      <c r="W37" s="258">
        <v>1735889</v>
      </c>
      <c r="X37" s="258">
        <v>1</v>
      </c>
      <c r="Y37" s="245"/>
      <c r="Z37" s="253" t="s">
        <v>594</v>
      </c>
      <c r="AA37" s="253">
        <v>0</v>
      </c>
      <c r="AB37" s="253">
        <v>0</v>
      </c>
      <c r="AC37" s="253">
        <v>0</v>
      </c>
      <c r="AD37" s="253">
        <v>0</v>
      </c>
      <c r="AE37" s="253">
        <v>0</v>
      </c>
      <c r="AF37" s="253"/>
      <c r="AG37" s="253" t="s">
        <v>575</v>
      </c>
      <c r="AH37" s="253">
        <v>0</v>
      </c>
      <c r="AI37" s="253">
        <v>0</v>
      </c>
      <c r="AJ37" s="253">
        <v>0</v>
      </c>
      <c r="AK37" s="253">
        <v>0</v>
      </c>
      <c r="AL37" s="253">
        <v>1</v>
      </c>
      <c r="AM37" s="245"/>
      <c r="AN37" s="253" t="s">
        <v>575</v>
      </c>
      <c r="AO37" s="253">
        <v>0</v>
      </c>
      <c r="AP37" s="253">
        <v>0</v>
      </c>
      <c r="AQ37" s="253">
        <v>0</v>
      </c>
      <c r="AR37" s="253">
        <v>0</v>
      </c>
      <c r="AS37" s="253">
        <v>1</v>
      </c>
      <c r="AT37" s="245"/>
      <c r="AU37" s="253" t="s">
        <v>575</v>
      </c>
      <c r="AV37" s="253">
        <v>0</v>
      </c>
      <c r="AW37" s="253">
        <v>0</v>
      </c>
      <c r="AX37" s="253">
        <v>0</v>
      </c>
      <c r="AY37" s="253">
        <v>0</v>
      </c>
      <c r="AZ37" s="253">
        <v>1</v>
      </c>
      <c r="BA37" s="245"/>
      <c r="BB37" s="253" t="s">
        <v>595</v>
      </c>
      <c r="BC37" s="253">
        <v>0</v>
      </c>
      <c r="BD37" s="253">
        <v>0</v>
      </c>
      <c r="BE37" s="253">
        <v>0</v>
      </c>
      <c r="BF37" s="253">
        <v>0</v>
      </c>
      <c r="BG37" s="253">
        <v>1</v>
      </c>
      <c r="BH37" s="247" t="s">
        <v>595</v>
      </c>
      <c r="BI37" s="253">
        <v>0</v>
      </c>
      <c r="BJ37" s="253">
        <v>0</v>
      </c>
      <c r="BK37" s="253">
        <v>0</v>
      </c>
      <c r="BL37" s="253">
        <v>0</v>
      </c>
      <c r="BM37" s="253">
        <v>1</v>
      </c>
      <c r="BN37" s="253"/>
      <c r="BO37" s="256" t="s">
        <v>473</v>
      </c>
      <c r="BP37" s="264" t="s">
        <v>537</v>
      </c>
      <c r="BQ37" s="264" t="s">
        <v>555</v>
      </c>
      <c r="BR37" s="264" t="s">
        <v>556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">
      <c r="B38" s="190" t="s">
        <v>244</v>
      </c>
      <c r="C38" s="193">
        <v>38709</v>
      </c>
      <c r="D38" s="190">
        <v>2183.41</v>
      </c>
      <c r="E38" s="223">
        <v>1</v>
      </c>
      <c r="F38" s="214"/>
      <c r="G38" s="223" t="s">
        <v>45</v>
      </c>
      <c r="H38" s="223">
        <v>70248.086111840006</v>
      </c>
      <c r="I38" s="164"/>
      <c r="J38" s="157"/>
      <c r="K38" s="228"/>
      <c r="L38" s="228"/>
      <c r="M38" s="228"/>
      <c r="O38" s="241" t="s">
        <v>45</v>
      </c>
      <c r="P38" s="241">
        <v>73297.668798779996</v>
      </c>
      <c r="Q38" s="239"/>
      <c r="R38" s="157"/>
      <c r="S38" s="253" t="s">
        <v>449</v>
      </c>
      <c r="T38" s="258">
        <v>0</v>
      </c>
      <c r="U38" s="258">
        <v>0</v>
      </c>
      <c r="V38" s="258">
        <v>0</v>
      </c>
      <c r="W38" s="258">
        <v>0</v>
      </c>
      <c r="X38" s="258">
        <v>0</v>
      </c>
      <c r="Y38" s="245"/>
      <c r="Z38" s="253" t="s">
        <v>575</v>
      </c>
      <c r="AA38" s="253">
        <v>0</v>
      </c>
      <c r="AB38" s="253">
        <v>0</v>
      </c>
      <c r="AC38" s="253">
        <v>0</v>
      </c>
      <c r="AD38" s="253">
        <v>0</v>
      </c>
      <c r="AE38" s="253">
        <v>1</v>
      </c>
      <c r="AF38" s="253"/>
      <c r="AG38" s="253" t="s">
        <v>584</v>
      </c>
      <c r="AH38" s="253">
        <v>413891824.70499998</v>
      </c>
      <c r="AI38" s="253">
        <v>2013</v>
      </c>
      <c r="AJ38" s="253">
        <v>171</v>
      </c>
      <c r="AK38" s="253">
        <v>11425</v>
      </c>
      <c r="AL38" s="253">
        <v>1</v>
      </c>
      <c r="AM38" s="245"/>
      <c r="AN38" s="253" t="s">
        <v>584</v>
      </c>
      <c r="AO38" s="253">
        <v>3616950202.5700002</v>
      </c>
      <c r="AP38" s="253">
        <v>16529</v>
      </c>
      <c r="AQ38" s="253">
        <v>2344</v>
      </c>
      <c r="AR38" s="253">
        <v>247575</v>
      </c>
      <c r="AS38" s="253">
        <v>1</v>
      </c>
      <c r="AT38" s="245"/>
      <c r="AU38" s="253" t="s">
        <v>584</v>
      </c>
      <c r="AV38" s="253">
        <v>96752355.329999998</v>
      </c>
      <c r="AW38" s="253">
        <v>442</v>
      </c>
      <c r="AX38" s="253">
        <v>121</v>
      </c>
      <c r="AY38" s="253">
        <v>9814</v>
      </c>
      <c r="AZ38" s="253">
        <v>1</v>
      </c>
      <c r="BA38" s="245"/>
      <c r="BB38" s="253" t="s">
        <v>562</v>
      </c>
      <c r="BC38" s="253">
        <v>5805570517.2600002</v>
      </c>
      <c r="BD38" s="253">
        <v>22972</v>
      </c>
      <c r="BE38" s="253">
        <v>1120</v>
      </c>
      <c r="BF38" s="253">
        <v>52773</v>
      </c>
      <c r="BG38" s="253">
        <v>1</v>
      </c>
      <c r="BH38" s="247" t="s">
        <v>562</v>
      </c>
      <c r="BI38" s="253">
        <v>266894809.56</v>
      </c>
      <c r="BJ38" s="253">
        <v>1141</v>
      </c>
      <c r="BK38" s="253">
        <v>66</v>
      </c>
      <c r="BL38" s="253">
        <v>1997</v>
      </c>
      <c r="BM38" s="253">
        <v>1</v>
      </c>
      <c r="BN38" s="253"/>
      <c r="BO38" s="247"/>
      <c r="BP38" s="263">
        <v>486645774692.62006</v>
      </c>
      <c r="BQ38" s="263">
        <v>4282010</v>
      </c>
      <c r="BR38" s="263">
        <v>6694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">
      <c r="A39" s="149"/>
      <c r="B39" s="190" t="s">
        <v>245</v>
      </c>
      <c r="C39" s="193">
        <v>38663</v>
      </c>
      <c r="D39" s="190">
        <v>14154.09</v>
      </c>
      <c r="E39" s="223">
        <v>1</v>
      </c>
      <c r="F39" s="214"/>
      <c r="G39" s="223" t="s">
        <v>47</v>
      </c>
      <c r="H39" s="223">
        <v>58428.930359830003</v>
      </c>
      <c r="I39" s="164"/>
      <c r="J39" s="157"/>
      <c r="K39" s="228"/>
      <c r="L39" s="228"/>
      <c r="M39" s="228"/>
      <c r="O39" s="241" t="s">
        <v>47</v>
      </c>
      <c r="P39" s="241">
        <v>60440.509570540002</v>
      </c>
      <c r="Q39" s="239"/>
      <c r="R39" s="157"/>
      <c r="S39" s="253" t="s">
        <v>446</v>
      </c>
      <c r="T39" s="258">
        <v>314217783185.98669</v>
      </c>
      <c r="U39" s="258">
        <v>1071660</v>
      </c>
      <c r="V39" s="258">
        <v>235368</v>
      </c>
      <c r="W39" s="258">
        <v>847734</v>
      </c>
      <c r="X39" s="258">
        <v>1</v>
      </c>
      <c r="Y39" s="245"/>
      <c r="Z39" s="253" t="s">
        <v>584</v>
      </c>
      <c r="AA39" s="253">
        <v>6557930611.5299997</v>
      </c>
      <c r="AB39" s="253">
        <v>31107</v>
      </c>
      <c r="AC39" s="253">
        <v>3714</v>
      </c>
      <c r="AD39" s="253">
        <v>216017</v>
      </c>
      <c r="AE39" s="253">
        <v>1</v>
      </c>
      <c r="AF39" s="253"/>
      <c r="AG39" s="253" t="s">
        <v>595</v>
      </c>
      <c r="AH39" s="253">
        <v>0</v>
      </c>
      <c r="AI39" s="253">
        <v>0</v>
      </c>
      <c r="AJ39" s="253">
        <v>0</v>
      </c>
      <c r="AK39" s="253">
        <v>0</v>
      </c>
      <c r="AL39" s="253">
        <v>1</v>
      </c>
      <c r="AM39" s="245"/>
      <c r="AN39" s="253" t="s">
        <v>595</v>
      </c>
      <c r="AO39" s="253">
        <v>0</v>
      </c>
      <c r="AP39" s="253">
        <v>0</v>
      </c>
      <c r="AQ39" s="253">
        <v>0</v>
      </c>
      <c r="AR39" s="253">
        <v>0</v>
      </c>
      <c r="AS39" s="253">
        <v>1</v>
      </c>
      <c r="AT39" s="245"/>
      <c r="AU39" s="253" t="s">
        <v>595</v>
      </c>
      <c r="AV39" s="253">
        <v>0</v>
      </c>
      <c r="AW39" s="253">
        <v>0</v>
      </c>
      <c r="AX39" s="253">
        <v>0</v>
      </c>
      <c r="AY39" s="253">
        <v>0</v>
      </c>
      <c r="AZ39" s="253">
        <v>1</v>
      </c>
      <c r="BA39" s="245"/>
      <c r="BB39" s="253" t="s">
        <v>596</v>
      </c>
      <c r="BC39" s="253">
        <v>0</v>
      </c>
      <c r="BD39" s="253">
        <v>0</v>
      </c>
      <c r="BE39" s="253">
        <v>0</v>
      </c>
      <c r="BF39" s="253">
        <v>10080</v>
      </c>
      <c r="BG39" s="253">
        <v>0</v>
      </c>
      <c r="BH39" s="247" t="s">
        <v>596</v>
      </c>
      <c r="BI39" s="253">
        <v>0</v>
      </c>
      <c r="BJ39" s="253">
        <v>0</v>
      </c>
      <c r="BK39" s="253">
        <v>0</v>
      </c>
      <c r="BL39" s="253">
        <v>480</v>
      </c>
      <c r="BM39" s="253">
        <v>0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">
      <c r="A40" s="149"/>
      <c r="B40" s="190" t="s">
        <v>246</v>
      </c>
      <c r="C40" s="193">
        <v>38663</v>
      </c>
      <c r="D40" s="190">
        <v>43569.17</v>
      </c>
      <c r="E40" s="223">
        <v>1</v>
      </c>
      <c r="F40" s="214"/>
      <c r="G40" s="223" t="s">
        <v>43</v>
      </c>
      <c r="H40" s="223">
        <v>51611.01355761</v>
      </c>
      <c r="I40" s="164"/>
      <c r="J40" s="157"/>
      <c r="K40" s="228"/>
      <c r="L40" s="228"/>
      <c r="M40" s="228"/>
      <c r="O40" s="241" t="s">
        <v>43</v>
      </c>
      <c r="P40" s="241">
        <v>53562.570809329998</v>
      </c>
      <c r="Q40" s="239"/>
      <c r="R40" s="157"/>
      <c r="S40" s="253" t="s">
        <v>451</v>
      </c>
      <c r="T40" s="258">
        <v>4815731435.1000004</v>
      </c>
      <c r="U40" s="258">
        <v>149817</v>
      </c>
      <c r="V40" s="258">
        <v>235</v>
      </c>
      <c r="W40" s="258">
        <v>317579</v>
      </c>
      <c r="X40" s="258">
        <v>1</v>
      </c>
      <c r="Y40" s="245"/>
      <c r="Z40" s="253" t="s">
        <v>595</v>
      </c>
      <c r="AA40" s="253">
        <v>0</v>
      </c>
      <c r="AB40" s="253">
        <v>0</v>
      </c>
      <c r="AC40" s="253">
        <v>0</v>
      </c>
      <c r="AD40" s="253">
        <v>0</v>
      </c>
      <c r="AE40" s="253">
        <v>1</v>
      </c>
      <c r="AF40" s="253"/>
      <c r="AG40" s="253" t="s">
        <v>562</v>
      </c>
      <c r="AH40" s="253">
        <v>391127492.05000001</v>
      </c>
      <c r="AI40" s="253">
        <v>1901</v>
      </c>
      <c r="AJ40" s="253">
        <v>47</v>
      </c>
      <c r="AK40" s="253">
        <v>17420</v>
      </c>
      <c r="AL40" s="253">
        <v>1</v>
      </c>
      <c r="AM40" s="245"/>
      <c r="AN40" s="253" t="s">
        <v>562</v>
      </c>
      <c r="AO40" s="253">
        <v>2664375901.7399998</v>
      </c>
      <c r="AP40" s="253">
        <v>12772</v>
      </c>
      <c r="AQ40" s="253">
        <v>1087</v>
      </c>
      <c r="AR40" s="253">
        <v>236837</v>
      </c>
      <c r="AS40" s="253">
        <v>1</v>
      </c>
      <c r="AT40" s="245"/>
      <c r="AU40" s="253" t="s">
        <v>562</v>
      </c>
      <c r="AV40" s="253">
        <v>132108194.56999999</v>
      </c>
      <c r="AW40" s="253">
        <v>653</v>
      </c>
      <c r="AX40" s="253">
        <v>73</v>
      </c>
      <c r="AY40" s="253">
        <v>12534</v>
      </c>
      <c r="AZ40" s="253">
        <v>1</v>
      </c>
      <c r="BA40" s="245"/>
      <c r="BB40" s="253" t="s">
        <v>598</v>
      </c>
      <c r="BC40" s="253">
        <v>596906450.25</v>
      </c>
      <c r="BD40" s="253">
        <v>28868</v>
      </c>
      <c r="BE40" s="253">
        <v>259</v>
      </c>
      <c r="BF40" s="253">
        <v>25061</v>
      </c>
      <c r="BG40" s="253">
        <v>1</v>
      </c>
      <c r="BH40" s="247" t="s">
        <v>598</v>
      </c>
      <c r="BI40" s="253">
        <v>6090050</v>
      </c>
      <c r="BJ40" s="253">
        <v>316</v>
      </c>
      <c r="BK40" s="253">
        <v>10</v>
      </c>
      <c r="BL40" s="253">
        <v>2415</v>
      </c>
      <c r="BM40" s="253">
        <v>1</v>
      </c>
      <c r="BN40" s="253"/>
      <c r="BO40" s="256" t="s">
        <v>474</v>
      </c>
      <c r="BP40" s="264" t="s">
        <v>537</v>
      </c>
      <c r="BQ40" s="264" t="s">
        <v>555</v>
      </c>
      <c r="BR40" s="264" t="s">
        <v>556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">
      <c r="B41" s="190" t="s">
        <v>247</v>
      </c>
      <c r="C41" s="193">
        <v>38715</v>
      </c>
      <c r="D41" s="190">
        <v>25723.24</v>
      </c>
      <c r="E41" s="223">
        <v>1</v>
      </c>
      <c r="F41" s="214"/>
      <c r="G41" s="223" t="s">
        <v>49</v>
      </c>
      <c r="H41" s="223">
        <v>7360.8699897099996</v>
      </c>
      <c r="I41" s="164"/>
      <c r="J41" s="157"/>
      <c r="K41" s="228"/>
      <c r="L41" s="228"/>
      <c r="M41" s="228"/>
      <c r="O41" s="241" t="s">
        <v>49</v>
      </c>
      <c r="P41" s="241">
        <v>7376.6795100999998</v>
      </c>
      <c r="Q41" s="239"/>
      <c r="R41" s="157"/>
      <c r="S41" s="253" t="s">
        <v>450</v>
      </c>
      <c r="T41" s="258">
        <v>0</v>
      </c>
      <c r="U41" s="258">
        <v>19194391</v>
      </c>
      <c r="V41" s="258">
        <v>193</v>
      </c>
      <c r="W41" s="258">
        <v>17540416</v>
      </c>
      <c r="X41" s="258">
        <v>1</v>
      </c>
      <c r="Y41" s="245"/>
      <c r="Z41" s="253" t="s">
        <v>562</v>
      </c>
      <c r="AA41" s="253">
        <v>5028897430.5500002</v>
      </c>
      <c r="AB41" s="253">
        <v>24898</v>
      </c>
      <c r="AC41" s="253">
        <v>1324</v>
      </c>
      <c r="AD41" s="253">
        <v>289268</v>
      </c>
      <c r="AE41" s="253">
        <v>1</v>
      </c>
      <c r="AF41" s="253"/>
      <c r="AG41" s="253" t="s">
        <v>596</v>
      </c>
      <c r="AH41" s="253">
        <v>0</v>
      </c>
      <c r="AI41" s="253">
        <v>0</v>
      </c>
      <c r="AJ41" s="253">
        <v>0</v>
      </c>
      <c r="AK41" s="253">
        <v>0</v>
      </c>
      <c r="AL41" s="253">
        <v>0</v>
      </c>
      <c r="AM41" s="245"/>
      <c r="AN41" s="253" t="s">
        <v>596</v>
      </c>
      <c r="AO41" s="253">
        <v>0</v>
      </c>
      <c r="AP41" s="253">
        <v>0</v>
      </c>
      <c r="AQ41" s="253">
        <v>0</v>
      </c>
      <c r="AR41" s="253">
        <v>0</v>
      </c>
      <c r="AS41" s="253">
        <v>0</v>
      </c>
      <c r="AT41" s="245"/>
      <c r="AU41" s="253" t="s">
        <v>596</v>
      </c>
      <c r="AV41" s="253">
        <v>0</v>
      </c>
      <c r="AW41" s="253">
        <v>0</v>
      </c>
      <c r="AX41" s="253">
        <v>0</v>
      </c>
      <c r="AY41" s="253">
        <v>0</v>
      </c>
      <c r="AZ41" s="253">
        <v>0</v>
      </c>
      <c r="BA41" s="245"/>
      <c r="BB41" s="253" t="s">
        <v>599</v>
      </c>
      <c r="BC41" s="253">
        <v>128531.2</v>
      </c>
      <c r="BD41" s="253">
        <v>6</v>
      </c>
      <c r="BE41" s="253">
        <v>3</v>
      </c>
      <c r="BF41" s="253">
        <v>8</v>
      </c>
      <c r="BG41" s="253">
        <v>1</v>
      </c>
      <c r="BH41" s="247" t="s">
        <v>599</v>
      </c>
      <c r="BI41" s="253">
        <v>0</v>
      </c>
      <c r="BJ41" s="253">
        <v>0</v>
      </c>
      <c r="BK41" s="253">
        <v>0</v>
      </c>
      <c r="BL41" s="253">
        <v>0</v>
      </c>
      <c r="BM41" s="253">
        <v>1</v>
      </c>
      <c r="BN41" s="253"/>
      <c r="BO41" s="245"/>
      <c r="BP41" s="263">
        <v>8591016249.6299992</v>
      </c>
      <c r="BQ41" s="263">
        <v>83606</v>
      </c>
      <c r="BR41" s="263">
        <v>274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">
      <c r="B42" s="190" t="s">
        <v>248</v>
      </c>
      <c r="C42" s="193">
        <v>38716</v>
      </c>
      <c r="D42" s="190">
        <v>18207.32</v>
      </c>
      <c r="E42" s="223">
        <v>1</v>
      </c>
      <c r="F42" s="214"/>
      <c r="G42" s="223" t="s">
        <v>546</v>
      </c>
      <c r="H42" s="223">
        <v>50337.154114379999</v>
      </c>
      <c r="I42" s="164"/>
      <c r="J42" s="157"/>
      <c r="K42" s="228"/>
      <c r="L42" s="228"/>
      <c r="M42" s="228"/>
      <c r="O42" s="241" t="s">
        <v>546</v>
      </c>
      <c r="P42" s="241">
        <v>52201.040273159997</v>
      </c>
      <c r="Q42" s="239"/>
      <c r="R42" s="157"/>
      <c r="S42" s="253" t="s">
        <v>448</v>
      </c>
      <c r="T42" s="258">
        <v>189982</v>
      </c>
      <c r="U42" s="258">
        <v>379748</v>
      </c>
      <c r="V42" s="258">
        <v>4769</v>
      </c>
      <c r="W42" s="258">
        <v>719099</v>
      </c>
      <c r="X42" s="258">
        <v>1</v>
      </c>
      <c r="Y42" s="245"/>
      <c r="Z42" s="253" t="s">
        <v>596</v>
      </c>
      <c r="AA42" s="253">
        <v>0</v>
      </c>
      <c r="AB42" s="253">
        <v>0</v>
      </c>
      <c r="AC42" s="253">
        <v>0</v>
      </c>
      <c r="AD42" s="253">
        <v>0</v>
      </c>
      <c r="AE42" s="253">
        <v>0</v>
      </c>
      <c r="AF42" s="253"/>
      <c r="AG42" s="253" t="s">
        <v>598</v>
      </c>
      <c r="AH42" s="253">
        <v>2318300</v>
      </c>
      <c r="AI42" s="253">
        <v>120</v>
      </c>
      <c r="AJ42" s="253">
        <v>2</v>
      </c>
      <c r="AK42" s="253">
        <v>1566</v>
      </c>
      <c r="AL42" s="253">
        <v>1</v>
      </c>
      <c r="AM42" s="245"/>
      <c r="AN42" s="253" t="s">
        <v>597</v>
      </c>
      <c r="AO42" s="253">
        <v>0</v>
      </c>
      <c r="AP42" s="253">
        <v>0</v>
      </c>
      <c r="AQ42" s="253">
        <v>0</v>
      </c>
      <c r="AR42" s="253">
        <v>0</v>
      </c>
      <c r="AS42" s="253">
        <v>1</v>
      </c>
      <c r="AT42" s="245"/>
      <c r="AU42" s="253" t="s">
        <v>597</v>
      </c>
      <c r="AV42" s="253">
        <v>0</v>
      </c>
      <c r="AW42" s="253">
        <v>0</v>
      </c>
      <c r="AX42" s="253">
        <v>0</v>
      </c>
      <c r="AY42" s="253">
        <v>0</v>
      </c>
      <c r="AZ42" s="253">
        <v>1</v>
      </c>
      <c r="BA42" s="245"/>
      <c r="BB42" s="253" t="s">
        <v>568</v>
      </c>
      <c r="BC42" s="253">
        <v>37975449.909999996</v>
      </c>
      <c r="BD42" s="253">
        <v>295</v>
      </c>
      <c r="BE42" s="253">
        <v>41</v>
      </c>
      <c r="BF42" s="253">
        <v>3172</v>
      </c>
      <c r="BG42" s="253">
        <v>1</v>
      </c>
      <c r="BH42" s="247" t="s">
        <v>568</v>
      </c>
      <c r="BI42" s="253">
        <v>0</v>
      </c>
      <c r="BJ42" s="253">
        <v>0</v>
      </c>
      <c r="BK42" s="253">
        <v>0</v>
      </c>
      <c r="BL42" s="253">
        <v>110</v>
      </c>
      <c r="BM42" s="253">
        <v>1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">
      <c r="B43" s="190" t="s">
        <v>249</v>
      </c>
      <c r="C43" s="193">
        <v>38615</v>
      </c>
      <c r="D43" s="190">
        <v>4728.4799999999996</v>
      </c>
      <c r="E43" s="223">
        <v>1</v>
      </c>
      <c r="F43" s="214"/>
      <c r="G43" s="223" t="s">
        <v>547</v>
      </c>
      <c r="H43" s="223">
        <v>49901.932349000002</v>
      </c>
      <c r="I43" s="164"/>
      <c r="J43" s="157"/>
      <c r="K43" s="228"/>
      <c r="L43" s="228"/>
      <c r="M43" s="228"/>
      <c r="O43" s="241" t="s">
        <v>547</v>
      </c>
      <c r="P43" s="241">
        <v>51790.751306120001</v>
      </c>
      <c r="Q43" s="239"/>
      <c r="S43" s="245"/>
      <c r="T43" s="245"/>
      <c r="U43" s="245"/>
      <c r="V43" s="245"/>
      <c r="W43" s="245"/>
      <c r="X43" s="245"/>
      <c r="Y43" s="245"/>
      <c r="Z43" s="253" t="s">
        <v>597</v>
      </c>
      <c r="AA43" s="253">
        <v>0</v>
      </c>
      <c r="AB43" s="253">
        <v>0</v>
      </c>
      <c r="AC43" s="253">
        <v>0</v>
      </c>
      <c r="AD43" s="253">
        <v>0</v>
      </c>
      <c r="AE43" s="253">
        <v>1</v>
      </c>
      <c r="AF43" s="253"/>
      <c r="AG43" s="253" t="s">
        <v>599</v>
      </c>
      <c r="AH43" s="253">
        <v>0</v>
      </c>
      <c r="AI43" s="253">
        <v>0</v>
      </c>
      <c r="AJ43" s="253">
        <v>0</v>
      </c>
      <c r="AK43" s="253">
        <v>5</v>
      </c>
      <c r="AL43" s="253">
        <v>1</v>
      </c>
      <c r="AM43" s="245"/>
      <c r="AN43" s="253" t="s">
        <v>598</v>
      </c>
      <c r="AO43" s="253">
        <v>36618115.450000003</v>
      </c>
      <c r="AP43" s="253">
        <v>1955</v>
      </c>
      <c r="AQ43" s="253">
        <v>88</v>
      </c>
      <c r="AR43" s="253">
        <v>23028</v>
      </c>
      <c r="AS43" s="253">
        <v>1</v>
      </c>
      <c r="AT43" s="245"/>
      <c r="AU43" s="253" t="s">
        <v>598</v>
      </c>
      <c r="AV43" s="253">
        <v>799050</v>
      </c>
      <c r="AW43" s="253">
        <v>42</v>
      </c>
      <c r="AX43" s="253">
        <v>3</v>
      </c>
      <c r="AY43" s="253">
        <v>825</v>
      </c>
      <c r="AZ43" s="253">
        <v>1</v>
      </c>
      <c r="BA43" s="245"/>
      <c r="BB43" s="253" t="s">
        <v>569</v>
      </c>
      <c r="BC43" s="253">
        <v>0</v>
      </c>
      <c r="BD43" s="253">
        <v>0</v>
      </c>
      <c r="BE43" s="253">
        <v>0</v>
      </c>
      <c r="BF43" s="253">
        <v>0</v>
      </c>
      <c r="BG43" s="253">
        <v>0</v>
      </c>
      <c r="BH43" s="247" t="s">
        <v>569</v>
      </c>
      <c r="BI43" s="253">
        <v>0</v>
      </c>
      <c r="BJ43" s="253">
        <v>0</v>
      </c>
      <c r="BK43" s="253">
        <v>0</v>
      </c>
      <c r="BL43" s="253">
        <v>0</v>
      </c>
      <c r="BM43" s="253">
        <v>0</v>
      </c>
      <c r="BN43" s="253"/>
      <c r="BO43" s="252" t="s">
        <v>488</v>
      </c>
      <c r="BP43" s="264" t="s">
        <v>557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">
      <c r="A44" s="35"/>
      <c r="B44" s="190" t="s">
        <v>250</v>
      </c>
      <c r="C44" s="193">
        <v>38716</v>
      </c>
      <c r="D44" s="190">
        <v>23744.76</v>
      </c>
      <c r="E44" s="223">
        <v>1</v>
      </c>
      <c r="F44" s="209"/>
      <c r="G44" s="223" t="s">
        <v>282</v>
      </c>
      <c r="H44" s="223">
        <v>3726.4306115300001</v>
      </c>
      <c r="I44" s="164"/>
      <c r="J44" s="157"/>
      <c r="K44" s="228"/>
      <c r="L44" s="228"/>
      <c r="M44" s="228"/>
      <c r="O44" s="241" t="s">
        <v>282</v>
      </c>
      <c r="P44" s="241">
        <v>3843.9673320699999</v>
      </c>
      <c r="Q44" s="239"/>
      <c r="S44" s="245"/>
      <c r="T44" s="245"/>
      <c r="U44" s="245"/>
      <c r="V44" s="245"/>
      <c r="W44" s="245"/>
      <c r="X44" s="245"/>
      <c r="Y44" s="245"/>
      <c r="Z44" s="253" t="s">
        <v>598</v>
      </c>
      <c r="AA44" s="253">
        <v>34354231.200000003</v>
      </c>
      <c r="AB44" s="253">
        <v>1757</v>
      </c>
      <c r="AC44" s="253">
        <v>137</v>
      </c>
      <c r="AD44" s="253">
        <v>27019</v>
      </c>
      <c r="AE44" s="253">
        <v>1</v>
      </c>
      <c r="AF44" s="253"/>
      <c r="AG44" s="253" t="s">
        <v>568</v>
      </c>
      <c r="AH44" s="253">
        <v>0</v>
      </c>
      <c r="AI44" s="253">
        <v>0</v>
      </c>
      <c r="AJ44" s="253">
        <v>0</v>
      </c>
      <c r="AK44" s="253">
        <v>39</v>
      </c>
      <c r="AL44" s="253">
        <v>1</v>
      </c>
      <c r="AM44" s="245"/>
      <c r="AN44" s="253" t="s">
        <v>599</v>
      </c>
      <c r="AO44" s="253">
        <v>0</v>
      </c>
      <c r="AP44" s="253">
        <v>0</v>
      </c>
      <c r="AQ44" s="253">
        <v>0</v>
      </c>
      <c r="AR44" s="253">
        <v>110</v>
      </c>
      <c r="AS44" s="253">
        <v>1</v>
      </c>
      <c r="AT44" s="245"/>
      <c r="AU44" s="253" t="s">
        <v>599</v>
      </c>
      <c r="AV44" s="253">
        <v>0</v>
      </c>
      <c r="AW44" s="253">
        <v>0</v>
      </c>
      <c r="AX44" s="253">
        <v>0</v>
      </c>
      <c r="AY44" s="253">
        <v>5</v>
      </c>
      <c r="AZ44" s="253">
        <v>1</v>
      </c>
      <c r="BA44" s="245"/>
      <c r="BB44" s="253" t="s">
        <v>570</v>
      </c>
      <c r="BC44" s="253">
        <v>0</v>
      </c>
      <c r="BD44" s="253">
        <v>0</v>
      </c>
      <c r="BE44" s="253">
        <v>0</v>
      </c>
      <c r="BF44" s="253">
        <v>0</v>
      </c>
      <c r="BG44" s="253">
        <v>0</v>
      </c>
      <c r="BH44" s="247" t="s">
        <v>570</v>
      </c>
      <c r="BI44" s="253">
        <v>0</v>
      </c>
      <c r="BJ44" s="253">
        <v>0</v>
      </c>
      <c r="BK44" s="253">
        <v>0</v>
      </c>
      <c r="BL44" s="253">
        <v>0</v>
      </c>
      <c r="BM44" s="253">
        <v>0</v>
      </c>
      <c r="BN44" s="253"/>
      <c r="BO44" s="247"/>
      <c r="BP44" s="263">
        <v>755647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">
      <c r="B45" s="190" t="s">
        <v>251</v>
      </c>
      <c r="C45" s="193">
        <v>38715</v>
      </c>
      <c r="D45" s="190">
        <v>24993.42</v>
      </c>
      <c r="E45" s="223">
        <v>1</v>
      </c>
      <c r="F45" s="210"/>
      <c r="G45" s="223" t="s">
        <v>61</v>
      </c>
      <c r="H45" s="223">
        <v>30287.885444399999</v>
      </c>
      <c r="I45" s="164"/>
      <c r="J45" s="157"/>
      <c r="K45" s="228"/>
      <c r="L45" s="228"/>
      <c r="M45" s="228"/>
      <c r="O45" s="241" t="s">
        <v>61</v>
      </c>
      <c r="P45" s="241">
        <v>31220.25897028</v>
      </c>
      <c r="Q45" s="239"/>
      <c r="R45" s="153" t="s">
        <v>455</v>
      </c>
      <c r="S45" s="254" t="s">
        <v>553</v>
      </c>
      <c r="T45" s="257" t="s">
        <v>554</v>
      </c>
      <c r="U45" s="257" t="s">
        <v>555</v>
      </c>
      <c r="V45" s="257" t="s">
        <v>556</v>
      </c>
      <c r="W45" s="257" t="s">
        <v>557</v>
      </c>
      <c r="X45" s="257" t="s">
        <v>558</v>
      </c>
      <c r="Y45" s="245"/>
      <c r="Z45" s="253" t="s">
        <v>599</v>
      </c>
      <c r="AA45" s="253">
        <v>0</v>
      </c>
      <c r="AB45" s="253">
        <v>0</v>
      </c>
      <c r="AC45" s="253">
        <v>0</v>
      </c>
      <c r="AD45" s="253">
        <v>105</v>
      </c>
      <c r="AE45" s="253">
        <v>1</v>
      </c>
      <c r="AF45" s="253"/>
      <c r="AG45" s="253" t="s">
        <v>569</v>
      </c>
      <c r="AH45" s="253">
        <v>0</v>
      </c>
      <c r="AI45" s="253">
        <v>0</v>
      </c>
      <c r="AJ45" s="253">
        <v>0</v>
      </c>
      <c r="AK45" s="253">
        <v>0</v>
      </c>
      <c r="AL45" s="253">
        <v>0</v>
      </c>
      <c r="AM45" s="245"/>
      <c r="AN45" s="253" t="s">
        <v>568</v>
      </c>
      <c r="AO45" s="253">
        <v>26471490.02</v>
      </c>
      <c r="AP45" s="253">
        <v>212</v>
      </c>
      <c r="AQ45" s="253">
        <v>35</v>
      </c>
      <c r="AR45" s="253">
        <v>1617</v>
      </c>
      <c r="AS45" s="253">
        <v>1</v>
      </c>
      <c r="AT45" s="245"/>
      <c r="AU45" s="253" t="s">
        <v>568</v>
      </c>
      <c r="AV45" s="253">
        <v>127200</v>
      </c>
      <c r="AW45" s="253">
        <v>1</v>
      </c>
      <c r="AX45" s="253">
        <v>1</v>
      </c>
      <c r="AY45" s="253">
        <v>76</v>
      </c>
      <c r="AZ45" s="253">
        <v>1</v>
      </c>
      <c r="BA45" s="245"/>
      <c r="BB45" s="253" t="s">
        <v>571</v>
      </c>
      <c r="BC45" s="253">
        <v>22404770.245000001</v>
      </c>
      <c r="BD45" s="253">
        <v>165</v>
      </c>
      <c r="BE45" s="253">
        <v>22</v>
      </c>
      <c r="BF45" s="253">
        <v>2448</v>
      </c>
      <c r="BG45" s="253">
        <v>1</v>
      </c>
      <c r="BH45" s="247" t="s">
        <v>571</v>
      </c>
      <c r="BI45" s="253">
        <v>116550</v>
      </c>
      <c r="BJ45" s="253">
        <v>1</v>
      </c>
      <c r="BK45" s="253">
        <v>1</v>
      </c>
      <c r="BL45" s="253">
        <v>118</v>
      </c>
      <c r="BM45" s="253">
        <v>1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">
      <c r="B46" s="190" t="s">
        <v>252</v>
      </c>
      <c r="C46" s="193">
        <v>38716</v>
      </c>
      <c r="D46" s="190">
        <v>2895.12</v>
      </c>
      <c r="E46" s="223">
        <v>1</v>
      </c>
      <c r="F46" s="216"/>
      <c r="G46" s="223" t="s">
        <v>65</v>
      </c>
      <c r="H46" s="223">
        <v>70512.143978370004</v>
      </c>
      <c r="I46" s="164"/>
      <c r="J46" s="157"/>
      <c r="K46" s="228"/>
      <c r="L46" s="228"/>
      <c r="M46" s="228"/>
      <c r="O46" s="241" t="s">
        <v>65</v>
      </c>
      <c r="P46" s="241">
        <v>73731.255043130004</v>
      </c>
      <c r="Q46" s="239"/>
      <c r="S46" s="253" t="s">
        <v>449</v>
      </c>
      <c r="T46" s="258">
        <v>3436416.3029999998</v>
      </c>
      <c r="U46" s="258">
        <v>6879</v>
      </c>
      <c r="V46" s="258">
        <v>6</v>
      </c>
      <c r="W46" s="258">
        <v>18048034</v>
      </c>
      <c r="X46" s="258">
        <v>1</v>
      </c>
      <c r="Y46" s="245"/>
      <c r="Z46" s="253" t="s">
        <v>568</v>
      </c>
      <c r="AA46" s="253">
        <v>7548100</v>
      </c>
      <c r="AB46" s="253">
        <v>59</v>
      </c>
      <c r="AC46" s="253">
        <v>10</v>
      </c>
      <c r="AD46" s="253">
        <v>1048</v>
      </c>
      <c r="AE46" s="253">
        <v>1</v>
      </c>
      <c r="AF46" s="253"/>
      <c r="AG46" s="253" t="s">
        <v>570</v>
      </c>
      <c r="AH46" s="253">
        <v>0</v>
      </c>
      <c r="AI46" s="253">
        <v>0</v>
      </c>
      <c r="AJ46" s="253">
        <v>0</v>
      </c>
      <c r="AK46" s="253">
        <v>0</v>
      </c>
      <c r="AL46" s="253">
        <v>0</v>
      </c>
      <c r="AM46" s="245"/>
      <c r="AN46" s="253" t="s">
        <v>569</v>
      </c>
      <c r="AO46" s="253">
        <v>0</v>
      </c>
      <c r="AP46" s="253">
        <v>0</v>
      </c>
      <c r="AQ46" s="253">
        <v>0</v>
      </c>
      <c r="AR46" s="253">
        <v>0</v>
      </c>
      <c r="AS46" s="253">
        <v>0</v>
      </c>
      <c r="AT46" s="245"/>
      <c r="AU46" s="253" t="s">
        <v>569</v>
      </c>
      <c r="AV46" s="253">
        <v>0</v>
      </c>
      <c r="AW46" s="253">
        <v>0</v>
      </c>
      <c r="AX46" s="253">
        <v>0</v>
      </c>
      <c r="AY46" s="253">
        <v>0</v>
      </c>
      <c r="AZ46" s="253">
        <v>0</v>
      </c>
      <c r="BA46" s="245"/>
      <c r="BB46" s="253" t="s">
        <v>573</v>
      </c>
      <c r="BC46" s="253">
        <v>0</v>
      </c>
      <c r="BD46" s="253">
        <v>0</v>
      </c>
      <c r="BE46" s="253">
        <v>0</v>
      </c>
      <c r="BF46" s="253">
        <v>0</v>
      </c>
      <c r="BG46" s="253">
        <v>0</v>
      </c>
      <c r="BH46" s="247" t="s">
        <v>573</v>
      </c>
      <c r="BI46" s="253">
        <v>0</v>
      </c>
      <c r="BJ46" s="253">
        <v>0</v>
      </c>
      <c r="BK46" s="253">
        <v>0</v>
      </c>
      <c r="BL46" s="253">
        <v>0</v>
      </c>
      <c r="BM46" s="253">
        <v>0</v>
      </c>
      <c r="BN46" s="253"/>
      <c r="BO46" s="260" t="s">
        <v>489</v>
      </c>
      <c r="BP46" s="264" t="s">
        <v>557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">
      <c r="B47" s="190" t="s">
        <v>253</v>
      </c>
      <c r="C47" s="193">
        <v>38699</v>
      </c>
      <c r="D47" s="190">
        <v>28328.49</v>
      </c>
      <c r="E47" s="223">
        <v>1</v>
      </c>
      <c r="F47" s="217"/>
      <c r="G47" s="223" t="s">
        <v>67</v>
      </c>
      <c r="H47" s="223">
        <v>14469.724026780001</v>
      </c>
      <c r="I47" s="164"/>
      <c r="J47" s="159"/>
      <c r="K47" s="228"/>
      <c r="L47" s="228"/>
      <c r="M47" s="228"/>
      <c r="O47" s="241" t="s">
        <v>67</v>
      </c>
      <c r="P47" s="241">
        <v>14774.89862107</v>
      </c>
      <c r="Q47" s="239"/>
      <c r="S47" s="253" t="s">
        <v>447</v>
      </c>
      <c r="T47" s="258">
        <v>57646399.490000002</v>
      </c>
      <c r="U47" s="258">
        <v>14403</v>
      </c>
      <c r="V47" s="258">
        <v>31</v>
      </c>
      <c r="W47" s="258">
        <v>2535315</v>
      </c>
      <c r="X47" s="258">
        <v>0</v>
      </c>
      <c r="Y47" s="245"/>
      <c r="Z47" s="253" t="s">
        <v>569</v>
      </c>
      <c r="AA47" s="253">
        <v>0</v>
      </c>
      <c r="AB47" s="253">
        <v>0</v>
      </c>
      <c r="AC47" s="253">
        <v>0</v>
      </c>
      <c r="AD47" s="253">
        <v>0</v>
      </c>
      <c r="AE47" s="253">
        <v>0</v>
      </c>
      <c r="AF47" s="253"/>
      <c r="AG47" s="253" t="s">
        <v>571</v>
      </c>
      <c r="AH47" s="253">
        <v>19257060</v>
      </c>
      <c r="AI47" s="253">
        <v>155</v>
      </c>
      <c r="AJ47" s="253">
        <v>6</v>
      </c>
      <c r="AK47" s="253">
        <v>52</v>
      </c>
      <c r="AL47" s="253">
        <v>1</v>
      </c>
      <c r="AM47" s="245"/>
      <c r="AN47" s="253" t="s">
        <v>570</v>
      </c>
      <c r="AO47" s="253">
        <v>0</v>
      </c>
      <c r="AP47" s="253">
        <v>0</v>
      </c>
      <c r="AQ47" s="253">
        <v>0</v>
      </c>
      <c r="AR47" s="253">
        <v>0</v>
      </c>
      <c r="AS47" s="253">
        <v>0</v>
      </c>
      <c r="AT47" s="245"/>
      <c r="AU47" s="253" t="s">
        <v>570</v>
      </c>
      <c r="AV47" s="253">
        <v>0</v>
      </c>
      <c r="AW47" s="253">
        <v>0</v>
      </c>
      <c r="AX47" s="253">
        <v>0</v>
      </c>
      <c r="AY47" s="253">
        <v>0</v>
      </c>
      <c r="AZ47" s="253">
        <v>0</v>
      </c>
      <c r="BA47" s="245"/>
      <c r="BB47" s="253" t="s">
        <v>572</v>
      </c>
      <c r="BC47" s="253">
        <v>167621083.43000001</v>
      </c>
      <c r="BD47" s="253">
        <v>11556</v>
      </c>
      <c r="BE47" s="253">
        <v>563</v>
      </c>
      <c r="BF47" s="253">
        <v>475363</v>
      </c>
      <c r="BG47" s="253">
        <v>0</v>
      </c>
      <c r="BH47" s="247" t="s">
        <v>572</v>
      </c>
      <c r="BI47" s="253">
        <v>5626700</v>
      </c>
      <c r="BJ47" s="253">
        <v>464</v>
      </c>
      <c r="BK47" s="253">
        <v>39</v>
      </c>
      <c r="BL47" s="253">
        <v>11984</v>
      </c>
      <c r="BM47" s="253">
        <v>0</v>
      </c>
      <c r="BN47" s="253"/>
      <c r="BO47" s="247"/>
      <c r="BP47" s="263">
        <v>64115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">
      <c r="B48" s="190" t="s">
        <v>254</v>
      </c>
      <c r="C48" s="193">
        <v>42195</v>
      </c>
      <c r="D48" s="190">
        <v>67821.078360950007</v>
      </c>
      <c r="E48" s="223">
        <v>1</v>
      </c>
      <c r="F48" s="217"/>
      <c r="G48" s="223" t="s">
        <v>69</v>
      </c>
      <c r="H48" s="223">
        <v>73183.626410330005</v>
      </c>
      <c r="I48" s="164"/>
      <c r="J48" s="159"/>
      <c r="K48" s="228"/>
      <c r="L48" s="228"/>
      <c r="M48" s="228"/>
      <c r="O48" s="241" t="s">
        <v>69</v>
      </c>
      <c r="P48" s="241">
        <v>76137.153013190007</v>
      </c>
      <c r="Q48" s="239"/>
      <c r="S48" s="253" t="s">
        <v>451</v>
      </c>
      <c r="T48" s="258">
        <v>7133592.3399999999</v>
      </c>
      <c r="U48" s="258">
        <v>39431</v>
      </c>
      <c r="V48" s="258">
        <v>44</v>
      </c>
      <c r="W48" s="258">
        <v>390292</v>
      </c>
      <c r="X48" s="258">
        <v>0</v>
      </c>
      <c r="Y48" s="245"/>
      <c r="Z48" s="253" t="s">
        <v>570</v>
      </c>
      <c r="AA48" s="253">
        <v>0</v>
      </c>
      <c r="AB48" s="253">
        <v>0</v>
      </c>
      <c r="AC48" s="253">
        <v>0</v>
      </c>
      <c r="AD48" s="253">
        <v>0</v>
      </c>
      <c r="AE48" s="253">
        <v>0</v>
      </c>
      <c r="AF48" s="253"/>
      <c r="AG48" s="253" t="s">
        <v>573</v>
      </c>
      <c r="AH48" s="253">
        <v>0</v>
      </c>
      <c r="AI48" s="253">
        <v>0</v>
      </c>
      <c r="AJ48" s="253">
        <v>0</v>
      </c>
      <c r="AK48" s="253">
        <v>0</v>
      </c>
      <c r="AL48" s="253">
        <v>0</v>
      </c>
      <c r="AM48" s="245"/>
      <c r="AN48" s="253" t="s">
        <v>571</v>
      </c>
      <c r="AO48" s="253">
        <v>2150450</v>
      </c>
      <c r="AP48" s="253">
        <v>20</v>
      </c>
      <c r="AQ48" s="253">
        <v>9</v>
      </c>
      <c r="AR48" s="253">
        <v>127</v>
      </c>
      <c r="AS48" s="253">
        <v>1</v>
      </c>
      <c r="AT48" s="245"/>
      <c r="AU48" s="253" t="s">
        <v>571</v>
      </c>
      <c r="AV48" s="253">
        <v>0</v>
      </c>
      <c r="AW48" s="253">
        <v>0</v>
      </c>
      <c r="AX48" s="253">
        <v>0</v>
      </c>
      <c r="AY48" s="253">
        <v>4</v>
      </c>
      <c r="AZ48" s="253">
        <v>1</v>
      </c>
      <c r="BA48" s="245"/>
      <c r="BB48" s="253" t="s">
        <v>596</v>
      </c>
      <c r="BC48" s="253">
        <v>12120310</v>
      </c>
      <c r="BD48" s="253">
        <v>239</v>
      </c>
      <c r="BE48" s="253">
        <v>66</v>
      </c>
      <c r="BF48" s="253">
        <v>5162</v>
      </c>
      <c r="BG48" s="253">
        <v>1</v>
      </c>
      <c r="BH48" s="247" t="s">
        <v>596</v>
      </c>
      <c r="BI48" s="253">
        <v>565540</v>
      </c>
      <c r="BJ48" s="253">
        <v>11</v>
      </c>
      <c r="BK48" s="253">
        <v>3</v>
      </c>
      <c r="BL48" s="253">
        <v>302</v>
      </c>
      <c r="BM48" s="253">
        <v>1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">
      <c r="B49" s="190" t="s">
        <v>255</v>
      </c>
      <c r="C49" s="193">
        <v>38709</v>
      </c>
      <c r="D49" s="190">
        <v>1445.21</v>
      </c>
      <c r="E49" s="223">
        <v>1</v>
      </c>
      <c r="F49" s="217"/>
      <c r="G49" s="223" t="s">
        <v>115</v>
      </c>
      <c r="H49" s="223">
        <v>1210.72635347</v>
      </c>
      <c r="I49" s="164"/>
      <c r="J49" s="159"/>
      <c r="K49" s="228"/>
      <c r="L49" s="228"/>
      <c r="M49" s="228"/>
      <c r="O49" s="241" t="s">
        <v>115</v>
      </c>
      <c r="P49" s="241">
        <v>1266.08929143</v>
      </c>
      <c r="Q49" s="239"/>
      <c r="S49" s="253" t="s">
        <v>446</v>
      </c>
      <c r="T49" s="258">
        <v>76989500</v>
      </c>
      <c r="U49" s="258">
        <v>10000</v>
      </c>
      <c r="V49" s="258">
        <v>15</v>
      </c>
      <c r="W49" s="258">
        <v>1053192</v>
      </c>
      <c r="X49" s="258">
        <v>0</v>
      </c>
      <c r="Y49" s="245"/>
      <c r="Z49" s="253" t="s">
        <v>571</v>
      </c>
      <c r="AA49" s="253">
        <v>27153890</v>
      </c>
      <c r="AB49" s="253">
        <v>222</v>
      </c>
      <c r="AC49" s="253">
        <v>18</v>
      </c>
      <c r="AD49" s="253">
        <v>504</v>
      </c>
      <c r="AE49" s="253">
        <v>1</v>
      </c>
      <c r="AF49" s="253"/>
      <c r="AG49" s="253" t="s">
        <v>572</v>
      </c>
      <c r="AH49" s="253">
        <v>733193</v>
      </c>
      <c r="AI49" s="253">
        <v>65</v>
      </c>
      <c r="AJ49" s="253">
        <v>20</v>
      </c>
      <c r="AK49" s="253">
        <v>3485</v>
      </c>
      <c r="AL49" s="253">
        <v>0</v>
      </c>
      <c r="AM49" s="245"/>
      <c r="AN49" s="253" t="s">
        <v>573</v>
      </c>
      <c r="AO49" s="253">
        <v>0</v>
      </c>
      <c r="AP49" s="253">
        <v>0</v>
      </c>
      <c r="AQ49" s="253">
        <v>0</v>
      </c>
      <c r="AR49" s="253">
        <v>0</v>
      </c>
      <c r="AS49" s="253">
        <v>0</v>
      </c>
      <c r="AT49" s="245"/>
      <c r="AU49" s="253" t="s">
        <v>573</v>
      </c>
      <c r="AV49" s="253">
        <v>0</v>
      </c>
      <c r="AW49" s="253">
        <v>0</v>
      </c>
      <c r="AX49" s="253">
        <v>0</v>
      </c>
      <c r="AY49" s="253">
        <v>0</v>
      </c>
      <c r="AZ49" s="253">
        <v>0</v>
      </c>
      <c r="BA49" s="245"/>
      <c r="BB49" s="253" t="s">
        <v>609</v>
      </c>
      <c r="BC49" s="253">
        <v>0</v>
      </c>
      <c r="BD49" s="253">
        <v>0</v>
      </c>
      <c r="BE49" s="253">
        <v>0</v>
      </c>
      <c r="BF49" s="253">
        <v>0</v>
      </c>
      <c r="BG49" s="253">
        <v>1</v>
      </c>
      <c r="BH49" s="247" t="s">
        <v>609</v>
      </c>
      <c r="BI49" s="253">
        <v>0</v>
      </c>
      <c r="BJ49" s="253">
        <v>0</v>
      </c>
      <c r="BK49" s="253">
        <v>0</v>
      </c>
      <c r="BL49" s="253">
        <v>0</v>
      </c>
      <c r="BM49" s="253">
        <v>1</v>
      </c>
      <c r="BN49" s="253"/>
      <c r="BO49" s="256" t="s">
        <v>491</v>
      </c>
      <c r="BP49" s="264" t="s">
        <v>537</v>
      </c>
      <c r="BQ49" s="264" t="s">
        <v>555</v>
      </c>
      <c r="BR49" s="264" t="s">
        <v>556</v>
      </c>
    </row>
    <row r="50" spans="1:70" x14ac:dyDescent="0.2">
      <c r="B50" s="190" t="s">
        <v>256</v>
      </c>
      <c r="C50" s="193">
        <v>38673</v>
      </c>
      <c r="D50" s="190">
        <v>110.01</v>
      </c>
      <c r="E50" s="223">
        <v>1</v>
      </c>
      <c r="F50" s="217"/>
      <c r="G50" s="223" t="s">
        <v>283</v>
      </c>
      <c r="H50" s="223">
        <v>441.98208972999998</v>
      </c>
      <c r="I50" s="164"/>
      <c r="J50" s="159"/>
      <c r="K50" s="228"/>
      <c r="L50" s="228"/>
      <c r="M50" s="228"/>
      <c r="O50" s="241" t="s">
        <v>283</v>
      </c>
      <c r="P50" s="241">
        <v>476.44675253999998</v>
      </c>
      <c r="Q50" s="239"/>
      <c r="S50" s="253" t="s">
        <v>559</v>
      </c>
      <c r="T50" s="258">
        <v>0</v>
      </c>
      <c r="U50" s="258">
        <v>0</v>
      </c>
      <c r="V50" s="258">
        <v>0</v>
      </c>
      <c r="W50" s="258">
        <v>0</v>
      </c>
      <c r="X50" s="258">
        <v>1</v>
      </c>
      <c r="Y50" s="245"/>
      <c r="Z50" s="253" t="s">
        <v>573</v>
      </c>
      <c r="AA50" s="253">
        <v>0</v>
      </c>
      <c r="AB50" s="253">
        <v>0</v>
      </c>
      <c r="AC50" s="253">
        <v>0</v>
      </c>
      <c r="AD50" s="253">
        <v>0</v>
      </c>
      <c r="AE50" s="253">
        <v>0</v>
      </c>
      <c r="AF50" s="253"/>
      <c r="AG50" s="253" t="s">
        <v>596</v>
      </c>
      <c r="AH50" s="253">
        <v>96300</v>
      </c>
      <c r="AI50" s="253">
        <v>2</v>
      </c>
      <c r="AJ50" s="253">
        <v>1</v>
      </c>
      <c r="AK50" s="253">
        <v>63</v>
      </c>
      <c r="AL50" s="253">
        <v>1</v>
      </c>
      <c r="AM50" s="245"/>
      <c r="AN50" s="253" t="s">
        <v>572</v>
      </c>
      <c r="AO50" s="253">
        <v>29483321.859999999</v>
      </c>
      <c r="AP50" s="253">
        <v>4693</v>
      </c>
      <c r="AQ50" s="253">
        <v>353</v>
      </c>
      <c r="AR50" s="253">
        <v>250397</v>
      </c>
      <c r="AS50" s="253">
        <v>0</v>
      </c>
      <c r="AT50" s="245"/>
      <c r="AU50" s="253" t="s">
        <v>572</v>
      </c>
      <c r="AV50" s="253">
        <v>789019</v>
      </c>
      <c r="AW50" s="253">
        <v>39</v>
      </c>
      <c r="AX50" s="253">
        <v>8</v>
      </c>
      <c r="AY50" s="253">
        <v>11544</v>
      </c>
      <c r="AZ50" s="253">
        <v>0</v>
      </c>
      <c r="BA50" s="245"/>
      <c r="BB50" s="253" t="s">
        <v>578</v>
      </c>
      <c r="BC50" s="253">
        <v>17146809</v>
      </c>
      <c r="BD50" s="253">
        <v>327</v>
      </c>
      <c r="BE50" s="253">
        <v>62</v>
      </c>
      <c r="BF50" s="253">
        <v>4077</v>
      </c>
      <c r="BG50" s="253">
        <v>1</v>
      </c>
      <c r="BH50" s="247" t="s">
        <v>578</v>
      </c>
      <c r="BI50" s="253">
        <v>3131394.75</v>
      </c>
      <c r="BJ50" s="253">
        <v>57</v>
      </c>
      <c r="BK50" s="253">
        <v>1</v>
      </c>
      <c r="BL50" s="253">
        <v>185</v>
      </c>
      <c r="BM50" s="253">
        <v>1</v>
      </c>
      <c r="BN50" s="253"/>
      <c r="BO50" s="247"/>
      <c r="BP50" s="263">
        <v>86801261897.199997</v>
      </c>
      <c r="BQ50" s="263">
        <v>6587730</v>
      </c>
      <c r="BR50" s="263">
        <v>6938</v>
      </c>
    </row>
    <row r="51" spans="1:70" x14ac:dyDescent="0.2">
      <c r="B51" s="190" t="s">
        <v>257</v>
      </c>
      <c r="C51" s="193">
        <v>38709</v>
      </c>
      <c r="D51" s="190">
        <v>34691.21</v>
      </c>
      <c r="E51" s="223">
        <v>1</v>
      </c>
      <c r="F51" s="214"/>
      <c r="G51" s="223" t="s">
        <v>284</v>
      </c>
      <c r="H51" s="223">
        <v>20.701773029999998</v>
      </c>
      <c r="I51" s="164"/>
      <c r="J51" s="157"/>
      <c r="K51" s="228"/>
      <c r="L51" s="228"/>
      <c r="M51" s="228"/>
      <c r="O51" s="241" t="s">
        <v>284</v>
      </c>
      <c r="P51" s="241">
        <v>21.825973990000001</v>
      </c>
      <c r="Q51" s="239"/>
      <c r="S51" s="253" t="s">
        <v>447</v>
      </c>
      <c r="T51" s="258">
        <v>597430584.86000001</v>
      </c>
      <c r="U51" s="258">
        <v>50253</v>
      </c>
      <c r="V51" s="258">
        <v>220</v>
      </c>
      <c r="W51" s="258">
        <v>1007406</v>
      </c>
      <c r="X51" s="258">
        <v>1</v>
      </c>
      <c r="Y51" s="245"/>
      <c r="Z51" s="253" t="s">
        <v>572</v>
      </c>
      <c r="AA51" s="253">
        <v>20901308.600000001</v>
      </c>
      <c r="AB51" s="253">
        <v>2582</v>
      </c>
      <c r="AC51" s="253">
        <v>323</v>
      </c>
      <c r="AD51" s="253">
        <v>204219</v>
      </c>
      <c r="AE51" s="253">
        <v>0</v>
      </c>
      <c r="AF51" s="253"/>
      <c r="AG51" s="253" t="s">
        <v>600</v>
      </c>
      <c r="AH51" s="253">
        <v>0</v>
      </c>
      <c r="AI51" s="253">
        <v>0</v>
      </c>
      <c r="AJ51" s="253">
        <v>0</v>
      </c>
      <c r="AK51" s="253">
        <v>8</v>
      </c>
      <c r="AL51" s="253">
        <v>1</v>
      </c>
      <c r="AM51" s="245"/>
      <c r="AN51" s="253" t="s">
        <v>596</v>
      </c>
      <c r="AO51" s="253">
        <v>2015429.8</v>
      </c>
      <c r="AP51" s="253">
        <v>40</v>
      </c>
      <c r="AQ51" s="253">
        <v>13</v>
      </c>
      <c r="AR51" s="253">
        <v>1062</v>
      </c>
      <c r="AS51" s="253">
        <v>1</v>
      </c>
      <c r="AT51" s="245"/>
      <c r="AU51" s="253" t="s">
        <v>596</v>
      </c>
      <c r="AV51" s="253">
        <v>104450</v>
      </c>
      <c r="AW51" s="253">
        <v>2</v>
      </c>
      <c r="AX51" s="253">
        <v>2</v>
      </c>
      <c r="AY51" s="253">
        <v>47</v>
      </c>
      <c r="AZ51" s="253">
        <v>1</v>
      </c>
      <c r="BA51" s="245"/>
      <c r="BB51" s="253" t="s">
        <v>579</v>
      </c>
      <c r="BC51" s="253">
        <v>65760</v>
      </c>
      <c r="BD51" s="253">
        <v>2</v>
      </c>
      <c r="BE51" s="253">
        <v>1</v>
      </c>
      <c r="BF51" s="253">
        <v>40</v>
      </c>
      <c r="BG51" s="253">
        <v>1</v>
      </c>
      <c r="BH51" s="247" t="s">
        <v>579</v>
      </c>
      <c r="BI51" s="253">
        <v>65760</v>
      </c>
      <c r="BJ51" s="253">
        <v>2</v>
      </c>
      <c r="BK51" s="253">
        <v>1</v>
      </c>
      <c r="BL51" s="253">
        <v>0</v>
      </c>
      <c r="BM51" s="253">
        <v>1</v>
      </c>
      <c r="BN51" s="253"/>
      <c r="BO51" s="247"/>
      <c r="BP51" s="247"/>
      <c r="BQ51" s="247"/>
      <c r="BR51" s="247"/>
    </row>
    <row r="52" spans="1:70" x14ac:dyDescent="0.2">
      <c r="B52" s="190" t="s">
        <v>258</v>
      </c>
      <c r="C52" s="193">
        <v>38716</v>
      </c>
      <c r="D52" s="190">
        <v>14859.1</v>
      </c>
      <c r="E52" s="223">
        <v>1</v>
      </c>
      <c r="F52" s="209"/>
      <c r="G52" s="223" t="s">
        <v>285</v>
      </c>
      <c r="H52" s="223">
        <v>318.98167720999999</v>
      </c>
      <c r="I52" s="164"/>
      <c r="J52" s="157"/>
      <c r="K52" s="228"/>
      <c r="L52" s="228"/>
      <c r="M52" s="228"/>
      <c r="O52" s="241" t="s">
        <v>285</v>
      </c>
      <c r="P52" s="241">
        <v>320.10834624</v>
      </c>
      <c r="Q52" s="239"/>
      <c r="S52" s="253" t="s">
        <v>182</v>
      </c>
      <c r="T52" s="258">
        <v>4888862.75</v>
      </c>
      <c r="U52" s="258">
        <v>103405</v>
      </c>
      <c r="V52" s="258">
        <v>31</v>
      </c>
      <c r="W52" s="258">
        <v>1735889</v>
      </c>
      <c r="X52" s="258">
        <v>1</v>
      </c>
      <c r="Y52" s="245"/>
      <c r="Z52" s="253" t="s">
        <v>596</v>
      </c>
      <c r="AA52" s="253">
        <v>2930030</v>
      </c>
      <c r="AB52" s="253">
        <v>61</v>
      </c>
      <c r="AC52" s="253">
        <v>20</v>
      </c>
      <c r="AD52" s="253">
        <v>1221</v>
      </c>
      <c r="AE52" s="253">
        <v>1</v>
      </c>
      <c r="AF52" s="253"/>
      <c r="AG52" s="253" t="s">
        <v>578</v>
      </c>
      <c r="AH52" s="253">
        <v>95400</v>
      </c>
      <c r="AI52" s="253">
        <v>2</v>
      </c>
      <c r="AJ52" s="253">
        <v>1</v>
      </c>
      <c r="AK52" s="253">
        <v>190</v>
      </c>
      <c r="AL52" s="253">
        <v>1</v>
      </c>
      <c r="AM52" s="245"/>
      <c r="AN52" s="253" t="s">
        <v>600</v>
      </c>
      <c r="AO52" s="253">
        <v>1110981</v>
      </c>
      <c r="AP52" s="253">
        <v>22</v>
      </c>
      <c r="AQ52" s="253">
        <v>6</v>
      </c>
      <c r="AR52" s="253">
        <v>72</v>
      </c>
      <c r="AS52" s="253">
        <v>1</v>
      </c>
      <c r="AT52" s="245"/>
      <c r="AU52" s="253" t="s">
        <v>600</v>
      </c>
      <c r="AV52" s="253">
        <v>0</v>
      </c>
      <c r="AW52" s="253">
        <v>0</v>
      </c>
      <c r="AX52" s="253">
        <v>0</v>
      </c>
      <c r="AY52" s="253">
        <v>4</v>
      </c>
      <c r="AZ52" s="253">
        <v>1</v>
      </c>
      <c r="BA52" s="245"/>
      <c r="BB52" s="253" t="s">
        <v>582</v>
      </c>
      <c r="BC52" s="253">
        <v>14488100</v>
      </c>
      <c r="BD52" s="253">
        <v>22</v>
      </c>
      <c r="BE52" s="253">
        <v>2</v>
      </c>
      <c r="BF52" s="253">
        <v>187</v>
      </c>
      <c r="BG52" s="253">
        <v>1</v>
      </c>
      <c r="BH52" s="247" t="s">
        <v>582</v>
      </c>
      <c r="BI52" s="253">
        <v>0</v>
      </c>
      <c r="BJ52" s="253">
        <v>0</v>
      </c>
      <c r="BK52" s="253">
        <v>0</v>
      </c>
      <c r="BL52" s="253">
        <v>11</v>
      </c>
      <c r="BM52" s="253">
        <v>1</v>
      </c>
      <c r="BN52" s="253"/>
      <c r="BO52" s="259" t="s">
        <v>492</v>
      </c>
      <c r="BP52" s="264" t="s">
        <v>537</v>
      </c>
      <c r="BQ52" s="264" t="s">
        <v>555</v>
      </c>
      <c r="BR52" s="264" t="s">
        <v>556</v>
      </c>
    </row>
    <row r="53" spans="1:70" x14ac:dyDescent="0.2">
      <c r="B53" s="190" t="s">
        <v>259</v>
      </c>
      <c r="C53" s="193">
        <v>38708</v>
      </c>
      <c r="D53" s="190">
        <v>1357.01</v>
      </c>
      <c r="E53" s="223">
        <v>1</v>
      </c>
      <c r="F53" s="210"/>
      <c r="G53" s="223" t="s">
        <v>286</v>
      </c>
      <c r="H53" s="223">
        <v>227.52053040999999</v>
      </c>
      <c r="I53" s="164"/>
      <c r="J53" s="157"/>
      <c r="K53" s="228"/>
      <c r="L53" s="228"/>
      <c r="M53" s="228"/>
      <c r="O53" s="241" t="s">
        <v>286</v>
      </c>
      <c r="P53" s="241">
        <v>230.26286415999999</v>
      </c>
      <c r="Q53" s="239"/>
      <c r="S53" s="253" t="s">
        <v>449</v>
      </c>
      <c r="T53" s="258">
        <v>0</v>
      </c>
      <c r="U53" s="258">
        <v>0</v>
      </c>
      <c r="V53" s="258">
        <v>0</v>
      </c>
      <c r="W53" s="258">
        <v>0</v>
      </c>
      <c r="X53" s="258">
        <v>0</v>
      </c>
      <c r="Y53" s="245"/>
      <c r="Z53" s="253" t="s">
        <v>600</v>
      </c>
      <c r="AA53" s="253">
        <v>189000</v>
      </c>
      <c r="AB53" s="253">
        <v>8</v>
      </c>
      <c r="AC53" s="253">
        <v>2</v>
      </c>
      <c r="AD53" s="253">
        <v>124</v>
      </c>
      <c r="AE53" s="253">
        <v>1</v>
      </c>
      <c r="AF53" s="253"/>
      <c r="AG53" s="253" t="s">
        <v>579</v>
      </c>
      <c r="AH53" s="253">
        <v>0</v>
      </c>
      <c r="AI53" s="253">
        <v>0</v>
      </c>
      <c r="AJ53" s="253">
        <v>0</v>
      </c>
      <c r="AK53" s="253">
        <v>0</v>
      </c>
      <c r="AL53" s="253">
        <v>1</v>
      </c>
      <c r="AM53" s="245"/>
      <c r="AN53" s="253" t="s">
        <v>578</v>
      </c>
      <c r="AO53" s="253">
        <v>8183062.5</v>
      </c>
      <c r="AP53" s="253">
        <v>164</v>
      </c>
      <c r="AQ53" s="253">
        <v>25</v>
      </c>
      <c r="AR53" s="253">
        <v>1110</v>
      </c>
      <c r="AS53" s="253">
        <v>1</v>
      </c>
      <c r="AT53" s="245"/>
      <c r="AU53" s="253" t="s">
        <v>578</v>
      </c>
      <c r="AV53" s="253">
        <v>0</v>
      </c>
      <c r="AW53" s="253">
        <v>0</v>
      </c>
      <c r="AX53" s="253">
        <v>0</v>
      </c>
      <c r="AY53" s="253">
        <v>156</v>
      </c>
      <c r="AZ53" s="253">
        <v>1</v>
      </c>
      <c r="BA53" s="245"/>
      <c r="BB53" s="253" t="s">
        <v>580</v>
      </c>
      <c r="BC53" s="253">
        <v>533519271.35799998</v>
      </c>
      <c r="BD53" s="253">
        <v>2790</v>
      </c>
      <c r="BE53" s="253">
        <v>52</v>
      </c>
      <c r="BF53" s="253">
        <v>25017</v>
      </c>
      <c r="BG53" s="253">
        <v>1</v>
      </c>
      <c r="BH53" s="247" t="s">
        <v>580</v>
      </c>
      <c r="BI53" s="253">
        <v>1980500</v>
      </c>
      <c r="BJ53" s="253">
        <v>10</v>
      </c>
      <c r="BK53" s="253">
        <v>3</v>
      </c>
      <c r="BL53" s="253">
        <v>1137</v>
      </c>
      <c r="BM53" s="253">
        <v>1</v>
      </c>
      <c r="BN53" s="253"/>
      <c r="BO53" s="251"/>
      <c r="BP53" s="263">
        <v>22055726097.799999</v>
      </c>
      <c r="BQ53" s="263">
        <v>1584672</v>
      </c>
      <c r="BR53" s="263">
        <v>245</v>
      </c>
    </row>
    <row r="54" spans="1:70" x14ac:dyDescent="0.2">
      <c r="B54" s="190" t="s">
        <v>260</v>
      </c>
      <c r="C54" s="193">
        <v>38713</v>
      </c>
      <c r="D54" s="190">
        <v>17869.22</v>
      </c>
      <c r="E54" s="223">
        <v>1</v>
      </c>
      <c r="F54" s="215"/>
      <c r="G54" s="223" t="s">
        <v>287</v>
      </c>
      <c r="H54" s="223">
        <v>186.73728951999999</v>
      </c>
      <c r="I54" s="164"/>
      <c r="J54" s="157"/>
      <c r="K54" s="228"/>
      <c r="L54" s="228"/>
      <c r="M54" s="228"/>
      <c r="O54" s="241" t="s">
        <v>287</v>
      </c>
      <c r="P54" s="241">
        <v>181.18313982999999</v>
      </c>
      <c r="Q54" s="239"/>
      <c r="S54" s="253" t="s">
        <v>446</v>
      </c>
      <c r="T54" s="258">
        <v>18692273223.607601</v>
      </c>
      <c r="U54" s="258">
        <v>52173</v>
      </c>
      <c r="V54" s="258">
        <v>14201</v>
      </c>
      <c r="W54" s="258">
        <v>847734</v>
      </c>
      <c r="X54" s="258">
        <v>1</v>
      </c>
      <c r="Y54" s="245"/>
      <c r="Z54" s="253" t="s">
        <v>578</v>
      </c>
      <c r="AA54" s="253">
        <v>5686800</v>
      </c>
      <c r="AB54" s="253">
        <v>119</v>
      </c>
      <c r="AC54" s="253">
        <v>21</v>
      </c>
      <c r="AD54" s="253">
        <v>4053</v>
      </c>
      <c r="AE54" s="253">
        <v>1</v>
      </c>
      <c r="AF54" s="253"/>
      <c r="AG54" s="253" t="s">
        <v>581</v>
      </c>
      <c r="AH54" s="253">
        <v>0</v>
      </c>
      <c r="AI54" s="253">
        <v>0</v>
      </c>
      <c r="AJ54" s="253">
        <v>0</v>
      </c>
      <c r="AK54" s="253">
        <v>0</v>
      </c>
      <c r="AL54" s="253">
        <v>1</v>
      </c>
      <c r="AM54" s="245"/>
      <c r="AN54" s="253" t="s">
        <v>579</v>
      </c>
      <c r="AO54" s="253">
        <v>0</v>
      </c>
      <c r="AP54" s="253">
        <v>0</v>
      </c>
      <c r="AQ54" s="253">
        <v>0</v>
      </c>
      <c r="AR54" s="253">
        <v>0</v>
      </c>
      <c r="AS54" s="253">
        <v>1</v>
      </c>
      <c r="AT54" s="245"/>
      <c r="AU54" s="253" t="s">
        <v>579</v>
      </c>
      <c r="AV54" s="253">
        <v>0</v>
      </c>
      <c r="AW54" s="253">
        <v>0</v>
      </c>
      <c r="AX54" s="253">
        <v>0</v>
      </c>
      <c r="AY54" s="253">
        <v>0</v>
      </c>
      <c r="AZ54" s="253">
        <v>1</v>
      </c>
      <c r="BA54" s="245"/>
      <c r="BB54" s="253" t="s">
        <v>576</v>
      </c>
      <c r="BC54" s="253">
        <v>424400</v>
      </c>
      <c r="BD54" s="253">
        <v>5</v>
      </c>
      <c r="BE54" s="253">
        <v>5</v>
      </c>
      <c r="BF54" s="253">
        <v>880</v>
      </c>
      <c r="BG54" s="253">
        <v>1</v>
      </c>
      <c r="BH54" s="247" t="s">
        <v>576</v>
      </c>
      <c r="BI54" s="253">
        <v>0</v>
      </c>
      <c r="BJ54" s="253">
        <v>0</v>
      </c>
      <c r="BK54" s="253">
        <v>0</v>
      </c>
      <c r="BL54" s="253">
        <v>41</v>
      </c>
      <c r="BM54" s="253">
        <v>1</v>
      </c>
      <c r="BN54" s="253"/>
      <c r="BO54" s="251"/>
      <c r="BP54" s="263"/>
      <c r="BQ54" s="263"/>
      <c r="BR54" s="263"/>
    </row>
    <row r="55" spans="1:70" x14ac:dyDescent="0.2">
      <c r="B55" s="190" t="s">
        <v>261</v>
      </c>
      <c r="C55" s="193">
        <v>38713</v>
      </c>
      <c r="D55" s="190">
        <v>30401.200000000001</v>
      </c>
      <c r="E55" s="223">
        <v>1</v>
      </c>
      <c r="F55" s="218"/>
      <c r="G55" s="223" t="s">
        <v>288</v>
      </c>
      <c r="H55" s="223">
        <v>412.39816810999997</v>
      </c>
      <c r="I55" s="164"/>
      <c r="J55" s="157"/>
      <c r="K55" s="228"/>
      <c r="L55" s="228"/>
      <c r="M55" s="228"/>
      <c r="O55" s="241" t="s">
        <v>288</v>
      </c>
      <c r="P55" s="241">
        <v>417.79447216</v>
      </c>
      <c r="Q55" s="239"/>
      <c r="S55" s="253" t="s">
        <v>451</v>
      </c>
      <c r="T55" s="258">
        <v>70400854.099999994</v>
      </c>
      <c r="U55" s="258">
        <v>7389</v>
      </c>
      <c r="V55" s="258">
        <v>6</v>
      </c>
      <c r="W55" s="258">
        <v>317579</v>
      </c>
      <c r="X55" s="258">
        <v>1</v>
      </c>
      <c r="Y55" s="245"/>
      <c r="Z55" s="253" t="s">
        <v>579</v>
      </c>
      <c r="AA55" s="253">
        <v>0</v>
      </c>
      <c r="AB55" s="253">
        <v>0</v>
      </c>
      <c r="AC55" s="253">
        <v>0</v>
      </c>
      <c r="AD55" s="253">
        <v>0</v>
      </c>
      <c r="AE55" s="253">
        <v>1</v>
      </c>
      <c r="AF55" s="253"/>
      <c r="AG55" s="253" t="s">
        <v>601</v>
      </c>
      <c r="AH55" s="253">
        <v>0</v>
      </c>
      <c r="AI55" s="253">
        <v>0</v>
      </c>
      <c r="AJ55" s="253">
        <v>0</v>
      </c>
      <c r="AK55" s="253">
        <v>0</v>
      </c>
      <c r="AL55" s="253">
        <v>1</v>
      </c>
      <c r="AM55" s="245"/>
      <c r="AN55" s="253" t="s">
        <v>581</v>
      </c>
      <c r="AO55" s="253">
        <v>0</v>
      </c>
      <c r="AP55" s="253">
        <v>0</v>
      </c>
      <c r="AQ55" s="253">
        <v>0</v>
      </c>
      <c r="AR55" s="253">
        <v>0</v>
      </c>
      <c r="AS55" s="253">
        <v>1</v>
      </c>
      <c r="AT55" s="245"/>
      <c r="AU55" s="253" t="s">
        <v>581</v>
      </c>
      <c r="AV55" s="253">
        <v>0</v>
      </c>
      <c r="AW55" s="253">
        <v>0</v>
      </c>
      <c r="AX55" s="253">
        <v>0</v>
      </c>
      <c r="AY55" s="253">
        <v>0</v>
      </c>
      <c r="AZ55" s="253">
        <v>1</v>
      </c>
      <c r="BA55" s="245"/>
      <c r="BB55" s="253" t="s">
        <v>602</v>
      </c>
      <c r="BC55" s="253">
        <v>12359310.17</v>
      </c>
      <c r="BD55" s="253">
        <v>122</v>
      </c>
      <c r="BE55" s="253">
        <v>43</v>
      </c>
      <c r="BF55" s="253">
        <v>2090</v>
      </c>
      <c r="BG55" s="253">
        <v>1</v>
      </c>
      <c r="BH55" s="247" t="s">
        <v>602</v>
      </c>
      <c r="BI55" s="253">
        <v>0</v>
      </c>
      <c r="BJ55" s="253">
        <v>0</v>
      </c>
      <c r="BK55" s="253">
        <v>0</v>
      </c>
      <c r="BL55" s="253">
        <v>137</v>
      </c>
      <c r="BM55" s="253">
        <v>1</v>
      </c>
      <c r="BN55" s="253"/>
      <c r="BO55" s="256" t="s">
        <v>493</v>
      </c>
      <c r="BP55" s="264" t="s">
        <v>611</v>
      </c>
      <c r="BQ55" s="264" t="s">
        <v>557</v>
      </c>
      <c r="BR55" s="263"/>
    </row>
    <row r="56" spans="1:70" x14ac:dyDescent="0.2">
      <c r="B56" s="190" t="s">
        <v>262</v>
      </c>
      <c r="C56" s="193">
        <v>38709</v>
      </c>
      <c r="D56" s="190">
        <v>16626.419999999998</v>
      </c>
      <c r="E56" s="223">
        <v>1</v>
      </c>
      <c r="F56" s="218"/>
      <c r="G56" s="223" t="s">
        <v>289</v>
      </c>
      <c r="H56" s="223">
        <v>7679.0695593800001</v>
      </c>
      <c r="I56" s="164"/>
      <c r="J56" s="157"/>
      <c r="K56" s="228"/>
      <c r="L56" s="228"/>
      <c r="M56" s="228"/>
      <c r="O56" s="241" t="s">
        <v>289</v>
      </c>
      <c r="P56" s="241">
        <v>7980.0206432300001</v>
      </c>
      <c r="Q56" s="239"/>
      <c r="S56" s="253" t="s">
        <v>450</v>
      </c>
      <c r="T56" s="258">
        <v>0</v>
      </c>
      <c r="U56" s="258">
        <v>6768</v>
      </c>
      <c r="V56" s="258">
        <v>6</v>
      </c>
      <c r="W56" s="258">
        <v>17540416</v>
      </c>
      <c r="X56" s="258">
        <v>1</v>
      </c>
      <c r="Y56" s="245"/>
      <c r="Z56" s="253" t="s">
        <v>581</v>
      </c>
      <c r="AA56" s="253">
        <v>0</v>
      </c>
      <c r="AB56" s="253">
        <v>0</v>
      </c>
      <c r="AC56" s="253">
        <v>0</v>
      </c>
      <c r="AD56" s="253">
        <v>0</v>
      </c>
      <c r="AE56" s="253">
        <v>1</v>
      </c>
      <c r="AF56" s="253"/>
      <c r="AG56" s="253" t="s">
        <v>582</v>
      </c>
      <c r="AH56" s="253">
        <v>0</v>
      </c>
      <c r="AI56" s="253">
        <v>0</v>
      </c>
      <c r="AJ56" s="253">
        <v>0</v>
      </c>
      <c r="AK56" s="253">
        <v>0</v>
      </c>
      <c r="AL56" s="253">
        <v>1</v>
      </c>
      <c r="AM56" s="245"/>
      <c r="AN56" s="253" t="s">
        <v>582</v>
      </c>
      <c r="AO56" s="253">
        <v>4750150</v>
      </c>
      <c r="AP56" s="253">
        <v>10</v>
      </c>
      <c r="AQ56" s="253">
        <v>3</v>
      </c>
      <c r="AR56" s="253">
        <v>12</v>
      </c>
      <c r="AS56" s="253">
        <v>1</v>
      </c>
      <c r="AT56" s="245"/>
      <c r="AU56" s="253" t="s">
        <v>601</v>
      </c>
      <c r="AV56" s="253">
        <v>0</v>
      </c>
      <c r="AW56" s="253">
        <v>0</v>
      </c>
      <c r="AX56" s="253">
        <v>0</v>
      </c>
      <c r="AY56" s="253">
        <v>0</v>
      </c>
      <c r="AZ56" s="253">
        <v>1</v>
      </c>
      <c r="BA56" s="245"/>
      <c r="BB56" s="253" t="s">
        <v>586</v>
      </c>
      <c r="BC56" s="253">
        <v>0</v>
      </c>
      <c r="BD56" s="253">
        <v>0</v>
      </c>
      <c r="BE56" s="253">
        <v>0</v>
      </c>
      <c r="BF56" s="253">
        <v>0</v>
      </c>
      <c r="BG56" s="253">
        <v>1</v>
      </c>
      <c r="BH56" s="247" t="s">
        <v>586</v>
      </c>
      <c r="BI56" s="253">
        <v>0</v>
      </c>
      <c r="BJ56" s="253">
        <v>0</v>
      </c>
      <c r="BK56" s="253">
        <v>0</v>
      </c>
      <c r="BL56" s="253">
        <v>0</v>
      </c>
      <c r="BM56" s="253">
        <v>1</v>
      </c>
      <c r="BN56" s="253"/>
      <c r="BO56" s="247"/>
      <c r="BP56" s="263" t="s">
        <v>612</v>
      </c>
      <c r="BQ56" s="263">
        <v>1290605</v>
      </c>
      <c r="BR56" s="263"/>
    </row>
    <row r="57" spans="1:70" x14ac:dyDescent="0.2">
      <c r="B57" s="190" t="s">
        <v>263</v>
      </c>
      <c r="C57" s="193">
        <v>38713</v>
      </c>
      <c r="D57" s="190">
        <v>14630.23</v>
      </c>
      <c r="E57" s="223">
        <v>1</v>
      </c>
      <c r="F57" s="218"/>
      <c r="G57" s="223" t="s">
        <v>290</v>
      </c>
      <c r="H57" s="223">
        <v>899.59513841</v>
      </c>
      <c r="I57" s="164"/>
      <c r="J57" s="157"/>
      <c r="K57" s="228"/>
      <c r="L57" s="228"/>
      <c r="M57" s="228"/>
      <c r="O57" s="241" t="s">
        <v>290</v>
      </c>
      <c r="P57" s="241">
        <v>906.70016290000001</v>
      </c>
      <c r="Q57" s="239"/>
      <c r="S57" s="253" t="s">
        <v>448</v>
      </c>
      <c r="T57" s="258">
        <v>0</v>
      </c>
      <c r="U57" s="258">
        <v>15906</v>
      </c>
      <c r="V57" s="258">
        <v>198</v>
      </c>
      <c r="W57" s="258">
        <v>719099</v>
      </c>
      <c r="X57" s="258">
        <v>1</v>
      </c>
      <c r="Y57" s="245"/>
      <c r="Z57" s="253" t="s">
        <v>601</v>
      </c>
      <c r="AA57" s="253">
        <v>0</v>
      </c>
      <c r="AB57" s="253">
        <v>0</v>
      </c>
      <c r="AC57" s="253">
        <v>0</v>
      </c>
      <c r="AD57" s="253">
        <v>0</v>
      </c>
      <c r="AE57" s="253">
        <v>1</v>
      </c>
      <c r="AF57" s="253"/>
      <c r="AG57" s="253" t="s">
        <v>580</v>
      </c>
      <c r="AH57" s="253">
        <v>0</v>
      </c>
      <c r="AI57" s="253">
        <v>0</v>
      </c>
      <c r="AJ57" s="253">
        <v>0</v>
      </c>
      <c r="AK57" s="253">
        <v>924</v>
      </c>
      <c r="AL57" s="253">
        <v>1</v>
      </c>
      <c r="AM57" s="245"/>
      <c r="AN57" s="253" t="s">
        <v>580</v>
      </c>
      <c r="AO57" s="253">
        <v>386728039.43900001</v>
      </c>
      <c r="AP57" s="253">
        <v>2301</v>
      </c>
      <c r="AQ57" s="253">
        <v>38</v>
      </c>
      <c r="AR57" s="253">
        <v>25084</v>
      </c>
      <c r="AS57" s="253">
        <v>1</v>
      </c>
      <c r="AT57" s="245"/>
      <c r="AU57" s="253" t="s">
        <v>582</v>
      </c>
      <c r="AV57" s="253">
        <v>0</v>
      </c>
      <c r="AW57" s="253">
        <v>0</v>
      </c>
      <c r="AX57" s="253">
        <v>0</v>
      </c>
      <c r="AY57" s="253">
        <v>0</v>
      </c>
      <c r="AZ57" s="253">
        <v>1</v>
      </c>
      <c r="BA57" s="245"/>
      <c r="BB57" s="253" t="s">
        <v>561</v>
      </c>
      <c r="BC57" s="253">
        <v>3613000</v>
      </c>
      <c r="BD57" s="253">
        <v>68</v>
      </c>
      <c r="BE57" s="253">
        <v>8</v>
      </c>
      <c r="BF57" s="253">
        <v>2894</v>
      </c>
      <c r="BG57" s="253">
        <v>1</v>
      </c>
      <c r="BH57" s="247" t="s">
        <v>561</v>
      </c>
      <c r="BI57" s="253">
        <v>0</v>
      </c>
      <c r="BJ57" s="253">
        <v>0</v>
      </c>
      <c r="BK57" s="253">
        <v>0</v>
      </c>
      <c r="BL57" s="253">
        <v>146</v>
      </c>
      <c r="BM57" s="253">
        <v>1</v>
      </c>
      <c r="BN57" s="253"/>
      <c r="BO57" s="247"/>
      <c r="BP57" s="263" t="s">
        <v>613</v>
      </c>
      <c r="BQ57" s="263">
        <v>1572004</v>
      </c>
      <c r="BR57" s="263"/>
    </row>
    <row r="58" spans="1:70" x14ac:dyDescent="0.2">
      <c r="B58" s="190" t="s">
        <v>264</v>
      </c>
      <c r="C58" s="193">
        <v>38713</v>
      </c>
      <c r="D58" s="190">
        <v>1547.81</v>
      </c>
      <c r="E58" s="223">
        <v>1</v>
      </c>
      <c r="F58" s="218"/>
      <c r="G58" s="223" t="s">
        <v>95</v>
      </c>
      <c r="H58" s="223">
        <v>626.87263446999998</v>
      </c>
      <c r="I58" s="164"/>
      <c r="J58" s="157"/>
      <c r="K58" s="228"/>
      <c r="L58" s="228"/>
      <c r="M58" s="228"/>
      <c r="O58" s="241" t="s">
        <v>95</v>
      </c>
      <c r="P58" s="241">
        <v>626.94481088999999</v>
      </c>
      <c r="Q58" s="239"/>
      <c r="S58" s="245"/>
      <c r="T58" s="245"/>
      <c r="U58" s="245"/>
      <c r="V58" s="245"/>
      <c r="W58" s="245"/>
      <c r="X58" s="245"/>
      <c r="Y58" s="245"/>
      <c r="Z58" s="253" t="s">
        <v>582</v>
      </c>
      <c r="AA58" s="253">
        <v>0</v>
      </c>
      <c r="AB58" s="253">
        <v>0</v>
      </c>
      <c r="AC58" s="253">
        <v>0</v>
      </c>
      <c r="AD58" s="253">
        <v>0</v>
      </c>
      <c r="AE58" s="253">
        <v>1</v>
      </c>
      <c r="AF58" s="253"/>
      <c r="AG58" s="253" t="s">
        <v>576</v>
      </c>
      <c r="AH58" s="253">
        <v>0</v>
      </c>
      <c r="AI58" s="253">
        <v>0</v>
      </c>
      <c r="AJ58" s="253">
        <v>0</v>
      </c>
      <c r="AK58" s="253">
        <v>24</v>
      </c>
      <c r="AL58" s="253">
        <v>1</v>
      </c>
      <c r="AM58" s="245"/>
      <c r="AN58" s="253" t="s">
        <v>576</v>
      </c>
      <c r="AO58" s="253">
        <v>5172662.5</v>
      </c>
      <c r="AP58" s="253">
        <v>62</v>
      </c>
      <c r="AQ58" s="253">
        <v>10</v>
      </c>
      <c r="AR58" s="253">
        <v>696</v>
      </c>
      <c r="AS58" s="253">
        <v>1</v>
      </c>
      <c r="AT58" s="245"/>
      <c r="AU58" s="253" t="s">
        <v>580</v>
      </c>
      <c r="AV58" s="253">
        <v>999030</v>
      </c>
      <c r="AW58" s="253">
        <v>6</v>
      </c>
      <c r="AX58" s="253">
        <v>2</v>
      </c>
      <c r="AY58" s="253">
        <v>958</v>
      </c>
      <c r="AZ58" s="253">
        <v>1</v>
      </c>
      <c r="BA58" s="245"/>
      <c r="BB58" s="253" t="s">
        <v>577</v>
      </c>
      <c r="BC58" s="253">
        <v>0</v>
      </c>
      <c r="BD58" s="253">
        <v>0</v>
      </c>
      <c r="BE58" s="253">
        <v>0</v>
      </c>
      <c r="BF58" s="253">
        <v>0</v>
      </c>
      <c r="BG58" s="253">
        <v>0</v>
      </c>
      <c r="BH58" s="247" t="s">
        <v>577</v>
      </c>
      <c r="BI58" s="253">
        <v>0</v>
      </c>
      <c r="BJ58" s="253">
        <v>0</v>
      </c>
      <c r="BK58" s="253">
        <v>0</v>
      </c>
      <c r="BL58" s="253">
        <v>0</v>
      </c>
      <c r="BM58" s="253">
        <v>0</v>
      </c>
      <c r="BN58" s="253"/>
      <c r="BO58" s="247"/>
      <c r="BP58" s="263"/>
      <c r="BQ58" s="263"/>
      <c r="BR58" s="263"/>
    </row>
    <row r="59" spans="1:70" x14ac:dyDescent="0.2">
      <c r="B59" s="190" t="s">
        <v>265</v>
      </c>
      <c r="C59" s="193">
        <v>38713</v>
      </c>
      <c r="D59" s="190">
        <v>590.19000000000005</v>
      </c>
      <c r="E59" s="223">
        <v>1</v>
      </c>
      <c r="F59" s="209"/>
      <c r="G59" s="223" t="s">
        <v>97</v>
      </c>
      <c r="H59" s="223">
        <v>514.70859125000004</v>
      </c>
      <c r="I59" s="164"/>
      <c r="J59" s="157"/>
      <c r="K59" s="228"/>
      <c r="L59" s="228"/>
      <c r="M59" s="228"/>
      <c r="O59" s="241" t="s">
        <v>97</v>
      </c>
      <c r="P59" s="241">
        <v>516.09809514000005</v>
      </c>
      <c r="Q59" s="239"/>
      <c r="S59" s="245"/>
      <c r="T59" s="245"/>
      <c r="U59" s="245"/>
      <c r="V59" s="245"/>
      <c r="W59" s="245"/>
      <c r="X59" s="245"/>
      <c r="Y59" s="245"/>
      <c r="Z59" s="253" t="s">
        <v>580</v>
      </c>
      <c r="AA59" s="253">
        <v>19972620</v>
      </c>
      <c r="AB59" s="253">
        <v>122</v>
      </c>
      <c r="AC59" s="253">
        <v>32</v>
      </c>
      <c r="AD59" s="253">
        <v>19615</v>
      </c>
      <c r="AE59" s="253">
        <v>1</v>
      </c>
      <c r="AF59" s="253"/>
      <c r="AG59" s="253" t="s">
        <v>602</v>
      </c>
      <c r="AH59" s="253">
        <v>0</v>
      </c>
      <c r="AI59" s="253">
        <v>0</v>
      </c>
      <c r="AJ59" s="253">
        <v>0</v>
      </c>
      <c r="AK59" s="253">
        <v>22</v>
      </c>
      <c r="AL59" s="253">
        <v>1</v>
      </c>
      <c r="AM59" s="245"/>
      <c r="AN59" s="253" t="s">
        <v>601</v>
      </c>
      <c r="AO59" s="253">
        <v>0</v>
      </c>
      <c r="AP59" s="253">
        <v>0</v>
      </c>
      <c r="AQ59" s="253">
        <v>0</v>
      </c>
      <c r="AR59" s="253">
        <v>0</v>
      </c>
      <c r="AS59" s="253">
        <v>1</v>
      </c>
      <c r="AT59" s="245"/>
      <c r="AU59" s="253" t="s">
        <v>576</v>
      </c>
      <c r="AV59" s="253">
        <v>174000</v>
      </c>
      <c r="AW59" s="253">
        <v>2</v>
      </c>
      <c r="AX59" s="253">
        <v>1</v>
      </c>
      <c r="AY59" s="253">
        <v>20</v>
      </c>
      <c r="AZ59" s="253">
        <v>1</v>
      </c>
      <c r="BA59" s="245"/>
      <c r="BB59" s="253" t="s">
        <v>564</v>
      </c>
      <c r="BC59" s="253">
        <v>0</v>
      </c>
      <c r="BD59" s="253">
        <v>0</v>
      </c>
      <c r="BE59" s="253">
        <v>0</v>
      </c>
      <c r="BF59" s="253">
        <v>0</v>
      </c>
      <c r="BG59" s="253">
        <v>0</v>
      </c>
      <c r="BH59" s="247" t="s">
        <v>564</v>
      </c>
      <c r="BI59" s="253">
        <v>0</v>
      </c>
      <c r="BJ59" s="253">
        <v>0</v>
      </c>
      <c r="BK59" s="253">
        <v>0</v>
      </c>
      <c r="BL59" s="253">
        <v>0</v>
      </c>
      <c r="BM59" s="253">
        <v>0</v>
      </c>
      <c r="BN59" s="253"/>
      <c r="BO59" s="256" t="s">
        <v>475</v>
      </c>
      <c r="BP59" s="264" t="s">
        <v>537</v>
      </c>
      <c r="BQ59" s="264" t="s">
        <v>555</v>
      </c>
      <c r="BR59" s="264" t="s">
        <v>556</v>
      </c>
    </row>
    <row r="60" spans="1:70" x14ac:dyDescent="0.2">
      <c r="B60" s="190" t="s">
        <v>266</v>
      </c>
      <c r="C60" s="193">
        <v>38713</v>
      </c>
      <c r="D60" s="190">
        <v>1846.94</v>
      </c>
      <c r="E60" s="223">
        <v>1</v>
      </c>
      <c r="F60" s="209"/>
      <c r="G60" s="223" t="s">
        <v>293</v>
      </c>
      <c r="H60" s="223">
        <v>78213.115928390005</v>
      </c>
      <c r="I60" s="164"/>
      <c r="J60" s="157"/>
      <c r="K60" s="228"/>
      <c r="L60" s="228"/>
      <c r="M60" s="228"/>
      <c r="O60" s="241" t="s">
        <v>293</v>
      </c>
      <c r="P60" s="241">
        <v>81811.292110130002</v>
      </c>
      <c r="Q60" s="239"/>
      <c r="R60" s="153" t="s">
        <v>456</v>
      </c>
      <c r="S60" s="254" t="s">
        <v>553</v>
      </c>
      <c r="T60" s="257" t="s">
        <v>554</v>
      </c>
      <c r="U60" s="257" t="s">
        <v>555</v>
      </c>
      <c r="V60" s="257" t="s">
        <v>556</v>
      </c>
      <c r="W60" s="257" t="s">
        <v>557</v>
      </c>
      <c r="X60" s="257" t="s">
        <v>558</v>
      </c>
      <c r="Y60" s="245"/>
      <c r="Z60" s="253" t="s">
        <v>576</v>
      </c>
      <c r="AA60" s="253">
        <v>2571375</v>
      </c>
      <c r="AB60" s="253">
        <v>30</v>
      </c>
      <c r="AC60" s="253">
        <v>8</v>
      </c>
      <c r="AD60" s="253">
        <v>493</v>
      </c>
      <c r="AE60" s="253">
        <v>1</v>
      </c>
      <c r="AF60" s="253"/>
      <c r="AG60" s="253" t="s">
        <v>586</v>
      </c>
      <c r="AH60" s="253">
        <v>0</v>
      </c>
      <c r="AI60" s="253">
        <v>0</v>
      </c>
      <c r="AJ60" s="253">
        <v>0</v>
      </c>
      <c r="AK60" s="253">
        <v>0</v>
      </c>
      <c r="AL60" s="253">
        <v>1</v>
      </c>
      <c r="AM60" s="245"/>
      <c r="AN60" s="253" t="s">
        <v>602</v>
      </c>
      <c r="AO60" s="253">
        <v>8725259.9000000004</v>
      </c>
      <c r="AP60" s="253">
        <v>94</v>
      </c>
      <c r="AQ60" s="253">
        <v>34</v>
      </c>
      <c r="AR60" s="253">
        <v>619</v>
      </c>
      <c r="AS60" s="253">
        <v>1</v>
      </c>
      <c r="AT60" s="245"/>
      <c r="AU60" s="253" t="s">
        <v>602</v>
      </c>
      <c r="AV60" s="253">
        <v>0</v>
      </c>
      <c r="AW60" s="253">
        <v>0</v>
      </c>
      <c r="AX60" s="253">
        <v>0</v>
      </c>
      <c r="AY60" s="253">
        <v>24</v>
      </c>
      <c r="AZ60" s="253">
        <v>1</v>
      </c>
      <c r="BA60" s="245"/>
      <c r="BB60" s="253" t="s">
        <v>603</v>
      </c>
      <c r="BC60" s="253">
        <v>72600</v>
      </c>
      <c r="BD60" s="253">
        <v>50</v>
      </c>
      <c r="BE60" s="253">
        <v>5</v>
      </c>
      <c r="BF60" s="253">
        <v>2110</v>
      </c>
      <c r="BG60" s="253">
        <v>0</v>
      </c>
      <c r="BH60" s="247" t="s">
        <v>603</v>
      </c>
      <c r="BI60" s="253">
        <v>0</v>
      </c>
      <c r="BJ60" s="253">
        <v>0</v>
      </c>
      <c r="BK60" s="253">
        <v>0</v>
      </c>
      <c r="BL60" s="253">
        <v>90</v>
      </c>
      <c r="BM60" s="253">
        <v>0</v>
      </c>
      <c r="BN60" s="253"/>
      <c r="BO60" s="247"/>
      <c r="BP60" s="263">
        <v>342310315614.20001</v>
      </c>
      <c r="BQ60" s="263">
        <v>25323778</v>
      </c>
      <c r="BR60" s="263">
        <v>34202</v>
      </c>
    </row>
    <row r="61" spans="1:70" x14ac:dyDescent="0.2">
      <c r="A61" s="35"/>
      <c r="B61" s="190" t="s">
        <v>267</v>
      </c>
      <c r="C61" s="193">
        <v>38709</v>
      </c>
      <c r="D61" s="190">
        <v>9758.19</v>
      </c>
      <c r="E61" s="223">
        <v>1</v>
      </c>
      <c r="F61" s="212"/>
      <c r="G61" s="223" t="s">
        <v>99</v>
      </c>
      <c r="H61" s="223">
        <v>17056.670516760001</v>
      </c>
      <c r="I61" s="164"/>
      <c r="J61" s="157"/>
      <c r="K61" s="228"/>
      <c r="L61" s="228"/>
      <c r="M61" s="228"/>
      <c r="O61" s="241" t="s">
        <v>99</v>
      </c>
      <c r="P61" s="241">
        <v>17597.946329760001</v>
      </c>
      <c r="Q61" s="239"/>
      <c r="R61" s="157"/>
      <c r="S61" s="253" t="s">
        <v>449</v>
      </c>
      <c r="T61" s="258">
        <v>4999774594.0005999</v>
      </c>
      <c r="U61" s="258">
        <v>19263981</v>
      </c>
      <c r="V61" s="258">
        <v>831</v>
      </c>
      <c r="W61" s="258">
        <v>19761408</v>
      </c>
      <c r="X61" s="258">
        <v>1</v>
      </c>
      <c r="Y61" s="245"/>
      <c r="Z61" s="253" t="s">
        <v>602</v>
      </c>
      <c r="AA61" s="253">
        <v>750200</v>
      </c>
      <c r="AB61" s="253">
        <v>8</v>
      </c>
      <c r="AC61" s="253">
        <v>4</v>
      </c>
      <c r="AD61" s="253">
        <v>447</v>
      </c>
      <c r="AE61" s="253">
        <v>1</v>
      </c>
      <c r="AF61" s="253"/>
      <c r="AG61" s="253" t="s">
        <v>587</v>
      </c>
      <c r="AH61" s="253">
        <v>0</v>
      </c>
      <c r="AI61" s="253">
        <v>0</v>
      </c>
      <c r="AJ61" s="253">
        <v>0</v>
      </c>
      <c r="AK61" s="253">
        <v>0</v>
      </c>
      <c r="AL61" s="253">
        <v>1</v>
      </c>
      <c r="AM61" s="245"/>
      <c r="AN61" s="253" t="s">
        <v>586</v>
      </c>
      <c r="AO61" s="253">
        <v>2445295.5</v>
      </c>
      <c r="AP61" s="253">
        <v>10</v>
      </c>
      <c r="AQ61" s="253">
        <v>3</v>
      </c>
      <c r="AR61" s="253">
        <v>12</v>
      </c>
      <c r="AS61" s="253">
        <v>1</v>
      </c>
      <c r="AT61" s="245"/>
      <c r="AU61" s="253" t="s">
        <v>586</v>
      </c>
      <c r="AV61" s="253">
        <v>0</v>
      </c>
      <c r="AW61" s="253">
        <v>0</v>
      </c>
      <c r="AX61" s="253">
        <v>0</v>
      </c>
      <c r="AY61" s="253">
        <v>0</v>
      </c>
      <c r="AZ61" s="253">
        <v>1</v>
      </c>
      <c r="BA61" s="245"/>
      <c r="BB61" s="253" t="s">
        <v>604</v>
      </c>
      <c r="BC61" s="253">
        <v>0</v>
      </c>
      <c r="BD61" s="253">
        <v>0</v>
      </c>
      <c r="BE61" s="253">
        <v>0</v>
      </c>
      <c r="BF61" s="253">
        <v>0</v>
      </c>
      <c r="BG61" s="253">
        <v>0</v>
      </c>
      <c r="BH61" s="247" t="s">
        <v>604</v>
      </c>
      <c r="BI61" s="253">
        <v>0</v>
      </c>
      <c r="BJ61" s="253">
        <v>0</v>
      </c>
      <c r="BK61" s="253">
        <v>0</v>
      </c>
      <c r="BL61" s="253">
        <v>0</v>
      </c>
      <c r="BM61" s="253">
        <v>0</v>
      </c>
      <c r="BN61" s="253"/>
      <c r="BO61" s="247"/>
      <c r="BP61" s="247"/>
      <c r="BQ61" s="247"/>
      <c r="BR61" s="247"/>
    </row>
    <row r="62" spans="1:70" x14ac:dyDescent="0.2">
      <c r="A62" s="14"/>
      <c r="B62" s="190" t="s">
        <v>268</v>
      </c>
      <c r="C62" s="193">
        <v>38580</v>
      </c>
      <c r="D62" s="190">
        <v>673.25</v>
      </c>
      <c r="E62" s="223">
        <v>1</v>
      </c>
      <c r="F62" s="212"/>
      <c r="G62" s="223" t="s">
        <v>294</v>
      </c>
      <c r="H62" s="223">
        <v>198.93763476000001</v>
      </c>
      <c r="I62" s="164"/>
      <c r="J62" s="157"/>
      <c r="K62" s="228"/>
      <c r="L62" s="228"/>
      <c r="M62" s="228"/>
      <c r="O62" s="241" t="s">
        <v>294</v>
      </c>
      <c r="P62" s="241">
        <v>206.12369278</v>
      </c>
      <c r="Q62" s="239"/>
      <c r="R62" s="157"/>
      <c r="S62" s="253" t="s">
        <v>447</v>
      </c>
      <c r="T62" s="258">
        <v>352080406.93000001</v>
      </c>
      <c r="U62" s="258">
        <v>907558</v>
      </c>
      <c r="V62" s="258">
        <v>560</v>
      </c>
      <c r="W62" s="258">
        <v>1740386</v>
      </c>
      <c r="X62" s="258">
        <v>0</v>
      </c>
      <c r="Y62" s="245"/>
      <c r="Z62" s="253" t="s">
        <v>586</v>
      </c>
      <c r="AA62" s="253">
        <v>0</v>
      </c>
      <c r="AB62" s="253">
        <v>0</v>
      </c>
      <c r="AC62" s="253">
        <v>0</v>
      </c>
      <c r="AD62" s="253">
        <v>0</v>
      </c>
      <c r="AE62" s="253">
        <v>1</v>
      </c>
      <c r="AF62" s="253"/>
      <c r="AG62" s="253" t="s">
        <v>561</v>
      </c>
      <c r="AH62" s="253">
        <v>0</v>
      </c>
      <c r="AI62" s="253">
        <v>0</v>
      </c>
      <c r="AJ62" s="253">
        <v>0</v>
      </c>
      <c r="AK62" s="253">
        <v>0</v>
      </c>
      <c r="AL62" s="253">
        <v>1</v>
      </c>
      <c r="AM62" s="245"/>
      <c r="AN62" s="253" t="s">
        <v>587</v>
      </c>
      <c r="AO62" s="253">
        <v>0</v>
      </c>
      <c r="AP62" s="253">
        <v>0</v>
      </c>
      <c r="AQ62" s="253">
        <v>0</v>
      </c>
      <c r="AR62" s="253">
        <v>0</v>
      </c>
      <c r="AS62" s="253">
        <v>1</v>
      </c>
      <c r="AT62" s="245"/>
      <c r="AU62" s="253" t="s">
        <v>587</v>
      </c>
      <c r="AV62" s="253">
        <v>0</v>
      </c>
      <c r="AW62" s="253">
        <v>0</v>
      </c>
      <c r="AX62" s="253">
        <v>0</v>
      </c>
      <c r="AY62" s="253">
        <v>0</v>
      </c>
      <c r="AZ62" s="253">
        <v>1</v>
      </c>
      <c r="BA62" s="245"/>
      <c r="BB62" s="253" t="s">
        <v>565</v>
      </c>
      <c r="BC62" s="253">
        <v>0</v>
      </c>
      <c r="BD62" s="253">
        <v>0</v>
      </c>
      <c r="BE62" s="253">
        <v>0</v>
      </c>
      <c r="BF62" s="253">
        <v>0</v>
      </c>
      <c r="BG62" s="253">
        <v>0</v>
      </c>
      <c r="BH62" s="247" t="s">
        <v>565</v>
      </c>
      <c r="BI62" s="253">
        <v>0</v>
      </c>
      <c r="BJ62" s="253">
        <v>0</v>
      </c>
      <c r="BK62" s="253">
        <v>0</v>
      </c>
      <c r="BL62" s="253">
        <v>0</v>
      </c>
      <c r="BM62" s="253">
        <v>0</v>
      </c>
      <c r="BN62" s="253"/>
      <c r="BO62" s="256" t="s">
        <v>490</v>
      </c>
      <c r="BP62" s="264" t="s">
        <v>537</v>
      </c>
      <c r="BQ62" s="264" t="s">
        <v>555</v>
      </c>
      <c r="BR62" s="264" t="s">
        <v>556</v>
      </c>
    </row>
    <row r="63" spans="1:70" x14ac:dyDescent="0.2">
      <c r="A63" s="14"/>
      <c r="B63" s="190" t="s">
        <v>269</v>
      </c>
      <c r="C63" s="193">
        <v>38709</v>
      </c>
      <c r="D63" s="190">
        <v>196.52</v>
      </c>
      <c r="E63" s="223">
        <v>1</v>
      </c>
      <c r="F63" s="212"/>
      <c r="G63" s="223" t="s">
        <v>295</v>
      </c>
      <c r="H63" s="223">
        <v>9457.7065275200002</v>
      </c>
      <c r="I63" s="164"/>
      <c r="J63" s="157"/>
      <c r="K63" s="228"/>
      <c r="L63" s="228"/>
      <c r="M63" s="228"/>
      <c r="O63" s="241" t="s">
        <v>295</v>
      </c>
      <c r="P63" s="241">
        <v>9778.04986861</v>
      </c>
      <c r="Q63" s="239"/>
      <c r="R63" s="157"/>
      <c r="S63" s="253" t="s">
        <v>451</v>
      </c>
      <c r="T63" s="258">
        <v>177968610.58000001</v>
      </c>
      <c r="U63" s="258">
        <v>148406</v>
      </c>
      <c r="V63" s="258">
        <v>76</v>
      </c>
      <c r="W63" s="258">
        <v>394813</v>
      </c>
      <c r="X63" s="258">
        <v>0</v>
      </c>
      <c r="Y63" s="245"/>
      <c r="Z63" s="253" t="s">
        <v>587</v>
      </c>
      <c r="AA63" s="253">
        <v>94700</v>
      </c>
      <c r="AB63" s="253">
        <v>2</v>
      </c>
      <c r="AC63" s="253">
        <v>2</v>
      </c>
      <c r="AD63" s="253">
        <v>7</v>
      </c>
      <c r="AE63" s="253">
        <v>1</v>
      </c>
      <c r="AF63" s="253"/>
      <c r="AG63" s="253" t="s">
        <v>577</v>
      </c>
      <c r="AH63" s="253">
        <v>0</v>
      </c>
      <c r="AI63" s="253">
        <v>0</v>
      </c>
      <c r="AJ63" s="253">
        <v>0</v>
      </c>
      <c r="AK63" s="253">
        <v>0</v>
      </c>
      <c r="AL63" s="253">
        <v>0</v>
      </c>
      <c r="AM63" s="245"/>
      <c r="AN63" s="253" t="s">
        <v>561</v>
      </c>
      <c r="AO63" s="253">
        <v>0</v>
      </c>
      <c r="AP63" s="253">
        <v>0</v>
      </c>
      <c r="AQ63" s="253">
        <v>0</v>
      </c>
      <c r="AR63" s="253">
        <v>0</v>
      </c>
      <c r="AS63" s="253">
        <v>1</v>
      </c>
      <c r="AT63" s="245"/>
      <c r="AU63" s="253" t="s">
        <v>561</v>
      </c>
      <c r="AV63" s="253">
        <v>0</v>
      </c>
      <c r="AW63" s="253">
        <v>0</v>
      </c>
      <c r="AX63" s="253">
        <v>0</v>
      </c>
      <c r="AY63" s="253">
        <v>0</v>
      </c>
      <c r="AZ63" s="253">
        <v>1</v>
      </c>
      <c r="BA63" s="245"/>
      <c r="BB63" s="253" t="s">
        <v>605</v>
      </c>
      <c r="BC63" s="253">
        <v>0</v>
      </c>
      <c r="BD63" s="253">
        <v>0</v>
      </c>
      <c r="BE63" s="253">
        <v>0</v>
      </c>
      <c r="BF63" s="253">
        <v>0</v>
      </c>
      <c r="BG63" s="253">
        <v>0</v>
      </c>
      <c r="BH63" s="247" t="s">
        <v>605</v>
      </c>
      <c r="BI63" s="253">
        <v>0</v>
      </c>
      <c r="BJ63" s="253">
        <v>0</v>
      </c>
      <c r="BK63" s="253">
        <v>0</v>
      </c>
      <c r="BL63" s="253">
        <v>0</v>
      </c>
      <c r="BM63" s="253">
        <v>0</v>
      </c>
      <c r="BN63" s="253"/>
      <c r="BO63" s="251"/>
      <c r="BP63" s="263">
        <v>91004759493.800003</v>
      </c>
      <c r="BQ63" s="263">
        <v>6684304</v>
      </c>
      <c r="BR63" s="263">
        <v>1485</v>
      </c>
    </row>
    <row r="64" spans="1:70" x14ac:dyDescent="0.2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296</v>
      </c>
      <c r="H64" s="223">
        <v>8943.8968646699996</v>
      </c>
      <c r="I64" s="164"/>
      <c r="J64" s="3"/>
      <c r="K64" s="228"/>
      <c r="L64" s="228"/>
      <c r="M64" s="228"/>
      <c r="O64" s="241" t="s">
        <v>296</v>
      </c>
      <c r="P64" s="241">
        <v>9236.1000418200001</v>
      </c>
      <c r="Q64" s="239"/>
      <c r="R64" s="157"/>
      <c r="S64" s="253" t="s">
        <v>446</v>
      </c>
      <c r="T64" s="258">
        <v>2857196844.8800001</v>
      </c>
      <c r="U64" s="258">
        <v>373061</v>
      </c>
      <c r="V64" s="258">
        <v>1335</v>
      </c>
      <c r="W64" s="258">
        <v>692191</v>
      </c>
      <c r="X64" s="258">
        <v>0</v>
      </c>
      <c r="Y64" s="245"/>
      <c r="Z64" s="253" t="s">
        <v>561</v>
      </c>
      <c r="AA64" s="253">
        <v>0</v>
      </c>
      <c r="AB64" s="253">
        <v>0</v>
      </c>
      <c r="AC64" s="253">
        <v>0</v>
      </c>
      <c r="AD64" s="253">
        <v>0</v>
      </c>
      <c r="AE64" s="253">
        <v>1</v>
      </c>
      <c r="AF64" s="253"/>
      <c r="AG64" s="253" t="s">
        <v>564</v>
      </c>
      <c r="AH64" s="253">
        <v>0</v>
      </c>
      <c r="AI64" s="253">
        <v>0</v>
      </c>
      <c r="AJ64" s="253">
        <v>0</v>
      </c>
      <c r="AK64" s="253">
        <v>0</v>
      </c>
      <c r="AL64" s="253">
        <v>0</v>
      </c>
      <c r="AM64" s="245"/>
      <c r="AN64" s="253" t="s">
        <v>577</v>
      </c>
      <c r="AO64" s="253">
        <v>0</v>
      </c>
      <c r="AP64" s="253">
        <v>0</v>
      </c>
      <c r="AQ64" s="253">
        <v>0</v>
      </c>
      <c r="AR64" s="253">
        <v>0</v>
      </c>
      <c r="AS64" s="253">
        <v>0</v>
      </c>
      <c r="AT64" s="245"/>
      <c r="AU64" s="253" t="s">
        <v>577</v>
      </c>
      <c r="AV64" s="253">
        <v>0</v>
      </c>
      <c r="AW64" s="253">
        <v>0</v>
      </c>
      <c r="AX64" s="253">
        <v>0</v>
      </c>
      <c r="AY64" s="253">
        <v>0</v>
      </c>
      <c r="AZ64" s="253">
        <v>0</v>
      </c>
      <c r="BA64" s="245"/>
      <c r="BB64" s="253" t="s">
        <v>567</v>
      </c>
      <c r="BC64" s="253">
        <v>0</v>
      </c>
      <c r="BD64" s="253">
        <v>0</v>
      </c>
      <c r="BE64" s="253">
        <v>0</v>
      </c>
      <c r="BF64" s="253">
        <v>0</v>
      </c>
      <c r="BG64" s="253">
        <v>0</v>
      </c>
      <c r="BH64" s="247" t="s">
        <v>567</v>
      </c>
      <c r="BI64" s="253">
        <v>0</v>
      </c>
      <c r="BJ64" s="253">
        <v>0</v>
      </c>
      <c r="BK64" s="253">
        <v>0</v>
      </c>
      <c r="BL64" s="253">
        <v>0</v>
      </c>
      <c r="BM64" s="253">
        <v>0</v>
      </c>
      <c r="BN64" s="253"/>
      <c r="BO64" s="247"/>
      <c r="BP64" s="247"/>
      <c r="BQ64" s="247"/>
      <c r="BR64" s="247"/>
    </row>
    <row r="65" spans="1:70" x14ac:dyDescent="0.2">
      <c r="A65" s="14"/>
      <c r="B65" s="190" t="s">
        <v>270</v>
      </c>
      <c r="C65" s="193">
        <v>42122</v>
      </c>
      <c r="D65" s="190">
        <v>9390.5427286199993</v>
      </c>
      <c r="E65" s="223">
        <v>1</v>
      </c>
      <c r="F65" s="212"/>
      <c r="G65" s="223" t="s">
        <v>297</v>
      </c>
      <c r="H65" s="223">
        <v>172.19580536999999</v>
      </c>
      <c r="I65" s="164"/>
      <c r="J65" s="3"/>
      <c r="K65" s="228"/>
      <c r="L65" s="228"/>
      <c r="M65" s="228"/>
      <c r="O65" s="241" t="s">
        <v>297</v>
      </c>
      <c r="P65" s="241">
        <v>180.96869633</v>
      </c>
      <c r="Q65" s="239"/>
      <c r="R65" s="157"/>
      <c r="S65" s="253" t="s">
        <v>559</v>
      </c>
      <c r="T65" s="258">
        <v>0</v>
      </c>
      <c r="U65" s="258">
        <v>0</v>
      </c>
      <c r="V65" s="258">
        <v>0</v>
      </c>
      <c r="W65" s="258">
        <v>0</v>
      </c>
      <c r="X65" s="258">
        <v>1</v>
      </c>
      <c r="Y65" s="245"/>
      <c r="Z65" s="253" t="s">
        <v>577</v>
      </c>
      <c r="AA65" s="253">
        <v>0</v>
      </c>
      <c r="AB65" s="253">
        <v>0</v>
      </c>
      <c r="AC65" s="253">
        <v>0</v>
      </c>
      <c r="AD65" s="253">
        <v>0</v>
      </c>
      <c r="AE65" s="253">
        <v>0</v>
      </c>
      <c r="AF65" s="253"/>
      <c r="AG65" s="253" t="s">
        <v>603</v>
      </c>
      <c r="AH65" s="253">
        <v>0</v>
      </c>
      <c r="AI65" s="253">
        <v>0</v>
      </c>
      <c r="AJ65" s="253">
        <v>0</v>
      </c>
      <c r="AK65" s="253">
        <v>30</v>
      </c>
      <c r="AL65" s="253">
        <v>0</v>
      </c>
      <c r="AM65" s="245"/>
      <c r="AN65" s="253" t="s">
        <v>564</v>
      </c>
      <c r="AO65" s="253">
        <v>0</v>
      </c>
      <c r="AP65" s="253">
        <v>0</v>
      </c>
      <c r="AQ65" s="253">
        <v>0</v>
      </c>
      <c r="AR65" s="253">
        <v>0</v>
      </c>
      <c r="AS65" s="253">
        <v>0</v>
      </c>
      <c r="AT65" s="245"/>
      <c r="AU65" s="253" t="s">
        <v>564</v>
      </c>
      <c r="AV65" s="253">
        <v>0</v>
      </c>
      <c r="AW65" s="253">
        <v>0</v>
      </c>
      <c r="AX65" s="253">
        <v>0</v>
      </c>
      <c r="AY65" s="253">
        <v>0</v>
      </c>
      <c r="AZ65" s="253">
        <v>0</v>
      </c>
      <c r="BA65" s="245"/>
      <c r="BB65" s="253" t="s">
        <v>604</v>
      </c>
      <c r="BC65" s="253">
        <v>176272059.69999999</v>
      </c>
      <c r="BD65" s="253">
        <v>1378</v>
      </c>
      <c r="BE65" s="253">
        <v>26</v>
      </c>
      <c r="BF65" s="253">
        <v>13503</v>
      </c>
      <c r="BG65" s="253">
        <v>1</v>
      </c>
      <c r="BH65" s="247" t="s">
        <v>604</v>
      </c>
      <c r="BI65" s="253">
        <v>278100</v>
      </c>
      <c r="BJ65" s="253">
        <v>2</v>
      </c>
      <c r="BK65" s="253">
        <v>2</v>
      </c>
      <c r="BL65" s="253">
        <v>640</v>
      </c>
      <c r="BM65" s="253">
        <v>1</v>
      </c>
      <c r="BN65" s="253"/>
      <c r="BO65" s="256" t="s">
        <v>476</v>
      </c>
      <c r="BP65" s="264" t="s">
        <v>537</v>
      </c>
      <c r="BQ65" s="264" t="s">
        <v>555</v>
      </c>
      <c r="BR65" s="264" t="s">
        <v>556</v>
      </c>
    </row>
    <row r="66" spans="1:70" x14ac:dyDescent="0.2">
      <c r="A66" s="83"/>
      <c r="B66" s="190" t="s">
        <v>271</v>
      </c>
      <c r="C66" s="193">
        <v>42761</v>
      </c>
      <c r="D66" s="190">
        <v>10880.162418039999</v>
      </c>
      <c r="E66" s="223">
        <v>1</v>
      </c>
      <c r="F66" s="220"/>
      <c r="G66" s="223" t="s">
        <v>298</v>
      </c>
      <c r="H66" s="223">
        <v>14479.711751520001</v>
      </c>
      <c r="I66" s="164"/>
      <c r="J66" s="3"/>
      <c r="K66" s="228"/>
      <c r="L66" s="228"/>
      <c r="M66" s="228"/>
      <c r="O66" s="241" t="s">
        <v>298</v>
      </c>
      <c r="P66" s="241">
        <v>14106.96956833</v>
      </c>
      <c r="Q66" s="239"/>
      <c r="R66" s="157"/>
      <c r="S66" s="253" t="s">
        <v>447</v>
      </c>
      <c r="T66" s="258">
        <v>23359755568.842999</v>
      </c>
      <c r="U66" s="258">
        <v>2234023</v>
      </c>
      <c r="V66" s="258">
        <v>11470</v>
      </c>
      <c r="W66" s="258">
        <v>744329</v>
      </c>
      <c r="X66" s="258">
        <v>1</v>
      </c>
      <c r="Y66" s="245"/>
      <c r="Z66" s="253" t="s">
        <v>564</v>
      </c>
      <c r="AA66" s="253">
        <v>0</v>
      </c>
      <c r="AB66" s="253">
        <v>0</v>
      </c>
      <c r="AC66" s="253">
        <v>0</v>
      </c>
      <c r="AD66" s="253">
        <v>0</v>
      </c>
      <c r="AE66" s="253">
        <v>0</v>
      </c>
      <c r="AF66" s="253"/>
      <c r="AG66" s="253" t="s">
        <v>604</v>
      </c>
      <c r="AH66" s="253">
        <v>0</v>
      </c>
      <c r="AI66" s="253">
        <v>0</v>
      </c>
      <c r="AJ66" s="253">
        <v>0</v>
      </c>
      <c r="AK66" s="253">
        <v>0</v>
      </c>
      <c r="AL66" s="253">
        <v>0</v>
      </c>
      <c r="AM66" s="245"/>
      <c r="AN66" s="253" t="s">
        <v>603</v>
      </c>
      <c r="AO66" s="253">
        <v>0</v>
      </c>
      <c r="AP66" s="253">
        <v>0</v>
      </c>
      <c r="AQ66" s="253">
        <v>0</v>
      </c>
      <c r="AR66" s="253">
        <v>1320</v>
      </c>
      <c r="AS66" s="253">
        <v>0</v>
      </c>
      <c r="AT66" s="245"/>
      <c r="AU66" s="253" t="s">
        <v>603</v>
      </c>
      <c r="AV66" s="253">
        <v>0</v>
      </c>
      <c r="AW66" s="253">
        <v>0</v>
      </c>
      <c r="AX66" s="253">
        <v>0</v>
      </c>
      <c r="AY66" s="253">
        <v>60</v>
      </c>
      <c r="AZ66" s="253">
        <v>0</v>
      </c>
      <c r="BA66" s="245"/>
      <c r="BB66" s="253" t="s">
        <v>603</v>
      </c>
      <c r="BC66" s="253">
        <v>209046517.12400001</v>
      </c>
      <c r="BD66" s="253">
        <v>1386</v>
      </c>
      <c r="BE66" s="253">
        <v>63</v>
      </c>
      <c r="BF66" s="253">
        <v>4158</v>
      </c>
      <c r="BG66" s="253">
        <v>1</v>
      </c>
      <c r="BH66" s="247" t="s">
        <v>603</v>
      </c>
      <c r="BI66" s="253">
        <v>1205470</v>
      </c>
      <c r="BJ66" s="253">
        <v>8</v>
      </c>
      <c r="BK66" s="253">
        <v>5</v>
      </c>
      <c r="BL66" s="253">
        <v>41</v>
      </c>
      <c r="BM66" s="253">
        <v>1</v>
      </c>
      <c r="BN66" s="253"/>
      <c r="BO66" s="247"/>
      <c r="BP66" s="263">
        <v>275481000176.09998</v>
      </c>
      <c r="BQ66" s="263">
        <v>17262262</v>
      </c>
      <c r="BR66" s="263">
        <v>32399</v>
      </c>
    </row>
    <row r="67" spans="1:70" x14ac:dyDescent="0.2">
      <c r="A67" s="83"/>
      <c r="B67" s="190" t="s">
        <v>272</v>
      </c>
      <c r="C67" s="193">
        <v>42878</v>
      </c>
      <c r="D67" s="190">
        <v>10747.097060980001</v>
      </c>
      <c r="E67" s="223">
        <v>1</v>
      </c>
      <c r="F67" s="213"/>
      <c r="G67" s="223" t="s">
        <v>299</v>
      </c>
      <c r="H67" s="223">
        <v>7007.8335307699999</v>
      </c>
      <c r="I67" s="164"/>
      <c r="J67" s="3"/>
      <c r="K67" s="228"/>
      <c r="L67" s="228"/>
      <c r="M67" s="228"/>
      <c r="O67" s="241" t="s">
        <v>299</v>
      </c>
      <c r="P67" s="241">
        <v>7080.3283603999998</v>
      </c>
      <c r="Q67" s="239"/>
      <c r="R67" s="157"/>
      <c r="S67" s="253" t="s">
        <v>182</v>
      </c>
      <c r="T67" s="258">
        <v>283902489.28399998</v>
      </c>
      <c r="U67" s="258">
        <v>2767787</v>
      </c>
      <c r="V67" s="258">
        <v>328</v>
      </c>
      <c r="W67" s="258">
        <v>1370117</v>
      </c>
      <c r="X67" s="258">
        <v>1</v>
      </c>
      <c r="Y67" s="245"/>
      <c r="Z67" s="253" t="s">
        <v>603</v>
      </c>
      <c r="AA67" s="253">
        <v>370700</v>
      </c>
      <c r="AB67" s="253">
        <v>30</v>
      </c>
      <c r="AC67" s="253">
        <v>3</v>
      </c>
      <c r="AD67" s="253">
        <v>960</v>
      </c>
      <c r="AE67" s="253">
        <v>0</v>
      </c>
      <c r="AF67" s="253"/>
      <c r="AG67" s="253" t="s">
        <v>565</v>
      </c>
      <c r="AH67" s="253">
        <v>0</v>
      </c>
      <c r="AI67" s="253">
        <v>0</v>
      </c>
      <c r="AJ67" s="253">
        <v>0</v>
      </c>
      <c r="AK67" s="253">
        <v>0</v>
      </c>
      <c r="AL67" s="253">
        <v>0</v>
      </c>
      <c r="AM67" s="245"/>
      <c r="AN67" s="253" t="s">
        <v>604</v>
      </c>
      <c r="AO67" s="253">
        <v>0</v>
      </c>
      <c r="AP67" s="253">
        <v>0</v>
      </c>
      <c r="AQ67" s="253">
        <v>0</v>
      </c>
      <c r="AR67" s="253">
        <v>0</v>
      </c>
      <c r="AS67" s="253">
        <v>0</v>
      </c>
      <c r="AT67" s="245"/>
      <c r="AU67" s="253" t="s">
        <v>604</v>
      </c>
      <c r="AV67" s="253">
        <v>0</v>
      </c>
      <c r="AW67" s="253">
        <v>0</v>
      </c>
      <c r="AX67" s="253">
        <v>0</v>
      </c>
      <c r="AY67" s="253">
        <v>0</v>
      </c>
      <c r="AZ67" s="253">
        <v>0</v>
      </c>
      <c r="BA67" s="245"/>
      <c r="BB67" s="253" t="s">
        <v>598</v>
      </c>
      <c r="BC67" s="253">
        <v>0</v>
      </c>
      <c r="BD67" s="253">
        <v>0</v>
      </c>
      <c r="BE67" s="253">
        <v>0</v>
      </c>
      <c r="BF67" s="253">
        <v>0</v>
      </c>
      <c r="BG67" s="253">
        <v>0</v>
      </c>
      <c r="BH67" s="247" t="s">
        <v>598</v>
      </c>
      <c r="BI67" s="253">
        <v>0</v>
      </c>
      <c r="BJ67" s="253">
        <v>0</v>
      </c>
      <c r="BK67" s="253">
        <v>0</v>
      </c>
      <c r="BL67" s="253">
        <v>0</v>
      </c>
      <c r="BM67" s="253">
        <v>0</v>
      </c>
      <c r="BN67" s="253"/>
      <c r="BO67" s="247"/>
      <c r="BP67" s="247"/>
      <c r="BQ67" s="247"/>
      <c r="BR67" s="247"/>
    </row>
    <row r="68" spans="1:70" x14ac:dyDescent="0.2">
      <c r="A68" s="83"/>
      <c r="B68" s="190" t="s">
        <v>273</v>
      </c>
      <c r="C68" s="193">
        <v>41967</v>
      </c>
      <c r="D68" s="190">
        <v>25297.640064309999</v>
      </c>
      <c r="E68" s="223">
        <v>1</v>
      </c>
      <c r="F68" s="213"/>
      <c r="G68" s="223" t="s">
        <v>300</v>
      </c>
      <c r="H68" s="223">
        <v>151.04494758999999</v>
      </c>
      <c r="I68" s="164"/>
      <c r="J68" s="3"/>
      <c r="K68" s="228"/>
      <c r="L68" s="228"/>
      <c r="M68" s="228"/>
      <c r="O68" s="241" t="s">
        <v>300</v>
      </c>
      <c r="P68" s="241">
        <v>152.95368194</v>
      </c>
      <c r="Q68" s="239"/>
      <c r="R68" s="157"/>
      <c r="S68" s="253" t="s">
        <v>449</v>
      </c>
      <c r="T68" s="258">
        <v>0</v>
      </c>
      <c r="U68" s="258">
        <v>0</v>
      </c>
      <c r="V68" s="258">
        <v>0</v>
      </c>
      <c r="W68" s="258">
        <v>0</v>
      </c>
      <c r="X68" s="258">
        <v>0</v>
      </c>
      <c r="Y68" s="245"/>
      <c r="Z68" s="253" t="s">
        <v>604</v>
      </c>
      <c r="AA68" s="253">
        <v>0</v>
      </c>
      <c r="AB68" s="253">
        <v>0</v>
      </c>
      <c r="AC68" s="253">
        <v>0</v>
      </c>
      <c r="AD68" s="253">
        <v>0</v>
      </c>
      <c r="AE68" s="253">
        <v>0</v>
      </c>
      <c r="AF68" s="253"/>
      <c r="AG68" s="253" t="s">
        <v>605</v>
      </c>
      <c r="AH68" s="253">
        <v>0</v>
      </c>
      <c r="AI68" s="253">
        <v>0</v>
      </c>
      <c r="AJ68" s="253">
        <v>0</v>
      </c>
      <c r="AK68" s="253">
        <v>0</v>
      </c>
      <c r="AL68" s="253">
        <v>0</v>
      </c>
      <c r="AM68" s="245"/>
      <c r="AN68" s="253" t="s">
        <v>565</v>
      </c>
      <c r="AO68" s="253">
        <v>0</v>
      </c>
      <c r="AP68" s="253">
        <v>0</v>
      </c>
      <c r="AQ68" s="253">
        <v>0</v>
      </c>
      <c r="AR68" s="253">
        <v>0</v>
      </c>
      <c r="AS68" s="253">
        <v>0</v>
      </c>
      <c r="AT68" s="245"/>
      <c r="AU68" s="253" t="s">
        <v>565</v>
      </c>
      <c r="AV68" s="253">
        <v>0</v>
      </c>
      <c r="AW68" s="253">
        <v>0</v>
      </c>
      <c r="AX68" s="253">
        <v>0</v>
      </c>
      <c r="AY68" s="253">
        <v>0</v>
      </c>
      <c r="AZ68" s="253">
        <v>0</v>
      </c>
      <c r="BA68" s="245"/>
      <c r="BB68" s="253" t="s">
        <v>599</v>
      </c>
      <c r="BC68" s="253">
        <v>0</v>
      </c>
      <c r="BD68" s="253">
        <v>0</v>
      </c>
      <c r="BE68" s="253">
        <v>0</v>
      </c>
      <c r="BF68" s="253">
        <v>0</v>
      </c>
      <c r="BG68" s="253">
        <v>0</v>
      </c>
      <c r="BH68" s="247" t="s">
        <v>599</v>
      </c>
      <c r="BI68" s="253">
        <v>0</v>
      </c>
      <c r="BJ68" s="253">
        <v>0</v>
      </c>
      <c r="BK68" s="253">
        <v>0</v>
      </c>
      <c r="BL68" s="253">
        <v>0</v>
      </c>
      <c r="BM68" s="253">
        <v>0</v>
      </c>
      <c r="BN68" s="253"/>
      <c r="BO68" s="256" t="s">
        <v>477</v>
      </c>
      <c r="BP68" s="264" t="s">
        <v>537</v>
      </c>
      <c r="BQ68" s="264" t="s">
        <v>555</v>
      </c>
      <c r="BR68" s="264" t="s">
        <v>556</v>
      </c>
    </row>
    <row r="69" spans="1:70" x14ac:dyDescent="0.2">
      <c r="A69" s="83"/>
      <c r="B69" s="190" t="s">
        <v>274</v>
      </c>
      <c r="C69" s="193">
        <v>41849</v>
      </c>
      <c r="D69" s="190">
        <v>4482.8823280400002</v>
      </c>
      <c r="E69" s="223">
        <v>1</v>
      </c>
      <c r="F69" s="213"/>
      <c r="G69" s="223" t="s">
        <v>301</v>
      </c>
      <c r="H69" s="223">
        <v>1992.42464055</v>
      </c>
      <c r="I69" s="164"/>
      <c r="J69" s="3"/>
      <c r="K69" s="228"/>
      <c r="L69" s="228"/>
      <c r="M69" s="228"/>
      <c r="O69" s="241" t="s">
        <v>301</v>
      </c>
      <c r="P69" s="241">
        <v>1986.21629368</v>
      </c>
      <c r="Q69" s="239"/>
      <c r="R69" s="157"/>
      <c r="S69" s="253" t="s">
        <v>446</v>
      </c>
      <c r="T69" s="258">
        <v>979100304401.47668</v>
      </c>
      <c r="U69" s="258">
        <v>3461343</v>
      </c>
      <c r="V69" s="258">
        <v>304520</v>
      </c>
      <c r="W69" s="258">
        <v>809245</v>
      </c>
      <c r="X69" s="258">
        <v>1</v>
      </c>
      <c r="Y69" s="245"/>
      <c r="Z69" s="253" t="s">
        <v>565</v>
      </c>
      <c r="AA69" s="253">
        <v>0</v>
      </c>
      <c r="AB69" s="253">
        <v>0</v>
      </c>
      <c r="AC69" s="253">
        <v>0</v>
      </c>
      <c r="AD69" s="253">
        <v>0</v>
      </c>
      <c r="AE69" s="253">
        <v>0</v>
      </c>
      <c r="AF69" s="253"/>
      <c r="AG69" s="253" t="s">
        <v>567</v>
      </c>
      <c r="AH69" s="253">
        <v>0</v>
      </c>
      <c r="AI69" s="253">
        <v>0</v>
      </c>
      <c r="AJ69" s="253">
        <v>0</v>
      </c>
      <c r="AK69" s="253">
        <v>0</v>
      </c>
      <c r="AL69" s="253">
        <v>0</v>
      </c>
      <c r="AM69" s="245"/>
      <c r="AN69" s="253" t="s">
        <v>605</v>
      </c>
      <c r="AO69" s="253">
        <v>0</v>
      </c>
      <c r="AP69" s="253">
        <v>0</v>
      </c>
      <c r="AQ69" s="253">
        <v>0</v>
      </c>
      <c r="AR69" s="253">
        <v>0</v>
      </c>
      <c r="AS69" s="253">
        <v>0</v>
      </c>
      <c r="AT69" s="245"/>
      <c r="AU69" s="253" t="s">
        <v>605</v>
      </c>
      <c r="AV69" s="253">
        <v>0</v>
      </c>
      <c r="AW69" s="253">
        <v>0</v>
      </c>
      <c r="AX69" s="253">
        <v>0</v>
      </c>
      <c r="AY69" s="253">
        <v>0</v>
      </c>
      <c r="AZ69" s="253">
        <v>0</v>
      </c>
      <c r="BA69" s="245"/>
      <c r="BB69" s="253" t="s">
        <v>583</v>
      </c>
      <c r="BC69" s="253">
        <v>9040971608.7849998</v>
      </c>
      <c r="BD69" s="253">
        <v>27404</v>
      </c>
      <c r="BE69" s="253">
        <v>3392</v>
      </c>
      <c r="BF69" s="253">
        <v>127566</v>
      </c>
      <c r="BG69" s="253">
        <v>1</v>
      </c>
      <c r="BH69" s="247" t="s">
        <v>583</v>
      </c>
      <c r="BI69" s="253">
        <v>865167509.80999994</v>
      </c>
      <c r="BJ69" s="253">
        <v>2642</v>
      </c>
      <c r="BK69" s="253">
        <v>213</v>
      </c>
      <c r="BL69" s="253">
        <v>6155</v>
      </c>
      <c r="BM69" s="253">
        <v>1</v>
      </c>
      <c r="BN69" s="253"/>
      <c r="BO69" s="247"/>
      <c r="BP69" s="263">
        <v>99884619213.699997</v>
      </c>
      <c r="BQ69" s="263">
        <v>6257460</v>
      </c>
      <c r="BR69" s="263">
        <v>1377</v>
      </c>
    </row>
    <row r="70" spans="1:70" x14ac:dyDescent="0.2">
      <c r="A70" s="83"/>
      <c r="B70" s="190" t="s">
        <v>275</v>
      </c>
      <c r="C70" s="193">
        <v>41849</v>
      </c>
      <c r="D70" s="190">
        <v>4264.0820106800002</v>
      </c>
      <c r="E70" s="223">
        <v>1</v>
      </c>
      <c r="F70" s="212"/>
      <c r="G70" s="223" t="s">
        <v>302</v>
      </c>
      <c r="H70" s="223">
        <v>9354.4251388899993</v>
      </c>
      <c r="I70" s="164"/>
      <c r="J70" s="3"/>
      <c r="K70" s="228"/>
      <c r="L70" s="228"/>
      <c r="M70" s="228"/>
      <c r="O70" s="241" t="s">
        <v>302</v>
      </c>
      <c r="P70" s="241">
        <v>9663.0495664800001</v>
      </c>
      <c r="Q70" s="239"/>
      <c r="R70" s="157"/>
      <c r="S70" s="253" t="s">
        <v>451</v>
      </c>
      <c r="T70" s="258">
        <v>10726614534.361</v>
      </c>
      <c r="U70" s="258">
        <v>1428737</v>
      </c>
      <c r="V70" s="258">
        <v>262</v>
      </c>
      <c r="W70" s="258">
        <v>744275</v>
      </c>
      <c r="X70" s="258">
        <v>1</v>
      </c>
      <c r="Y70" s="245"/>
      <c r="Z70" s="253" t="s">
        <v>605</v>
      </c>
      <c r="AA70" s="253">
        <v>0</v>
      </c>
      <c r="AB70" s="253">
        <v>0</v>
      </c>
      <c r="AC70" s="253">
        <v>0</v>
      </c>
      <c r="AD70" s="253">
        <v>0</v>
      </c>
      <c r="AE70" s="253">
        <v>0</v>
      </c>
      <c r="AF70" s="253"/>
      <c r="AG70" s="253" t="s">
        <v>606</v>
      </c>
      <c r="AH70" s="253">
        <v>0</v>
      </c>
      <c r="AI70" s="253">
        <v>0</v>
      </c>
      <c r="AJ70" s="253">
        <v>0</v>
      </c>
      <c r="AK70" s="253">
        <v>0</v>
      </c>
      <c r="AL70" s="253">
        <v>1</v>
      </c>
      <c r="AM70" s="245"/>
      <c r="AN70" s="253" t="s">
        <v>567</v>
      </c>
      <c r="AO70" s="253">
        <v>0</v>
      </c>
      <c r="AP70" s="253">
        <v>0</v>
      </c>
      <c r="AQ70" s="253">
        <v>0</v>
      </c>
      <c r="AR70" s="253">
        <v>0</v>
      </c>
      <c r="AS70" s="253">
        <v>0</v>
      </c>
      <c r="AT70" s="245"/>
      <c r="AU70" s="253" t="s">
        <v>567</v>
      </c>
      <c r="AV70" s="253">
        <v>0</v>
      </c>
      <c r="AW70" s="253">
        <v>0</v>
      </c>
      <c r="AX70" s="253">
        <v>0</v>
      </c>
      <c r="AY70" s="253">
        <v>0</v>
      </c>
      <c r="AZ70" s="253">
        <v>0</v>
      </c>
      <c r="BA70" s="245"/>
      <c r="BB70" s="253" t="s">
        <v>605</v>
      </c>
      <c r="BC70" s="253">
        <v>120654627.73</v>
      </c>
      <c r="BD70" s="253">
        <v>1535</v>
      </c>
      <c r="BE70" s="253">
        <v>43</v>
      </c>
      <c r="BF70" s="253">
        <v>15399</v>
      </c>
      <c r="BG70" s="253">
        <v>1</v>
      </c>
      <c r="BH70" s="247" t="s">
        <v>605</v>
      </c>
      <c r="BI70" s="253">
        <v>0</v>
      </c>
      <c r="BJ70" s="253">
        <v>0</v>
      </c>
      <c r="BK70" s="253">
        <v>0</v>
      </c>
      <c r="BL70" s="253">
        <v>714</v>
      </c>
      <c r="BM70" s="253">
        <v>1</v>
      </c>
      <c r="BN70" s="253"/>
      <c r="BO70" s="245"/>
      <c r="BP70" s="245"/>
      <c r="BQ70" s="245"/>
      <c r="BR70" s="245"/>
    </row>
    <row r="71" spans="1:70" x14ac:dyDescent="0.2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303</v>
      </c>
      <c r="H71" s="223">
        <v>11554.116599999999</v>
      </c>
      <c r="I71" s="164"/>
      <c r="J71" s="3"/>
      <c r="K71" s="228"/>
      <c r="L71" s="228"/>
      <c r="M71" s="228"/>
      <c r="O71" s="241" t="s">
        <v>303</v>
      </c>
      <c r="P71" s="241">
        <v>11514.9076</v>
      </c>
      <c r="Q71" s="239"/>
      <c r="R71" s="157"/>
      <c r="S71" s="253" t="s">
        <v>450</v>
      </c>
      <c r="T71" s="258">
        <v>0</v>
      </c>
      <c r="U71" s="258">
        <v>26855011</v>
      </c>
      <c r="V71" s="258">
        <v>785</v>
      </c>
      <c r="W71" s="258">
        <v>19283864</v>
      </c>
      <c r="X71" s="258">
        <v>1</v>
      </c>
      <c r="Y71" s="245"/>
      <c r="Z71" s="253" t="s">
        <v>567</v>
      </c>
      <c r="AA71" s="253">
        <v>0</v>
      </c>
      <c r="AB71" s="253">
        <v>0</v>
      </c>
      <c r="AC71" s="253">
        <v>0</v>
      </c>
      <c r="AD71" s="253">
        <v>0</v>
      </c>
      <c r="AE71" s="253">
        <v>0</v>
      </c>
      <c r="AF71" s="253"/>
      <c r="AG71" s="253" t="s">
        <v>604</v>
      </c>
      <c r="AH71" s="253">
        <v>0</v>
      </c>
      <c r="AI71" s="253">
        <v>0</v>
      </c>
      <c r="AJ71" s="253">
        <v>0</v>
      </c>
      <c r="AK71" s="253">
        <v>20</v>
      </c>
      <c r="AL71" s="253">
        <v>1</v>
      </c>
      <c r="AM71" s="245"/>
      <c r="AN71" s="253" t="s">
        <v>604</v>
      </c>
      <c r="AO71" s="253">
        <v>77350433.75</v>
      </c>
      <c r="AP71" s="253">
        <v>687</v>
      </c>
      <c r="AQ71" s="253">
        <v>7</v>
      </c>
      <c r="AR71" s="253">
        <v>6410</v>
      </c>
      <c r="AS71" s="253">
        <v>1</v>
      </c>
      <c r="AT71" s="245"/>
      <c r="AU71" s="253" t="s">
        <v>604</v>
      </c>
      <c r="AV71" s="253">
        <v>0</v>
      </c>
      <c r="AW71" s="253">
        <v>0</v>
      </c>
      <c r="AX71" s="253">
        <v>0</v>
      </c>
      <c r="AY71" s="253">
        <v>205</v>
      </c>
      <c r="AZ71" s="253">
        <v>1</v>
      </c>
      <c r="BA71" s="245"/>
      <c r="BB71" s="253" t="s">
        <v>588</v>
      </c>
      <c r="BC71" s="253">
        <v>3889345</v>
      </c>
      <c r="BD71" s="253">
        <v>67</v>
      </c>
      <c r="BE71" s="253">
        <v>5</v>
      </c>
      <c r="BF71" s="253">
        <v>1234</v>
      </c>
      <c r="BG71" s="253">
        <v>1</v>
      </c>
      <c r="BH71" s="247" t="s">
        <v>588</v>
      </c>
      <c r="BI71" s="253">
        <v>2950000</v>
      </c>
      <c r="BJ71" s="253">
        <v>50</v>
      </c>
      <c r="BK71" s="253">
        <v>1</v>
      </c>
      <c r="BL71" s="253">
        <v>10</v>
      </c>
      <c r="BM71" s="253">
        <v>1</v>
      </c>
      <c r="BN71" s="253"/>
      <c r="BO71" s="256" t="s">
        <v>494</v>
      </c>
      <c r="BP71" s="264" t="s">
        <v>611</v>
      </c>
      <c r="BQ71" s="264" t="s">
        <v>557</v>
      </c>
      <c r="BR71" s="247"/>
    </row>
    <row r="72" spans="1:70" x14ac:dyDescent="0.2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304</v>
      </c>
      <c r="H72" s="223">
        <v>23250.59349626</v>
      </c>
      <c r="I72" s="164"/>
      <c r="J72" s="3"/>
      <c r="K72" s="228"/>
      <c r="L72" s="228"/>
      <c r="M72" s="228"/>
      <c r="O72" s="241" t="s">
        <v>304</v>
      </c>
      <c r="P72" s="241">
        <v>24070.502243250001</v>
      </c>
      <c r="Q72" s="239"/>
      <c r="R72" s="157"/>
      <c r="S72" s="253" t="s">
        <v>448</v>
      </c>
      <c r="T72" s="258">
        <v>2106101.84</v>
      </c>
      <c r="U72" s="258">
        <v>1547818</v>
      </c>
      <c r="V72" s="258">
        <v>10949</v>
      </c>
      <c r="W72" s="258">
        <v>509137</v>
      </c>
      <c r="X72" s="258">
        <v>1</v>
      </c>
      <c r="Y72" s="245"/>
      <c r="Z72" s="253" t="s">
        <v>606</v>
      </c>
      <c r="AA72" s="253">
        <v>0</v>
      </c>
      <c r="AB72" s="253">
        <v>0</v>
      </c>
      <c r="AC72" s="253">
        <v>0</v>
      </c>
      <c r="AD72" s="253">
        <v>0</v>
      </c>
      <c r="AE72" s="253">
        <v>1</v>
      </c>
      <c r="AF72" s="253"/>
      <c r="AG72" s="253" t="s">
        <v>603</v>
      </c>
      <c r="AH72" s="253">
        <v>122200</v>
      </c>
      <c r="AI72" s="253">
        <v>1</v>
      </c>
      <c r="AJ72" s="253">
        <v>1</v>
      </c>
      <c r="AK72" s="253">
        <v>45</v>
      </c>
      <c r="AL72" s="253">
        <v>1</v>
      </c>
      <c r="AM72" s="245"/>
      <c r="AN72" s="253" t="s">
        <v>603</v>
      </c>
      <c r="AO72" s="253">
        <v>40971600.034000002</v>
      </c>
      <c r="AP72" s="253">
        <v>329</v>
      </c>
      <c r="AQ72" s="253">
        <v>22</v>
      </c>
      <c r="AR72" s="253">
        <v>3630</v>
      </c>
      <c r="AS72" s="253">
        <v>1</v>
      </c>
      <c r="AT72" s="245"/>
      <c r="AU72" s="253" t="s">
        <v>603</v>
      </c>
      <c r="AV72" s="253">
        <v>0</v>
      </c>
      <c r="AW72" s="253">
        <v>0</v>
      </c>
      <c r="AX72" s="253">
        <v>0</v>
      </c>
      <c r="AY72" s="253">
        <v>45</v>
      </c>
      <c r="AZ72" s="253">
        <v>1</v>
      </c>
      <c r="BA72" s="245"/>
      <c r="BB72" s="253" t="s">
        <v>585</v>
      </c>
      <c r="BC72" s="253">
        <v>409145238.93000001</v>
      </c>
      <c r="BD72" s="253">
        <v>19756</v>
      </c>
      <c r="BE72" s="253">
        <v>2612</v>
      </c>
      <c r="BF72" s="253">
        <v>1253878</v>
      </c>
      <c r="BG72" s="253">
        <v>0</v>
      </c>
      <c r="BH72" s="247" t="s">
        <v>585</v>
      </c>
      <c r="BI72" s="253">
        <v>2751027.36</v>
      </c>
      <c r="BJ72" s="253">
        <v>197</v>
      </c>
      <c r="BK72" s="253">
        <v>43</v>
      </c>
      <c r="BL72" s="253">
        <v>19932</v>
      </c>
      <c r="BM72" s="253">
        <v>0</v>
      </c>
      <c r="BN72" s="253"/>
      <c r="BO72" s="247"/>
      <c r="BP72" s="263" t="s">
        <v>612</v>
      </c>
      <c r="BQ72" s="263">
        <v>1306482</v>
      </c>
      <c r="BR72" s="247"/>
    </row>
    <row r="73" spans="1:70" x14ac:dyDescent="0.2">
      <c r="A73" s="83"/>
      <c r="B73" s="190" t="s">
        <v>276</v>
      </c>
      <c r="C73" s="193">
        <v>39629</v>
      </c>
      <c r="D73" s="190">
        <v>51541.23</v>
      </c>
      <c r="E73" s="223">
        <v>1</v>
      </c>
      <c r="F73" s="213"/>
      <c r="G73" s="223" t="s">
        <v>58</v>
      </c>
      <c r="H73" s="223">
        <v>23971.0262143</v>
      </c>
      <c r="I73" s="164"/>
      <c r="J73" s="3"/>
      <c r="K73" s="228"/>
      <c r="L73" s="228"/>
      <c r="M73" s="228"/>
      <c r="O73" s="241" t="s">
        <v>58</v>
      </c>
      <c r="P73" s="241">
        <v>24812.28674</v>
      </c>
      <c r="Q73" s="239"/>
      <c r="R73" s="157"/>
      <c r="S73" s="247"/>
      <c r="T73" s="247"/>
      <c r="U73" s="247"/>
      <c r="V73" s="247"/>
      <c r="W73" s="247"/>
      <c r="X73" s="247"/>
      <c r="Y73" s="245"/>
      <c r="Z73" s="253" t="s">
        <v>604</v>
      </c>
      <c r="AA73" s="253">
        <v>24602297.850000001</v>
      </c>
      <c r="AB73" s="253">
        <v>225</v>
      </c>
      <c r="AC73" s="253">
        <v>11</v>
      </c>
      <c r="AD73" s="253">
        <v>2734</v>
      </c>
      <c r="AE73" s="253">
        <v>1</v>
      </c>
      <c r="AF73" s="253"/>
      <c r="AG73" s="253" t="s">
        <v>598</v>
      </c>
      <c r="AH73" s="253">
        <v>0</v>
      </c>
      <c r="AI73" s="253">
        <v>0</v>
      </c>
      <c r="AJ73" s="253">
        <v>0</v>
      </c>
      <c r="AK73" s="253">
        <v>0</v>
      </c>
      <c r="AL73" s="253">
        <v>0</v>
      </c>
      <c r="AM73" s="245"/>
      <c r="AN73" s="253" t="s">
        <v>598</v>
      </c>
      <c r="AO73" s="253">
        <v>0</v>
      </c>
      <c r="AP73" s="253">
        <v>0</v>
      </c>
      <c r="AQ73" s="253">
        <v>0</v>
      </c>
      <c r="AR73" s="253">
        <v>0</v>
      </c>
      <c r="AS73" s="253">
        <v>0</v>
      </c>
      <c r="AT73" s="245"/>
      <c r="AU73" s="253" t="s">
        <v>598</v>
      </c>
      <c r="AV73" s="253">
        <v>0</v>
      </c>
      <c r="AW73" s="253">
        <v>0</v>
      </c>
      <c r="AX73" s="253">
        <v>0</v>
      </c>
      <c r="AY73" s="253">
        <v>0</v>
      </c>
      <c r="AZ73" s="253">
        <v>0</v>
      </c>
      <c r="BA73" s="245"/>
      <c r="BB73" s="253" t="s">
        <v>610</v>
      </c>
      <c r="BC73" s="253">
        <v>15914250</v>
      </c>
      <c r="BD73" s="253">
        <v>390</v>
      </c>
      <c r="BE73" s="253">
        <v>4</v>
      </c>
      <c r="BF73" s="253">
        <v>975</v>
      </c>
      <c r="BG73" s="253">
        <v>1</v>
      </c>
      <c r="BH73" s="247" t="s">
        <v>610</v>
      </c>
      <c r="BI73" s="253">
        <v>0</v>
      </c>
      <c r="BJ73" s="253">
        <v>0</v>
      </c>
      <c r="BK73" s="253">
        <v>0</v>
      </c>
      <c r="BL73" s="253">
        <v>0</v>
      </c>
      <c r="BM73" s="253">
        <v>1</v>
      </c>
      <c r="BN73" s="253"/>
      <c r="BO73" s="247"/>
      <c r="BP73" s="263" t="s">
        <v>613</v>
      </c>
      <c r="BQ73" s="263">
        <v>1369400</v>
      </c>
      <c r="BR73" s="247"/>
    </row>
    <row r="74" spans="1:70" x14ac:dyDescent="0.2">
      <c r="A74" s="83"/>
      <c r="B74" s="190" t="s">
        <v>277</v>
      </c>
      <c r="C74" s="193">
        <v>37970</v>
      </c>
      <c r="D74" s="190">
        <v>1201.19</v>
      </c>
      <c r="E74" s="223">
        <v>1</v>
      </c>
      <c r="F74" s="213"/>
      <c r="G74" s="223" t="s">
        <v>51</v>
      </c>
      <c r="H74" s="223">
        <v>26194.81943517</v>
      </c>
      <c r="I74" s="164"/>
      <c r="J74" s="3"/>
      <c r="K74" s="228"/>
      <c r="L74" s="228"/>
      <c r="M74" s="228"/>
      <c r="O74" s="241" t="s">
        <v>51</v>
      </c>
      <c r="P74" s="241">
        <v>27141.850179199999</v>
      </c>
      <c r="Q74" s="239"/>
      <c r="R74" s="157"/>
      <c r="S74" s="247"/>
      <c r="T74" s="247"/>
      <c r="U74" s="247"/>
      <c r="V74" s="247"/>
      <c r="W74" s="247"/>
      <c r="X74" s="247"/>
      <c r="Y74" s="245"/>
      <c r="Z74" s="253" t="s">
        <v>603</v>
      </c>
      <c r="AA74" s="253">
        <v>9187419.9940000009</v>
      </c>
      <c r="AB74" s="253">
        <v>76</v>
      </c>
      <c r="AC74" s="253">
        <v>21</v>
      </c>
      <c r="AD74" s="253">
        <v>1007</v>
      </c>
      <c r="AE74" s="253">
        <v>1</v>
      </c>
      <c r="AF74" s="253"/>
      <c r="AG74" s="253" t="s">
        <v>599</v>
      </c>
      <c r="AH74" s="253">
        <v>0</v>
      </c>
      <c r="AI74" s="253">
        <v>0</v>
      </c>
      <c r="AJ74" s="253">
        <v>0</v>
      </c>
      <c r="AK74" s="253">
        <v>0</v>
      </c>
      <c r="AL74" s="253">
        <v>0</v>
      </c>
      <c r="AM74" s="245"/>
      <c r="AN74" s="253" t="s">
        <v>597</v>
      </c>
      <c r="AO74" s="253">
        <v>0</v>
      </c>
      <c r="AP74" s="253">
        <v>0</v>
      </c>
      <c r="AQ74" s="253">
        <v>0</v>
      </c>
      <c r="AR74" s="253">
        <v>17600</v>
      </c>
      <c r="AS74" s="253">
        <v>0</v>
      </c>
      <c r="AT74" s="245"/>
      <c r="AU74" s="253" t="s">
        <v>597</v>
      </c>
      <c r="AV74" s="253">
        <v>0</v>
      </c>
      <c r="AW74" s="253">
        <v>0</v>
      </c>
      <c r="AX74" s="253">
        <v>0</v>
      </c>
      <c r="AY74" s="253">
        <v>800</v>
      </c>
      <c r="AZ74" s="253">
        <v>0</v>
      </c>
      <c r="BA74" s="245"/>
      <c r="BB74" s="253" t="s">
        <v>589</v>
      </c>
      <c r="BC74" s="253">
        <v>0</v>
      </c>
      <c r="BD74" s="253">
        <v>0</v>
      </c>
      <c r="BE74" s="253">
        <v>0</v>
      </c>
      <c r="BF74" s="253">
        <v>0</v>
      </c>
      <c r="BG74" s="253">
        <v>0</v>
      </c>
      <c r="BH74" s="247" t="s">
        <v>589</v>
      </c>
      <c r="BI74" s="253">
        <v>0</v>
      </c>
      <c r="BJ74" s="253">
        <v>0</v>
      </c>
      <c r="BK74" s="253">
        <v>0</v>
      </c>
      <c r="BL74" s="253">
        <v>0</v>
      </c>
      <c r="BM74" s="253">
        <v>0</v>
      </c>
      <c r="BN74" s="253"/>
      <c r="BO74" s="247"/>
      <c r="BP74" s="263"/>
      <c r="BQ74" s="247"/>
      <c r="BR74" s="247"/>
    </row>
    <row r="75" spans="1:70" x14ac:dyDescent="0.2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305</v>
      </c>
      <c r="H75" s="223">
        <v>11188.74</v>
      </c>
      <c r="I75" s="164"/>
      <c r="J75" s="3"/>
      <c r="K75" s="228"/>
      <c r="L75" s="228"/>
      <c r="M75" s="228"/>
      <c r="O75" s="241" t="s">
        <v>305</v>
      </c>
      <c r="P75" s="241">
        <v>11550.41</v>
      </c>
      <c r="Q75" s="239"/>
      <c r="R75" s="153" t="s">
        <v>457</v>
      </c>
      <c r="S75" s="254" t="s">
        <v>553</v>
      </c>
      <c r="T75" s="257" t="s">
        <v>554</v>
      </c>
      <c r="U75" s="257" t="s">
        <v>555</v>
      </c>
      <c r="V75" s="257" t="s">
        <v>556</v>
      </c>
      <c r="W75" s="257" t="s">
        <v>557</v>
      </c>
      <c r="X75" s="257" t="s">
        <v>558</v>
      </c>
      <c r="Y75" s="245"/>
      <c r="Z75" s="253" t="s">
        <v>598</v>
      </c>
      <c r="AA75" s="253">
        <v>0</v>
      </c>
      <c r="AB75" s="253">
        <v>0</v>
      </c>
      <c r="AC75" s="253">
        <v>0</v>
      </c>
      <c r="AD75" s="253">
        <v>0</v>
      </c>
      <c r="AE75" s="253">
        <v>0</v>
      </c>
      <c r="AF75" s="253"/>
      <c r="AG75" s="253" t="s">
        <v>583</v>
      </c>
      <c r="AH75" s="253">
        <v>474871288.30500001</v>
      </c>
      <c r="AI75" s="253">
        <v>2050</v>
      </c>
      <c r="AJ75" s="253">
        <v>141</v>
      </c>
      <c r="AK75" s="253">
        <v>11700</v>
      </c>
      <c r="AL75" s="253">
        <v>1</v>
      </c>
      <c r="AM75" s="245"/>
      <c r="AN75" s="253" t="s">
        <v>599</v>
      </c>
      <c r="AO75" s="253">
        <v>0</v>
      </c>
      <c r="AP75" s="253">
        <v>0</v>
      </c>
      <c r="AQ75" s="253">
        <v>0</v>
      </c>
      <c r="AR75" s="253">
        <v>0</v>
      </c>
      <c r="AS75" s="253">
        <v>0</v>
      </c>
      <c r="AT75" s="245"/>
      <c r="AU75" s="253" t="s">
        <v>599</v>
      </c>
      <c r="AV75" s="253">
        <v>0</v>
      </c>
      <c r="AW75" s="253">
        <v>0</v>
      </c>
      <c r="AX75" s="253">
        <v>0</v>
      </c>
      <c r="AY75" s="253">
        <v>0</v>
      </c>
      <c r="AZ75" s="253">
        <v>0</v>
      </c>
      <c r="BA75" s="245"/>
      <c r="BB75" s="253" t="s">
        <v>563</v>
      </c>
      <c r="BC75" s="253">
        <v>14708053136.690001</v>
      </c>
      <c r="BD75" s="253">
        <v>38012</v>
      </c>
      <c r="BE75" s="253">
        <v>2712</v>
      </c>
      <c r="BF75" s="253">
        <v>250153</v>
      </c>
      <c r="BG75" s="253">
        <v>1</v>
      </c>
      <c r="BH75" s="247" t="s">
        <v>563</v>
      </c>
      <c r="BI75" s="253">
        <v>466920975.98500001</v>
      </c>
      <c r="BJ75" s="253">
        <v>1187</v>
      </c>
      <c r="BK75" s="253">
        <v>114</v>
      </c>
      <c r="BL75" s="253">
        <v>10942</v>
      </c>
      <c r="BM75" s="253">
        <v>1</v>
      </c>
      <c r="BN75" s="253"/>
      <c r="BO75" s="256" t="s">
        <v>478</v>
      </c>
      <c r="BP75" s="264" t="s">
        <v>554</v>
      </c>
      <c r="BQ75" s="264" t="s">
        <v>555</v>
      </c>
      <c r="BR75" s="264" t="s">
        <v>556</v>
      </c>
    </row>
    <row r="76" spans="1:70" x14ac:dyDescent="0.2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548</v>
      </c>
      <c r="H76" s="223">
        <v>70510.580123599997</v>
      </c>
      <c r="I76" s="164"/>
      <c r="J76" s="3"/>
      <c r="K76" s="228"/>
      <c r="L76" s="228"/>
      <c r="M76" s="228"/>
      <c r="O76" s="241" t="s">
        <v>548</v>
      </c>
      <c r="P76" s="241">
        <v>73726.498188740006</v>
      </c>
      <c r="Q76" s="239"/>
      <c r="R76" s="157"/>
      <c r="S76" s="253" t="s">
        <v>449</v>
      </c>
      <c r="T76" s="258">
        <v>230238246.75639999</v>
      </c>
      <c r="U76" s="258">
        <v>761189</v>
      </c>
      <c r="V76" s="258">
        <v>31</v>
      </c>
      <c r="W76" s="258">
        <v>19761408</v>
      </c>
      <c r="X76" s="258">
        <v>1</v>
      </c>
      <c r="Y76" s="245"/>
      <c r="Z76" s="253" t="s">
        <v>597</v>
      </c>
      <c r="AA76" s="253">
        <v>0</v>
      </c>
      <c r="AB76" s="253">
        <v>0</v>
      </c>
      <c r="AC76" s="253">
        <v>0</v>
      </c>
      <c r="AD76" s="253">
        <v>14400</v>
      </c>
      <c r="AE76" s="253">
        <v>0</v>
      </c>
      <c r="AF76" s="253"/>
      <c r="AG76" s="253" t="s">
        <v>605</v>
      </c>
      <c r="AH76" s="253">
        <v>0</v>
      </c>
      <c r="AI76" s="253">
        <v>0</v>
      </c>
      <c r="AJ76" s="253">
        <v>0</v>
      </c>
      <c r="AK76" s="253">
        <v>964</v>
      </c>
      <c r="AL76" s="253">
        <v>1</v>
      </c>
      <c r="AM76" s="245"/>
      <c r="AN76" s="253" t="s">
        <v>583</v>
      </c>
      <c r="AO76" s="253">
        <v>6489937765.9899998</v>
      </c>
      <c r="AP76" s="253">
        <v>27261</v>
      </c>
      <c r="AQ76" s="253">
        <v>2850</v>
      </c>
      <c r="AR76" s="253">
        <v>205083</v>
      </c>
      <c r="AS76" s="253">
        <v>1</v>
      </c>
      <c r="AT76" s="245"/>
      <c r="AU76" s="253" t="s">
        <v>583</v>
      </c>
      <c r="AV76" s="253">
        <v>267710128.36000001</v>
      </c>
      <c r="AW76" s="253">
        <v>1134</v>
      </c>
      <c r="AX76" s="253">
        <v>110</v>
      </c>
      <c r="AY76" s="253">
        <v>9493</v>
      </c>
      <c r="AZ76" s="253">
        <v>1</v>
      </c>
      <c r="BA76" s="245"/>
      <c r="BB76" s="253" t="s">
        <v>590</v>
      </c>
      <c r="BC76" s="253">
        <v>0</v>
      </c>
      <c r="BD76" s="253">
        <v>0</v>
      </c>
      <c r="BE76" s="253">
        <v>0</v>
      </c>
      <c r="BF76" s="253">
        <v>0</v>
      </c>
      <c r="BG76" s="253">
        <v>1</v>
      </c>
      <c r="BH76" s="245" t="s">
        <v>590</v>
      </c>
      <c r="BI76" s="253">
        <v>0</v>
      </c>
      <c r="BJ76" s="253">
        <v>0</v>
      </c>
      <c r="BK76" s="253">
        <v>0</v>
      </c>
      <c r="BL76" s="253">
        <v>0</v>
      </c>
      <c r="BM76" s="253">
        <v>1</v>
      </c>
      <c r="BN76" s="253"/>
      <c r="BO76" s="247"/>
      <c r="BP76" s="263">
        <v>282298767472.90796</v>
      </c>
      <c r="BQ76" s="263">
        <v>1321704</v>
      </c>
      <c r="BR76" s="263">
        <v>170434</v>
      </c>
    </row>
    <row r="77" spans="1:70" x14ac:dyDescent="0.2">
      <c r="B77" s="190" t="s">
        <v>278</v>
      </c>
      <c r="C77" s="193">
        <v>38009</v>
      </c>
      <c r="D77" s="190">
        <v>999.63</v>
      </c>
      <c r="E77" s="223">
        <v>1</v>
      </c>
      <c r="F77" s="209"/>
      <c r="G77" s="223" t="s">
        <v>101</v>
      </c>
      <c r="H77" s="223">
        <v>338.28984776999999</v>
      </c>
      <c r="I77" s="164"/>
      <c r="J77" s="3"/>
      <c r="K77" s="228"/>
      <c r="L77" s="228"/>
      <c r="M77" s="228"/>
      <c r="O77" s="241" t="s">
        <v>101</v>
      </c>
      <c r="P77" s="241">
        <v>350.48021331000001</v>
      </c>
      <c r="Q77" s="239"/>
      <c r="R77" s="157"/>
      <c r="S77" s="253" t="s">
        <v>447</v>
      </c>
      <c r="T77" s="258">
        <v>54835948.979999997</v>
      </c>
      <c r="U77" s="258">
        <v>100699</v>
      </c>
      <c r="V77" s="258">
        <v>40</v>
      </c>
      <c r="W77" s="258">
        <v>1740386</v>
      </c>
      <c r="X77" s="258">
        <v>0</v>
      </c>
      <c r="Y77" s="245"/>
      <c r="Z77" s="253" t="s">
        <v>599</v>
      </c>
      <c r="AA77" s="253">
        <v>0</v>
      </c>
      <c r="AB77" s="253">
        <v>0</v>
      </c>
      <c r="AC77" s="253">
        <v>0</v>
      </c>
      <c r="AD77" s="253">
        <v>0</v>
      </c>
      <c r="AE77" s="253">
        <v>0</v>
      </c>
      <c r="AF77" s="253"/>
      <c r="AG77" s="253" t="s">
        <v>588</v>
      </c>
      <c r="AH77" s="253">
        <v>0</v>
      </c>
      <c r="AI77" s="253">
        <v>0</v>
      </c>
      <c r="AJ77" s="253">
        <v>0</v>
      </c>
      <c r="AK77" s="253">
        <v>0</v>
      </c>
      <c r="AL77" s="253">
        <v>1</v>
      </c>
      <c r="AM77" s="245"/>
      <c r="AN77" s="253" t="s">
        <v>605</v>
      </c>
      <c r="AO77" s="253">
        <v>6519840</v>
      </c>
      <c r="AP77" s="253">
        <v>99</v>
      </c>
      <c r="AQ77" s="253">
        <v>10</v>
      </c>
      <c r="AR77" s="253">
        <v>15586</v>
      </c>
      <c r="AS77" s="253">
        <v>1</v>
      </c>
      <c r="AT77" s="245"/>
      <c r="AU77" s="253" t="s">
        <v>605</v>
      </c>
      <c r="AV77" s="253">
        <v>129840</v>
      </c>
      <c r="AW77" s="253">
        <v>2</v>
      </c>
      <c r="AX77" s="253">
        <v>2</v>
      </c>
      <c r="AY77" s="253">
        <v>713</v>
      </c>
      <c r="AZ77" s="253">
        <v>1</v>
      </c>
      <c r="BA77" s="245"/>
      <c r="BB77" s="253" t="s">
        <v>594</v>
      </c>
      <c r="BC77" s="253">
        <v>0</v>
      </c>
      <c r="BD77" s="253">
        <v>0</v>
      </c>
      <c r="BE77" s="253">
        <v>0</v>
      </c>
      <c r="BF77" s="253">
        <v>0</v>
      </c>
      <c r="BG77" s="253">
        <v>1</v>
      </c>
      <c r="BH77" s="245" t="s">
        <v>594</v>
      </c>
      <c r="BI77" s="253">
        <v>0</v>
      </c>
      <c r="BJ77" s="253">
        <v>0</v>
      </c>
      <c r="BK77" s="253">
        <v>0</v>
      </c>
      <c r="BL77" s="253">
        <v>0</v>
      </c>
      <c r="BM77" s="253">
        <v>1</v>
      </c>
      <c r="BN77" s="253"/>
      <c r="BO77" s="247"/>
      <c r="BP77" s="247"/>
      <c r="BQ77" s="247"/>
      <c r="BR77" s="247"/>
    </row>
    <row r="78" spans="1:70" x14ac:dyDescent="0.2">
      <c r="A78" s="149"/>
      <c r="B78" s="190" t="s">
        <v>279</v>
      </c>
      <c r="C78" s="193">
        <v>42860</v>
      </c>
      <c r="D78" s="190">
        <v>65202.115221189997</v>
      </c>
      <c r="E78" s="223">
        <v>1</v>
      </c>
      <c r="F78" s="209"/>
      <c r="G78" s="223" t="s">
        <v>103</v>
      </c>
      <c r="H78" s="223">
        <v>607.95016446</v>
      </c>
      <c r="I78" s="164"/>
      <c r="J78" s="63"/>
      <c r="K78" s="228"/>
      <c r="L78" s="228"/>
      <c r="M78" s="228"/>
      <c r="O78" s="241" t="s">
        <v>103</v>
      </c>
      <c r="P78" s="241">
        <v>631.47079335000001</v>
      </c>
      <c r="Q78" s="239"/>
      <c r="R78" s="157"/>
      <c r="S78" s="253" t="s">
        <v>451</v>
      </c>
      <c r="T78" s="258">
        <v>4239452.3600000003</v>
      </c>
      <c r="U78" s="258">
        <v>742</v>
      </c>
      <c r="V78" s="258">
        <v>3</v>
      </c>
      <c r="W78" s="258">
        <v>394813</v>
      </c>
      <c r="X78" s="258">
        <v>0</v>
      </c>
      <c r="Y78" s="245"/>
      <c r="Z78" s="253" t="s">
        <v>583</v>
      </c>
      <c r="AA78" s="253">
        <v>7856631062.3699999</v>
      </c>
      <c r="AB78" s="253">
        <v>34095</v>
      </c>
      <c r="AC78" s="253">
        <v>3799</v>
      </c>
      <c r="AD78" s="253">
        <v>228459</v>
      </c>
      <c r="AE78" s="253">
        <v>1</v>
      </c>
      <c r="AF78" s="253"/>
      <c r="AG78" s="253" t="s">
        <v>585</v>
      </c>
      <c r="AH78" s="253">
        <v>7158957</v>
      </c>
      <c r="AI78" s="253">
        <v>533</v>
      </c>
      <c r="AJ78" s="253">
        <v>120</v>
      </c>
      <c r="AK78" s="253">
        <v>15967</v>
      </c>
      <c r="AL78" s="253">
        <v>0</v>
      </c>
      <c r="AM78" s="245"/>
      <c r="AN78" s="253" t="s">
        <v>588</v>
      </c>
      <c r="AO78" s="253">
        <v>0</v>
      </c>
      <c r="AP78" s="253">
        <v>0</v>
      </c>
      <c r="AQ78" s="253">
        <v>0</v>
      </c>
      <c r="AR78" s="253">
        <v>0</v>
      </c>
      <c r="AS78" s="253">
        <v>1</v>
      </c>
      <c r="AT78" s="245"/>
      <c r="AU78" s="253" t="s">
        <v>588</v>
      </c>
      <c r="AV78" s="253">
        <v>0</v>
      </c>
      <c r="AW78" s="253">
        <v>0</v>
      </c>
      <c r="AX78" s="253">
        <v>0</v>
      </c>
      <c r="AY78" s="253">
        <v>0</v>
      </c>
      <c r="AZ78" s="253">
        <v>1</v>
      </c>
      <c r="BA78" s="245"/>
      <c r="BB78" s="253" t="s">
        <v>593</v>
      </c>
      <c r="BC78" s="253">
        <v>0</v>
      </c>
      <c r="BD78" s="253">
        <v>0</v>
      </c>
      <c r="BE78" s="253">
        <v>0</v>
      </c>
      <c r="BF78" s="253">
        <v>21</v>
      </c>
      <c r="BG78" s="253">
        <v>1</v>
      </c>
      <c r="BH78" s="245" t="s">
        <v>593</v>
      </c>
      <c r="BI78" s="253">
        <v>0</v>
      </c>
      <c r="BJ78" s="253">
        <v>0</v>
      </c>
      <c r="BK78" s="253">
        <v>0</v>
      </c>
      <c r="BL78" s="253">
        <v>1</v>
      </c>
      <c r="BM78" s="253">
        <v>1</v>
      </c>
      <c r="BN78" s="253"/>
      <c r="BO78" s="256" t="s">
        <v>497</v>
      </c>
      <c r="BP78" s="264" t="s">
        <v>554</v>
      </c>
      <c r="BQ78" s="264" t="s">
        <v>555</v>
      </c>
      <c r="BR78" s="264" t="s">
        <v>556</v>
      </c>
    </row>
    <row r="79" spans="1:70" x14ac:dyDescent="0.2">
      <c r="A79" s="149"/>
      <c r="B79" s="190" t="s">
        <v>280</v>
      </c>
      <c r="C79" s="193">
        <v>39604</v>
      </c>
      <c r="D79" s="190">
        <v>61121.71</v>
      </c>
      <c r="E79" s="223">
        <v>1</v>
      </c>
      <c r="F79" s="209"/>
      <c r="G79" s="223" t="s">
        <v>306</v>
      </c>
      <c r="H79" s="223">
        <v>4295.6778165699998</v>
      </c>
      <c r="I79" s="164"/>
      <c r="J79" s="63"/>
      <c r="K79" s="228"/>
      <c r="L79" s="228"/>
      <c r="M79" s="228"/>
      <c r="O79" s="241" t="s">
        <v>306</v>
      </c>
      <c r="P79" s="241">
        <v>4642.1399704599999</v>
      </c>
      <c r="Q79" s="239"/>
      <c r="R79" s="157"/>
      <c r="S79" s="253" t="s">
        <v>446</v>
      </c>
      <c r="T79" s="258">
        <v>104140296</v>
      </c>
      <c r="U79" s="258">
        <v>14208</v>
      </c>
      <c r="V79" s="258">
        <v>48</v>
      </c>
      <c r="W79" s="258">
        <v>692191</v>
      </c>
      <c r="X79" s="258">
        <v>0</v>
      </c>
      <c r="Y79" s="245"/>
      <c r="Z79" s="253" t="s">
        <v>605</v>
      </c>
      <c r="AA79" s="253">
        <v>102318480</v>
      </c>
      <c r="AB79" s="253">
        <v>1724</v>
      </c>
      <c r="AC79" s="253">
        <v>32</v>
      </c>
      <c r="AD79" s="253">
        <v>16913</v>
      </c>
      <c r="AE79" s="253">
        <v>1</v>
      </c>
      <c r="AF79" s="253"/>
      <c r="AG79" s="253" t="s">
        <v>589</v>
      </c>
      <c r="AH79" s="253">
        <v>0</v>
      </c>
      <c r="AI79" s="253">
        <v>0</v>
      </c>
      <c r="AJ79" s="253">
        <v>0</v>
      </c>
      <c r="AK79" s="253">
        <v>0</v>
      </c>
      <c r="AL79" s="253">
        <v>0</v>
      </c>
      <c r="AM79" s="245"/>
      <c r="AN79" s="253" t="s">
        <v>585</v>
      </c>
      <c r="AO79" s="253">
        <v>110016595.79999</v>
      </c>
      <c r="AP79" s="253">
        <v>12248</v>
      </c>
      <c r="AQ79" s="253">
        <v>1755</v>
      </c>
      <c r="AR79" s="253">
        <v>780809</v>
      </c>
      <c r="AS79" s="253">
        <v>0</v>
      </c>
      <c r="AT79" s="245"/>
      <c r="AU79" s="253" t="s">
        <v>585</v>
      </c>
      <c r="AV79" s="253">
        <v>1760035</v>
      </c>
      <c r="AW79" s="253">
        <v>223</v>
      </c>
      <c r="AX79" s="253">
        <v>59</v>
      </c>
      <c r="AY79" s="253">
        <v>36893</v>
      </c>
      <c r="AZ79" s="253">
        <v>0</v>
      </c>
      <c r="BA79" s="245"/>
      <c r="BB79" s="253" t="s">
        <v>602</v>
      </c>
      <c r="BC79" s="253">
        <v>0</v>
      </c>
      <c r="BD79" s="253">
        <v>0</v>
      </c>
      <c r="BE79" s="253">
        <v>0</v>
      </c>
      <c r="BF79" s="253">
        <v>0</v>
      </c>
      <c r="BG79" s="253">
        <v>0</v>
      </c>
      <c r="BH79" s="245" t="s">
        <v>602</v>
      </c>
      <c r="BI79" s="253">
        <v>0</v>
      </c>
      <c r="BJ79" s="253">
        <v>0</v>
      </c>
      <c r="BK79" s="253">
        <v>0</v>
      </c>
      <c r="BL79" s="253">
        <v>0</v>
      </c>
      <c r="BM79" s="253">
        <v>0</v>
      </c>
      <c r="BN79" s="253"/>
      <c r="BO79" s="251"/>
      <c r="BP79" s="263">
        <v>1784756586.20999</v>
      </c>
      <c r="BQ79" s="263">
        <v>144994</v>
      </c>
      <c r="BR79" s="263">
        <v>15332</v>
      </c>
    </row>
    <row r="80" spans="1:70" x14ac:dyDescent="0.2">
      <c r="A80" s="149"/>
      <c r="B80" s="190" t="s">
        <v>281</v>
      </c>
      <c r="C80" s="193">
        <v>39590</v>
      </c>
      <c r="D80" s="190">
        <v>50553.22</v>
      </c>
      <c r="E80" s="223">
        <v>1</v>
      </c>
      <c r="F80" s="209"/>
      <c r="G80" s="223" t="s">
        <v>307</v>
      </c>
      <c r="H80" s="223">
        <v>225.86861759999999</v>
      </c>
      <c r="I80" s="164"/>
      <c r="J80" s="3"/>
      <c r="K80" s="228"/>
      <c r="L80" s="228"/>
      <c r="M80" s="228"/>
      <c r="O80" s="241" t="s">
        <v>307</v>
      </c>
      <c r="P80" s="241">
        <v>230.43646176999999</v>
      </c>
      <c r="Q80" s="239"/>
      <c r="R80" s="157"/>
      <c r="S80" s="253" t="s">
        <v>559</v>
      </c>
      <c r="T80" s="258">
        <v>0</v>
      </c>
      <c r="U80" s="258">
        <v>0</v>
      </c>
      <c r="V80" s="258">
        <v>0</v>
      </c>
      <c r="W80" s="258">
        <v>0</v>
      </c>
      <c r="X80" s="258">
        <v>1</v>
      </c>
      <c r="Y80" s="245"/>
      <c r="Z80" s="245" t="s">
        <v>588</v>
      </c>
      <c r="AA80" s="245">
        <v>0</v>
      </c>
      <c r="AB80" s="245">
        <v>0</v>
      </c>
      <c r="AC80" s="245">
        <v>0</v>
      </c>
      <c r="AD80" s="245">
        <v>0</v>
      </c>
      <c r="AE80" s="245">
        <v>1</v>
      </c>
      <c r="AF80" s="245"/>
      <c r="AG80" s="245" t="s">
        <v>607</v>
      </c>
      <c r="AH80" s="245">
        <v>0</v>
      </c>
      <c r="AI80" s="245">
        <v>0</v>
      </c>
      <c r="AJ80" s="245">
        <v>0</v>
      </c>
      <c r="AK80" s="245">
        <v>0</v>
      </c>
      <c r="AL80" s="245">
        <v>1</v>
      </c>
      <c r="AM80" s="245"/>
      <c r="AN80" s="245" t="s">
        <v>589</v>
      </c>
      <c r="AO80" s="245">
        <v>0</v>
      </c>
      <c r="AP80" s="245">
        <v>0</v>
      </c>
      <c r="AQ80" s="245">
        <v>0</v>
      </c>
      <c r="AR80" s="245">
        <v>0</v>
      </c>
      <c r="AS80" s="245">
        <v>0</v>
      </c>
      <c r="AT80" s="245"/>
      <c r="AU80" s="245" t="s">
        <v>589</v>
      </c>
      <c r="AV80" s="245">
        <v>0</v>
      </c>
      <c r="AW80" s="245">
        <v>0</v>
      </c>
      <c r="AX80" s="245">
        <v>0</v>
      </c>
      <c r="AY80" s="245">
        <v>0</v>
      </c>
      <c r="AZ80" s="245">
        <v>0</v>
      </c>
      <c r="BA80" s="245"/>
      <c r="BB80" s="245"/>
      <c r="BC80" s="245"/>
      <c r="BD80" s="245"/>
      <c r="BE80" s="245"/>
      <c r="BF80" s="245"/>
      <c r="BG80" s="245"/>
      <c r="BH80" s="245"/>
      <c r="BI80" s="245"/>
      <c r="BJ80" s="245"/>
      <c r="BK80" s="245"/>
      <c r="BL80" s="245"/>
      <c r="BM80" s="245"/>
      <c r="BN80" s="245"/>
      <c r="BO80" s="247"/>
      <c r="BP80" s="247"/>
      <c r="BQ80" s="247"/>
      <c r="BR80" s="247"/>
    </row>
    <row r="81" spans="1:70" x14ac:dyDescent="0.2">
      <c r="A81" s="149"/>
      <c r="B81" s="190" t="s">
        <v>56</v>
      </c>
      <c r="C81" s="193">
        <v>42312</v>
      </c>
      <c r="D81" s="190">
        <v>49081.0138716</v>
      </c>
      <c r="E81" s="223">
        <v>1</v>
      </c>
      <c r="F81" s="209"/>
      <c r="G81" s="223" t="s">
        <v>308</v>
      </c>
      <c r="H81" s="223">
        <v>9231.9854393999994</v>
      </c>
      <c r="I81" s="164"/>
      <c r="J81" s="3"/>
      <c r="K81" s="228"/>
      <c r="L81" s="228"/>
      <c r="M81" s="228"/>
      <c r="O81" s="241" t="s">
        <v>308</v>
      </c>
      <c r="P81" s="241">
        <v>9612.0295785899998</v>
      </c>
      <c r="Q81" s="239"/>
      <c r="R81" s="157"/>
      <c r="S81" s="253" t="s">
        <v>447</v>
      </c>
      <c r="T81" s="258">
        <v>192587566.59999999</v>
      </c>
      <c r="U81" s="258">
        <v>13773</v>
      </c>
      <c r="V81" s="258">
        <v>334</v>
      </c>
      <c r="W81" s="258">
        <v>744329</v>
      </c>
      <c r="X81" s="258">
        <v>1</v>
      </c>
      <c r="Y81" s="245"/>
      <c r="Z81" s="245" t="s">
        <v>585</v>
      </c>
      <c r="AA81" s="245">
        <v>104180879</v>
      </c>
      <c r="AB81" s="245">
        <v>11327</v>
      </c>
      <c r="AC81" s="245">
        <v>1783</v>
      </c>
      <c r="AD81" s="245">
        <v>686581</v>
      </c>
      <c r="AE81" s="245">
        <v>0</v>
      </c>
      <c r="AF81" s="245"/>
      <c r="AG81" s="245" t="s">
        <v>563</v>
      </c>
      <c r="AH81" s="245">
        <v>396003009.935</v>
      </c>
      <c r="AI81" s="245">
        <v>1748</v>
      </c>
      <c r="AJ81" s="245">
        <v>103</v>
      </c>
      <c r="AK81" s="245">
        <v>16291</v>
      </c>
      <c r="AL81" s="245">
        <v>1</v>
      </c>
      <c r="AM81" s="245"/>
      <c r="AN81" s="245" t="s">
        <v>560</v>
      </c>
      <c r="AO81" s="245">
        <v>0</v>
      </c>
      <c r="AP81" s="245">
        <v>0</v>
      </c>
      <c r="AQ81" s="245">
        <v>0</v>
      </c>
      <c r="AR81" s="245">
        <v>0</v>
      </c>
      <c r="AS81" s="245">
        <v>0</v>
      </c>
      <c r="AT81" s="245"/>
      <c r="AU81" s="245" t="s">
        <v>560</v>
      </c>
      <c r="AV81" s="245">
        <v>0</v>
      </c>
      <c r="AW81" s="245">
        <v>0</v>
      </c>
      <c r="AX81" s="245">
        <v>0</v>
      </c>
      <c r="AY81" s="245">
        <v>0</v>
      </c>
      <c r="AZ81" s="245">
        <v>0</v>
      </c>
      <c r="BA81" s="245"/>
      <c r="BB81" s="245"/>
      <c r="BC81" s="245"/>
      <c r="BD81" s="245"/>
      <c r="BE81" s="245"/>
      <c r="BF81" s="245"/>
      <c r="BG81" s="245"/>
      <c r="BH81" s="245"/>
      <c r="BI81" s="245"/>
      <c r="BJ81" s="245"/>
      <c r="BK81" s="245"/>
      <c r="BL81" s="245"/>
      <c r="BM81" s="245"/>
      <c r="BN81" s="245"/>
      <c r="BO81" s="256" t="s">
        <v>479</v>
      </c>
      <c r="BP81" s="264" t="s">
        <v>554</v>
      </c>
      <c r="BQ81" s="264" t="s">
        <v>555</v>
      </c>
      <c r="BR81" s="264" t="s">
        <v>556</v>
      </c>
    </row>
    <row r="82" spans="1:70" x14ac:dyDescent="0.2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309</v>
      </c>
      <c r="H82" s="223">
        <v>460.15007112000001</v>
      </c>
      <c r="I82" s="164"/>
      <c r="J82" s="157"/>
      <c r="K82" s="228"/>
      <c r="L82" s="228"/>
      <c r="M82" s="228"/>
      <c r="O82" s="241" t="s">
        <v>309</v>
      </c>
      <c r="P82" s="241">
        <v>480.39530169</v>
      </c>
      <c r="Q82" s="239"/>
      <c r="R82" s="157"/>
      <c r="S82" s="253" t="s">
        <v>182</v>
      </c>
      <c r="T82" s="258">
        <v>1186422.1370000001</v>
      </c>
      <c r="U82" s="258">
        <v>9874</v>
      </c>
      <c r="V82" s="258">
        <v>9</v>
      </c>
      <c r="W82" s="258">
        <v>1370117</v>
      </c>
      <c r="X82" s="258">
        <v>1</v>
      </c>
      <c r="Y82" s="245"/>
      <c r="Z82" s="245" t="s">
        <v>589</v>
      </c>
      <c r="AA82" s="245">
        <v>0</v>
      </c>
      <c r="AB82" s="245">
        <v>0</v>
      </c>
      <c r="AC82" s="245">
        <v>0</v>
      </c>
      <c r="AD82" s="245">
        <v>0</v>
      </c>
      <c r="AE82" s="245">
        <v>0</v>
      </c>
      <c r="AF82" s="245"/>
      <c r="AG82" s="245" t="s">
        <v>590</v>
      </c>
      <c r="AH82" s="245">
        <v>0</v>
      </c>
      <c r="AI82" s="245">
        <v>0</v>
      </c>
      <c r="AJ82" s="245">
        <v>0</v>
      </c>
      <c r="AK82" s="245">
        <v>15</v>
      </c>
      <c r="AL82" s="245">
        <v>1</v>
      </c>
      <c r="AM82" s="245"/>
      <c r="AN82" s="245" t="s">
        <v>607</v>
      </c>
      <c r="AO82" s="245">
        <v>0</v>
      </c>
      <c r="AP82" s="245">
        <v>0</v>
      </c>
      <c r="AQ82" s="245">
        <v>0</v>
      </c>
      <c r="AR82" s="245">
        <v>0</v>
      </c>
      <c r="AS82" s="245">
        <v>1</v>
      </c>
      <c r="AT82" s="245"/>
      <c r="AU82" s="245" t="s">
        <v>607</v>
      </c>
      <c r="AV82" s="245">
        <v>0</v>
      </c>
      <c r="AW82" s="245">
        <v>0</v>
      </c>
      <c r="AX82" s="245">
        <v>0</v>
      </c>
      <c r="AY82" s="245">
        <v>0</v>
      </c>
      <c r="AZ82" s="245">
        <v>1</v>
      </c>
      <c r="BA82" s="245"/>
      <c r="BB82" s="245"/>
      <c r="BC82" s="245"/>
      <c r="BD82" s="245"/>
      <c r="BE82" s="245"/>
      <c r="BF82" s="245"/>
      <c r="BG82" s="245"/>
      <c r="BH82" s="245"/>
      <c r="BI82" s="245"/>
      <c r="BJ82" s="245"/>
      <c r="BK82" s="245"/>
      <c r="BL82" s="245"/>
      <c r="BM82" s="245"/>
      <c r="BN82" s="245"/>
      <c r="BO82" s="247"/>
      <c r="BP82" s="263">
        <v>536188883969.24695</v>
      </c>
      <c r="BQ82" s="263">
        <v>1544480</v>
      </c>
      <c r="BR82" s="263">
        <v>174258</v>
      </c>
    </row>
    <row r="83" spans="1:70" x14ac:dyDescent="0.2">
      <c r="A83" s="14"/>
      <c r="B83" s="190" t="s">
        <v>47</v>
      </c>
      <c r="C83" s="193">
        <v>42814</v>
      </c>
      <c r="D83" s="190">
        <v>65469.71245626</v>
      </c>
      <c r="E83" s="223">
        <v>1</v>
      </c>
      <c r="F83" s="212"/>
      <c r="G83" s="223" t="s">
        <v>311</v>
      </c>
      <c r="H83" s="223">
        <v>1080.3620325100001</v>
      </c>
      <c r="I83" s="164"/>
      <c r="J83" s="157"/>
      <c r="K83" s="228"/>
      <c r="L83" s="228"/>
      <c r="M83" s="228"/>
      <c r="O83" s="241" t="s">
        <v>311</v>
      </c>
      <c r="P83" s="241">
        <v>1104.73185186</v>
      </c>
      <c r="Q83" s="239"/>
      <c r="R83" s="157"/>
      <c r="S83" s="253" t="s">
        <v>449</v>
      </c>
      <c r="T83" s="258">
        <v>0</v>
      </c>
      <c r="U83" s="258">
        <v>0</v>
      </c>
      <c r="V83" s="258">
        <v>0</v>
      </c>
      <c r="W83" s="258">
        <v>0</v>
      </c>
      <c r="X83" s="258">
        <v>0</v>
      </c>
      <c r="Y83" s="245"/>
      <c r="Z83" s="245" t="s">
        <v>560</v>
      </c>
      <c r="AA83" s="245">
        <v>0</v>
      </c>
      <c r="AB83" s="245">
        <v>0</v>
      </c>
      <c r="AC83" s="245">
        <v>0</v>
      </c>
      <c r="AD83" s="245">
        <v>0</v>
      </c>
      <c r="AE83" s="245">
        <v>0</v>
      </c>
      <c r="AF83" s="245"/>
      <c r="AG83" s="245" t="s">
        <v>594</v>
      </c>
      <c r="AH83" s="245">
        <v>0</v>
      </c>
      <c r="AI83" s="245">
        <v>0</v>
      </c>
      <c r="AJ83" s="245">
        <v>0</v>
      </c>
      <c r="AK83" s="245">
        <v>0</v>
      </c>
      <c r="AL83" s="245">
        <v>1</v>
      </c>
      <c r="AM83" s="245"/>
      <c r="AN83" s="245" t="s">
        <v>563</v>
      </c>
      <c r="AO83" s="245">
        <v>11622572880.58</v>
      </c>
      <c r="AP83" s="245">
        <v>48702</v>
      </c>
      <c r="AQ83" s="245">
        <v>3360</v>
      </c>
      <c r="AR83" s="245">
        <v>275457</v>
      </c>
      <c r="AS83" s="245">
        <v>1</v>
      </c>
      <c r="AT83" s="245"/>
      <c r="AU83" s="245" t="s">
        <v>563</v>
      </c>
      <c r="AV83" s="245">
        <v>297109927.755</v>
      </c>
      <c r="AW83" s="245">
        <v>1287</v>
      </c>
      <c r="AX83" s="245">
        <v>138</v>
      </c>
      <c r="AY83" s="245">
        <v>14944</v>
      </c>
      <c r="AZ83" s="245">
        <v>1</v>
      </c>
      <c r="BA83" s="245"/>
      <c r="BB83" s="245"/>
      <c r="BC83" s="245"/>
      <c r="BD83" s="245"/>
      <c r="BE83" s="245"/>
      <c r="BF83" s="245"/>
      <c r="BG83" s="245"/>
      <c r="BH83" s="245"/>
      <c r="BI83" s="245"/>
      <c r="BJ83" s="245"/>
      <c r="BK83" s="245"/>
      <c r="BL83" s="245"/>
      <c r="BM83" s="245"/>
      <c r="BN83" s="245"/>
      <c r="BO83" s="247"/>
      <c r="BP83" s="247"/>
      <c r="BQ83" s="247"/>
      <c r="BR83" s="247"/>
    </row>
    <row r="84" spans="1:70" x14ac:dyDescent="0.2">
      <c r="A84" s="149"/>
      <c r="B84" s="190" t="s">
        <v>43</v>
      </c>
      <c r="C84" s="193">
        <v>42118</v>
      </c>
      <c r="D84" s="190">
        <v>55188.336977819999</v>
      </c>
      <c r="E84" s="223">
        <v>1</v>
      </c>
      <c r="F84" s="213"/>
      <c r="G84" s="223" t="s">
        <v>312</v>
      </c>
      <c r="H84" s="223">
        <v>11416.721769690001</v>
      </c>
      <c r="I84" s="164"/>
      <c r="J84" s="157"/>
      <c r="K84" s="228"/>
      <c r="L84" s="228"/>
      <c r="M84" s="228"/>
      <c r="O84" s="241" t="s">
        <v>312</v>
      </c>
      <c r="P84" s="241">
        <v>12064.32315677</v>
      </c>
      <c r="Q84" s="239"/>
      <c r="R84" s="157"/>
      <c r="S84" s="253" t="s">
        <v>446</v>
      </c>
      <c r="T84" s="258">
        <v>21318205022.4095</v>
      </c>
      <c r="U84" s="258">
        <v>71656</v>
      </c>
      <c r="V84" s="258">
        <v>12544</v>
      </c>
      <c r="W84" s="258">
        <v>809245</v>
      </c>
      <c r="X84" s="258">
        <v>1</v>
      </c>
      <c r="Y84" s="245"/>
      <c r="Z84" s="245" t="s">
        <v>607</v>
      </c>
      <c r="AA84" s="245">
        <v>0</v>
      </c>
      <c r="AB84" s="245">
        <v>0</v>
      </c>
      <c r="AC84" s="245">
        <v>0</v>
      </c>
      <c r="AD84" s="245">
        <v>0</v>
      </c>
      <c r="AE84" s="245">
        <v>1</v>
      </c>
      <c r="AF84" s="245"/>
      <c r="AG84" s="245" t="s">
        <v>593</v>
      </c>
      <c r="AH84" s="245">
        <v>0</v>
      </c>
      <c r="AI84" s="245">
        <v>0</v>
      </c>
      <c r="AJ84" s="245">
        <v>0</v>
      </c>
      <c r="AK84" s="245">
        <v>0</v>
      </c>
      <c r="AL84" s="245">
        <v>1</v>
      </c>
      <c r="AM84" s="245"/>
      <c r="AN84" s="245" t="s">
        <v>590</v>
      </c>
      <c r="AO84" s="245">
        <v>0</v>
      </c>
      <c r="AP84" s="245">
        <v>0</v>
      </c>
      <c r="AQ84" s="245">
        <v>0</v>
      </c>
      <c r="AR84" s="245">
        <v>0</v>
      </c>
      <c r="AS84" s="245">
        <v>1</v>
      </c>
      <c r="AT84" s="245"/>
      <c r="AU84" s="245" t="s">
        <v>590</v>
      </c>
      <c r="AV84" s="245">
        <v>0</v>
      </c>
      <c r="AW84" s="245">
        <v>0</v>
      </c>
      <c r="AX84" s="245">
        <v>0</v>
      </c>
      <c r="AY84" s="245">
        <v>0</v>
      </c>
      <c r="AZ84" s="245">
        <v>1</v>
      </c>
      <c r="BA84" s="245"/>
      <c r="BB84" s="245"/>
      <c r="BC84" s="245"/>
      <c r="BD84" s="245"/>
      <c r="BE84" s="245"/>
      <c r="BF84" s="245"/>
      <c r="BG84" s="245"/>
      <c r="BH84" s="245"/>
      <c r="BI84" s="245"/>
      <c r="BJ84" s="245"/>
      <c r="BK84" s="245"/>
      <c r="BL84" s="245"/>
      <c r="BM84" s="245"/>
      <c r="BN84" s="245"/>
      <c r="BO84" s="256" t="s">
        <v>480</v>
      </c>
      <c r="BP84" s="264" t="s">
        <v>554</v>
      </c>
      <c r="BQ84" s="264" t="s">
        <v>555</v>
      </c>
      <c r="BR84" s="264" t="s">
        <v>556</v>
      </c>
    </row>
    <row r="85" spans="1:70" x14ac:dyDescent="0.2">
      <c r="A85" s="149"/>
      <c r="B85" s="190" t="s">
        <v>552</v>
      </c>
      <c r="C85" s="193">
        <v>42912</v>
      </c>
      <c r="D85" s="190">
        <v>1063.0371645499999</v>
      </c>
      <c r="E85" s="223">
        <v>1</v>
      </c>
      <c r="F85" s="213"/>
      <c r="G85" s="223" t="s">
        <v>313</v>
      </c>
      <c r="H85" s="223">
        <v>987.1555323</v>
      </c>
      <c r="I85" s="164"/>
      <c r="J85" s="157"/>
      <c r="K85" s="228"/>
      <c r="L85" s="228"/>
      <c r="M85" s="228"/>
      <c r="O85" s="241" t="s">
        <v>313</v>
      </c>
      <c r="P85" s="241">
        <v>1028.3950932800001</v>
      </c>
      <c r="Q85" s="239"/>
      <c r="R85" s="157"/>
      <c r="S85" s="253" t="s">
        <v>451</v>
      </c>
      <c r="T85" s="258">
        <v>20534400</v>
      </c>
      <c r="U85" s="258">
        <v>186</v>
      </c>
      <c r="V85" s="258">
        <v>1</v>
      </c>
      <c r="W85" s="258">
        <v>744275</v>
      </c>
      <c r="X85" s="258">
        <v>1</v>
      </c>
      <c r="Y85" s="245"/>
      <c r="Z85" s="245" t="s">
        <v>563</v>
      </c>
      <c r="AA85" s="245">
        <v>8259404810.5749998</v>
      </c>
      <c r="AB85" s="245">
        <v>36026</v>
      </c>
      <c r="AC85" s="245">
        <v>2932</v>
      </c>
      <c r="AD85" s="245">
        <v>343038</v>
      </c>
      <c r="AE85" s="245">
        <v>1</v>
      </c>
      <c r="AF85" s="245"/>
      <c r="AG85" s="245" t="s">
        <v>602</v>
      </c>
      <c r="AH85" s="245">
        <v>0</v>
      </c>
      <c r="AI85" s="245">
        <v>0</v>
      </c>
      <c r="AJ85" s="245">
        <v>0</v>
      </c>
      <c r="AK85" s="245">
        <v>0</v>
      </c>
      <c r="AL85" s="245">
        <v>0</v>
      </c>
      <c r="AM85" s="245"/>
      <c r="AN85" s="245" t="s">
        <v>594</v>
      </c>
      <c r="AO85" s="245">
        <v>0</v>
      </c>
      <c r="AP85" s="245">
        <v>0</v>
      </c>
      <c r="AQ85" s="245">
        <v>0</v>
      </c>
      <c r="AR85" s="245">
        <v>0</v>
      </c>
      <c r="AS85" s="245">
        <v>1</v>
      </c>
      <c r="AT85" s="245"/>
      <c r="AU85" s="245" t="s">
        <v>594</v>
      </c>
      <c r="AV85" s="245">
        <v>0</v>
      </c>
      <c r="AW85" s="245">
        <v>0</v>
      </c>
      <c r="AX85" s="245">
        <v>0</v>
      </c>
      <c r="AY85" s="245">
        <v>0</v>
      </c>
      <c r="AZ85" s="245">
        <v>1</v>
      </c>
      <c r="BA85" s="245"/>
      <c r="BB85" s="245"/>
      <c r="BC85" s="245"/>
      <c r="BD85" s="245"/>
      <c r="BE85" s="245"/>
      <c r="BF85" s="245"/>
      <c r="BG85" s="245"/>
      <c r="BH85" s="245"/>
      <c r="BI85" s="245"/>
      <c r="BJ85" s="245"/>
      <c r="BK85" s="245"/>
      <c r="BL85" s="245"/>
      <c r="BM85" s="245"/>
      <c r="BN85" s="245"/>
      <c r="BO85" s="247"/>
      <c r="BP85" s="263">
        <v>9653489158.0799999</v>
      </c>
      <c r="BQ85" s="263">
        <v>286816</v>
      </c>
      <c r="BR85" s="263">
        <v>23300</v>
      </c>
    </row>
    <row r="86" spans="1:70" x14ac:dyDescent="0.2">
      <c r="A86" s="149"/>
      <c r="B86" s="190" t="s">
        <v>49</v>
      </c>
      <c r="C86" s="193">
        <v>42783</v>
      </c>
      <c r="D86" s="190">
        <v>8292.5284918300003</v>
      </c>
      <c r="E86" s="223">
        <v>1</v>
      </c>
      <c r="F86" s="213"/>
      <c r="G86" s="223" t="s">
        <v>60</v>
      </c>
      <c r="H86" s="223">
        <v>10265.999725039999</v>
      </c>
      <c r="I86" s="164"/>
      <c r="J86" s="157"/>
      <c r="K86" s="228"/>
      <c r="L86" s="228"/>
      <c r="M86" s="228"/>
      <c r="O86" s="241" t="s">
        <v>60</v>
      </c>
      <c r="P86" s="241">
        <v>10709.50837498</v>
      </c>
      <c r="Q86" s="239"/>
      <c r="R86" s="157"/>
      <c r="S86" s="253" t="s">
        <v>450</v>
      </c>
      <c r="T86" s="258">
        <v>0</v>
      </c>
      <c r="U86" s="258">
        <v>692035</v>
      </c>
      <c r="V86" s="258">
        <v>27</v>
      </c>
      <c r="W86" s="258">
        <v>19283864</v>
      </c>
      <c r="X86" s="258">
        <v>1</v>
      </c>
      <c r="Y86" s="245"/>
      <c r="Z86" s="245" t="s">
        <v>590</v>
      </c>
      <c r="AA86" s="245">
        <v>504600</v>
      </c>
      <c r="AB86" s="245">
        <v>15</v>
      </c>
      <c r="AC86" s="245">
        <v>3</v>
      </c>
      <c r="AD86" s="245">
        <v>105</v>
      </c>
      <c r="AE86" s="245">
        <v>1</v>
      </c>
      <c r="AF86" s="245"/>
      <c r="AG86" s="245"/>
      <c r="AH86" s="245"/>
      <c r="AI86" s="245"/>
      <c r="AJ86" s="245"/>
      <c r="AK86" s="245"/>
      <c r="AL86" s="245"/>
      <c r="AM86" s="245"/>
      <c r="AN86" s="245" t="s">
        <v>593</v>
      </c>
      <c r="AO86" s="245">
        <v>0</v>
      </c>
      <c r="AP86" s="245">
        <v>0</v>
      </c>
      <c r="AQ86" s="245">
        <v>0</v>
      </c>
      <c r="AR86" s="245">
        <v>28</v>
      </c>
      <c r="AS86" s="245">
        <v>1</v>
      </c>
      <c r="AT86" s="245"/>
      <c r="AU86" s="245" t="s">
        <v>593</v>
      </c>
      <c r="AV86" s="245">
        <v>0</v>
      </c>
      <c r="AW86" s="245">
        <v>0</v>
      </c>
      <c r="AX86" s="245">
        <v>0</v>
      </c>
      <c r="AY86" s="245">
        <v>0</v>
      </c>
      <c r="AZ86" s="245">
        <v>1</v>
      </c>
      <c r="BA86" s="245"/>
      <c r="BB86" s="245"/>
      <c r="BC86" s="245"/>
      <c r="BD86" s="245"/>
      <c r="BE86" s="245"/>
      <c r="BF86" s="245"/>
      <c r="BG86" s="245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</row>
    <row r="87" spans="1:70" x14ac:dyDescent="0.2">
      <c r="A87" s="151"/>
      <c r="B87" s="190" t="s">
        <v>546</v>
      </c>
      <c r="C87" s="193">
        <v>42878</v>
      </c>
      <c r="D87" s="190">
        <v>53133.152631899997</v>
      </c>
      <c r="E87" s="223">
        <v>1</v>
      </c>
      <c r="F87" s="213"/>
      <c r="G87" s="223" t="s">
        <v>53</v>
      </c>
      <c r="H87" s="223">
        <v>11488.26884868</v>
      </c>
      <c r="I87" s="164"/>
      <c r="J87" s="157"/>
      <c r="K87" s="228"/>
      <c r="L87" s="228"/>
      <c r="M87" s="228"/>
      <c r="O87" s="241" t="s">
        <v>53</v>
      </c>
      <c r="P87" s="241">
        <v>11969.57023485</v>
      </c>
      <c r="Q87" s="239"/>
      <c r="R87" s="157"/>
      <c r="S87" s="253" t="s">
        <v>448</v>
      </c>
      <c r="T87" s="258">
        <v>0</v>
      </c>
      <c r="U87" s="258">
        <v>7911</v>
      </c>
      <c r="V87" s="258">
        <v>331</v>
      </c>
      <c r="W87" s="258">
        <v>509137</v>
      </c>
      <c r="X87" s="258">
        <v>1</v>
      </c>
      <c r="Y87" s="245"/>
      <c r="Z87" s="245" t="s">
        <v>594</v>
      </c>
      <c r="AA87" s="245">
        <v>0</v>
      </c>
      <c r="AB87" s="245">
        <v>0</v>
      </c>
      <c r="AC87" s="245">
        <v>0</v>
      </c>
      <c r="AD87" s="245">
        <v>0</v>
      </c>
      <c r="AE87" s="245">
        <v>1</v>
      </c>
      <c r="AF87" s="245"/>
      <c r="AG87" s="245"/>
      <c r="AH87" s="245"/>
      <c r="AI87" s="245"/>
      <c r="AJ87" s="245"/>
      <c r="AK87" s="245"/>
      <c r="AL87" s="245"/>
      <c r="AM87" s="245"/>
      <c r="AN87" s="245" t="s">
        <v>566</v>
      </c>
      <c r="AO87" s="245">
        <v>0</v>
      </c>
      <c r="AP87" s="245">
        <v>0</v>
      </c>
      <c r="AQ87" s="245">
        <v>0</v>
      </c>
      <c r="AR87" s="245">
        <v>0</v>
      </c>
      <c r="AS87" s="245">
        <v>0</v>
      </c>
      <c r="AT87" s="245"/>
      <c r="AU87" s="245" t="s">
        <v>566</v>
      </c>
      <c r="AV87" s="245">
        <v>0</v>
      </c>
      <c r="AW87" s="245">
        <v>0</v>
      </c>
      <c r="AX87" s="245">
        <v>0</v>
      </c>
      <c r="AY87" s="245">
        <v>0</v>
      </c>
      <c r="AZ87" s="245">
        <v>0</v>
      </c>
      <c r="BA87" s="245"/>
      <c r="BB87" s="245"/>
      <c r="BC87" s="245"/>
      <c r="BD87" s="245"/>
      <c r="BE87" s="245"/>
      <c r="BF87" s="245"/>
      <c r="BG87" s="245"/>
      <c r="BH87" s="245"/>
      <c r="BI87" s="245"/>
      <c r="BJ87" s="245"/>
      <c r="BK87" s="245"/>
      <c r="BL87" s="245"/>
      <c r="BM87" s="245"/>
      <c r="BN87" s="245"/>
      <c r="BO87" s="256" t="s">
        <v>495</v>
      </c>
      <c r="BP87" s="264" t="s">
        <v>557</v>
      </c>
      <c r="BQ87" s="245"/>
      <c r="BR87" s="245"/>
    </row>
    <row r="88" spans="1:70" x14ac:dyDescent="0.2">
      <c r="A88" s="151"/>
      <c r="B88" s="190" t="s">
        <v>547</v>
      </c>
      <c r="C88" s="193">
        <v>42878</v>
      </c>
      <c r="D88" s="190">
        <v>52763.525228680002</v>
      </c>
      <c r="E88" s="223">
        <v>1</v>
      </c>
      <c r="F88" s="209"/>
      <c r="G88" s="223" t="s">
        <v>549</v>
      </c>
      <c r="H88" s="223">
        <v>16700.173371879999</v>
      </c>
      <c r="I88" s="164"/>
      <c r="J88" s="157"/>
      <c r="K88" s="228"/>
      <c r="L88" s="228"/>
      <c r="M88" s="228"/>
      <c r="O88" s="241" t="s">
        <v>549</v>
      </c>
      <c r="P88" s="241">
        <v>17348.79895842</v>
      </c>
      <c r="Q88" s="239"/>
      <c r="R88" s="157"/>
      <c r="S88" s="247"/>
      <c r="T88" s="247"/>
      <c r="U88" s="247"/>
      <c r="V88" s="247"/>
      <c r="W88" s="247"/>
      <c r="X88" s="247"/>
      <c r="Y88" s="245"/>
      <c r="Z88" s="245" t="s">
        <v>593</v>
      </c>
      <c r="AA88" s="245">
        <v>0</v>
      </c>
      <c r="AB88" s="245">
        <v>0</v>
      </c>
      <c r="AC88" s="245">
        <v>0</v>
      </c>
      <c r="AD88" s="245">
        <v>0</v>
      </c>
      <c r="AE88" s="245">
        <v>1</v>
      </c>
      <c r="AF88" s="245"/>
      <c r="AG88" s="245"/>
      <c r="AH88" s="245"/>
      <c r="AI88" s="245"/>
      <c r="AJ88" s="245"/>
      <c r="AK88" s="245"/>
      <c r="AL88" s="245"/>
      <c r="AM88" s="245"/>
      <c r="AN88" s="245" t="s">
        <v>602</v>
      </c>
      <c r="AO88" s="245">
        <v>0</v>
      </c>
      <c r="AP88" s="245">
        <v>0</v>
      </c>
      <c r="AQ88" s="245">
        <v>0</v>
      </c>
      <c r="AR88" s="245">
        <v>0</v>
      </c>
      <c r="AS88" s="245">
        <v>0</v>
      </c>
      <c r="AT88" s="245"/>
      <c r="AU88" s="245" t="s">
        <v>602</v>
      </c>
      <c r="AV88" s="245">
        <v>0</v>
      </c>
      <c r="AW88" s="245">
        <v>0</v>
      </c>
      <c r="AX88" s="245">
        <v>0</v>
      </c>
      <c r="AY88" s="245">
        <v>0</v>
      </c>
      <c r="AZ88" s="245">
        <v>0</v>
      </c>
      <c r="BA88" s="245"/>
      <c r="BB88" s="245"/>
      <c r="BC88" s="245"/>
      <c r="BD88" s="245"/>
      <c r="BE88" s="245"/>
      <c r="BF88" s="245"/>
      <c r="BG88" s="245"/>
      <c r="BH88" s="245"/>
      <c r="BI88" s="245"/>
      <c r="BJ88" s="245"/>
      <c r="BK88" s="245"/>
      <c r="BL88" s="245"/>
      <c r="BM88" s="245"/>
      <c r="BN88" s="245"/>
      <c r="BO88" s="247"/>
      <c r="BP88" s="263">
        <v>80910</v>
      </c>
      <c r="BQ88" s="245"/>
      <c r="BR88" s="245"/>
    </row>
    <row r="89" spans="1:70" x14ac:dyDescent="0.2">
      <c r="A89" s="14"/>
      <c r="B89" s="190" t="s">
        <v>282</v>
      </c>
      <c r="C89" s="193">
        <v>40662</v>
      </c>
      <c r="D89" s="190">
        <v>4825.42</v>
      </c>
      <c r="E89" s="223">
        <v>1</v>
      </c>
      <c r="F89" s="209"/>
      <c r="G89" s="223" t="s">
        <v>550</v>
      </c>
      <c r="H89" s="223">
        <v>17370.729196529999</v>
      </c>
      <c r="I89" s="164"/>
      <c r="J89" s="157"/>
      <c r="K89" s="228"/>
      <c r="L89" s="228"/>
      <c r="M89" s="228"/>
      <c r="O89" s="241" t="s">
        <v>550</v>
      </c>
      <c r="P89" s="241">
        <v>18055.989602199999</v>
      </c>
      <c r="Q89" s="239"/>
      <c r="S89" s="245"/>
      <c r="T89" s="245"/>
      <c r="U89" s="245"/>
      <c r="V89" s="245"/>
      <c r="W89" s="245"/>
      <c r="X89" s="245"/>
      <c r="Y89" s="245"/>
      <c r="Z89" s="245" t="s">
        <v>566</v>
      </c>
      <c r="AA89" s="245">
        <v>0</v>
      </c>
      <c r="AB89" s="245">
        <v>0</v>
      </c>
      <c r="AC89" s="245">
        <v>0</v>
      </c>
      <c r="AD89" s="245">
        <v>0</v>
      </c>
      <c r="AE89" s="245">
        <v>0</v>
      </c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">
      <c r="A90" s="149"/>
      <c r="B90" s="190" t="s">
        <v>61</v>
      </c>
      <c r="C90" s="193">
        <v>39590</v>
      </c>
      <c r="D90" s="190">
        <v>77308.45</v>
      </c>
      <c r="E90" s="223">
        <v>1</v>
      </c>
      <c r="F90" s="213"/>
      <c r="G90" s="223" t="s">
        <v>314</v>
      </c>
      <c r="H90" s="223">
        <v>8040.2353476199996</v>
      </c>
      <c r="I90" s="164"/>
      <c r="J90" s="157"/>
      <c r="K90" s="228"/>
      <c r="L90" s="228"/>
      <c r="M90" s="228"/>
      <c r="O90" s="241" t="s">
        <v>314</v>
      </c>
      <c r="P90" s="241">
        <v>8602.01988342</v>
      </c>
      <c r="Q90" s="239"/>
      <c r="S90" s="245"/>
      <c r="T90" s="245"/>
      <c r="U90" s="245"/>
      <c r="V90" s="245"/>
      <c r="W90" s="245"/>
      <c r="X90" s="245"/>
      <c r="Y90" s="245"/>
      <c r="Z90" s="245" t="s">
        <v>602</v>
      </c>
      <c r="AA90" s="245">
        <v>0</v>
      </c>
      <c r="AB90" s="245">
        <v>0</v>
      </c>
      <c r="AC90" s="245">
        <v>0</v>
      </c>
      <c r="AD90" s="245">
        <v>0</v>
      </c>
      <c r="AE90" s="245">
        <v>0</v>
      </c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56" t="s">
        <v>496</v>
      </c>
      <c r="BP90" s="264" t="s">
        <v>557</v>
      </c>
      <c r="BQ90" s="245"/>
      <c r="BR90" s="245"/>
    </row>
    <row r="91" spans="1:70" x14ac:dyDescent="0.2">
      <c r="A91" s="149"/>
      <c r="B91" s="190" t="s">
        <v>65</v>
      </c>
      <c r="C91" s="193">
        <v>42877</v>
      </c>
      <c r="D91" s="190">
        <v>74737.112388790003</v>
      </c>
      <c r="E91" s="223">
        <v>1</v>
      </c>
      <c r="F91" s="213"/>
      <c r="G91" s="223" t="s">
        <v>315</v>
      </c>
      <c r="H91" s="223">
        <v>28964.508420729999</v>
      </c>
      <c r="I91" s="164"/>
      <c r="J91" s="157"/>
      <c r="K91" s="228"/>
      <c r="L91" s="228"/>
      <c r="M91" s="228"/>
      <c r="O91" s="241" t="s">
        <v>315</v>
      </c>
      <c r="P91" s="241">
        <v>30118.018161309999</v>
      </c>
      <c r="Q91" s="239"/>
      <c r="S91" s="245"/>
      <c r="T91" s="245"/>
      <c r="U91" s="245"/>
      <c r="V91" s="245"/>
      <c r="W91" s="245"/>
      <c r="X91" s="245"/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39887</v>
      </c>
      <c r="BQ91" s="245"/>
      <c r="BR91" s="245"/>
    </row>
    <row r="92" spans="1:70" x14ac:dyDescent="0.2">
      <c r="A92" s="149"/>
      <c r="B92" s="190" t="s">
        <v>67</v>
      </c>
      <c r="C92" s="193">
        <v>42118</v>
      </c>
      <c r="D92" s="190">
        <v>17911.36431723</v>
      </c>
      <c r="E92" s="223">
        <v>1</v>
      </c>
      <c r="F92" s="213"/>
      <c r="G92" s="223" t="s">
        <v>316</v>
      </c>
      <c r="H92" s="223">
        <v>4942.9456937699997</v>
      </c>
      <c r="I92" s="164"/>
      <c r="J92" s="157"/>
      <c r="K92" s="228"/>
      <c r="L92" s="228"/>
      <c r="M92" s="228"/>
      <c r="O92" s="241" t="s">
        <v>316</v>
      </c>
      <c r="P92" s="241">
        <v>5033.8099227599996</v>
      </c>
      <c r="Q92" s="239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">
      <c r="A93" s="151"/>
      <c r="B93" s="190" t="s">
        <v>69</v>
      </c>
      <c r="C93" s="193">
        <v>42312</v>
      </c>
      <c r="D93" s="190">
        <v>77813.852225080002</v>
      </c>
      <c r="E93" s="223">
        <v>1</v>
      </c>
      <c r="F93" s="213"/>
      <c r="G93" s="223" t="s">
        <v>74</v>
      </c>
      <c r="H93" s="223">
        <v>21376.997606100002</v>
      </c>
      <c r="I93" s="164"/>
      <c r="J93" s="157"/>
      <c r="K93" s="228"/>
      <c r="L93" s="228"/>
      <c r="M93" s="228"/>
      <c r="O93" s="241" t="s">
        <v>74</v>
      </c>
      <c r="P93" s="241">
        <v>22055.37453478</v>
      </c>
      <c r="Q93" s="239"/>
      <c r="S93" s="245"/>
      <c r="T93" s="245"/>
      <c r="U93" s="245"/>
      <c r="V93" s="245"/>
      <c r="W93" s="245"/>
      <c r="X93" s="245"/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">
      <c r="B94" s="190" t="s">
        <v>111</v>
      </c>
      <c r="C94" s="193">
        <v>42346</v>
      </c>
      <c r="D94" s="190">
        <v>1703.8449540300001</v>
      </c>
      <c r="E94" s="223">
        <v>1</v>
      </c>
      <c r="F94" s="209"/>
      <c r="G94" s="223" t="s">
        <v>76</v>
      </c>
      <c r="H94" s="223">
        <v>45434.879282939997</v>
      </c>
      <c r="I94" s="164"/>
      <c r="J94" s="157"/>
      <c r="K94" s="228"/>
      <c r="L94" s="228"/>
      <c r="M94" s="228"/>
      <c r="O94" s="241" t="s">
        <v>76</v>
      </c>
      <c r="P94" s="241">
        <v>47272.229575110003</v>
      </c>
      <c r="Q94" s="239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">
      <c r="A95" s="14"/>
      <c r="B95" s="190" t="s">
        <v>113</v>
      </c>
      <c r="C95" s="193">
        <v>38723</v>
      </c>
      <c r="D95" s="190">
        <v>641.64</v>
      </c>
      <c r="E95" s="223">
        <v>1</v>
      </c>
      <c r="F95" s="209"/>
      <c r="G95" s="223" t="s">
        <v>78</v>
      </c>
      <c r="H95" s="223">
        <v>76533.551018369995</v>
      </c>
      <c r="I95" s="164"/>
      <c r="J95" s="157"/>
      <c r="K95" s="228"/>
      <c r="L95" s="228"/>
      <c r="M95" s="228"/>
      <c r="O95" s="241" t="s">
        <v>78</v>
      </c>
      <c r="P95" s="241">
        <v>79308.144110349996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">
      <c r="A96" s="149"/>
      <c r="B96" s="190" t="s">
        <v>115</v>
      </c>
      <c r="C96" s="193">
        <v>39400</v>
      </c>
      <c r="D96" s="190">
        <v>5041.9399999999996</v>
      </c>
      <c r="E96" s="223">
        <v>1</v>
      </c>
      <c r="F96" s="213"/>
      <c r="G96" s="223" t="s">
        <v>317</v>
      </c>
      <c r="H96" s="223">
        <v>10956.23625136</v>
      </c>
      <c r="I96" s="164"/>
      <c r="J96" s="157"/>
      <c r="K96" s="228"/>
      <c r="L96" s="228"/>
      <c r="M96" s="228"/>
      <c r="O96" s="241" t="s">
        <v>317</v>
      </c>
      <c r="P96" s="241">
        <v>11252.745389399999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">
      <c r="A97" s="149"/>
      <c r="B97" s="190" t="s">
        <v>283</v>
      </c>
      <c r="C97" s="193">
        <v>39400</v>
      </c>
      <c r="D97" s="190">
        <v>2186.16</v>
      </c>
      <c r="E97" s="223">
        <v>1</v>
      </c>
      <c r="F97" s="213"/>
      <c r="G97" s="223" t="s">
        <v>318</v>
      </c>
      <c r="H97" s="223">
        <v>6336.6800445400004</v>
      </c>
      <c r="I97" s="164"/>
      <c r="K97" s="228"/>
      <c r="L97" s="228"/>
      <c r="M97" s="228"/>
      <c r="O97" s="241" t="s">
        <v>318</v>
      </c>
      <c r="P97" s="241">
        <v>6568.30688861</v>
      </c>
    </row>
    <row r="98" spans="1:16" x14ac:dyDescent="0.2">
      <c r="A98" s="149"/>
      <c r="B98" s="190" t="s">
        <v>284</v>
      </c>
      <c r="C98" s="193">
        <v>39381</v>
      </c>
      <c r="D98" s="190">
        <v>90476.79</v>
      </c>
      <c r="E98" s="223">
        <v>1</v>
      </c>
      <c r="F98" s="213"/>
      <c r="G98" s="223" t="s">
        <v>88</v>
      </c>
      <c r="H98" s="223">
        <v>7537.7222661400001</v>
      </c>
      <c r="I98" s="164"/>
      <c r="K98" s="228"/>
      <c r="L98" s="228"/>
      <c r="M98" s="228"/>
      <c r="O98" s="241" t="s">
        <v>88</v>
      </c>
      <c r="P98" s="241">
        <v>7956.5171398299999</v>
      </c>
    </row>
    <row r="99" spans="1:16" x14ac:dyDescent="0.2">
      <c r="A99" s="149"/>
      <c r="B99" s="190" t="s">
        <v>285</v>
      </c>
      <c r="C99" s="193">
        <v>42520</v>
      </c>
      <c r="D99" s="190">
        <v>335.62757864000002</v>
      </c>
      <c r="E99" s="223">
        <v>1</v>
      </c>
      <c r="F99" s="213"/>
      <c r="G99" s="223" t="s">
        <v>80</v>
      </c>
      <c r="H99" s="223">
        <v>19640.987453270001</v>
      </c>
      <c r="I99" s="164"/>
      <c r="K99" s="228"/>
      <c r="L99" s="228"/>
      <c r="M99" s="228"/>
      <c r="O99" s="241" t="s">
        <v>80</v>
      </c>
      <c r="P99" s="241">
        <v>20753.089575869999</v>
      </c>
    </row>
    <row r="100" spans="1:16" x14ac:dyDescent="0.2">
      <c r="B100" s="190" t="s">
        <v>286</v>
      </c>
      <c r="C100" s="193">
        <v>41824</v>
      </c>
      <c r="D100" s="190">
        <v>253.72994224000001</v>
      </c>
      <c r="E100" s="223">
        <v>1</v>
      </c>
      <c r="F100" s="209"/>
      <c r="G100" s="223" t="s">
        <v>319</v>
      </c>
      <c r="H100" s="223">
        <v>553.42805699999997</v>
      </c>
      <c r="I100" s="164"/>
      <c r="K100" s="228"/>
      <c r="L100" s="228"/>
      <c r="M100" s="228"/>
      <c r="O100" s="241" t="s">
        <v>319</v>
      </c>
      <c r="P100" s="241">
        <v>590.43054853000001</v>
      </c>
    </row>
    <row r="101" spans="1:16" x14ac:dyDescent="0.2">
      <c r="B101" s="190" t="s">
        <v>287</v>
      </c>
      <c r="C101" s="193">
        <v>42349</v>
      </c>
      <c r="D101" s="190">
        <v>193.77286846000001</v>
      </c>
      <c r="E101" s="223">
        <v>1</v>
      </c>
      <c r="F101" s="213"/>
      <c r="G101" s="223" t="s">
        <v>86</v>
      </c>
      <c r="H101" s="223">
        <v>6635.4685095100003</v>
      </c>
      <c r="I101" s="164"/>
      <c r="K101" s="228"/>
      <c r="L101" s="228"/>
      <c r="M101" s="228"/>
      <c r="O101" s="241" t="s">
        <v>86</v>
      </c>
      <c r="P101" s="241">
        <v>6860.6089269300001</v>
      </c>
    </row>
    <row r="102" spans="1:16" x14ac:dyDescent="0.2">
      <c r="B102" s="190" t="s">
        <v>288</v>
      </c>
      <c r="C102" s="193">
        <v>42520</v>
      </c>
      <c r="D102" s="190">
        <v>435.48899929999999</v>
      </c>
      <c r="E102" s="223">
        <v>1</v>
      </c>
      <c r="F102" s="209"/>
      <c r="G102" s="223" t="s">
        <v>320</v>
      </c>
      <c r="H102" s="223">
        <v>5000.7832742199998</v>
      </c>
      <c r="I102" s="164"/>
      <c r="K102" s="228"/>
      <c r="L102" s="228"/>
      <c r="M102" s="228"/>
      <c r="O102" s="241" t="s">
        <v>320</v>
      </c>
      <c r="P102" s="241">
        <v>5430.5288676600003</v>
      </c>
    </row>
    <row r="103" spans="1:16" x14ac:dyDescent="0.2">
      <c r="A103" s="14"/>
      <c r="B103" s="190" t="s">
        <v>289</v>
      </c>
      <c r="C103" s="193">
        <v>39381</v>
      </c>
      <c r="D103" s="190">
        <v>31030.1</v>
      </c>
      <c r="E103" s="223">
        <v>1</v>
      </c>
      <c r="F103" s="213"/>
      <c r="G103" s="223" t="s">
        <v>82</v>
      </c>
      <c r="H103" s="223">
        <v>39845.010615669999</v>
      </c>
      <c r="I103" s="164"/>
      <c r="K103" s="228"/>
      <c r="L103" s="228"/>
      <c r="M103" s="228"/>
      <c r="O103" s="241" t="s">
        <v>82</v>
      </c>
      <c r="P103" s="241">
        <v>40774.110093149997</v>
      </c>
    </row>
    <row r="104" spans="1:16" x14ac:dyDescent="0.2">
      <c r="B104" s="190" t="s">
        <v>290</v>
      </c>
      <c r="C104" s="193">
        <v>40926</v>
      </c>
      <c r="D104" s="190">
        <v>1131.78</v>
      </c>
      <c r="E104" s="223">
        <v>1</v>
      </c>
      <c r="F104" s="213"/>
      <c r="G104" s="223" t="s">
        <v>84</v>
      </c>
      <c r="H104" s="223">
        <v>54192.464700999997</v>
      </c>
      <c r="I104" s="164"/>
      <c r="K104" s="228"/>
      <c r="L104" s="228"/>
      <c r="M104" s="228"/>
      <c r="O104" s="241" t="s">
        <v>84</v>
      </c>
      <c r="P104" s="241">
        <v>51073.194045119999</v>
      </c>
    </row>
    <row r="105" spans="1:16" x14ac:dyDescent="0.2">
      <c r="B105" s="190" t="s">
        <v>95</v>
      </c>
      <c r="C105" s="193">
        <v>42578</v>
      </c>
      <c r="D105" s="190">
        <v>678.08424324999999</v>
      </c>
      <c r="E105" s="223">
        <v>1</v>
      </c>
      <c r="F105" s="213"/>
      <c r="G105" s="223" t="s">
        <v>321</v>
      </c>
      <c r="H105" s="223">
        <v>8592.54738636</v>
      </c>
      <c r="I105" s="164"/>
      <c r="K105" s="228"/>
      <c r="L105" s="228"/>
      <c r="M105" s="228"/>
      <c r="O105" s="241" t="s">
        <v>321</v>
      </c>
      <c r="P105" s="241">
        <v>8931.7906206600001</v>
      </c>
    </row>
    <row r="106" spans="1:16" x14ac:dyDescent="0.2">
      <c r="B106" s="190" t="s">
        <v>97</v>
      </c>
      <c r="C106" s="193">
        <v>42305</v>
      </c>
      <c r="D106" s="190">
        <v>597.8558587</v>
      </c>
      <c r="E106" s="223">
        <v>1</v>
      </c>
      <c r="F106" s="213"/>
      <c r="G106" s="223" t="s">
        <v>322</v>
      </c>
      <c r="H106" s="223">
        <v>1975.6531046299999</v>
      </c>
      <c r="I106" s="164"/>
      <c r="K106" s="228"/>
      <c r="L106" s="228"/>
      <c r="M106" s="228"/>
      <c r="O106" s="241" t="s">
        <v>322</v>
      </c>
      <c r="P106" s="241">
        <v>2367.2529076699998</v>
      </c>
    </row>
    <row r="107" spans="1:16" x14ac:dyDescent="0.2">
      <c r="B107" s="190" t="s">
        <v>291</v>
      </c>
      <c r="C107" s="193">
        <v>42032</v>
      </c>
      <c r="D107" s="190">
        <v>695.5143372</v>
      </c>
      <c r="E107" s="223">
        <v>1</v>
      </c>
      <c r="F107" s="213"/>
      <c r="G107" s="223" t="s">
        <v>323</v>
      </c>
      <c r="H107" s="223">
        <v>216.67366328</v>
      </c>
      <c r="I107" s="164"/>
      <c r="K107" s="228"/>
      <c r="L107" s="228"/>
      <c r="M107" s="228"/>
      <c r="O107" s="241" t="s">
        <v>323</v>
      </c>
      <c r="P107" s="241">
        <v>221.73718124999999</v>
      </c>
    </row>
    <row r="108" spans="1:16" x14ac:dyDescent="0.2">
      <c r="B108" s="190" t="s">
        <v>292</v>
      </c>
      <c r="C108" s="193">
        <v>41411</v>
      </c>
      <c r="D108" s="190">
        <v>2240.63</v>
      </c>
      <c r="E108" s="223">
        <v>1</v>
      </c>
      <c r="F108" s="209"/>
      <c r="G108" s="223" t="s">
        <v>324</v>
      </c>
      <c r="H108" s="223">
        <v>7139.6005741600002</v>
      </c>
      <c r="I108" s="164"/>
      <c r="K108" s="228"/>
      <c r="L108" s="228"/>
      <c r="M108" s="228"/>
      <c r="O108" s="241" t="s">
        <v>324</v>
      </c>
      <c r="P108" s="241">
        <v>7282.0525401000004</v>
      </c>
    </row>
    <row r="109" spans="1:16" x14ac:dyDescent="0.2">
      <c r="B109" s="190" t="s">
        <v>293</v>
      </c>
      <c r="C109" s="193">
        <v>42877</v>
      </c>
      <c r="D109" s="190">
        <v>82828.327437660002</v>
      </c>
      <c r="E109" s="223">
        <v>1</v>
      </c>
      <c r="F109" s="209"/>
      <c r="G109" s="223" t="s">
        <v>325</v>
      </c>
      <c r="H109" s="223">
        <v>63253.665380140003</v>
      </c>
      <c r="I109" s="164"/>
      <c r="K109" s="228"/>
      <c r="L109" s="228"/>
      <c r="M109" s="228"/>
      <c r="O109" s="241" t="s">
        <v>325</v>
      </c>
      <c r="P109" s="241">
        <v>64757.628256800002</v>
      </c>
    </row>
    <row r="110" spans="1:16" x14ac:dyDescent="0.2">
      <c r="B110" s="190" t="s">
        <v>99</v>
      </c>
      <c r="C110" s="193">
        <v>39590</v>
      </c>
      <c r="D110" s="190">
        <v>42495.61</v>
      </c>
      <c r="E110" s="223">
        <v>1</v>
      </c>
      <c r="F110" s="209"/>
      <c r="G110" s="223" t="s">
        <v>326</v>
      </c>
      <c r="H110" s="223">
        <v>35319.152469649998</v>
      </c>
      <c r="I110" s="164"/>
      <c r="K110" s="228"/>
      <c r="L110" s="228"/>
      <c r="M110" s="228"/>
      <c r="O110" s="241" t="s">
        <v>326</v>
      </c>
      <c r="P110" s="241">
        <v>35883.591705979998</v>
      </c>
    </row>
    <row r="111" spans="1:16" x14ac:dyDescent="0.2">
      <c r="B111" s="190" t="s">
        <v>294</v>
      </c>
      <c r="C111" s="193">
        <v>42048</v>
      </c>
      <c r="D111" s="190">
        <v>246.82307969999999</v>
      </c>
      <c r="E111" s="223">
        <v>1</v>
      </c>
      <c r="F111" s="209"/>
      <c r="G111" s="223" t="s">
        <v>327</v>
      </c>
      <c r="H111" s="223">
        <v>1408.2460490599999</v>
      </c>
      <c r="I111" s="164"/>
      <c r="K111" s="228"/>
      <c r="L111" s="228"/>
      <c r="M111" s="228"/>
      <c r="O111" s="241" t="s">
        <v>327</v>
      </c>
      <c r="P111" s="241">
        <v>1386.7557882399999</v>
      </c>
    </row>
    <row r="112" spans="1:16" x14ac:dyDescent="0.2">
      <c r="B112" s="190" t="s">
        <v>295</v>
      </c>
      <c r="C112" s="193">
        <v>42122</v>
      </c>
      <c r="D112" s="190">
        <v>10462.682748179999</v>
      </c>
      <c r="E112" s="223">
        <v>1</v>
      </c>
      <c r="F112" s="209"/>
      <c r="G112" s="223" t="s">
        <v>190</v>
      </c>
      <c r="H112" s="223">
        <v>893.16097927999999</v>
      </c>
      <c r="I112" s="164"/>
      <c r="K112" s="228"/>
      <c r="L112" s="228"/>
      <c r="M112" s="228"/>
      <c r="O112" s="241" t="s">
        <v>190</v>
      </c>
      <c r="P112" s="241">
        <v>904.87042074999999</v>
      </c>
    </row>
    <row r="113" spans="2:16" x14ac:dyDescent="0.2">
      <c r="B113" s="190" t="s">
        <v>296</v>
      </c>
      <c r="C113" s="193">
        <v>42122</v>
      </c>
      <c r="D113" s="190">
        <v>9914.4898120199996</v>
      </c>
      <c r="E113" s="223">
        <v>1</v>
      </c>
      <c r="F113" s="209"/>
      <c r="G113" s="223" t="s">
        <v>329</v>
      </c>
      <c r="H113" s="223">
        <v>3773.1526540899999</v>
      </c>
      <c r="I113" s="164"/>
      <c r="K113" s="228"/>
      <c r="L113" s="228"/>
      <c r="M113" s="228"/>
      <c r="O113" s="241" t="s">
        <v>329</v>
      </c>
      <c r="P113" s="241">
        <v>4028.53863989</v>
      </c>
    </row>
    <row r="114" spans="2:16" x14ac:dyDescent="0.2">
      <c r="B114" s="190" t="s">
        <v>297</v>
      </c>
      <c r="C114" s="193">
        <v>41009</v>
      </c>
      <c r="D114" s="190">
        <v>91356.97</v>
      </c>
      <c r="E114" s="223">
        <v>1</v>
      </c>
      <c r="F114" s="209"/>
      <c r="G114" s="223" t="s">
        <v>330</v>
      </c>
      <c r="H114" s="223">
        <v>4919.12875945</v>
      </c>
      <c r="I114" s="164"/>
      <c r="K114" s="228"/>
      <c r="L114" s="228"/>
      <c r="M114" s="228"/>
      <c r="O114" s="241" t="s">
        <v>330</v>
      </c>
      <c r="P114" s="241">
        <v>5260.0651004399997</v>
      </c>
    </row>
    <row r="115" spans="2:16" x14ac:dyDescent="0.2">
      <c r="B115" s="190" t="s">
        <v>298</v>
      </c>
      <c r="C115" s="193">
        <v>39226</v>
      </c>
      <c r="D115" s="190">
        <v>30904.43</v>
      </c>
      <c r="E115" s="223">
        <v>1</v>
      </c>
      <c r="F115" s="209"/>
      <c r="G115" s="223" t="s">
        <v>331</v>
      </c>
      <c r="H115" s="223">
        <v>1161.78819927</v>
      </c>
      <c r="I115" s="164"/>
      <c r="K115" s="228"/>
      <c r="L115" s="228"/>
      <c r="M115" s="228"/>
      <c r="O115" s="241" t="s">
        <v>331</v>
      </c>
      <c r="P115" s="241">
        <v>1094.9166912400001</v>
      </c>
    </row>
    <row r="116" spans="2:16" x14ac:dyDescent="0.2">
      <c r="B116" s="190" t="s">
        <v>299</v>
      </c>
      <c r="C116" s="193">
        <v>39381</v>
      </c>
      <c r="D116" s="190">
        <v>70277.3</v>
      </c>
      <c r="E116" s="223">
        <v>1</v>
      </c>
      <c r="F116" s="209"/>
      <c r="G116" s="223" t="s">
        <v>333</v>
      </c>
      <c r="H116" s="223">
        <v>66.975991820000004</v>
      </c>
      <c r="I116" s="164"/>
      <c r="K116" s="228"/>
      <c r="L116" s="228"/>
      <c r="M116" s="228"/>
      <c r="O116" s="241" t="s">
        <v>333</v>
      </c>
      <c r="P116" s="241">
        <v>66.312642710000006</v>
      </c>
    </row>
    <row r="117" spans="2:16" x14ac:dyDescent="0.2">
      <c r="B117" s="190" t="s">
        <v>300</v>
      </c>
      <c r="C117" s="193">
        <v>41800</v>
      </c>
      <c r="D117" s="190">
        <v>210.35973263</v>
      </c>
      <c r="E117" s="223">
        <v>1</v>
      </c>
      <c r="F117" s="209"/>
      <c r="G117" s="223" t="s">
        <v>334</v>
      </c>
      <c r="H117" s="223">
        <v>113.68987648</v>
      </c>
      <c r="I117" s="164"/>
      <c r="K117" s="228"/>
      <c r="L117" s="228"/>
      <c r="M117" s="228"/>
      <c r="O117" s="241" t="s">
        <v>334</v>
      </c>
      <c r="P117" s="241">
        <v>113.28335794</v>
      </c>
    </row>
    <row r="118" spans="2:16" x14ac:dyDescent="0.2">
      <c r="B118" s="190" t="s">
        <v>301</v>
      </c>
      <c r="C118" s="193">
        <v>42193</v>
      </c>
      <c r="D118" s="190">
        <v>3470.8482101700001</v>
      </c>
      <c r="E118" s="223">
        <v>1</v>
      </c>
      <c r="F118" s="209"/>
      <c r="G118" s="223" t="s">
        <v>335</v>
      </c>
      <c r="H118" s="223">
        <v>50.874093770000002</v>
      </c>
      <c r="I118" s="164"/>
      <c r="K118" s="228"/>
      <c r="L118" s="228"/>
      <c r="M118" s="228"/>
      <c r="O118" s="241" t="s">
        <v>335</v>
      </c>
      <c r="P118" s="241">
        <v>48.975237460000002</v>
      </c>
    </row>
    <row r="119" spans="2:16" x14ac:dyDescent="0.2">
      <c r="B119" s="190" t="s">
        <v>302</v>
      </c>
      <c r="C119" s="193">
        <v>42122</v>
      </c>
      <c r="D119" s="190">
        <v>10348.20134439</v>
      </c>
      <c r="E119" s="223">
        <v>1</v>
      </c>
      <c r="F119" s="209"/>
      <c r="G119" s="223" t="s">
        <v>336</v>
      </c>
      <c r="H119" s="223">
        <v>82.759720979999997</v>
      </c>
      <c r="I119" s="164"/>
      <c r="K119" s="228"/>
      <c r="L119" s="228"/>
      <c r="M119" s="228"/>
      <c r="O119" s="241" t="s">
        <v>336</v>
      </c>
      <c r="P119" s="241">
        <v>80.179993920000001</v>
      </c>
    </row>
    <row r="120" spans="2:16" x14ac:dyDescent="0.2">
      <c r="B120" s="190" t="s">
        <v>303</v>
      </c>
      <c r="C120" s="193">
        <v>42914</v>
      </c>
      <c r="D120" s="190">
        <v>11554.116599999999</v>
      </c>
      <c r="E120" s="223">
        <v>1</v>
      </c>
      <c r="F120" s="209"/>
      <c r="G120" s="223" t="s">
        <v>337</v>
      </c>
      <c r="H120" s="223">
        <v>45421.75899943</v>
      </c>
      <c r="I120" s="164"/>
      <c r="K120" s="228"/>
      <c r="L120" s="228"/>
      <c r="M120" s="228"/>
      <c r="O120" s="241" t="s">
        <v>337</v>
      </c>
      <c r="P120" s="241">
        <v>47153.91268601</v>
      </c>
    </row>
    <row r="121" spans="2:16" x14ac:dyDescent="0.2">
      <c r="B121" s="190" t="s">
        <v>304</v>
      </c>
      <c r="C121" s="193">
        <v>42122</v>
      </c>
      <c r="D121" s="190">
        <v>26558.425318059999</v>
      </c>
      <c r="E121" s="223">
        <v>1</v>
      </c>
      <c r="F121" s="209"/>
      <c r="G121" s="223" t="s">
        <v>338</v>
      </c>
      <c r="H121" s="223">
        <v>3726.4306115300001</v>
      </c>
      <c r="I121" s="164"/>
      <c r="K121" s="228"/>
      <c r="L121" s="228"/>
      <c r="M121" s="228"/>
      <c r="O121" s="241" t="s">
        <v>338</v>
      </c>
      <c r="P121" s="241">
        <v>3843.9673320699999</v>
      </c>
    </row>
    <row r="122" spans="2:16" x14ac:dyDescent="0.2">
      <c r="B122" s="190" t="s">
        <v>58</v>
      </c>
      <c r="C122" s="193">
        <v>42118</v>
      </c>
      <c r="D122" s="190">
        <v>26143.228642859998</v>
      </c>
      <c r="E122" s="223">
        <v>1</v>
      </c>
      <c r="F122" s="209"/>
      <c r="G122" s="223" t="s">
        <v>339</v>
      </c>
      <c r="H122" s="223">
        <v>51611.01355761</v>
      </c>
      <c r="I122" s="164"/>
      <c r="K122" s="228"/>
      <c r="L122" s="228"/>
      <c r="M122" s="228"/>
      <c r="O122" s="241" t="s">
        <v>339</v>
      </c>
      <c r="P122" s="241">
        <v>53562.570809329998</v>
      </c>
    </row>
    <row r="123" spans="2:16" x14ac:dyDescent="0.2">
      <c r="B123" s="190" t="s">
        <v>51</v>
      </c>
      <c r="C123" s="193">
        <v>42118</v>
      </c>
      <c r="D123" s="190">
        <v>27992.528654580001</v>
      </c>
      <c r="E123" s="223">
        <v>1</v>
      </c>
      <c r="F123" s="209"/>
      <c r="G123" s="223" t="s">
        <v>340</v>
      </c>
      <c r="H123" s="223">
        <v>11488.26884868</v>
      </c>
      <c r="I123" s="164"/>
      <c r="K123" s="228"/>
      <c r="L123" s="228"/>
      <c r="M123" s="228"/>
      <c r="O123" s="241" t="s">
        <v>340</v>
      </c>
      <c r="P123" s="241">
        <v>11969.57023485</v>
      </c>
    </row>
    <row r="124" spans="2:16" x14ac:dyDescent="0.2">
      <c r="B124" s="190" t="s">
        <v>305</v>
      </c>
      <c r="C124" s="193">
        <v>40588</v>
      </c>
      <c r="D124" s="190">
        <v>24209.279999999999</v>
      </c>
      <c r="E124" s="223">
        <v>1</v>
      </c>
      <c r="F124" s="209"/>
      <c r="G124" s="223" t="s">
        <v>341</v>
      </c>
      <c r="H124" s="223">
        <v>899.59513841</v>
      </c>
      <c r="I124" s="164"/>
      <c r="K124" s="228"/>
      <c r="L124" s="228"/>
      <c r="M124" s="228"/>
      <c r="O124" s="241" t="s">
        <v>341</v>
      </c>
      <c r="P124" s="241">
        <v>906.70016290000001</v>
      </c>
    </row>
    <row r="125" spans="2:16" x14ac:dyDescent="0.2">
      <c r="B125" s="190" t="s">
        <v>548</v>
      </c>
      <c r="C125" s="193">
        <v>42877</v>
      </c>
      <c r="D125" s="190">
        <v>74731.615811669995</v>
      </c>
      <c r="E125" s="223">
        <v>1</v>
      </c>
      <c r="F125" s="209"/>
      <c r="G125" s="223" t="s">
        <v>342</v>
      </c>
      <c r="H125" s="223">
        <v>9457.7065275200002</v>
      </c>
      <c r="I125" s="164"/>
      <c r="K125" s="228"/>
      <c r="L125" s="228"/>
      <c r="M125" s="228"/>
      <c r="O125" s="241" t="s">
        <v>342</v>
      </c>
      <c r="P125" s="241">
        <v>9778.04986861</v>
      </c>
    </row>
    <row r="126" spans="2:16" x14ac:dyDescent="0.2">
      <c r="B126" s="190" t="s">
        <v>101</v>
      </c>
      <c r="C126" s="193">
        <v>42129</v>
      </c>
      <c r="D126" s="190">
        <v>431.46959335999998</v>
      </c>
      <c r="E126" s="223">
        <v>1</v>
      </c>
      <c r="F126" s="209"/>
      <c r="G126" s="223" t="s">
        <v>343</v>
      </c>
      <c r="H126" s="223">
        <v>2821.4188543599998</v>
      </c>
      <c r="I126" s="164"/>
      <c r="K126" s="228"/>
      <c r="L126" s="228"/>
      <c r="M126" s="228"/>
      <c r="O126" s="241" t="s">
        <v>343</v>
      </c>
      <c r="P126" s="241">
        <v>2907.16791195</v>
      </c>
    </row>
    <row r="127" spans="2:16" x14ac:dyDescent="0.2">
      <c r="B127" s="190" t="s">
        <v>103</v>
      </c>
      <c r="C127" s="193">
        <v>42878</v>
      </c>
      <c r="D127" s="190">
        <v>640.15345344000002</v>
      </c>
      <c r="E127" s="223">
        <v>1</v>
      </c>
      <c r="F127" s="209"/>
      <c r="G127" s="223" t="s">
        <v>344</v>
      </c>
      <c r="H127" s="223">
        <v>10265.999725039999</v>
      </c>
      <c r="I127" s="164"/>
      <c r="K127" s="228"/>
      <c r="L127" s="228"/>
      <c r="M127" s="228"/>
      <c r="O127" s="241" t="s">
        <v>344</v>
      </c>
      <c r="P127" s="241">
        <v>10709.50837498</v>
      </c>
    </row>
    <row r="128" spans="2:16" x14ac:dyDescent="0.2">
      <c r="B128" s="190" t="s">
        <v>306</v>
      </c>
      <c r="C128" s="193">
        <v>41689</v>
      </c>
      <c r="D128" s="190">
        <v>10314.608568510001</v>
      </c>
      <c r="E128" s="223">
        <v>1</v>
      </c>
      <c r="F128" s="209"/>
      <c r="G128" s="223" t="s">
        <v>346</v>
      </c>
      <c r="H128" s="223">
        <v>7276.34</v>
      </c>
      <c r="I128" s="164"/>
      <c r="K128" s="228"/>
      <c r="L128" s="228"/>
      <c r="M128" s="228"/>
      <c r="O128" s="241" t="s">
        <v>346</v>
      </c>
      <c r="P128" s="241">
        <v>7782.16</v>
      </c>
    </row>
    <row r="129" spans="2:16" x14ac:dyDescent="0.2">
      <c r="B129" s="190" t="s">
        <v>307</v>
      </c>
      <c r="C129" s="193">
        <v>40581</v>
      </c>
      <c r="D129" s="190">
        <v>82132.160000000003</v>
      </c>
      <c r="E129" s="223">
        <v>1</v>
      </c>
      <c r="F129" s="209"/>
      <c r="G129" s="223" t="s">
        <v>347</v>
      </c>
      <c r="H129" s="223">
        <v>15296.55</v>
      </c>
      <c r="I129" s="164"/>
      <c r="K129" s="228"/>
      <c r="L129" s="228"/>
      <c r="M129" s="228"/>
      <c r="O129" s="241" t="s">
        <v>347</v>
      </c>
      <c r="P129" s="241">
        <v>16078.73</v>
      </c>
    </row>
    <row r="130" spans="2:16" x14ac:dyDescent="0.2">
      <c r="B130" s="190" t="s">
        <v>308</v>
      </c>
      <c r="C130" s="193">
        <v>41893</v>
      </c>
      <c r="D130" s="190">
        <v>83071.234493240001</v>
      </c>
      <c r="E130" s="223">
        <v>1</v>
      </c>
      <c r="F130" s="209"/>
      <c r="G130" s="223" t="s">
        <v>348</v>
      </c>
      <c r="H130" s="223">
        <v>2736.58</v>
      </c>
      <c r="I130" s="164"/>
      <c r="K130" s="228"/>
      <c r="L130" s="228"/>
      <c r="M130" s="228"/>
      <c r="O130" s="241" t="s">
        <v>348</v>
      </c>
      <c r="P130" s="241">
        <v>2713.33</v>
      </c>
    </row>
    <row r="131" spans="2:16" x14ac:dyDescent="0.2">
      <c r="B131" s="190" t="s">
        <v>309</v>
      </c>
      <c r="C131" s="193">
        <v>42460</v>
      </c>
      <c r="D131" s="190">
        <v>664.66121383999996</v>
      </c>
      <c r="E131" s="223">
        <v>1</v>
      </c>
      <c r="F131" s="209"/>
      <c r="G131" s="223" t="s">
        <v>349</v>
      </c>
      <c r="H131" s="223">
        <v>3471.29</v>
      </c>
      <c r="I131" s="164"/>
      <c r="K131" s="228"/>
      <c r="L131" s="228"/>
      <c r="M131" s="228"/>
      <c r="O131" s="241" t="s">
        <v>349</v>
      </c>
      <c r="P131" s="241">
        <v>3567.26</v>
      </c>
    </row>
    <row r="132" spans="2:16" x14ac:dyDescent="0.2">
      <c r="B132" s="190" t="s">
        <v>310</v>
      </c>
      <c r="C132" s="193">
        <v>38840</v>
      </c>
      <c r="D132" s="190">
        <v>2905.13</v>
      </c>
      <c r="E132" s="223">
        <v>1</v>
      </c>
      <c r="F132" s="209"/>
      <c r="G132" s="223" t="s">
        <v>350</v>
      </c>
      <c r="H132" s="223">
        <v>2813.91</v>
      </c>
      <c r="I132" s="164"/>
      <c r="K132" s="228"/>
      <c r="L132" s="228"/>
      <c r="M132" s="228"/>
      <c r="O132" s="241" t="s">
        <v>350</v>
      </c>
      <c r="P132" s="241">
        <v>2966.7</v>
      </c>
    </row>
    <row r="133" spans="2:16" x14ac:dyDescent="0.2">
      <c r="B133" s="190" t="s">
        <v>311</v>
      </c>
      <c r="C133" s="193">
        <v>42312</v>
      </c>
      <c r="D133" s="190">
        <v>1204.3085317499999</v>
      </c>
      <c r="E133" s="223">
        <v>1</v>
      </c>
      <c r="F133" s="209"/>
      <c r="G133" s="223" t="s">
        <v>351</v>
      </c>
      <c r="H133" s="223">
        <v>20046.46</v>
      </c>
      <c r="I133" s="164"/>
      <c r="K133" s="228"/>
      <c r="L133" s="228"/>
      <c r="M133" s="228"/>
      <c r="O133" s="241" t="s">
        <v>351</v>
      </c>
      <c r="P133" s="241">
        <v>21067.77</v>
      </c>
    </row>
    <row r="134" spans="2:16" x14ac:dyDescent="0.2">
      <c r="B134" s="190" t="s">
        <v>312</v>
      </c>
      <c r="C134" s="193">
        <v>42521</v>
      </c>
      <c r="D134" s="190">
        <v>12393.618495070001</v>
      </c>
      <c r="E134" s="223">
        <v>1</v>
      </c>
      <c r="F134" s="209"/>
      <c r="G134" s="223" t="s">
        <v>352</v>
      </c>
      <c r="H134" s="223">
        <v>3132.34</v>
      </c>
      <c r="I134" s="164"/>
      <c r="K134" s="228"/>
      <c r="L134" s="228"/>
      <c r="M134" s="228"/>
      <c r="O134" s="241" t="s">
        <v>352</v>
      </c>
      <c r="P134" s="241">
        <v>3051.7</v>
      </c>
    </row>
    <row r="135" spans="2:16" x14ac:dyDescent="0.2">
      <c r="B135" s="190" t="s">
        <v>313</v>
      </c>
      <c r="C135" s="193">
        <v>40934</v>
      </c>
      <c r="D135" s="190">
        <v>2257.3200000000002</v>
      </c>
      <c r="E135" s="223">
        <v>1</v>
      </c>
      <c r="F135" s="209"/>
      <c r="G135" s="223" t="s">
        <v>353</v>
      </c>
      <c r="H135" s="223">
        <v>10076.280000000001</v>
      </c>
      <c r="I135" s="164"/>
      <c r="K135" s="228"/>
      <c r="L135" s="228"/>
      <c r="M135" s="228"/>
      <c r="O135" s="241" t="s">
        <v>353</v>
      </c>
      <c r="P135" s="241">
        <v>10180.52</v>
      </c>
    </row>
    <row r="136" spans="2:16" x14ac:dyDescent="0.2">
      <c r="B136" s="190" t="s">
        <v>60</v>
      </c>
      <c r="C136" s="193">
        <v>42118</v>
      </c>
      <c r="D136" s="190">
        <v>11199.97726648</v>
      </c>
      <c r="E136" s="223">
        <v>1</v>
      </c>
      <c r="F136" s="209"/>
      <c r="G136" s="223" t="s">
        <v>354</v>
      </c>
      <c r="H136" s="223">
        <v>5441.37</v>
      </c>
      <c r="I136" s="164"/>
      <c r="K136" s="228"/>
      <c r="L136" s="228"/>
      <c r="M136" s="228"/>
      <c r="O136" s="241" t="s">
        <v>354</v>
      </c>
      <c r="P136" s="241">
        <v>5510.13</v>
      </c>
    </row>
    <row r="137" spans="2:16" x14ac:dyDescent="0.2">
      <c r="B137" s="190" t="s">
        <v>53</v>
      </c>
      <c r="C137" s="193">
        <v>42118</v>
      </c>
      <c r="D137" s="190">
        <v>12381.899096659999</v>
      </c>
      <c r="E137" s="223">
        <v>1</v>
      </c>
      <c r="F137" s="209"/>
      <c r="G137" s="223" t="s">
        <v>355</v>
      </c>
      <c r="H137" s="223">
        <v>5375.35</v>
      </c>
      <c r="I137" s="164"/>
      <c r="K137" s="228"/>
      <c r="L137" s="228"/>
      <c r="M137" s="228"/>
      <c r="O137" s="241" t="s">
        <v>355</v>
      </c>
      <c r="P137" s="241">
        <v>5358.6</v>
      </c>
    </row>
    <row r="138" spans="2:16" x14ac:dyDescent="0.2">
      <c r="B138" s="190" t="s">
        <v>549</v>
      </c>
      <c r="C138" s="193">
        <v>42118</v>
      </c>
      <c r="D138" s="190">
        <v>19023.287199980001</v>
      </c>
      <c r="E138" s="223">
        <v>1</v>
      </c>
      <c r="F138" s="209"/>
      <c r="G138" s="223" t="s">
        <v>356</v>
      </c>
      <c r="H138" s="223">
        <v>7628.12</v>
      </c>
      <c r="I138" s="164"/>
      <c r="K138" s="228"/>
      <c r="L138" s="228"/>
      <c r="M138" s="228"/>
      <c r="O138" s="241" t="s">
        <v>356</v>
      </c>
      <c r="P138" s="241">
        <v>8243.36</v>
      </c>
    </row>
    <row r="139" spans="2:16" x14ac:dyDescent="0.2">
      <c r="B139" s="190" t="s">
        <v>550</v>
      </c>
      <c r="C139" s="193">
        <v>42118</v>
      </c>
      <c r="D139" s="190">
        <v>19104.233152519999</v>
      </c>
      <c r="E139" s="223">
        <v>1</v>
      </c>
      <c r="F139" s="209"/>
      <c r="G139" s="223" t="s">
        <v>357</v>
      </c>
      <c r="H139" s="223">
        <v>21595.14</v>
      </c>
      <c r="I139" s="164"/>
      <c r="K139" s="228"/>
      <c r="L139" s="228"/>
      <c r="M139" s="228"/>
      <c r="O139" s="241" t="s">
        <v>357</v>
      </c>
      <c r="P139" s="241">
        <v>22031.87</v>
      </c>
    </row>
    <row r="140" spans="2:16" x14ac:dyDescent="0.2">
      <c r="B140" s="190" t="s">
        <v>314</v>
      </c>
      <c r="C140" s="193">
        <v>39381</v>
      </c>
      <c r="D140" s="190">
        <v>30836.11</v>
      </c>
      <c r="E140" s="223">
        <v>1</v>
      </c>
      <c r="F140" s="209"/>
      <c r="G140" s="223" t="s">
        <v>358</v>
      </c>
      <c r="H140" s="223">
        <v>13870.69</v>
      </c>
      <c r="I140" s="164"/>
      <c r="K140" s="228"/>
      <c r="L140" s="228"/>
      <c r="M140" s="228"/>
      <c r="O140" s="241" t="s">
        <v>358</v>
      </c>
      <c r="P140" s="241">
        <v>14441.69</v>
      </c>
    </row>
    <row r="141" spans="2:16" x14ac:dyDescent="0.2">
      <c r="B141" s="190" t="s">
        <v>315</v>
      </c>
      <c r="C141" s="193">
        <v>42030</v>
      </c>
      <c r="D141" s="190">
        <v>42581.471937620001</v>
      </c>
      <c r="E141" s="223">
        <v>1</v>
      </c>
      <c r="F141" s="209"/>
      <c r="G141" s="223" t="s">
        <v>359</v>
      </c>
      <c r="H141" s="223">
        <v>17780.759999999998</v>
      </c>
      <c r="I141" s="164"/>
      <c r="K141" s="228"/>
      <c r="L141" s="228"/>
      <c r="M141" s="228"/>
      <c r="O141" s="241" t="s">
        <v>359</v>
      </c>
      <c r="P141" s="241">
        <v>18563.060000000001</v>
      </c>
    </row>
    <row r="142" spans="2:16" x14ac:dyDescent="0.2">
      <c r="B142" s="190" t="s">
        <v>316</v>
      </c>
      <c r="C142" s="193">
        <v>42221</v>
      </c>
      <c r="D142" s="190">
        <v>5959.86148727</v>
      </c>
      <c r="E142" s="223">
        <v>1</v>
      </c>
      <c r="F142" s="209"/>
      <c r="G142" s="223" t="s">
        <v>360</v>
      </c>
      <c r="H142" s="223">
        <v>41746.519999999997</v>
      </c>
      <c r="I142" s="164"/>
      <c r="K142" s="228"/>
      <c r="L142" s="228"/>
      <c r="M142" s="228"/>
      <c r="O142" s="241" t="s">
        <v>360</v>
      </c>
      <c r="P142" s="241">
        <v>42688.2</v>
      </c>
    </row>
    <row r="143" spans="2:16" x14ac:dyDescent="0.2">
      <c r="B143" s="190" t="s">
        <v>72</v>
      </c>
      <c r="C143" s="193">
        <v>39381</v>
      </c>
      <c r="D143" s="190">
        <v>24943.07</v>
      </c>
      <c r="E143" s="223">
        <v>1</v>
      </c>
      <c r="F143" s="209"/>
      <c r="G143" s="223" t="s">
        <v>361</v>
      </c>
      <c r="H143" s="223">
        <v>11209.74</v>
      </c>
      <c r="I143" s="164"/>
      <c r="K143" s="228"/>
      <c r="L143" s="228"/>
      <c r="M143" s="228"/>
      <c r="O143" s="241" t="s">
        <v>361</v>
      </c>
      <c r="P143" s="241">
        <v>11845.6</v>
      </c>
    </row>
    <row r="144" spans="2:16" x14ac:dyDescent="0.2">
      <c r="B144" s="190" t="s">
        <v>74</v>
      </c>
      <c r="C144" s="193">
        <v>39590</v>
      </c>
      <c r="D144" s="190">
        <v>42763.39</v>
      </c>
      <c r="E144" s="223">
        <v>1</v>
      </c>
      <c r="F144" s="209"/>
      <c r="G144" s="223" t="s">
        <v>362</v>
      </c>
      <c r="H144" s="223">
        <v>17063.72</v>
      </c>
      <c r="I144" s="164"/>
      <c r="K144" s="228"/>
      <c r="L144" s="228"/>
      <c r="M144" s="228"/>
      <c r="O144" s="241" t="s">
        <v>362</v>
      </c>
      <c r="P144" s="241">
        <v>18255.990000000002</v>
      </c>
    </row>
    <row r="145" spans="2:16" x14ac:dyDescent="0.2">
      <c r="B145" s="190" t="s">
        <v>76</v>
      </c>
      <c r="C145" s="193">
        <v>42594</v>
      </c>
      <c r="D145" s="190">
        <v>49802.0548605</v>
      </c>
      <c r="E145" s="223">
        <v>1</v>
      </c>
      <c r="F145" s="209"/>
      <c r="G145" s="223" t="s">
        <v>363</v>
      </c>
      <c r="H145" s="223">
        <v>24908.75</v>
      </c>
      <c r="I145" s="164"/>
      <c r="K145" s="228"/>
      <c r="L145" s="228"/>
      <c r="M145" s="228"/>
      <c r="O145" s="241" t="s">
        <v>363</v>
      </c>
      <c r="P145" s="241">
        <v>25900.74</v>
      </c>
    </row>
    <row r="146" spans="2:16" x14ac:dyDescent="0.2">
      <c r="B146" s="190" t="s">
        <v>78</v>
      </c>
      <c r="C146" s="193">
        <v>42520</v>
      </c>
      <c r="D146" s="190">
        <v>82900.72771716</v>
      </c>
      <c r="E146" s="223">
        <v>1</v>
      </c>
      <c r="F146" s="209"/>
      <c r="G146" s="223" t="s">
        <v>364</v>
      </c>
      <c r="H146" s="223">
        <v>28491.8</v>
      </c>
      <c r="I146" s="164"/>
      <c r="K146" s="228"/>
      <c r="L146" s="228"/>
      <c r="M146" s="228"/>
      <c r="O146" s="241" t="s">
        <v>364</v>
      </c>
      <c r="P146" s="241">
        <v>29262.87</v>
      </c>
    </row>
    <row r="147" spans="2:16" x14ac:dyDescent="0.2">
      <c r="B147" s="190" t="s">
        <v>317</v>
      </c>
      <c r="C147" s="193">
        <v>41250</v>
      </c>
      <c r="D147" s="190">
        <v>94719.679999999993</v>
      </c>
      <c r="E147" s="223">
        <v>1</v>
      </c>
      <c r="F147" s="209"/>
      <c r="G147" s="223" t="s">
        <v>365</v>
      </c>
      <c r="H147" s="223">
        <v>10833.19</v>
      </c>
      <c r="I147" s="164"/>
      <c r="K147" s="228"/>
      <c r="L147" s="228"/>
      <c r="M147" s="228"/>
      <c r="O147" s="241" t="s">
        <v>365</v>
      </c>
      <c r="P147" s="241">
        <v>11229.18</v>
      </c>
    </row>
    <row r="148" spans="2:16" x14ac:dyDescent="0.2">
      <c r="B148" s="190" t="s">
        <v>318</v>
      </c>
      <c r="C148" s="193">
        <v>39381</v>
      </c>
      <c r="D148" s="190">
        <v>31088.74</v>
      </c>
      <c r="E148" s="223">
        <v>1</v>
      </c>
      <c r="F148" s="209"/>
      <c r="G148" s="223" t="s">
        <v>366</v>
      </c>
      <c r="H148" s="223">
        <v>76155.75</v>
      </c>
      <c r="I148" s="164"/>
      <c r="K148" s="228"/>
      <c r="L148" s="228"/>
      <c r="M148" s="228"/>
      <c r="O148" s="241" t="s">
        <v>366</v>
      </c>
      <c r="P148" s="241">
        <v>81247.740000000005</v>
      </c>
    </row>
    <row r="149" spans="2:16" x14ac:dyDescent="0.2">
      <c r="B149" s="190" t="s">
        <v>88</v>
      </c>
      <c r="C149" s="193">
        <v>41893</v>
      </c>
      <c r="D149" s="190">
        <v>95446.135778840006</v>
      </c>
      <c r="E149" s="223">
        <v>1</v>
      </c>
      <c r="F149" s="209"/>
      <c r="G149" s="223" t="s">
        <v>367</v>
      </c>
      <c r="H149" s="223">
        <v>6675.25</v>
      </c>
      <c r="I149" s="164"/>
      <c r="K149" s="228"/>
      <c r="L149" s="228"/>
      <c r="M149" s="228"/>
      <c r="O149" s="241" t="s">
        <v>367</v>
      </c>
      <c r="P149" s="241">
        <v>7248.9</v>
      </c>
    </row>
    <row r="150" spans="2:16" x14ac:dyDescent="0.2">
      <c r="B150" s="190" t="s">
        <v>80</v>
      </c>
      <c r="C150" s="193">
        <v>39381</v>
      </c>
      <c r="D150" s="190">
        <v>35813.949999999997</v>
      </c>
      <c r="E150" s="223">
        <v>1</v>
      </c>
      <c r="F150" s="209"/>
      <c r="G150" s="223" t="s">
        <v>368</v>
      </c>
      <c r="H150" s="223">
        <v>5785.14</v>
      </c>
      <c r="I150" s="164"/>
      <c r="K150" s="228"/>
      <c r="L150" s="228"/>
      <c r="M150" s="228"/>
      <c r="O150" s="241" t="s">
        <v>368</v>
      </c>
      <c r="P150" s="241">
        <v>6931.82</v>
      </c>
    </row>
    <row r="151" spans="2:16" x14ac:dyDescent="0.2">
      <c r="B151" s="190" t="s">
        <v>319</v>
      </c>
      <c r="C151" s="193">
        <v>40581</v>
      </c>
      <c r="D151" s="190">
        <v>88089.14</v>
      </c>
      <c r="E151" s="223">
        <v>1</v>
      </c>
      <c r="F151" s="209"/>
      <c r="G151" s="223" t="s">
        <v>369</v>
      </c>
      <c r="H151" s="223">
        <v>8372.5400000000009</v>
      </c>
      <c r="I151" s="164"/>
      <c r="K151" s="228"/>
      <c r="L151" s="228"/>
      <c r="M151" s="228"/>
      <c r="O151" s="241" t="s">
        <v>369</v>
      </c>
      <c r="P151" s="241">
        <v>8568.2000000000007</v>
      </c>
    </row>
    <row r="152" spans="2:16" x14ac:dyDescent="0.2">
      <c r="B152" s="190" t="s">
        <v>86</v>
      </c>
      <c r="C152" s="193">
        <v>39381</v>
      </c>
      <c r="D152" s="190">
        <v>65291.38</v>
      </c>
      <c r="E152" s="223">
        <v>1</v>
      </c>
      <c r="F152" s="209"/>
      <c r="G152" s="223" t="s">
        <v>370</v>
      </c>
      <c r="H152" s="223">
        <v>9649.14</v>
      </c>
      <c r="I152" s="164"/>
      <c r="K152" s="228"/>
      <c r="L152" s="228"/>
      <c r="M152" s="228"/>
      <c r="O152" s="241" t="s">
        <v>370</v>
      </c>
      <c r="P152" s="241">
        <v>9841.67</v>
      </c>
    </row>
    <row r="153" spans="2:16" x14ac:dyDescent="0.2">
      <c r="B153" s="190" t="s">
        <v>320</v>
      </c>
      <c r="C153" s="193">
        <v>42655</v>
      </c>
      <c r="D153" s="190">
        <v>6829.7257960500001</v>
      </c>
      <c r="E153" s="223">
        <v>1</v>
      </c>
      <c r="F153" s="209"/>
      <c r="G153" s="223" t="s">
        <v>371</v>
      </c>
      <c r="H153" s="223">
        <v>14945.21</v>
      </c>
      <c r="I153" s="164"/>
      <c r="K153" s="228"/>
      <c r="L153" s="228"/>
      <c r="M153" s="228"/>
      <c r="O153" s="241" t="s">
        <v>371</v>
      </c>
      <c r="P153" s="241">
        <v>15300.56</v>
      </c>
    </row>
    <row r="154" spans="2:16" x14ac:dyDescent="0.2">
      <c r="B154" s="190" t="s">
        <v>82</v>
      </c>
      <c r="C154" s="193">
        <v>42117</v>
      </c>
      <c r="D154" s="190">
        <v>46982.462386940002</v>
      </c>
      <c r="E154" s="223">
        <v>1</v>
      </c>
      <c r="F154" s="209"/>
      <c r="G154" s="223" t="s">
        <v>372</v>
      </c>
      <c r="H154" s="223">
        <v>11128.86</v>
      </c>
      <c r="I154" s="164"/>
      <c r="K154" s="228"/>
      <c r="L154" s="228"/>
      <c r="M154" s="228"/>
      <c r="O154" s="241" t="s">
        <v>372</v>
      </c>
      <c r="P154" s="241">
        <v>11381.2</v>
      </c>
    </row>
    <row r="155" spans="2:16" x14ac:dyDescent="0.2">
      <c r="B155" s="190" t="s">
        <v>84</v>
      </c>
      <c r="C155" s="193">
        <v>42222</v>
      </c>
      <c r="D155" s="190">
        <v>71088.506129760004</v>
      </c>
      <c r="E155" s="223">
        <v>1</v>
      </c>
      <c r="F155" s="209"/>
      <c r="G155" s="223" t="s">
        <v>373</v>
      </c>
      <c r="H155" s="223">
        <v>10570.06</v>
      </c>
      <c r="I155" s="164"/>
      <c r="K155" s="228"/>
      <c r="L155" s="228"/>
      <c r="M155" s="228"/>
      <c r="O155" s="241" t="s">
        <v>373</v>
      </c>
      <c r="P155" s="241">
        <v>10408.76</v>
      </c>
    </row>
    <row r="156" spans="2:16" x14ac:dyDescent="0.2">
      <c r="B156" s="190" t="s">
        <v>321</v>
      </c>
      <c r="C156" s="193">
        <v>42577</v>
      </c>
      <c r="D156" s="190">
        <v>9766.8870944299997</v>
      </c>
      <c r="E156" s="223">
        <v>1</v>
      </c>
      <c r="F156" s="209"/>
      <c r="G156" s="223" t="s">
        <v>374</v>
      </c>
      <c r="H156" s="223">
        <v>7036.65</v>
      </c>
      <c r="I156" s="164"/>
      <c r="K156" s="228"/>
      <c r="L156" s="228"/>
      <c r="M156" s="228"/>
      <c r="O156" s="241" t="s">
        <v>374</v>
      </c>
      <c r="P156" s="241">
        <v>7128.22</v>
      </c>
    </row>
    <row r="157" spans="2:16" x14ac:dyDescent="0.2">
      <c r="B157" s="190" t="s">
        <v>322</v>
      </c>
      <c r="C157" s="193">
        <v>42066</v>
      </c>
      <c r="D157" s="190">
        <v>2714.9080461899998</v>
      </c>
      <c r="E157" s="223">
        <v>1</v>
      </c>
      <c r="F157" s="209"/>
      <c r="G157" s="223" t="s">
        <v>375</v>
      </c>
      <c r="H157" s="223">
        <v>8347.2199999999993</v>
      </c>
      <c r="I157" s="164"/>
      <c r="K157" s="228"/>
      <c r="L157" s="228"/>
      <c r="M157" s="228"/>
      <c r="O157" s="241" t="s">
        <v>375</v>
      </c>
      <c r="P157" s="241">
        <v>8924.4699999999993</v>
      </c>
    </row>
    <row r="158" spans="2:16" x14ac:dyDescent="0.2">
      <c r="B158" s="190" t="s">
        <v>323</v>
      </c>
      <c r="C158" s="193">
        <v>41887</v>
      </c>
      <c r="D158" s="190">
        <v>417.67220522999997</v>
      </c>
      <c r="E158" s="223">
        <v>1</v>
      </c>
      <c r="F158" s="209"/>
      <c r="G158" s="223" t="s">
        <v>376</v>
      </c>
      <c r="H158" s="223">
        <v>11164.76</v>
      </c>
      <c r="I158" s="164"/>
      <c r="K158" s="228"/>
      <c r="L158" s="228"/>
      <c r="M158" s="228"/>
      <c r="O158" s="241" t="s">
        <v>376</v>
      </c>
      <c r="P158" s="241">
        <v>11938.57</v>
      </c>
    </row>
    <row r="159" spans="2:16" x14ac:dyDescent="0.2">
      <c r="B159" s="190" t="s">
        <v>324</v>
      </c>
      <c r="C159" s="193">
        <v>39381</v>
      </c>
      <c r="D159" s="190">
        <v>42355.94</v>
      </c>
      <c r="E159" s="223">
        <v>1</v>
      </c>
      <c r="F159" s="209"/>
      <c r="G159" s="223" t="s">
        <v>377</v>
      </c>
      <c r="H159" s="223">
        <v>21409.08</v>
      </c>
      <c r="I159" s="164"/>
      <c r="K159" s="228"/>
      <c r="L159" s="228"/>
      <c r="M159" s="228"/>
      <c r="O159" s="241" t="s">
        <v>377</v>
      </c>
      <c r="P159" s="241">
        <v>20176.79</v>
      </c>
    </row>
    <row r="160" spans="2:16" x14ac:dyDescent="0.2">
      <c r="B160" s="190" t="s">
        <v>325</v>
      </c>
      <c r="C160" s="193">
        <v>42814</v>
      </c>
      <c r="D160" s="190">
        <v>69251.014707270006</v>
      </c>
      <c r="E160" s="223">
        <v>1</v>
      </c>
      <c r="F160" s="209"/>
      <c r="G160" s="223" t="s">
        <v>380</v>
      </c>
      <c r="H160" s="223">
        <v>4378.28</v>
      </c>
      <c r="I160" s="164"/>
      <c r="K160" s="228"/>
      <c r="L160" s="228"/>
      <c r="M160" s="228"/>
      <c r="O160" s="241" t="s">
        <v>380</v>
      </c>
      <c r="P160" s="241">
        <v>4569.58</v>
      </c>
    </row>
    <row r="161" spans="2:16" x14ac:dyDescent="0.2">
      <c r="B161" s="190" t="s">
        <v>326</v>
      </c>
      <c r="C161" s="193">
        <v>42110</v>
      </c>
      <c r="D161" s="190">
        <v>45023.057854029998</v>
      </c>
      <c r="E161" s="223">
        <v>1</v>
      </c>
      <c r="F161" s="209"/>
      <c r="G161" s="223" t="s">
        <v>381</v>
      </c>
      <c r="H161" s="223">
        <v>10149.6</v>
      </c>
      <c r="I161" s="164"/>
      <c r="K161" s="228"/>
      <c r="L161" s="228"/>
      <c r="M161" s="228"/>
      <c r="O161" s="241" t="s">
        <v>381</v>
      </c>
      <c r="P161" s="241">
        <v>10560.03</v>
      </c>
    </row>
    <row r="162" spans="2:16" x14ac:dyDescent="0.2">
      <c r="B162" s="190" t="s">
        <v>327</v>
      </c>
      <c r="C162" s="193">
        <v>42374</v>
      </c>
      <c r="D162" s="190">
        <v>1792.3439825099999</v>
      </c>
      <c r="E162" s="223">
        <v>1</v>
      </c>
      <c r="F162" s="209"/>
      <c r="G162" s="223" t="s">
        <v>382</v>
      </c>
      <c r="H162" s="223">
        <v>22980.25</v>
      </c>
      <c r="I162" s="164"/>
      <c r="K162" s="228"/>
      <c r="L162" s="228"/>
      <c r="M162" s="228"/>
      <c r="O162" s="241" t="s">
        <v>382</v>
      </c>
      <c r="P162" s="241">
        <v>24033.73</v>
      </c>
    </row>
    <row r="163" spans="2:16" x14ac:dyDescent="0.2">
      <c r="B163" s="190" t="s">
        <v>190</v>
      </c>
      <c r="C163" s="193">
        <v>42303</v>
      </c>
      <c r="D163" s="190">
        <v>1035.8389392900001</v>
      </c>
      <c r="E163" s="223">
        <v>1</v>
      </c>
      <c r="F163" s="209"/>
      <c r="G163" s="223" t="s">
        <v>383</v>
      </c>
      <c r="H163" s="223">
        <v>20810.330000000002</v>
      </c>
      <c r="I163" s="164"/>
      <c r="K163" s="228"/>
      <c r="L163" s="228"/>
      <c r="M163" s="228"/>
      <c r="O163" s="241" t="s">
        <v>383</v>
      </c>
      <c r="P163" s="241">
        <v>21966.55</v>
      </c>
    </row>
    <row r="164" spans="2:16" x14ac:dyDescent="0.2">
      <c r="B164" s="190" t="s">
        <v>328</v>
      </c>
      <c r="C164" s="193">
        <v>39209</v>
      </c>
      <c r="D164" s="190">
        <v>910.48</v>
      </c>
      <c r="E164" s="223">
        <v>1</v>
      </c>
      <c r="F164" s="209"/>
      <c r="G164" s="223" t="s">
        <v>384</v>
      </c>
      <c r="H164" s="223">
        <v>33153.980000000003</v>
      </c>
      <c r="I164" s="164"/>
      <c r="K164" s="228"/>
      <c r="L164" s="228"/>
      <c r="M164" s="228"/>
      <c r="O164" s="241" t="s">
        <v>384</v>
      </c>
      <c r="P164" s="241">
        <v>35031.269999999997</v>
      </c>
    </row>
    <row r="165" spans="2:16" x14ac:dyDescent="0.2">
      <c r="B165" s="190" t="s">
        <v>329</v>
      </c>
      <c r="C165" s="193">
        <v>42334</v>
      </c>
      <c r="D165" s="190">
        <v>5012.4318484900004</v>
      </c>
      <c r="E165" s="223">
        <v>1</v>
      </c>
      <c r="F165" s="209"/>
      <c r="G165" s="223" t="s">
        <v>385</v>
      </c>
      <c r="H165" s="223">
        <v>7632.37</v>
      </c>
      <c r="I165" s="164"/>
      <c r="K165" s="228"/>
      <c r="L165" s="228"/>
      <c r="M165" s="228"/>
      <c r="O165" s="241" t="s">
        <v>385</v>
      </c>
      <c r="P165" s="241">
        <v>7891.33</v>
      </c>
    </row>
    <row r="166" spans="2:16" x14ac:dyDescent="0.2">
      <c r="B166" s="190" t="s">
        <v>330</v>
      </c>
      <c r="C166" s="193">
        <v>42877</v>
      </c>
      <c r="D166" s="190">
        <v>5389.3519094800004</v>
      </c>
      <c r="E166" s="223">
        <v>1</v>
      </c>
      <c r="F166" s="209"/>
      <c r="G166" s="223" t="s">
        <v>386</v>
      </c>
      <c r="H166" s="223">
        <v>9584.06</v>
      </c>
      <c r="I166" s="164"/>
      <c r="K166" s="228"/>
      <c r="L166" s="228"/>
      <c r="M166" s="228"/>
      <c r="O166" s="241" t="s">
        <v>386</v>
      </c>
      <c r="P166" s="241">
        <v>9817.48</v>
      </c>
    </row>
    <row r="167" spans="2:16" x14ac:dyDescent="0.2">
      <c r="B167" s="190" t="s">
        <v>331</v>
      </c>
      <c r="C167" s="193">
        <v>42222</v>
      </c>
      <c r="D167" s="190">
        <v>1524.0086971600001</v>
      </c>
      <c r="E167" s="223">
        <v>1</v>
      </c>
      <c r="F167" s="209"/>
      <c r="G167" s="223" t="s">
        <v>387</v>
      </c>
      <c r="H167" s="223">
        <v>19909.97</v>
      </c>
      <c r="I167" s="164"/>
      <c r="K167" s="228"/>
      <c r="L167" s="228"/>
      <c r="M167" s="228"/>
      <c r="O167" s="241" t="s">
        <v>387</v>
      </c>
      <c r="P167" s="241">
        <v>18763.97</v>
      </c>
    </row>
    <row r="168" spans="2:16" x14ac:dyDescent="0.2">
      <c r="B168" s="190" t="s">
        <v>332</v>
      </c>
      <c r="C168" s="193">
        <v>41492</v>
      </c>
      <c r="D168" s="190">
        <v>4293.55</v>
      </c>
      <c r="E168" s="223">
        <v>1</v>
      </c>
      <c r="F168" s="209"/>
      <c r="G168" s="223" t="s">
        <v>388</v>
      </c>
      <c r="H168" s="223">
        <v>3199.39</v>
      </c>
      <c r="I168" s="164"/>
      <c r="K168" s="228"/>
      <c r="L168" s="228"/>
      <c r="M168" s="228"/>
      <c r="O168" s="241" t="s">
        <v>388</v>
      </c>
      <c r="P168" s="241">
        <v>3344.17</v>
      </c>
    </row>
    <row r="169" spans="2:16" x14ac:dyDescent="0.2">
      <c r="B169" s="190" t="s">
        <v>333</v>
      </c>
      <c r="C169" s="193">
        <v>41849</v>
      </c>
      <c r="D169" s="190">
        <v>92.959638409999997</v>
      </c>
      <c r="E169" s="223">
        <v>1</v>
      </c>
      <c r="F169" s="209"/>
      <c r="G169" s="223" t="s">
        <v>389</v>
      </c>
      <c r="H169" s="223">
        <v>19116.84</v>
      </c>
      <c r="I169" s="164"/>
      <c r="K169" s="228"/>
      <c r="L169" s="228"/>
      <c r="M169" s="228"/>
      <c r="O169" s="241" t="s">
        <v>389</v>
      </c>
      <c r="P169" s="241">
        <v>20060.13</v>
      </c>
    </row>
    <row r="170" spans="2:16" x14ac:dyDescent="0.2">
      <c r="B170" s="190" t="s">
        <v>334</v>
      </c>
      <c r="C170" s="193">
        <v>41901</v>
      </c>
      <c r="D170" s="190">
        <v>131.8028965</v>
      </c>
      <c r="E170" s="223">
        <v>1</v>
      </c>
      <c r="F170" s="209"/>
      <c r="G170" s="223" t="s">
        <v>390</v>
      </c>
      <c r="H170" s="223">
        <v>11932.85</v>
      </c>
      <c r="I170" s="164"/>
      <c r="K170" s="228"/>
      <c r="L170" s="228"/>
      <c r="M170" s="228"/>
      <c r="O170" s="241" t="s">
        <v>390</v>
      </c>
      <c r="P170" s="241">
        <v>12160.81</v>
      </c>
    </row>
    <row r="171" spans="2:16" x14ac:dyDescent="0.2">
      <c r="B171" s="190" t="s">
        <v>335</v>
      </c>
      <c r="C171" s="193">
        <v>41901</v>
      </c>
      <c r="D171" s="190">
        <v>76.32416241</v>
      </c>
      <c r="E171" s="223">
        <v>1</v>
      </c>
      <c r="F171" s="209"/>
      <c r="G171" s="223" t="s">
        <v>391</v>
      </c>
      <c r="H171" s="223">
        <v>16848.22</v>
      </c>
      <c r="I171" s="164"/>
      <c r="K171" s="228"/>
      <c r="L171" s="228"/>
      <c r="M171" s="228"/>
      <c r="O171" s="241" t="s">
        <v>391</v>
      </c>
      <c r="P171" s="241">
        <v>17564.46</v>
      </c>
    </row>
    <row r="172" spans="2:16" x14ac:dyDescent="0.2">
      <c r="B172" s="190" t="s">
        <v>336</v>
      </c>
      <c r="C172" s="193">
        <v>41912</v>
      </c>
      <c r="D172" s="190">
        <v>106.4349371</v>
      </c>
      <c r="E172" s="223">
        <v>1</v>
      </c>
      <c r="F172" s="209"/>
      <c r="G172" s="223" t="s">
        <v>392</v>
      </c>
      <c r="H172" s="223">
        <v>3462.43</v>
      </c>
      <c r="I172" s="164"/>
      <c r="K172" s="228"/>
      <c r="L172" s="228"/>
      <c r="M172" s="228"/>
      <c r="O172" s="241" t="s">
        <v>392</v>
      </c>
      <c r="P172" s="241">
        <v>3613.72</v>
      </c>
    </row>
    <row r="173" spans="2:16" x14ac:dyDescent="0.2">
      <c r="B173" s="190" t="s">
        <v>337</v>
      </c>
      <c r="C173" s="193">
        <v>42312</v>
      </c>
      <c r="D173" s="190">
        <v>49081.0138716</v>
      </c>
      <c r="E173" s="223">
        <v>1</v>
      </c>
      <c r="F173" s="209"/>
      <c r="G173" s="223" t="s">
        <v>393</v>
      </c>
      <c r="H173" s="223">
        <v>17539.2</v>
      </c>
      <c r="I173" s="164"/>
      <c r="K173" s="228"/>
      <c r="L173" s="228"/>
      <c r="M173" s="228"/>
      <c r="O173" s="241" t="s">
        <v>393</v>
      </c>
      <c r="P173" s="241">
        <v>18405.63</v>
      </c>
    </row>
    <row r="174" spans="2:16" x14ac:dyDescent="0.2">
      <c r="B174" s="190" t="s">
        <v>338</v>
      </c>
      <c r="C174" s="193">
        <v>41849</v>
      </c>
      <c r="D174" s="190">
        <v>4781.8624027899996</v>
      </c>
      <c r="E174" s="223">
        <v>1</v>
      </c>
      <c r="F174" s="209"/>
      <c r="G174" s="223" t="s">
        <v>394</v>
      </c>
      <c r="H174" s="223">
        <v>12529.98</v>
      </c>
      <c r="I174" s="164"/>
      <c r="K174" s="228"/>
      <c r="L174" s="228"/>
      <c r="M174" s="228"/>
      <c r="O174" s="241" t="s">
        <v>394</v>
      </c>
      <c r="P174" s="241">
        <v>12835.14</v>
      </c>
    </row>
    <row r="175" spans="2:16" x14ac:dyDescent="0.2">
      <c r="B175" s="190" t="s">
        <v>339</v>
      </c>
      <c r="C175" s="193">
        <v>42118</v>
      </c>
      <c r="D175" s="190">
        <v>55188.336977819999</v>
      </c>
      <c r="E175" s="223">
        <v>1</v>
      </c>
      <c r="F175" s="209"/>
      <c r="G175" s="223" t="s">
        <v>395</v>
      </c>
      <c r="H175" s="223">
        <v>15735.63</v>
      </c>
      <c r="I175" s="164"/>
      <c r="K175" s="228"/>
      <c r="L175" s="228"/>
      <c r="M175" s="228"/>
      <c r="O175" s="241" t="s">
        <v>395</v>
      </c>
      <c r="P175" s="241">
        <v>16389.349999999999</v>
      </c>
    </row>
    <row r="176" spans="2:16" x14ac:dyDescent="0.2">
      <c r="B176" s="190" t="s">
        <v>340</v>
      </c>
      <c r="C176" s="193">
        <v>42118</v>
      </c>
      <c r="D176" s="190">
        <v>12381.899096659999</v>
      </c>
      <c r="E176" s="223">
        <v>1</v>
      </c>
      <c r="F176" s="209"/>
      <c r="G176" s="223" t="s">
        <v>396</v>
      </c>
      <c r="H176" s="223">
        <v>42363.875166220001</v>
      </c>
      <c r="I176" s="164"/>
      <c r="K176" s="228"/>
      <c r="L176" s="228"/>
      <c r="M176" s="228"/>
      <c r="O176" s="241" t="s">
        <v>396</v>
      </c>
      <c r="P176" s="241">
        <v>40132.66205287</v>
      </c>
    </row>
    <row r="177" spans="2:16" x14ac:dyDescent="0.2">
      <c r="B177" s="190" t="s">
        <v>341</v>
      </c>
      <c r="C177" s="193">
        <v>41065</v>
      </c>
      <c r="D177" s="190">
        <v>1120.92</v>
      </c>
      <c r="E177" s="223">
        <v>1</v>
      </c>
      <c r="F177" s="209"/>
      <c r="G177" s="223"/>
      <c r="H177" s="223"/>
      <c r="I177" s="164"/>
      <c r="K177" s="228"/>
      <c r="L177" s="228"/>
      <c r="M177" s="228"/>
      <c r="O177" s="241"/>
      <c r="P177" s="241"/>
    </row>
    <row r="178" spans="2:16" x14ac:dyDescent="0.2">
      <c r="B178" s="190" t="s">
        <v>342</v>
      </c>
      <c r="C178" s="193">
        <v>42122</v>
      </c>
      <c r="D178" s="190">
        <v>10462.682748179999</v>
      </c>
      <c r="E178" s="223">
        <v>1</v>
      </c>
      <c r="F178" s="209"/>
      <c r="G178" s="223"/>
      <c r="H178" s="223"/>
      <c r="I178" s="164"/>
      <c r="K178" s="228"/>
      <c r="L178" s="228"/>
      <c r="M178" s="228"/>
      <c r="O178" s="241"/>
      <c r="P178" s="241"/>
    </row>
    <row r="179" spans="2:16" x14ac:dyDescent="0.2">
      <c r="B179" s="190" t="s">
        <v>343</v>
      </c>
      <c r="C179" s="193">
        <v>41849</v>
      </c>
      <c r="D179" s="190">
        <v>4482.8823280400002</v>
      </c>
      <c r="E179" s="223">
        <v>1</v>
      </c>
      <c r="F179" s="209"/>
      <c r="G179" s="223"/>
      <c r="H179" s="223"/>
      <c r="I179" s="164"/>
      <c r="K179" s="228"/>
      <c r="L179" s="228"/>
      <c r="M179" s="228"/>
      <c r="O179" s="241"/>
      <c r="P179" s="241"/>
    </row>
    <row r="180" spans="2:16" x14ac:dyDescent="0.2">
      <c r="B180" s="190" t="s">
        <v>344</v>
      </c>
      <c r="C180" s="193">
        <v>42118</v>
      </c>
      <c r="D180" s="190">
        <v>11199.97726648</v>
      </c>
      <c r="E180" s="223">
        <v>1</v>
      </c>
      <c r="F180" s="209"/>
      <c r="G180" s="223"/>
      <c r="H180" s="223"/>
      <c r="I180" s="164"/>
      <c r="K180" s="228"/>
      <c r="L180" s="228"/>
      <c r="M180" s="228"/>
      <c r="O180" s="241"/>
      <c r="P180" s="241"/>
    </row>
    <row r="181" spans="2:16" x14ac:dyDescent="0.2">
      <c r="B181" s="190" t="s">
        <v>345</v>
      </c>
      <c r="C181" s="193">
        <v>42195</v>
      </c>
      <c r="D181" s="190">
        <v>28365.040000000001</v>
      </c>
      <c r="E181" s="223">
        <v>1</v>
      </c>
      <c r="F181" s="209"/>
      <c r="G181" s="223"/>
      <c r="H181" s="223"/>
      <c r="I181" s="164"/>
      <c r="K181" s="228"/>
      <c r="L181" s="228"/>
      <c r="M181" s="228"/>
      <c r="O181" s="241"/>
      <c r="P181" s="241"/>
    </row>
    <row r="182" spans="2:16" x14ac:dyDescent="0.2">
      <c r="B182" s="190" t="s">
        <v>346</v>
      </c>
      <c r="C182" s="193">
        <v>41967</v>
      </c>
      <c r="D182" s="190">
        <v>9721.7199999999993</v>
      </c>
      <c r="E182" s="223">
        <v>1</v>
      </c>
      <c r="F182" s="209"/>
      <c r="G182" s="223"/>
      <c r="H182" s="223"/>
      <c r="I182" s="164"/>
      <c r="K182" s="228"/>
      <c r="L182" s="228"/>
      <c r="M182" s="228"/>
      <c r="O182" s="241"/>
      <c r="P182" s="241"/>
    </row>
    <row r="183" spans="2:16" x14ac:dyDescent="0.2">
      <c r="B183" s="190" t="s">
        <v>347</v>
      </c>
      <c r="C183" s="193">
        <v>42860</v>
      </c>
      <c r="D183" s="190">
        <v>16787.900000000001</v>
      </c>
      <c r="E183" s="223">
        <v>1</v>
      </c>
      <c r="F183" s="209"/>
      <c r="G183" s="223"/>
      <c r="H183" s="223"/>
      <c r="I183" s="164"/>
      <c r="K183" s="228"/>
      <c r="L183" s="228"/>
      <c r="M183" s="228"/>
      <c r="O183" s="241"/>
      <c r="P183" s="241"/>
    </row>
    <row r="184" spans="2:16" x14ac:dyDescent="0.2">
      <c r="B184" s="190" t="s">
        <v>348</v>
      </c>
      <c r="C184" s="193">
        <v>41929</v>
      </c>
      <c r="D184" s="190">
        <v>4841.3999999999996</v>
      </c>
      <c r="E184" s="223">
        <v>1</v>
      </c>
      <c r="F184" s="209"/>
      <c r="G184" s="223"/>
      <c r="H184" s="223"/>
      <c r="I184" s="164"/>
      <c r="K184" s="228"/>
      <c r="L184" s="228"/>
      <c r="M184" s="228"/>
      <c r="O184" s="241"/>
      <c r="P184" s="241"/>
    </row>
    <row r="185" spans="2:16" x14ac:dyDescent="0.2">
      <c r="B185" s="190" t="s">
        <v>349</v>
      </c>
      <c r="C185" s="193">
        <v>41904</v>
      </c>
      <c r="D185" s="190">
        <v>4959.92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">
      <c r="B186" s="190" t="s">
        <v>350</v>
      </c>
      <c r="C186" s="193">
        <v>41904</v>
      </c>
      <c r="D186" s="190">
        <v>5684.71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">
      <c r="B187" s="190" t="s">
        <v>351</v>
      </c>
      <c r="C187" s="193">
        <v>42594</v>
      </c>
      <c r="D187" s="190">
        <v>22629.39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">
      <c r="B188" s="190" t="s">
        <v>352</v>
      </c>
      <c r="C188" s="193">
        <v>41904</v>
      </c>
      <c r="D188" s="190">
        <v>4598.12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">
      <c r="B189" s="190" t="s">
        <v>353</v>
      </c>
      <c r="C189" s="193">
        <v>42146</v>
      </c>
      <c r="D189" s="190">
        <v>12996.36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">
      <c r="B190" s="190" t="s">
        <v>354</v>
      </c>
      <c r="C190" s="193">
        <v>41964</v>
      </c>
      <c r="D190" s="190">
        <v>7319.54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">
      <c r="B191" s="190" t="s">
        <v>355</v>
      </c>
      <c r="C191" s="193">
        <v>42193</v>
      </c>
      <c r="D191" s="190">
        <v>9363.98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">
      <c r="B192" s="190" t="s">
        <v>356</v>
      </c>
      <c r="C192" s="193">
        <v>41948</v>
      </c>
      <c r="D192" s="190">
        <v>15682.48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">
      <c r="B193" s="190" t="s">
        <v>357</v>
      </c>
      <c r="C193" s="193">
        <v>42520</v>
      </c>
      <c r="D193" s="190">
        <v>31469.57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">
      <c r="B194" s="190" t="s">
        <v>358</v>
      </c>
      <c r="C194" s="193">
        <v>42817</v>
      </c>
      <c r="D194" s="190">
        <v>16210.1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">
      <c r="B195" s="190" t="s">
        <v>359</v>
      </c>
      <c r="C195" s="193">
        <v>42460</v>
      </c>
      <c r="D195" s="190">
        <v>25683.33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">
      <c r="B196" s="190" t="s">
        <v>360</v>
      </c>
      <c r="C196" s="193">
        <v>42312</v>
      </c>
      <c r="D196" s="190">
        <v>46535.96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">
      <c r="B197" s="190" t="s">
        <v>361</v>
      </c>
      <c r="C197" s="193">
        <v>42521</v>
      </c>
      <c r="D197" s="190">
        <v>12168.93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">
      <c r="B198" s="190" t="s">
        <v>362</v>
      </c>
      <c r="C198" s="193">
        <v>42117</v>
      </c>
      <c r="D198" s="190">
        <v>27409.74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">
      <c r="B199" s="190" t="s">
        <v>363</v>
      </c>
      <c r="C199" s="193">
        <v>42030</v>
      </c>
      <c r="D199" s="190">
        <v>36618.99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">
      <c r="B200" s="190" t="s">
        <v>364</v>
      </c>
      <c r="C200" s="193">
        <v>42884</v>
      </c>
      <c r="D200" s="190">
        <v>29395.97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">
      <c r="B201" s="190" t="s">
        <v>365</v>
      </c>
      <c r="C201" s="193">
        <v>42104</v>
      </c>
      <c r="D201" s="190">
        <v>15204.51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">
      <c r="B202" s="190" t="s">
        <v>366</v>
      </c>
      <c r="C202" s="193">
        <v>42878</v>
      </c>
      <c r="D202" s="190">
        <v>83892.43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">
      <c r="B203" s="190" t="s">
        <v>367</v>
      </c>
      <c r="C203" s="193">
        <v>42655</v>
      </c>
      <c r="D203" s="190">
        <v>9116.6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">
      <c r="B204" s="190" t="s">
        <v>368</v>
      </c>
      <c r="C204" s="193">
        <v>42066</v>
      </c>
      <c r="D204" s="190">
        <v>7949.83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">
      <c r="B205" s="190" t="s">
        <v>369</v>
      </c>
      <c r="C205" s="193">
        <v>42122</v>
      </c>
      <c r="D205" s="190">
        <v>15553.66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">
      <c r="B206" s="190" t="s">
        <v>370</v>
      </c>
      <c r="C206" s="193">
        <v>42117</v>
      </c>
      <c r="D206" s="190">
        <v>11507.83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">
      <c r="B207" s="190" t="s">
        <v>371</v>
      </c>
      <c r="C207" s="193">
        <v>42814</v>
      </c>
      <c r="D207" s="190">
        <v>16362.23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">
      <c r="B208" s="190" t="s">
        <v>372</v>
      </c>
      <c r="C208" s="193">
        <v>42104</v>
      </c>
      <c r="D208" s="190">
        <v>14152.32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">
      <c r="B209" s="190" t="s">
        <v>373</v>
      </c>
      <c r="C209" s="193">
        <v>42374</v>
      </c>
      <c r="D209" s="190">
        <v>13453.03</v>
      </c>
      <c r="E209" s="223">
        <v>1</v>
      </c>
    </row>
    <row r="210" spans="2:5" x14ac:dyDescent="0.2">
      <c r="B210" s="190" t="s">
        <v>374</v>
      </c>
      <c r="C210" s="193">
        <v>42303</v>
      </c>
      <c r="D210" s="190">
        <v>7915.02</v>
      </c>
      <c r="E210" s="223">
        <v>1</v>
      </c>
    </row>
    <row r="211" spans="2:5" x14ac:dyDescent="0.2">
      <c r="B211" s="190" t="s">
        <v>375</v>
      </c>
      <c r="C211" s="193">
        <v>42310</v>
      </c>
      <c r="D211" s="190">
        <v>11222.21</v>
      </c>
      <c r="E211" s="223">
        <v>1</v>
      </c>
    </row>
    <row r="212" spans="2:5" x14ac:dyDescent="0.2">
      <c r="B212" s="190" t="s">
        <v>376</v>
      </c>
      <c r="C212" s="193">
        <v>42877</v>
      </c>
      <c r="D212" s="190">
        <v>12232.01</v>
      </c>
      <c r="E212" s="223">
        <v>1</v>
      </c>
    </row>
    <row r="213" spans="2:5" x14ac:dyDescent="0.2">
      <c r="B213" s="190" t="s">
        <v>377</v>
      </c>
      <c r="C213" s="193">
        <v>42222</v>
      </c>
      <c r="D213" s="190">
        <v>28083.96</v>
      </c>
      <c r="E213" s="223">
        <v>1</v>
      </c>
    </row>
    <row r="214" spans="2:5" x14ac:dyDescent="0.2">
      <c r="B214" s="190" t="s">
        <v>378</v>
      </c>
      <c r="C214" s="193">
        <v>41947</v>
      </c>
      <c r="D214" s="190">
        <v>7127.6</v>
      </c>
      <c r="E214" s="223">
        <v>1</v>
      </c>
    </row>
    <row r="215" spans="2:5" x14ac:dyDescent="0.2">
      <c r="B215" s="190" t="s">
        <v>379</v>
      </c>
      <c r="C215" s="193">
        <v>42195</v>
      </c>
      <c r="D215" s="190">
        <v>28365.040000000001</v>
      </c>
      <c r="E215" s="223">
        <v>1</v>
      </c>
    </row>
    <row r="216" spans="2:5" x14ac:dyDescent="0.2">
      <c r="B216" s="190" t="s">
        <v>380</v>
      </c>
      <c r="C216" s="193">
        <v>41904</v>
      </c>
      <c r="D216" s="190">
        <v>5480.24</v>
      </c>
      <c r="E216" s="223">
        <v>1</v>
      </c>
    </row>
    <row r="217" spans="2:5" x14ac:dyDescent="0.2">
      <c r="B217" s="190" t="s">
        <v>381</v>
      </c>
      <c r="C217" s="193">
        <v>42594</v>
      </c>
      <c r="D217" s="190">
        <v>11125.17</v>
      </c>
      <c r="E217" s="223">
        <v>1</v>
      </c>
    </row>
    <row r="218" spans="2:5" x14ac:dyDescent="0.2">
      <c r="B218" s="190" t="s">
        <v>382</v>
      </c>
      <c r="C218" s="193">
        <v>42520</v>
      </c>
      <c r="D218" s="190">
        <v>26408.99</v>
      </c>
      <c r="E218" s="223">
        <v>1</v>
      </c>
    </row>
    <row r="219" spans="2:5" x14ac:dyDescent="0.2">
      <c r="B219" s="190" t="s">
        <v>383</v>
      </c>
      <c r="C219" s="193">
        <v>42069</v>
      </c>
      <c r="D219" s="190">
        <v>31823.85</v>
      </c>
      <c r="E219" s="223">
        <v>1</v>
      </c>
    </row>
    <row r="220" spans="2:5" x14ac:dyDescent="0.2">
      <c r="B220" s="190" t="s">
        <v>384</v>
      </c>
      <c r="C220" s="193">
        <v>42878</v>
      </c>
      <c r="D220" s="190">
        <v>35871.06</v>
      </c>
      <c r="E220" s="223">
        <v>1</v>
      </c>
    </row>
    <row r="221" spans="2:5" x14ac:dyDescent="0.2">
      <c r="B221" s="190" t="s">
        <v>385</v>
      </c>
      <c r="C221" s="193">
        <v>42122</v>
      </c>
      <c r="D221" s="190">
        <v>13908.83</v>
      </c>
      <c r="E221" s="223">
        <v>1</v>
      </c>
    </row>
    <row r="222" spans="2:5" x14ac:dyDescent="0.2">
      <c r="B222" s="190" t="s">
        <v>386</v>
      </c>
      <c r="C222" s="193">
        <v>42117</v>
      </c>
      <c r="D222" s="190">
        <v>11227.41</v>
      </c>
      <c r="E222" s="223">
        <v>1</v>
      </c>
    </row>
    <row r="223" spans="2:5" x14ac:dyDescent="0.2">
      <c r="B223" s="190" t="s">
        <v>387</v>
      </c>
      <c r="C223" s="193">
        <v>42222</v>
      </c>
      <c r="D223" s="190">
        <v>26117.47</v>
      </c>
      <c r="E223" s="223">
        <v>1</v>
      </c>
    </row>
    <row r="224" spans="2:5" x14ac:dyDescent="0.2">
      <c r="B224" s="190" t="s">
        <v>388</v>
      </c>
      <c r="C224" s="193">
        <v>41904</v>
      </c>
      <c r="D224" s="190">
        <v>6904.09</v>
      </c>
      <c r="E224" s="223">
        <v>1</v>
      </c>
    </row>
    <row r="225" spans="2:5" x14ac:dyDescent="0.2">
      <c r="B225" s="190" t="s">
        <v>389</v>
      </c>
      <c r="C225" s="193">
        <v>42878</v>
      </c>
      <c r="D225" s="190">
        <v>20402.05</v>
      </c>
      <c r="E225" s="223">
        <v>1</v>
      </c>
    </row>
    <row r="226" spans="2:5" x14ac:dyDescent="0.2">
      <c r="B226" s="190" t="s">
        <v>390</v>
      </c>
      <c r="C226" s="193">
        <v>42118</v>
      </c>
      <c r="D226" s="190">
        <v>14632.12</v>
      </c>
      <c r="E226" s="223">
        <v>1</v>
      </c>
    </row>
    <row r="227" spans="2:5" x14ac:dyDescent="0.2">
      <c r="B227" s="190" t="s">
        <v>391</v>
      </c>
      <c r="C227" s="193">
        <v>42878</v>
      </c>
      <c r="D227" s="190">
        <v>17899.169999999998</v>
      </c>
      <c r="E227" s="223">
        <v>1</v>
      </c>
    </row>
    <row r="228" spans="2:5" x14ac:dyDescent="0.2">
      <c r="B228" s="190" t="s">
        <v>392</v>
      </c>
      <c r="C228" s="193">
        <v>41904</v>
      </c>
      <c r="D228" s="190">
        <v>6817.36</v>
      </c>
      <c r="E228" s="223">
        <v>1</v>
      </c>
    </row>
    <row r="229" spans="2:5" x14ac:dyDescent="0.2">
      <c r="B229" s="190" t="s">
        <v>393</v>
      </c>
      <c r="C229" s="193">
        <v>42878</v>
      </c>
      <c r="D229" s="190">
        <v>18686.830000000002</v>
      </c>
      <c r="E229" s="223">
        <v>1</v>
      </c>
    </row>
    <row r="230" spans="2:5" x14ac:dyDescent="0.2">
      <c r="B230" s="190" t="s">
        <v>394</v>
      </c>
      <c r="C230" s="193">
        <v>42117</v>
      </c>
      <c r="D230" s="190">
        <v>14678.45</v>
      </c>
      <c r="E230" s="223">
        <v>1</v>
      </c>
    </row>
    <row r="231" spans="2:5" x14ac:dyDescent="0.2">
      <c r="B231" s="190" t="s">
        <v>395</v>
      </c>
      <c r="C231" s="193">
        <v>42118</v>
      </c>
      <c r="D231" s="190">
        <v>16848.27</v>
      </c>
      <c r="E231" s="223">
        <v>1</v>
      </c>
    </row>
    <row r="232" spans="2:5" x14ac:dyDescent="0.2">
      <c r="B232" s="190" t="s">
        <v>396</v>
      </c>
      <c r="C232" s="193">
        <v>42914</v>
      </c>
      <c r="D232" s="190">
        <v>42514.709689290001</v>
      </c>
      <c r="E232" s="223">
        <v>1</v>
      </c>
    </row>
    <row r="233" spans="2:5" x14ac:dyDescent="0.2">
      <c r="B233" s="190" t="s">
        <v>397</v>
      </c>
      <c r="C233" s="193">
        <v>37469</v>
      </c>
      <c r="D233" s="190">
        <v>394.88</v>
      </c>
      <c r="E233" s="223">
        <v>1</v>
      </c>
    </row>
    <row r="234" spans="2:5" x14ac:dyDescent="0.2">
      <c r="B234" s="190" t="s">
        <v>398</v>
      </c>
      <c r="C234" s="193">
        <v>37469</v>
      </c>
      <c r="D234" s="190">
        <v>394.88</v>
      </c>
      <c r="E234" s="223">
        <v>1</v>
      </c>
    </row>
    <row r="235" spans="2:5" x14ac:dyDescent="0.2">
      <c r="B235" s="190" t="s">
        <v>399</v>
      </c>
      <c r="C235" s="193">
        <v>38665</v>
      </c>
      <c r="D235" s="190">
        <v>225.62</v>
      </c>
      <c r="E235" s="223">
        <v>1</v>
      </c>
    </row>
    <row r="236" spans="2:5" x14ac:dyDescent="0.2">
      <c r="B236" s="190" t="s">
        <v>400</v>
      </c>
      <c r="C236" s="193">
        <v>38665</v>
      </c>
      <c r="D236" s="190">
        <v>225.62</v>
      </c>
      <c r="E236" s="223">
        <v>1</v>
      </c>
    </row>
    <row r="237" spans="2:5" x14ac:dyDescent="0.2">
      <c r="B237" s="190" t="s">
        <v>401</v>
      </c>
      <c r="C237" s="193">
        <v>38624</v>
      </c>
      <c r="D237" s="190">
        <v>173.45</v>
      </c>
      <c r="E237" s="223">
        <v>1</v>
      </c>
    </row>
    <row r="238" spans="2:5" x14ac:dyDescent="0.2">
      <c r="B238" s="190" t="s">
        <v>402</v>
      </c>
      <c r="C238" s="193">
        <v>38624</v>
      </c>
      <c r="D238" s="190">
        <v>173.45</v>
      </c>
      <c r="E238" s="223">
        <v>1</v>
      </c>
    </row>
    <row r="239" spans="2:5" x14ac:dyDescent="0.2">
      <c r="B239" s="190" t="s">
        <v>403</v>
      </c>
      <c r="C239" s="193">
        <v>38027</v>
      </c>
      <c r="D239" s="190">
        <v>108.65</v>
      </c>
      <c r="E239" s="223">
        <v>1</v>
      </c>
    </row>
    <row r="240" spans="2:5" x14ac:dyDescent="0.2">
      <c r="B240" s="190" t="s">
        <v>404</v>
      </c>
      <c r="C240" s="193">
        <v>37757</v>
      </c>
      <c r="D240" s="190">
        <v>125</v>
      </c>
      <c r="E240" s="223">
        <v>1</v>
      </c>
    </row>
    <row r="241" spans="2:5" x14ac:dyDescent="0.2">
      <c r="B241" s="190" t="s">
        <v>405</v>
      </c>
      <c r="C241" s="193">
        <v>38006</v>
      </c>
      <c r="D241" s="190">
        <v>106.83</v>
      </c>
      <c r="E241" s="223">
        <v>1</v>
      </c>
    </row>
    <row r="242" spans="2:5" x14ac:dyDescent="0.2">
      <c r="B242" s="190" t="s">
        <v>406</v>
      </c>
      <c r="C242" s="193">
        <v>38715</v>
      </c>
      <c r="D242" s="190">
        <v>508.88</v>
      </c>
      <c r="E242" s="223">
        <v>1</v>
      </c>
    </row>
    <row r="243" spans="2:5" x14ac:dyDescent="0.2">
      <c r="B243" s="190" t="s">
        <v>407</v>
      </c>
      <c r="C243" s="193">
        <v>38715</v>
      </c>
      <c r="D243" s="190">
        <v>510.55</v>
      </c>
      <c r="E243" s="223">
        <v>1</v>
      </c>
    </row>
    <row r="244" spans="2:5" x14ac:dyDescent="0.2">
      <c r="B244" s="190" t="s">
        <v>408</v>
      </c>
      <c r="C244" s="193">
        <v>38260</v>
      </c>
      <c r="D244" s="190">
        <v>730.16</v>
      </c>
      <c r="E244" s="223">
        <v>1</v>
      </c>
    </row>
    <row r="245" spans="2:5" x14ac:dyDescent="0.2">
      <c r="B245" s="190" t="s">
        <v>409</v>
      </c>
      <c r="C245" s="193">
        <v>38716</v>
      </c>
      <c r="D245" s="190">
        <v>250.34</v>
      </c>
      <c r="E245" s="223">
        <v>1</v>
      </c>
    </row>
    <row r="246" spans="2:5" x14ac:dyDescent="0.2">
      <c r="B246" s="190" t="s">
        <v>410</v>
      </c>
      <c r="C246" s="193">
        <v>38716</v>
      </c>
      <c r="D246" s="190">
        <v>250.34</v>
      </c>
      <c r="E246" s="223">
        <v>1</v>
      </c>
    </row>
    <row r="247" spans="2:5" x14ac:dyDescent="0.2">
      <c r="B247" s="190" t="s">
        <v>411</v>
      </c>
      <c r="C247" s="193">
        <v>38713</v>
      </c>
      <c r="D247" s="190">
        <v>185.77</v>
      </c>
      <c r="E247" s="223">
        <v>1</v>
      </c>
    </row>
    <row r="248" spans="2:5" x14ac:dyDescent="0.2">
      <c r="B248" s="190" t="s">
        <v>412</v>
      </c>
      <c r="C248" s="193">
        <v>38713</v>
      </c>
      <c r="D248" s="190">
        <v>232.72</v>
      </c>
      <c r="E248" s="223">
        <v>1</v>
      </c>
    </row>
    <row r="249" spans="2:5" x14ac:dyDescent="0.2">
      <c r="B249" s="190" t="s">
        <v>413</v>
      </c>
      <c r="C249" s="193">
        <v>38713</v>
      </c>
      <c r="D249" s="190">
        <v>137.76</v>
      </c>
      <c r="E249" s="223">
        <v>1</v>
      </c>
    </row>
    <row r="250" spans="2:5" x14ac:dyDescent="0.2">
      <c r="B250" s="190" t="s">
        <v>414</v>
      </c>
      <c r="C250" s="193">
        <v>38713</v>
      </c>
      <c r="D250" s="190">
        <v>141.75</v>
      </c>
      <c r="E250" s="223">
        <v>1</v>
      </c>
    </row>
    <row r="251" spans="2:5" x14ac:dyDescent="0.2">
      <c r="B251" s="190" t="s">
        <v>415</v>
      </c>
      <c r="C251" s="193">
        <v>38370</v>
      </c>
      <c r="D251" s="190">
        <v>242.71</v>
      </c>
      <c r="E251" s="223">
        <v>1</v>
      </c>
    </row>
    <row r="252" spans="2:5" x14ac:dyDescent="0.2">
      <c r="B252" s="190" t="s">
        <v>416</v>
      </c>
      <c r="C252" s="193">
        <v>38706</v>
      </c>
      <c r="D252" s="190">
        <v>128.63</v>
      </c>
      <c r="E252" s="223">
        <v>1</v>
      </c>
    </row>
    <row r="253" spans="2:5" x14ac:dyDescent="0.2">
      <c r="B253" s="190" t="s">
        <v>417</v>
      </c>
      <c r="C253" s="193">
        <v>38705</v>
      </c>
      <c r="D253" s="190">
        <v>217.85</v>
      </c>
      <c r="E253" s="223">
        <v>1</v>
      </c>
    </row>
    <row r="254" spans="2:5" x14ac:dyDescent="0.2">
      <c r="B254" s="190" t="s">
        <v>418</v>
      </c>
      <c r="C254" s="193">
        <v>42129</v>
      </c>
      <c r="D254" s="190">
        <v>1211.2244297899999</v>
      </c>
      <c r="E254" s="223">
        <v>1</v>
      </c>
    </row>
    <row r="255" spans="2:5" x14ac:dyDescent="0.2">
      <c r="B255" s="190" t="s">
        <v>419</v>
      </c>
      <c r="C255" s="193">
        <v>42552</v>
      </c>
      <c r="D255" s="190">
        <v>532.75119029999996</v>
      </c>
      <c r="E255" s="223">
        <v>1</v>
      </c>
    </row>
    <row r="256" spans="2:5" x14ac:dyDescent="0.2">
      <c r="B256" s="190" t="s">
        <v>420</v>
      </c>
      <c r="C256" s="193">
        <v>39329</v>
      </c>
      <c r="D256" s="190">
        <v>321.83999999999997</v>
      </c>
      <c r="E256" s="223">
        <v>1</v>
      </c>
    </row>
    <row r="257" spans="2:5" x14ac:dyDescent="0.2">
      <c r="B257" s="190" t="s">
        <v>421</v>
      </c>
      <c r="C257" s="193">
        <v>40577</v>
      </c>
      <c r="D257" s="190">
        <v>493.46</v>
      </c>
      <c r="E257" s="223">
        <v>1</v>
      </c>
    </row>
    <row r="258" spans="2:5" x14ac:dyDescent="0.2">
      <c r="B258" s="190" t="s">
        <v>422</v>
      </c>
      <c r="C258" s="193">
        <v>39618</v>
      </c>
      <c r="D258" s="190">
        <v>303</v>
      </c>
      <c r="E258" s="223">
        <v>1</v>
      </c>
    </row>
    <row r="259" spans="2:5" x14ac:dyDescent="0.2">
      <c r="B259" s="190" t="s">
        <v>423</v>
      </c>
      <c r="C259" s="193">
        <v>39394</v>
      </c>
      <c r="D259" s="190">
        <v>363.69</v>
      </c>
      <c r="E259" s="223">
        <v>1</v>
      </c>
    </row>
    <row r="260" spans="2:5" x14ac:dyDescent="0.2">
      <c r="B260" s="190" t="s">
        <v>424</v>
      </c>
      <c r="C260" s="193">
        <v>40478</v>
      </c>
      <c r="D260" s="190">
        <v>148.34</v>
      </c>
      <c r="E260" s="223">
        <v>1</v>
      </c>
    </row>
    <row r="261" spans="2:5" x14ac:dyDescent="0.2">
      <c r="B261" s="190" t="s">
        <v>425</v>
      </c>
      <c r="C261" s="193">
        <v>42552</v>
      </c>
      <c r="D261" s="190">
        <v>1062.7544994699999</v>
      </c>
      <c r="E261" s="223">
        <v>1</v>
      </c>
    </row>
    <row r="262" spans="2:5" x14ac:dyDescent="0.2">
      <c r="B262" s="190" t="s">
        <v>426</v>
      </c>
      <c r="C262" s="193">
        <v>42227</v>
      </c>
      <c r="D262" s="190">
        <v>4757.8587041199999</v>
      </c>
      <c r="E262" s="223">
        <v>1</v>
      </c>
    </row>
    <row r="263" spans="2:5" x14ac:dyDescent="0.2">
      <c r="B263" s="190" t="s">
        <v>427</v>
      </c>
      <c r="C263" s="193">
        <v>42550</v>
      </c>
      <c r="D263" s="190">
        <v>147.67885862</v>
      </c>
      <c r="E263" s="223">
        <v>1</v>
      </c>
    </row>
    <row r="264" spans="2:5" x14ac:dyDescent="0.2">
      <c r="B264" s="190" t="s">
        <v>428</v>
      </c>
      <c r="C264" s="193">
        <v>39618</v>
      </c>
      <c r="D264" s="190">
        <v>562.29</v>
      </c>
      <c r="E264" s="223">
        <v>1</v>
      </c>
    </row>
    <row r="265" spans="2:5" x14ac:dyDescent="0.2">
      <c r="B265" s="190" t="s">
        <v>429</v>
      </c>
      <c r="C265" s="193">
        <v>39394</v>
      </c>
      <c r="D265" s="190">
        <v>363.69</v>
      </c>
      <c r="E265" s="223">
        <v>1</v>
      </c>
    </row>
    <row r="266" spans="2:5" x14ac:dyDescent="0.2">
      <c r="B266" s="190" t="s">
        <v>430</v>
      </c>
      <c r="C266" s="193">
        <v>42227</v>
      </c>
      <c r="D266" s="190">
        <v>4215.8333879900001</v>
      </c>
      <c r="E266" s="223">
        <v>1</v>
      </c>
    </row>
    <row r="267" spans="2:5" x14ac:dyDescent="0.2">
      <c r="B267" s="190" t="s">
        <v>431</v>
      </c>
      <c r="C267" s="193">
        <v>41277</v>
      </c>
      <c r="D267" s="190">
        <v>2807.39</v>
      </c>
      <c r="E267" s="223">
        <v>1</v>
      </c>
    </row>
    <row r="268" spans="2:5" x14ac:dyDescent="0.2">
      <c r="B268" s="190" t="s">
        <v>432</v>
      </c>
      <c r="C268" s="193">
        <v>41283</v>
      </c>
      <c r="D268" s="190">
        <v>2316.58</v>
      </c>
      <c r="E268" s="223">
        <v>1</v>
      </c>
    </row>
    <row r="269" spans="2:5" x14ac:dyDescent="0.2">
      <c r="B269" s="190" t="s">
        <v>433</v>
      </c>
      <c r="C269" s="193">
        <v>42550</v>
      </c>
      <c r="D269" s="190">
        <v>130.66139737</v>
      </c>
      <c r="E269" s="223">
        <v>1</v>
      </c>
    </row>
    <row r="270" spans="2:5" x14ac:dyDescent="0.2">
      <c r="B270" s="190" t="s">
        <v>434</v>
      </c>
      <c r="C270" s="193">
        <v>41281</v>
      </c>
      <c r="D270" s="190">
        <v>3365.22</v>
      </c>
      <c r="E270" s="223">
        <v>1</v>
      </c>
    </row>
    <row r="271" spans="2:5" x14ac:dyDescent="0.2">
      <c r="B271" s="190" t="s">
        <v>435</v>
      </c>
      <c r="C271" s="193">
        <v>42110</v>
      </c>
      <c r="D271" s="190">
        <v>522.89537319999999</v>
      </c>
      <c r="E271" s="223">
        <v>1</v>
      </c>
    </row>
    <row r="272" spans="2:5" x14ac:dyDescent="0.2">
      <c r="B272" s="190" t="s">
        <v>436</v>
      </c>
      <c r="C272" s="193">
        <v>42117</v>
      </c>
      <c r="D272" s="190">
        <v>650.14363865999997</v>
      </c>
      <c r="E272" s="223">
        <v>1</v>
      </c>
    </row>
    <row r="273" spans="2:5" x14ac:dyDescent="0.2">
      <c r="B273" s="190" t="s">
        <v>437</v>
      </c>
      <c r="C273" s="193">
        <v>42479</v>
      </c>
      <c r="D273" s="190">
        <v>517.55154836999998</v>
      </c>
      <c r="E273" s="223">
        <v>1</v>
      </c>
    </row>
    <row r="274" spans="2:5" x14ac:dyDescent="0.2">
      <c r="B274" s="10" t="s">
        <v>438</v>
      </c>
      <c r="C274" s="126">
        <v>42110</v>
      </c>
      <c r="D274" s="10">
        <v>419.85620591000003</v>
      </c>
      <c r="E274" s="10">
        <v>1</v>
      </c>
    </row>
    <row r="275" spans="2:5" x14ac:dyDescent="0.2">
      <c r="B275" s="10" t="s">
        <v>439</v>
      </c>
      <c r="C275" s="126">
        <v>41444</v>
      </c>
      <c r="D275" s="10">
        <v>1386.8</v>
      </c>
      <c r="E275" s="10">
        <v>1</v>
      </c>
    </row>
    <row r="276" spans="2:5" x14ac:dyDescent="0.2">
      <c r="B276" s="10" t="s">
        <v>440</v>
      </c>
      <c r="C276" s="126">
        <v>42030</v>
      </c>
      <c r="D276" s="10">
        <v>227.86509369000001</v>
      </c>
      <c r="E276" s="10">
        <v>1</v>
      </c>
    </row>
    <row r="277" spans="2:5" x14ac:dyDescent="0.2">
      <c r="B277" s="10" t="s">
        <v>441</v>
      </c>
      <c r="C277" s="126">
        <v>39604</v>
      </c>
      <c r="D277" s="10">
        <v>233.37</v>
      </c>
      <c r="E277" s="10">
        <v>1</v>
      </c>
    </row>
    <row r="278" spans="2:5" x14ac:dyDescent="0.2">
      <c r="B278" s="10" t="s">
        <v>442</v>
      </c>
      <c r="C278" s="126">
        <v>42339</v>
      </c>
      <c r="D278" s="10">
        <v>487.53221783999999</v>
      </c>
      <c r="E278" s="10">
        <v>1</v>
      </c>
    </row>
    <row r="279" spans="2:5" x14ac:dyDescent="0.2">
      <c r="B279" s="10" t="s">
        <v>443</v>
      </c>
      <c r="C279" s="126">
        <v>38866</v>
      </c>
      <c r="D279" s="10">
        <v>203.88</v>
      </c>
      <c r="E279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393"/>
      <c r="G2" s="393"/>
      <c r="H2" s="393"/>
      <c r="I2" s="393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5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4">
        <v>38713</v>
      </c>
      <c r="C2">
        <v>17296.830000000002</v>
      </c>
      <c r="D2">
        <v>1</v>
      </c>
    </row>
    <row r="3" spans="1:4" x14ac:dyDescent="0.2">
      <c r="A3" t="s">
        <v>231</v>
      </c>
      <c r="B3" s="154">
        <v>38713</v>
      </c>
      <c r="C3">
        <v>20229.37</v>
      </c>
      <c r="D3">
        <v>1</v>
      </c>
    </row>
    <row r="4" spans="1:4" x14ac:dyDescent="0.2">
      <c r="A4" t="s">
        <v>232</v>
      </c>
      <c r="B4" s="154">
        <v>38628</v>
      </c>
      <c r="C4">
        <v>10207.67</v>
      </c>
      <c r="D4">
        <v>1</v>
      </c>
    </row>
    <row r="5" spans="1:4" x14ac:dyDescent="0.2">
      <c r="A5" t="s">
        <v>233</v>
      </c>
      <c r="B5" s="154">
        <v>38713</v>
      </c>
      <c r="C5">
        <v>17257.37</v>
      </c>
      <c r="D5">
        <v>1</v>
      </c>
    </row>
    <row r="6" spans="1:4" x14ac:dyDescent="0.2">
      <c r="A6" t="s">
        <v>234</v>
      </c>
      <c r="B6" s="154">
        <v>38716</v>
      </c>
      <c r="C6">
        <v>10070.700000000001</v>
      </c>
      <c r="D6">
        <v>1</v>
      </c>
    </row>
    <row r="7" spans="1:4" x14ac:dyDescent="0.2">
      <c r="A7" t="s">
        <v>235</v>
      </c>
      <c r="B7" s="154">
        <v>38677</v>
      </c>
      <c r="C7">
        <v>28766.959999999999</v>
      </c>
      <c r="D7">
        <v>1</v>
      </c>
    </row>
    <row r="8" spans="1:4" x14ac:dyDescent="0.2">
      <c r="A8" t="s">
        <v>236</v>
      </c>
      <c r="B8" s="154">
        <v>37432</v>
      </c>
      <c r="C8">
        <v>30613.119999999999</v>
      </c>
      <c r="D8">
        <v>1</v>
      </c>
    </row>
    <row r="9" spans="1:4" x14ac:dyDescent="0.2">
      <c r="A9" t="s">
        <v>237</v>
      </c>
      <c r="B9" s="154">
        <v>38425</v>
      </c>
      <c r="C9">
        <v>14581.36</v>
      </c>
      <c r="D9">
        <v>1</v>
      </c>
    </row>
    <row r="10" spans="1:4" x14ac:dyDescent="0.2">
      <c r="A10" t="s">
        <v>238</v>
      </c>
      <c r="B10" s="154">
        <v>38715</v>
      </c>
      <c r="C10">
        <v>17673.63</v>
      </c>
      <c r="D10">
        <v>1</v>
      </c>
    </row>
    <row r="11" spans="1:4" x14ac:dyDescent="0.2">
      <c r="A11" t="s">
        <v>239</v>
      </c>
      <c r="B11" s="154">
        <v>38715</v>
      </c>
      <c r="C11">
        <v>34075.21</v>
      </c>
      <c r="D11">
        <v>1</v>
      </c>
    </row>
    <row r="12" spans="1:4" x14ac:dyDescent="0.2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4">
        <v>38604</v>
      </c>
      <c r="C13">
        <v>28742.13</v>
      </c>
      <c r="D13">
        <v>1</v>
      </c>
    </row>
    <row r="14" spans="1:4" x14ac:dyDescent="0.2">
      <c r="A14" t="s">
        <v>242</v>
      </c>
      <c r="B14" s="154">
        <v>38709</v>
      </c>
      <c r="C14">
        <v>10955.45</v>
      </c>
      <c r="D14">
        <v>1</v>
      </c>
    </row>
    <row r="15" spans="1:4" x14ac:dyDescent="0.2">
      <c r="A15" t="s">
        <v>243</v>
      </c>
      <c r="B15" s="154">
        <v>38580</v>
      </c>
      <c r="C15">
        <v>2321.6</v>
      </c>
      <c r="D15">
        <v>1</v>
      </c>
    </row>
    <row r="16" spans="1:4" x14ac:dyDescent="0.2">
      <c r="A16" t="s">
        <v>244</v>
      </c>
      <c r="B16" s="154">
        <v>38709</v>
      </c>
      <c r="C16">
        <v>2183.41</v>
      </c>
      <c r="D16">
        <v>1</v>
      </c>
    </row>
    <row r="17" spans="1:4" x14ac:dyDescent="0.2">
      <c r="A17" t="s">
        <v>245</v>
      </c>
      <c r="B17" s="154">
        <v>38663</v>
      </c>
      <c r="C17">
        <v>14154.09</v>
      </c>
      <c r="D17">
        <v>1</v>
      </c>
    </row>
    <row r="18" spans="1:4" x14ac:dyDescent="0.2">
      <c r="A18" t="s">
        <v>246</v>
      </c>
      <c r="B18" s="154">
        <v>38663</v>
      </c>
      <c r="C18">
        <v>43569.17</v>
      </c>
      <c r="D18">
        <v>1</v>
      </c>
    </row>
    <row r="19" spans="1:4" x14ac:dyDescent="0.2">
      <c r="A19" t="s">
        <v>247</v>
      </c>
      <c r="B19" s="154">
        <v>38715</v>
      </c>
      <c r="C19">
        <v>25723.24</v>
      </c>
      <c r="D19">
        <v>1</v>
      </c>
    </row>
    <row r="20" spans="1:4" x14ac:dyDescent="0.2">
      <c r="A20" t="s">
        <v>248</v>
      </c>
      <c r="B20" s="154">
        <v>38716</v>
      </c>
      <c r="C20">
        <v>18207.32</v>
      </c>
      <c r="D20">
        <v>1</v>
      </c>
    </row>
    <row r="21" spans="1:4" x14ac:dyDescent="0.2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4">
        <v>38716</v>
      </c>
      <c r="C22">
        <v>23744.76</v>
      </c>
      <c r="D22">
        <v>1</v>
      </c>
    </row>
    <row r="23" spans="1:4" x14ac:dyDescent="0.2">
      <c r="A23" t="s">
        <v>251</v>
      </c>
      <c r="B23" s="154">
        <v>38715</v>
      </c>
      <c r="C23">
        <v>24993.42</v>
      </c>
      <c r="D23">
        <v>1</v>
      </c>
    </row>
    <row r="24" spans="1:4" x14ac:dyDescent="0.2">
      <c r="A24" t="s">
        <v>252</v>
      </c>
      <c r="B24" s="154">
        <v>38716</v>
      </c>
      <c r="C24">
        <v>2895.12</v>
      </c>
      <c r="D24">
        <v>1</v>
      </c>
    </row>
    <row r="25" spans="1:4" x14ac:dyDescent="0.2">
      <c r="A25" t="s">
        <v>253</v>
      </c>
      <c r="B25" s="154">
        <v>38699</v>
      </c>
      <c r="C25">
        <v>28328.49</v>
      </c>
      <c r="D25">
        <v>1</v>
      </c>
    </row>
    <row r="26" spans="1:4" x14ac:dyDescent="0.2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4">
        <v>38709</v>
      </c>
      <c r="C27">
        <v>1445.21</v>
      </c>
      <c r="D27">
        <v>1</v>
      </c>
    </row>
    <row r="28" spans="1:4" x14ac:dyDescent="0.2">
      <c r="A28" t="s">
        <v>256</v>
      </c>
      <c r="B28" s="154">
        <v>38673</v>
      </c>
      <c r="C28">
        <v>110.01</v>
      </c>
      <c r="D28">
        <v>1</v>
      </c>
    </row>
    <row r="29" spans="1:4" x14ac:dyDescent="0.2">
      <c r="A29" t="s">
        <v>257</v>
      </c>
      <c r="B29" s="154">
        <v>38709</v>
      </c>
      <c r="C29">
        <v>34691.21</v>
      </c>
      <c r="D29">
        <v>1</v>
      </c>
    </row>
    <row r="30" spans="1:4" x14ac:dyDescent="0.2">
      <c r="A30" t="s">
        <v>258</v>
      </c>
      <c r="B30" s="154">
        <v>38716</v>
      </c>
      <c r="C30">
        <v>14859.1</v>
      </c>
      <c r="D30">
        <v>1</v>
      </c>
    </row>
    <row r="31" spans="1:4" x14ac:dyDescent="0.2">
      <c r="A31" t="s">
        <v>259</v>
      </c>
      <c r="B31" s="154">
        <v>38708</v>
      </c>
      <c r="C31">
        <v>1357.01</v>
      </c>
      <c r="D31">
        <v>1</v>
      </c>
    </row>
    <row r="32" spans="1:4" x14ac:dyDescent="0.2">
      <c r="A32" t="s">
        <v>260</v>
      </c>
      <c r="B32" s="154">
        <v>38713</v>
      </c>
      <c r="C32">
        <v>17869.22</v>
      </c>
      <c r="D32">
        <v>1</v>
      </c>
    </row>
    <row r="33" spans="1:4" x14ac:dyDescent="0.2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4">
        <v>38713</v>
      </c>
      <c r="C35">
        <v>14630.23</v>
      </c>
      <c r="D35">
        <v>1</v>
      </c>
    </row>
    <row r="36" spans="1:4" x14ac:dyDescent="0.2">
      <c r="A36" t="s">
        <v>264</v>
      </c>
      <c r="B36" s="154">
        <v>38713</v>
      </c>
      <c r="C36">
        <v>1547.81</v>
      </c>
      <c r="D36">
        <v>1</v>
      </c>
    </row>
    <row r="37" spans="1:4" x14ac:dyDescent="0.2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4">
        <v>38713</v>
      </c>
      <c r="C38">
        <v>1846.94</v>
      </c>
      <c r="D38">
        <v>1</v>
      </c>
    </row>
    <row r="39" spans="1:4" x14ac:dyDescent="0.2">
      <c r="A39" t="s">
        <v>267</v>
      </c>
      <c r="B39" s="154">
        <v>38709</v>
      </c>
      <c r="C39">
        <v>9758.19</v>
      </c>
      <c r="D39">
        <v>1</v>
      </c>
    </row>
    <row r="40" spans="1:4" x14ac:dyDescent="0.2">
      <c r="A40" t="s">
        <v>268</v>
      </c>
      <c r="B40" s="154">
        <v>38580</v>
      </c>
      <c r="C40">
        <v>673.25</v>
      </c>
      <c r="D40">
        <v>1</v>
      </c>
    </row>
    <row r="41" spans="1:4" x14ac:dyDescent="0.2">
      <c r="A41" t="s">
        <v>269</v>
      </c>
      <c r="B41" s="154">
        <v>38709</v>
      </c>
      <c r="C41">
        <v>196.52</v>
      </c>
      <c r="D41">
        <v>1</v>
      </c>
    </row>
    <row r="42" spans="1:4" x14ac:dyDescent="0.2">
      <c r="A42" t="s">
        <v>91</v>
      </c>
      <c r="B42" s="154">
        <v>41849</v>
      </c>
      <c r="C42">
        <v>22461.45680964</v>
      </c>
      <c r="D42">
        <v>1</v>
      </c>
    </row>
    <row r="43" spans="1:4" x14ac:dyDescent="0.2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4">
        <v>42524</v>
      </c>
      <c r="C45">
        <v>10562.33998273</v>
      </c>
      <c r="D45">
        <v>1</v>
      </c>
    </row>
    <row r="46" spans="1:4" x14ac:dyDescent="0.2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4">
        <v>37515</v>
      </c>
      <c r="C50">
        <v>3456.48</v>
      </c>
      <c r="D50">
        <v>1</v>
      </c>
    </row>
    <row r="51" spans="1:4" x14ac:dyDescent="0.2">
      <c r="A51" t="s">
        <v>276</v>
      </c>
      <c r="B51" s="154">
        <v>39629</v>
      </c>
      <c r="C51">
        <v>51541.23</v>
      </c>
      <c r="D51">
        <v>1</v>
      </c>
    </row>
    <row r="52" spans="1:4" x14ac:dyDescent="0.2">
      <c r="A52" t="s">
        <v>277</v>
      </c>
      <c r="B52" s="154">
        <v>37970</v>
      </c>
      <c r="C52">
        <v>1201.19</v>
      </c>
      <c r="D52">
        <v>1</v>
      </c>
    </row>
    <row r="53" spans="1:4" x14ac:dyDescent="0.2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4">
        <v>39590</v>
      </c>
      <c r="C54">
        <v>12608.67</v>
      </c>
      <c r="D54">
        <v>1</v>
      </c>
    </row>
    <row r="55" spans="1:4" x14ac:dyDescent="0.2">
      <c r="A55" t="s">
        <v>278</v>
      </c>
      <c r="B55" s="154">
        <v>38009</v>
      </c>
      <c r="C55">
        <v>999.63</v>
      </c>
      <c r="D55">
        <v>1</v>
      </c>
    </row>
    <row r="56" spans="1:4" x14ac:dyDescent="0.2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4">
        <v>39604</v>
      </c>
      <c r="C57">
        <v>61121.71</v>
      </c>
      <c r="D57">
        <v>1</v>
      </c>
    </row>
    <row r="58" spans="1:4" x14ac:dyDescent="0.2">
      <c r="A58" t="s">
        <v>281</v>
      </c>
      <c r="B58" s="154">
        <v>39590</v>
      </c>
      <c r="C58">
        <v>50553.22</v>
      </c>
      <c r="D58">
        <v>1</v>
      </c>
    </row>
    <row r="59" spans="1:4" x14ac:dyDescent="0.2">
      <c r="A59" t="s">
        <v>56</v>
      </c>
      <c r="B59" s="154">
        <v>42312</v>
      </c>
      <c r="C59">
        <v>49081.0138716</v>
      </c>
      <c r="D59">
        <v>1</v>
      </c>
    </row>
    <row r="60" spans="1:4" x14ac:dyDescent="0.2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4">
        <v>40662</v>
      </c>
      <c r="C64">
        <v>4825.42</v>
      </c>
      <c r="D64">
        <v>1</v>
      </c>
    </row>
    <row r="65" spans="1:4" x14ac:dyDescent="0.2">
      <c r="A65" t="s">
        <v>61</v>
      </c>
      <c r="B65" s="154">
        <v>39590</v>
      </c>
      <c r="C65">
        <v>77308.45</v>
      </c>
      <c r="D65">
        <v>1</v>
      </c>
    </row>
    <row r="66" spans="1:4" x14ac:dyDescent="0.2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4">
        <v>42118</v>
      </c>
      <c r="C67">
        <v>17911.36431723</v>
      </c>
      <c r="D67">
        <v>1</v>
      </c>
    </row>
    <row r="68" spans="1:4" x14ac:dyDescent="0.2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4">
        <v>38723</v>
      </c>
      <c r="C70">
        <v>641.64</v>
      </c>
      <c r="D70">
        <v>1</v>
      </c>
    </row>
    <row r="71" spans="1:4" x14ac:dyDescent="0.2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4">
        <v>39400</v>
      </c>
      <c r="C72">
        <v>2186.16</v>
      </c>
      <c r="D72">
        <v>1</v>
      </c>
    </row>
    <row r="73" spans="1:4" x14ac:dyDescent="0.2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4">
        <v>40926</v>
      </c>
      <c r="C79">
        <v>1131.78</v>
      </c>
      <c r="D79">
        <v>1</v>
      </c>
    </row>
    <row r="80" spans="1:4" x14ac:dyDescent="0.2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4">
        <v>42305</v>
      </c>
      <c r="C81">
        <v>597.8558587</v>
      </c>
      <c r="D81">
        <v>1</v>
      </c>
    </row>
    <row r="82" spans="1:4" x14ac:dyDescent="0.2">
      <c r="A82" t="s">
        <v>291</v>
      </c>
      <c r="B82" s="154">
        <v>42032</v>
      </c>
      <c r="C82">
        <v>695.5143372</v>
      </c>
      <c r="D82">
        <v>1</v>
      </c>
    </row>
    <row r="83" spans="1:4" x14ac:dyDescent="0.2">
      <c r="A83" t="s">
        <v>292</v>
      </c>
      <c r="B83" s="154">
        <v>41411</v>
      </c>
      <c r="C83">
        <v>2240.63</v>
      </c>
      <c r="D83">
        <v>1</v>
      </c>
    </row>
    <row r="84" spans="1:4" x14ac:dyDescent="0.2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4">
        <v>39590</v>
      </c>
      <c r="C85">
        <v>42495.61</v>
      </c>
      <c r="D85">
        <v>1</v>
      </c>
    </row>
    <row r="86" spans="1:4" x14ac:dyDescent="0.2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4">
        <v>42544</v>
      </c>
      <c r="C89">
        <v>177.14090324</v>
      </c>
      <c r="D89">
        <v>1</v>
      </c>
    </row>
    <row r="90" spans="1:4" x14ac:dyDescent="0.2">
      <c r="A90" t="s">
        <v>298</v>
      </c>
      <c r="B90" s="154">
        <v>39226</v>
      </c>
      <c r="C90">
        <v>30904.43</v>
      </c>
      <c r="D90">
        <v>1</v>
      </c>
    </row>
    <row r="91" spans="1:4" x14ac:dyDescent="0.2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4">
        <v>41800</v>
      </c>
      <c r="C92">
        <v>210.35973263</v>
      </c>
      <c r="D92">
        <v>1</v>
      </c>
    </row>
    <row r="93" spans="1:4" x14ac:dyDescent="0.2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4">
        <v>42122</v>
      </c>
      <c r="C94">
        <v>10348.20134439</v>
      </c>
      <c r="D94">
        <v>1</v>
      </c>
    </row>
    <row r="95" spans="1:4" x14ac:dyDescent="0.2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4">
        <v>38840</v>
      </c>
      <c r="C106">
        <v>2905.13</v>
      </c>
      <c r="D106">
        <v>1</v>
      </c>
    </row>
    <row r="107" spans="1:4" x14ac:dyDescent="0.2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4">
        <v>39590</v>
      </c>
      <c r="C116">
        <v>42763.39</v>
      </c>
      <c r="D116">
        <v>1</v>
      </c>
    </row>
    <row r="117" spans="1:4" x14ac:dyDescent="0.2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4">
        <v>39209</v>
      </c>
      <c r="C136">
        <v>910.48</v>
      </c>
      <c r="D136">
        <v>1</v>
      </c>
    </row>
    <row r="137" spans="1:4" x14ac:dyDescent="0.2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4">
        <v>41492</v>
      </c>
      <c r="C140">
        <v>4293.55</v>
      </c>
      <c r="D140">
        <v>1</v>
      </c>
    </row>
    <row r="141" spans="1:4" x14ac:dyDescent="0.2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4">
        <v>41065</v>
      </c>
      <c r="C149">
        <v>1120.92</v>
      </c>
      <c r="D149">
        <v>1</v>
      </c>
    </row>
    <row r="150" spans="1:4" x14ac:dyDescent="0.2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4">
        <v>42520</v>
      </c>
      <c r="C155">
        <v>13679.58</v>
      </c>
      <c r="D155">
        <v>1</v>
      </c>
    </row>
    <row r="156" spans="1:4" x14ac:dyDescent="0.2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4">
        <v>41904</v>
      </c>
      <c r="C157">
        <v>4959.92</v>
      </c>
      <c r="D157">
        <v>1</v>
      </c>
    </row>
    <row r="158" spans="1:4" x14ac:dyDescent="0.2">
      <c r="A158" t="s">
        <v>350</v>
      </c>
      <c r="B158" s="154">
        <v>41904</v>
      </c>
      <c r="C158">
        <v>5684.71</v>
      </c>
      <c r="D158">
        <v>1</v>
      </c>
    </row>
    <row r="159" spans="1:4" x14ac:dyDescent="0.2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4">
        <v>41904</v>
      </c>
      <c r="C160">
        <v>4598.12</v>
      </c>
      <c r="D160">
        <v>1</v>
      </c>
    </row>
    <row r="161" spans="1:4" x14ac:dyDescent="0.2">
      <c r="A161" t="s">
        <v>353</v>
      </c>
      <c r="B161" s="154">
        <v>42146</v>
      </c>
      <c r="C161">
        <v>12996.36</v>
      </c>
      <c r="D161">
        <v>1</v>
      </c>
    </row>
    <row r="162" spans="1:4" x14ac:dyDescent="0.2">
      <c r="A162" t="s">
        <v>354</v>
      </c>
      <c r="B162" s="154">
        <v>41964</v>
      </c>
      <c r="C162">
        <v>7319.54</v>
      </c>
      <c r="D162">
        <v>1</v>
      </c>
    </row>
    <row r="163" spans="1:4" x14ac:dyDescent="0.2">
      <c r="A163" t="s">
        <v>355</v>
      </c>
      <c r="B163" s="154">
        <v>42193</v>
      </c>
      <c r="C163">
        <v>9363.98</v>
      </c>
      <c r="D163">
        <v>1</v>
      </c>
    </row>
    <row r="164" spans="1:4" x14ac:dyDescent="0.2">
      <c r="A164" t="s">
        <v>356</v>
      </c>
      <c r="B164" s="154">
        <v>41948</v>
      </c>
      <c r="C164">
        <v>15682.48</v>
      </c>
      <c r="D164">
        <v>1</v>
      </c>
    </row>
    <row r="165" spans="1:4" x14ac:dyDescent="0.2">
      <c r="A165" t="s">
        <v>357</v>
      </c>
      <c r="B165" s="154">
        <v>42520</v>
      </c>
      <c r="C165">
        <v>31469.57</v>
      </c>
      <c r="D165">
        <v>1</v>
      </c>
    </row>
    <row r="166" spans="1:4" x14ac:dyDescent="0.2">
      <c r="A166" t="s">
        <v>358</v>
      </c>
      <c r="B166" s="154">
        <v>42038</v>
      </c>
      <c r="C166">
        <v>14969.07</v>
      </c>
      <c r="D166">
        <v>1</v>
      </c>
    </row>
    <row r="167" spans="1:4" x14ac:dyDescent="0.2">
      <c r="A167" t="s">
        <v>359</v>
      </c>
      <c r="B167" s="154">
        <v>42460</v>
      </c>
      <c r="C167">
        <v>25683.33</v>
      </c>
      <c r="D167">
        <v>1</v>
      </c>
    </row>
    <row r="168" spans="1:4" x14ac:dyDescent="0.2">
      <c r="A168" t="s">
        <v>360</v>
      </c>
      <c r="B168" s="154">
        <v>42312</v>
      </c>
      <c r="C168">
        <v>46535.96</v>
      </c>
      <c r="D168">
        <v>1</v>
      </c>
    </row>
    <row r="169" spans="1:4" x14ac:dyDescent="0.2">
      <c r="A169" t="s">
        <v>361</v>
      </c>
      <c r="B169" s="154">
        <v>42521</v>
      </c>
      <c r="C169">
        <v>12168.93</v>
      </c>
      <c r="D169">
        <v>1</v>
      </c>
    </row>
    <row r="170" spans="1:4" x14ac:dyDescent="0.2">
      <c r="A170" t="s">
        <v>362</v>
      </c>
      <c r="B170" s="154">
        <v>42117</v>
      </c>
      <c r="C170">
        <v>27409.74</v>
      </c>
      <c r="D170">
        <v>1</v>
      </c>
    </row>
    <row r="171" spans="1:4" x14ac:dyDescent="0.2">
      <c r="A171" t="s">
        <v>363</v>
      </c>
      <c r="B171" s="154">
        <v>42030</v>
      </c>
      <c r="C171">
        <v>36618.99</v>
      </c>
      <c r="D171">
        <v>1</v>
      </c>
    </row>
    <row r="172" spans="1:4" x14ac:dyDescent="0.2">
      <c r="A172" t="s">
        <v>364</v>
      </c>
      <c r="B172" s="154">
        <v>42464</v>
      </c>
      <c r="C172">
        <v>28528.71</v>
      </c>
      <c r="D172">
        <v>1</v>
      </c>
    </row>
    <row r="173" spans="1:4" x14ac:dyDescent="0.2">
      <c r="A173" t="s">
        <v>365</v>
      </c>
      <c r="B173" s="154">
        <v>42104</v>
      </c>
      <c r="C173">
        <v>15204.51</v>
      </c>
      <c r="D173">
        <v>1</v>
      </c>
    </row>
    <row r="174" spans="1:4" x14ac:dyDescent="0.2">
      <c r="A174" t="s">
        <v>366</v>
      </c>
      <c r="B174" s="154">
        <v>42521</v>
      </c>
      <c r="C174">
        <v>69210.02</v>
      </c>
      <c r="D174">
        <v>1</v>
      </c>
    </row>
    <row r="175" spans="1:4" x14ac:dyDescent="0.2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4">
        <v>42066</v>
      </c>
      <c r="C176">
        <v>7949.83</v>
      </c>
      <c r="D176">
        <v>1</v>
      </c>
    </row>
    <row r="177" spans="1:4" x14ac:dyDescent="0.2">
      <c r="A177" t="s">
        <v>369</v>
      </c>
      <c r="B177" s="154">
        <v>42122</v>
      </c>
      <c r="C177">
        <v>15553.66</v>
      </c>
      <c r="D177">
        <v>1</v>
      </c>
    </row>
    <row r="178" spans="1:4" x14ac:dyDescent="0.2">
      <c r="A178" t="s">
        <v>370</v>
      </c>
      <c r="B178" s="154">
        <v>42117</v>
      </c>
      <c r="C178">
        <v>11507.83</v>
      </c>
      <c r="D178">
        <v>1</v>
      </c>
    </row>
    <row r="179" spans="1:4" x14ac:dyDescent="0.2">
      <c r="A179" t="s">
        <v>371</v>
      </c>
      <c r="B179" s="154">
        <v>42479</v>
      </c>
      <c r="C179">
        <v>14993.59</v>
      </c>
      <c r="D179">
        <v>1</v>
      </c>
    </row>
    <row r="180" spans="1:4" x14ac:dyDescent="0.2">
      <c r="A180" t="s">
        <v>372</v>
      </c>
      <c r="B180" s="154">
        <v>42104</v>
      </c>
      <c r="C180">
        <v>14152.32</v>
      </c>
      <c r="D180">
        <v>1</v>
      </c>
    </row>
    <row r="181" spans="1:4" x14ac:dyDescent="0.2">
      <c r="A181" t="s">
        <v>373</v>
      </c>
      <c r="B181" s="154">
        <v>42374</v>
      </c>
      <c r="C181">
        <v>13453.03</v>
      </c>
      <c r="D181">
        <v>1</v>
      </c>
    </row>
    <row r="182" spans="1:4" x14ac:dyDescent="0.2">
      <c r="A182" t="s">
        <v>374</v>
      </c>
      <c r="B182" s="154">
        <v>42303</v>
      </c>
      <c r="C182">
        <v>7915.02</v>
      </c>
      <c r="D182">
        <v>1</v>
      </c>
    </row>
    <row r="183" spans="1:4" x14ac:dyDescent="0.2">
      <c r="A183" t="s">
        <v>375</v>
      </c>
      <c r="B183" s="154">
        <v>42310</v>
      </c>
      <c r="C183">
        <v>11222.21</v>
      </c>
      <c r="D183">
        <v>1</v>
      </c>
    </row>
    <row r="184" spans="1:4" x14ac:dyDescent="0.2">
      <c r="A184" t="s">
        <v>376</v>
      </c>
      <c r="B184" s="154">
        <v>42520</v>
      </c>
      <c r="C184">
        <v>11861.15</v>
      </c>
      <c r="D184">
        <v>1</v>
      </c>
    </row>
    <row r="185" spans="1:4" x14ac:dyDescent="0.2">
      <c r="A185" t="s">
        <v>377</v>
      </c>
      <c r="B185" s="154">
        <v>42222</v>
      </c>
      <c r="C185">
        <v>28083.96</v>
      </c>
      <c r="D185">
        <v>1</v>
      </c>
    </row>
    <row r="186" spans="1:4" x14ac:dyDescent="0.2">
      <c r="A186" t="s">
        <v>378</v>
      </c>
      <c r="B186" s="154">
        <v>41947</v>
      </c>
      <c r="C186">
        <v>7127.6</v>
      </c>
      <c r="D186">
        <v>1</v>
      </c>
    </row>
    <row r="187" spans="1:4" x14ac:dyDescent="0.2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4">
        <v>41904</v>
      </c>
      <c r="C188">
        <v>5480.24</v>
      </c>
      <c r="D188">
        <v>1</v>
      </c>
    </row>
    <row r="189" spans="1:4" x14ac:dyDescent="0.2">
      <c r="A189" t="s">
        <v>381</v>
      </c>
      <c r="B189" s="154">
        <v>42054</v>
      </c>
      <c r="C189">
        <v>10874.67</v>
      </c>
      <c r="D189">
        <v>1</v>
      </c>
    </row>
    <row r="190" spans="1:4" x14ac:dyDescent="0.2">
      <c r="A190" t="s">
        <v>382</v>
      </c>
      <c r="B190" s="154">
        <v>42520</v>
      </c>
      <c r="C190">
        <v>26408.99</v>
      </c>
      <c r="D190">
        <v>1</v>
      </c>
    </row>
    <row r="191" spans="1:4" x14ac:dyDescent="0.2">
      <c r="A191" t="s">
        <v>383</v>
      </c>
      <c r="B191" s="154">
        <v>42069</v>
      </c>
      <c r="C191">
        <v>31823.85</v>
      </c>
      <c r="D191">
        <v>1</v>
      </c>
    </row>
    <row r="192" spans="1:4" x14ac:dyDescent="0.2">
      <c r="A192" t="s">
        <v>384</v>
      </c>
      <c r="B192" s="154">
        <v>42528</v>
      </c>
      <c r="C192">
        <v>32092.58</v>
      </c>
      <c r="D192">
        <v>1</v>
      </c>
    </row>
    <row r="193" spans="1:4" x14ac:dyDescent="0.2">
      <c r="A193" t="s">
        <v>385</v>
      </c>
      <c r="B193" s="154">
        <v>42122</v>
      </c>
      <c r="C193">
        <v>13908.83</v>
      </c>
      <c r="D193">
        <v>1</v>
      </c>
    </row>
    <row r="194" spans="1:4" x14ac:dyDescent="0.2">
      <c r="A194" t="s">
        <v>386</v>
      </c>
      <c r="B194" s="154">
        <v>42117</v>
      </c>
      <c r="C194">
        <v>11227.41</v>
      </c>
      <c r="D194">
        <v>1</v>
      </c>
    </row>
    <row r="195" spans="1:4" x14ac:dyDescent="0.2">
      <c r="A195" t="s">
        <v>387</v>
      </c>
      <c r="B195" s="154">
        <v>42222</v>
      </c>
      <c r="C195">
        <v>26117.47</v>
      </c>
      <c r="D195">
        <v>1</v>
      </c>
    </row>
    <row r="196" spans="1:4" x14ac:dyDescent="0.2">
      <c r="A196" t="s">
        <v>388</v>
      </c>
      <c r="B196" s="154">
        <v>41904</v>
      </c>
      <c r="C196">
        <v>6904.09</v>
      </c>
      <c r="D196">
        <v>1</v>
      </c>
    </row>
    <row r="197" spans="1:4" x14ac:dyDescent="0.2">
      <c r="A197" t="s">
        <v>389</v>
      </c>
      <c r="B197" s="154">
        <v>42528</v>
      </c>
      <c r="C197">
        <v>20097.04</v>
      </c>
      <c r="D197">
        <v>1</v>
      </c>
    </row>
    <row r="198" spans="1:4" x14ac:dyDescent="0.2">
      <c r="A198" t="s">
        <v>390</v>
      </c>
      <c r="B198" s="154">
        <v>42118</v>
      </c>
      <c r="C198">
        <v>14632.12</v>
      </c>
      <c r="D198">
        <v>1</v>
      </c>
    </row>
    <row r="199" spans="1:4" x14ac:dyDescent="0.2">
      <c r="A199" t="s">
        <v>391</v>
      </c>
      <c r="B199" s="154">
        <v>42118</v>
      </c>
      <c r="C199">
        <v>17815.8</v>
      </c>
      <c r="D199">
        <v>1</v>
      </c>
    </row>
    <row r="200" spans="1:4" x14ac:dyDescent="0.2">
      <c r="A200" t="s">
        <v>392</v>
      </c>
      <c r="B200" s="154">
        <v>41904</v>
      </c>
      <c r="C200">
        <v>6817.36</v>
      </c>
      <c r="D200">
        <v>1</v>
      </c>
    </row>
    <row r="201" spans="1:4" x14ac:dyDescent="0.2">
      <c r="A201" t="s">
        <v>393</v>
      </c>
      <c r="B201" s="154">
        <v>42528</v>
      </c>
      <c r="C201">
        <v>18335.7</v>
      </c>
      <c r="D201">
        <v>1</v>
      </c>
    </row>
    <row r="202" spans="1:4" x14ac:dyDescent="0.2">
      <c r="A202" t="s">
        <v>394</v>
      </c>
      <c r="B202" s="154">
        <v>42117</v>
      </c>
      <c r="C202">
        <v>14678.45</v>
      </c>
      <c r="D202">
        <v>1</v>
      </c>
    </row>
    <row r="203" spans="1:4" x14ac:dyDescent="0.2">
      <c r="A203" t="s">
        <v>395</v>
      </c>
      <c r="B203" s="154">
        <v>42118</v>
      </c>
      <c r="C203">
        <v>16848.27</v>
      </c>
      <c r="D203">
        <v>1</v>
      </c>
    </row>
    <row r="204" spans="1:4" x14ac:dyDescent="0.2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4">
        <v>37469</v>
      </c>
      <c r="C205">
        <v>394.88</v>
      </c>
      <c r="D205">
        <v>1</v>
      </c>
    </row>
    <row r="206" spans="1:4" x14ac:dyDescent="0.2">
      <c r="A206" t="s">
        <v>398</v>
      </c>
      <c r="B206" s="154">
        <v>37469</v>
      </c>
      <c r="C206">
        <v>394.88</v>
      </c>
      <c r="D206">
        <v>1</v>
      </c>
    </row>
    <row r="207" spans="1:4" x14ac:dyDescent="0.2">
      <c r="A207" t="s">
        <v>399</v>
      </c>
      <c r="B207" s="154">
        <v>38665</v>
      </c>
      <c r="C207">
        <v>225.62</v>
      </c>
      <c r="D207">
        <v>1</v>
      </c>
    </row>
    <row r="208" spans="1:4" x14ac:dyDescent="0.2">
      <c r="A208" t="s">
        <v>400</v>
      </c>
      <c r="B208" s="154">
        <v>38665</v>
      </c>
      <c r="C208">
        <v>225.62</v>
      </c>
      <c r="D208">
        <v>1</v>
      </c>
    </row>
    <row r="209" spans="1:4" x14ac:dyDescent="0.2">
      <c r="A209" t="s">
        <v>401</v>
      </c>
      <c r="B209" s="154">
        <v>38624</v>
      </c>
      <c r="C209">
        <v>173.45</v>
      </c>
      <c r="D209">
        <v>1</v>
      </c>
    </row>
    <row r="210" spans="1:4" x14ac:dyDescent="0.2">
      <c r="A210" t="s">
        <v>402</v>
      </c>
      <c r="B210" s="154">
        <v>38624</v>
      </c>
      <c r="C210">
        <v>173.45</v>
      </c>
      <c r="D210">
        <v>1</v>
      </c>
    </row>
    <row r="211" spans="1:4" x14ac:dyDescent="0.2">
      <c r="A211" t="s">
        <v>403</v>
      </c>
      <c r="B211" s="154">
        <v>38027</v>
      </c>
      <c r="C211">
        <v>108.65</v>
      </c>
      <c r="D211">
        <v>1</v>
      </c>
    </row>
    <row r="212" spans="1:4" x14ac:dyDescent="0.2">
      <c r="A212" t="s">
        <v>404</v>
      </c>
      <c r="B212" s="154">
        <v>37757</v>
      </c>
      <c r="C212">
        <v>125</v>
      </c>
      <c r="D212">
        <v>1</v>
      </c>
    </row>
    <row r="213" spans="1:4" x14ac:dyDescent="0.2">
      <c r="A213" t="s">
        <v>405</v>
      </c>
      <c r="B213" s="154">
        <v>38006</v>
      </c>
      <c r="C213">
        <v>106.83</v>
      </c>
      <c r="D213">
        <v>1</v>
      </c>
    </row>
    <row r="214" spans="1:4" x14ac:dyDescent="0.2">
      <c r="A214" t="s">
        <v>406</v>
      </c>
      <c r="B214" s="154">
        <v>38715</v>
      </c>
      <c r="C214">
        <v>508.88</v>
      </c>
      <c r="D214">
        <v>1</v>
      </c>
    </row>
    <row r="215" spans="1:4" x14ac:dyDescent="0.2">
      <c r="A215" t="s">
        <v>407</v>
      </c>
      <c r="B215" s="154">
        <v>38715</v>
      </c>
      <c r="C215">
        <v>510.55</v>
      </c>
      <c r="D215">
        <v>1</v>
      </c>
    </row>
    <row r="216" spans="1:4" x14ac:dyDescent="0.2">
      <c r="A216" t="s">
        <v>408</v>
      </c>
      <c r="B216" s="154">
        <v>38260</v>
      </c>
      <c r="C216">
        <v>730.16</v>
      </c>
      <c r="D216">
        <v>1</v>
      </c>
    </row>
    <row r="217" spans="1:4" x14ac:dyDescent="0.2">
      <c r="A217" t="s">
        <v>409</v>
      </c>
      <c r="B217" s="154">
        <v>38716</v>
      </c>
      <c r="C217">
        <v>250.34</v>
      </c>
      <c r="D217">
        <v>1</v>
      </c>
    </row>
    <row r="218" spans="1:4" x14ac:dyDescent="0.2">
      <c r="A218" t="s">
        <v>410</v>
      </c>
      <c r="B218" s="154">
        <v>38716</v>
      </c>
      <c r="C218">
        <v>250.34</v>
      </c>
      <c r="D218">
        <v>1</v>
      </c>
    </row>
    <row r="219" spans="1:4" x14ac:dyDescent="0.2">
      <c r="A219" t="s">
        <v>411</v>
      </c>
      <c r="B219" s="154">
        <v>38713</v>
      </c>
      <c r="C219">
        <v>185.77</v>
      </c>
      <c r="D219">
        <v>1</v>
      </c>
    </row>
    <row r="220" spans="1:4" x14ac:dyDescent="0.2">
      <c r="A220" t="s">
        <v>412</v>
      </c>
      <c r="B220" s="154">
        <v>38713</v>
      </c>
      <c r="C220">
        <v>232.72</v>
      </c>
      <c r="D220">
        <v>1</v>
      </c>
    </row>
    <row r="221" spans="1:4" x14ac:dyDescent="0.2">
      <c r="A221" t="s">
        <v>413</v>
      </c>
      <c r="B221" s="154">
        <v>38713</v>
      </c>
      <c r="C221">
        <v>137.76</v>
      </c>
      <c r="D221">
        <v>1</v>
      </c>
    </row>
    <row r="222" spans="1:4" x14ac:dyDescent="0.2">
      <c r="A222" t="s">
        <v>414</v>
      </c>
      <c r="B222" s="154">
        <v>38713</v>
      </c>
      <c r="C222">
        <v>141.75</v>
      </c>
      <c r="D222">
        <v>1</v>
      </c>
    </row>
    <row r="223" spans="1:4" x14ac:dyDescent="0.2">
      <c r="A223" t="s">
        <v>415</v>
      </c>
      <c r="B223" s="154">
        <v>38370</v>
      </c>
      <c r="C223">
        <v>242.71</v>
      </c>
      <c r="D223">
        <v>1</v>
      </c>
    </row>
    <row r="224" spans="1:4" x14ac:dyDescent="0.2">
      <c r="A224" t="s">
        <v>416</v>
      </c>
      <c r="B224" s="154">
        <v>38706</v>
      </c>
      <c r="C224">
        <v>128.63</v>
      </c>
      <c r="D224">
        <v>1</v>
      </c>
    </row>
    <row r="225" spans="1:4" x14ac:dyDescent="0.2">
      <c r="A225" t="s">
        <v>417</v>
      </c>
      <c r="B225" s="154">
        <v>38705</v>
      </c>
      <c r="C225">
        <v>217.85</v>
      </c>
      <c r="D225">
        <v>1</v>
      </c>
    </row>
    <row r="226" spans="1:4" x14ac:dyDescent="0.2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4">
        <v>40577</v>
      </c>
      <c r="C229">
        <v>493.46</v>
      </c>
      <c r="D229">
        <v>1</v>
      </c>
    </row>
    <row r="230" spans="1:4" x14ac:dyDescent="0.2">
      <c r="A230" t="s">
        <v>422</v>
      </c>
      <c r="B230" s="154">
        <v>39618</v>
      </c>
      <c r="C230">
        <v>303</v>
      </c>
      <c r="D230">
        <v>1</v>
      </c>
    </row>
    <row r="231" spans="1:4" x14ac:dyDescent="0.2">
      <c r="A231" t="s">
        <v>423</v>
      </c>
      <c r="B231" s="154">
        <v>39394</v>
      </c>
      <c r="C231">
        <v>363.69</v>
      </c>
      <c r="D231">
        <v>1</v>
      </c>
    </row>
    <row r="232" spans="1:4" x14ac:dyDescent="0.2">
      <c r="A232" t="s">
        <v>424</v>
      </c>
      <c r="B232" s="154">
        <v>40478</v>
      </c>
      <c r="C232">
        <v>148.34</v>
      </c>
      <c r="D232">
        <v>1</v>
      </c>
    </row>
    <row r="233" spans="1:4" x14ac:dyDescent="0.2">
      <c r="A233" t="s">
        <v>425</v>
      </c>
      <c r="B233" s="154">
        <v>42541</v>
      </c>
      <c r="C233">
        <v>1042.5</v>
      </c>
      <c r="D233">
        <v>1</v>
      </c>
    </row>
    <row r="234" spans="1:4" x14ac:dyDescent="0.2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4">
        <v>39618</v>
      </c>
      <c r="C236">
        <v>562.29</v>
      </c>
      <c r="D236">
        <v>1</v>
      </c>
    </row>
    <row r="237" spans="1:4" x14ac:dyDescent="0.2">
      <c r="A237" t="s">
        <v>429</v>
      </c>
      <c r="B237" s="154">
        <v>39394</v>
      </c>
      <c r="C237">
        <v>363.69</v>
      </c>
      <c r="D237">
        <v>1</v>
      </c>
    </row>
    <row r="238" spans="1:4" x14ac:dyDescent="0.2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4">
        <v>41277</v>
      </c>
      <c r="C239">
        <v>2807.39</v>
      </c>
      <c r="D239">
        <v>1</v>
      </c>
    </row>
    <row r="240" spans="1:4" x14ac:dyDescent="0.2">
      <c r="A240" t="s">
        <v>432</v>
      </c>
      <c r="B240" s="154">
        <v>41283</v>
      </c>
      <c r="C240">
        <v>2316.58</v>
      </c>
      <c r="D240">
        <v>1</v>
      </c>
    </row>
    <row r="241" spans="1:4" x14ac:dyDescent="0.2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4">
        <v>41281</v>
      </c>
      <c r="C242">
        <v>3365.22</v>
      </c>
      <c r="D242">
        <v>1</v>
      </c>
    </row>
    <row r="243" spans="1:4" x14ac:dyDescent="0.2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4">
        <v>41444</v>
      </c>
      <c r="C247">
        <v>1386.8</v>
      </c>
      <c r="D247">
        <v>1</v>
      </c>
    </row>
    <row r="248" spans="1:4" x14ac:dyDescent="0.2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4">
        <v>39604</v>
      </c>
      <c r="C249">
        <v>233.37</v>
      </c>
      <c r="D249">
        <v>1</v>
      </c>
    </row>
    <row r="250" spans="1:4" x14ac:dyDescent="0.2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2017-07-14T07:00:00+00:00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Props1.xml><?xml version="1.0" encoding="utf-8"?>
<ds:datastoreItem xmlns:ds="http://schemas.openxmlformats.org/officeDocument/2006/customXml" ds:itemID="{8602E086-95F8-4243-BFFD-2E31F586C60F}"/>
</file>

<file path=customXml/itemProps2.xml><?xml version="1.0" encoding="utf-8"?>
<ds:datastoreItem xmlns:ds="http://schemas.openxmlformats.org/officeDocument/2006/customXml" ds:itemID="{B1B686B3-1329-4415-A6EB-B68573463BA7}"/>
</file>

<file path=customXml/itemProps3.xml><?xml version="1.0" encoding="utf-8"?>
<ds:datastoreItem xmlns:ds="http://schemas.openxmlformats.org/officeDocument/2006/customXml" ds:itemID="{660C54F4-B7C9-4F19-972C-E732F01241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20170630</dc:title>
  <dc:creator>rapelangm</dc:creator>
  <cp:lastModifiedBy>Julia Maluleka</cp:lastModifiedBy>
  <cp:lastPrinted>2017-07-13T07:54:09Z</cp:lastPrinted>
  <dcterms:created xsi:type="dcterms:W3CDTF">2009-10-22T12:59:48Z</dcterms:created>
  <dcterms:modified xsi:type="dcterms:W3CDTF">2017-07-13T08:09:28Z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