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liaM\Desktop\August Market Profille\"/>
    </mc:Choice>
  </mc:AlternateContent>
  <bookViews>
    <workbookView xWindow="-4290" yWindow="2025" windowWidth="21630" windowHeight="4950"/>
  </bookViews>
  <sheets>
    <sheet name="MarketProfile" sheetId="1" r:id="rId1"/>
    <sheet name="Data" sheetId="7" state="hidden" r:id="rId2"/>
    <sheet name="Sheet3" sheetId="2" state="hidden" r:id="rId3"/>
    <sheet name="Sheet4" sheetId="3" state="hidden" r:id="rId4"/>
    <sheet name="Sheet5" sheetId="5" state="hidden" r:id="rId5"/>
    <sheet name="Sheet6" sheetId="6" state="hidden" r:id="rId6"/>
    <sheet name="IRD" sheetId="8" state="hidden" r:id="rId7"/>
    <sheet name="Sheet7" sheetId="9" state="hidden" r:id="rId8"/>
  </sheets>
  <definedNames>
    <definedName name="_xlnm._FilterDatabase" localSheetId="1" hidden="1">Data!$B$23:$E$273</definedName>
    <definedName name="_xlnm._FilterDatabase" localSheetId="3" hidden="1">Sheet4!$A$11:$F$56</definedName>
  </definedNames>
  <calcPr calcId="152511"/>
</workbook>
</file>

<file path=xl/calcChain.xml><?xml version="1.0" encoding="utf-8"?>
<calcChain xmlns="http://schemas.openxmlformats.org/spreadsheetml/2006/main">
  <c r="H153" i="1" l="1"/>
  <c r="E199" i="1" l="1"/>
  <c r="D201" i="1"/>
  <c r="D200" i="1"/>
  <c r="D198" i="1"/>
  <c r="D197" i="1"/>
  <c r="C201" i="1"/>
  <c r="E201" i="1" s="1"/>
  <c r="C200" i="1"/>
  <c r="C198" i="1"/>
  <c r="E198" i="1" s="1"/>
  <c r="B198" i="1"/>
  <c r="C197" i="1"/>
  <c r="B201" i="1"/>
  <c r="B200" i="1"/>
  <c r="B197" i="1"/>
  <c r="B210" i="1"/>
  <c r="D202" i="1" l="1"/>
  <c r="E200" i="1"/>
  <c r="C202" i="1"/>
  <c r="E197" i="1"/>
  <c r="B202" i="1"/>
  <c r="A181" i="1"/>
  <c r="E202" i="1" l="1"/>
  <c r="B163" i="1"/>
  <c r="D58" i="1" l="1"/>
  <c r="D57" i="1"/>
  <c r="B58" i="1"/>
  <c r="B57" i="1"/>
  <c r="C58" i="1"/>
  <c r="C57" i="1"/>
  <c r="D50" i="1"/>
  <c r="C50" i="1"/>
  <c r="B50" i="1"/>
  <c r="D49" i="1"/>
  <c r="C49" i="1"/>
  <c r="B49" i="1"/>
  <c r="B45" i="1"/>
  <c r="C45" i="1"/>
  <c r="D45" i="1"/>
  <c r="D44" i="1"/>
  <c r="C44" i="1"/>
  <c r="B44" i="1"/>
  <c r="B40" i="1"/>
  <c r="C40" i="1"/>
  <c r="D40" i="1"/>
  <c r="D39" i="1"/>
  <c r="C39" i="1"/>
  <c r="B39" i="1"/>
  <c r="E58" i="1" l="1"/>
  <c r="E57" i="1"/>
  <c r="D221" i="1"/>
  <c r="D234" i="1"/>
  <c r="D233" i="1"/>
  <c r="D228" i="1"/>
  <c r="D227" i="1"/>
  <c r="D226" i="1"/>
  <c r="E49" i="1"/>
  <c r="D48" i="1"/>
  <c r="C48" i="1"/>
  <c r="B48" i="1"/>
  <c r="E45" i="1"/>
  <c r="D43" i="1"/>
  <c r="C43" i="1"/>
  <c r="B43" i="1"/>
  <c r="D38" i="1"/>
  <c r="C38" i="1"/>
  <c r="B38" i="1"/>
  <c r="E59" i="1" l="1"/>
  <c r="E38" i="1"/>
  <c r="E39" i="1"/>
  <c r="E43" i="1"/>
  <c r="E44" i="1"/>
  <c r="E48" i="1"/>
  <c r="E40" i="1"/>
  <c r="E50" i="1"/>
  <c r="E210" i="1" l="1"/>
  <c r="E211" i="1"/>
  <c r="D239" i="1"/>
  <c r="B239" i="1"/>
  <c r="D237" i="1"/>
  <c r="C237" i="1"/>
  <c r="B237" i="1"/>
  <c r="D223" i="1"/>
  <c r="D222" i="1"/>
  <c r="D231" i="1" s="1"/>
  <c r="D235" i="1"/>
  <c r="C234" i="1"/>
  <c r="E234" i="1" s="1"/>
  <c r="C233" i="1"/>
  <c r="E233" i="1" s="1"/>
  <c r="B233" i="1"/>
  <c r="B234" i="1"/>
  <c r="C227" i="1"/>
  <c r="E227" i="1" s="1"/>
  <c r="C226" i="1"/>
  <c r="E226" i="1" s="1"/>
  <c r="C222" i="1"/>
  <c r="C221" i="1"/>
  <c r="B227" i="1"/>
  <c r="B226" i="1"/>
  <c r="B222" i="1"/>
  <c r="B221" i="1"/>
  <c r="C235" i="1" l="1"/>
  <c r="E235" i="1" s="1"/>
  <c r="E223" i="1"/>
  <c r="D232" i="1"/>
  <c r="E221" i="1"/>
  <c r="E239" i="1"/>
  <c r="E222" i="1"/>
  <c r="C232" i="1"/>
  <c r="C231" i="1"/>
  <c r="E231" i="1" s="1"/>
  <c r="E228" i="1"/>
  <c r="B235" i="1"/>
  <c r="B231" i="1"/>
  <c r="B232" i="1"/>
  <c r="E232" i="1" l="1"/>
  <c r="D354" i="1"/>
  <c r="G507" i="1"/>
  <c r="G508" i="1"/>
  <c r="G509" i="1"/>
  <c r="G510" i="1"/>
  <c r="G511" i="1"/>
  <c r="G512" i="1"/>
  <c r="G513" i="1"/>
  <c r="G506" i="1"/>
  <c r="G498" i="1"/>
  <c r="G499" i="1"/>
  <c r="G500" i="1"/>
  <c r="G501" i="1"/>
  <c r="G502" i="1"/>
  <c r="G503" i="1"/>
  <c r="G504" i="1"/>
  <c r="G497" i="1"/>
  <c r="C466" i="1" l="1"/>
  <c r="C465" i="1"/>
  <c r="D130" i="1" l="1"/>
  <c r="D124" i="1"/>
  <c r="B130" i="1"/>
  <c r="C130" i="1" s="1"/>
  <c r="B124" i="1"/>
  <c r="C124" i="1" s="1"/>
  <c r="B165" i="1"/>
  <c r="D74" i="1"/>
  <c r="C101" i="1"/>
  <c r="D101" i="1"/>
  <c r="D138" i="1"/>
  <c r="B147" i="1"/>
  <c r="C147" i="1" s="1"/>
  <c r="B146" i="1"/>
  <c r="B145" i="1"/>
  <c r="B144" i="1"/>
  <c r="B141" i="1"/>
  <c r="C141" i="1" s="1"/>
  <c r="B140" i="1"/>
  <c r="B139" i="1"/>
  <c r="B138" i="1"/>
  <c r="D147" i="1"/>
  <c r="D146" i="1"/>
  <c r="D145" i="1"/>
  <c r="D144" i="1"/>
  <c r="D141" i="1"/>
  <c r="D140" i="1"/>
  <c r="D139" i="1"/>
  <c r="C146" i="1"/>
  <c r="C145" i="1"/>
  <c r="C144" i="1"/>
  <c r="C140" i="1"/>
  <c r="C139" i="1"/>
  <c r="C138" i="1"/>
  <c r="D129" i="1"/>
  <c r="D128" i="1"/>
  <c r="D127" i="1"/>
  <c r="D123" i="1"/>
  <c r="D122" i="1"/>
  <c r="D121" i="1"/>
  <c r="C129" i="1"/>
  <c r="C128" i="1"/>
  <c r="C127" i="1"/>
  <c r="C123" i="1"/>
  <c r="C122" i="1"/>
  <c r="C121" i="1"/>
  <c r="B129" i="1"/>
  <c r="B128" i="1"/>
  <c r="B127" i="1"/>
  <c r="B123" i="1"/>
  <c r="B122" i="1"/>
  <c r="B121" i="1"/>
  <c r="D112" i="1"/>
  <c r="D111" i="1"/>
  <c r="D110" i="1"/>
  <c r="D109" i="1"/>
  <c r="D106" i="1"/>
  <c r="D105" i="1"/>
  <c r="D104" i="1"/>
  <c r="D103" i="1"/>
  <c r="C111" i="1"/>
  <c r="C110" i="1"/>
  <c r="C109" i="1"/>
  <c r="B112" i="1"/>
  <c r="C112" i="1" s="1"/>
  <c r="B106" i="1"/>
  <c r="C106" i="1" s="1"/>
  <c r="B111" i="1"/>
  <c r="B110" i="1"/>
  <c r="B109" i="1"/>
  <c r="B105" i="1"/>
  <c r="B104" i="1"/>
  <c r="B103" i="1"/>
  <c r="C104" i="1"/>
  <c r="D75" i="1"/>
  <c r="D73" i="1"/>
  <c r="D69" i="1"/>
  <c r="D68" i="1"/>
  <c r="D67" i="1"/>
  <c r="D76" i="1"/>
  <c r="D70" i="1"/>
  <c r="C75" i="1"/>
  <c r="C74" i="1"/>
  <c r="C73" i="1"/>
  <c r="C67" i="1"/>
  <c r="C69" i="1"/>
  <c r="C68" i="1"/>
  <c r="C105" i="1"/>
  <c r="C103" i="1"/>
  <c r="H351" i="1"/>
  <c r="H431" i="1"/>
  <c r="F265" i="1"/>
  <c r="C431" i="1"/>
  <c r="C351" i="1"/>
  <c r="E431" i="1"/>
  <c r="D349" i="1"/>
  <c r="D183" i="1"/>
  <c r="B183" i="1"/>
  <c r="C153" i="1"/>
  <c r="G153" i="1"/>
  <c r="B153" i="1"/>
  <c r="B31" i="1"/>
  <c r="G466" i="1"/>
  <c r="I466" i="1" s="1"/>
  <c r="G467" i="1"/>
  <c r="G468" i="1"/>
  <c r="G469" i="1"/>
  <c r="G470" i="1"/>
  <c r="G471" i="1"/>
  <c r="G472" i="1"/>
  <c r="G465" i="1"/>
  <c r="I465" i="1" s="1"/>
  <c r="G487" i="1"/>
  <c r="G488" i="1"/>
  <c r="G489" i="1"/>
  <c r="G490" i="1"/>
  <c r="G491" i="1"/>
  <c r="G492" i="1"/>
  <c r="G493" i="1"/>
  <c r="G486" i="1"/>
  <c r="G477" i="1"/>
  <c r="G478" i="1"/>
  <c r="G479" i="1"/>
  <c r="G480" i="1"/>
  <c r="G481" i="1"/>
  <c r="G482" i="1"/>
  <c r="G483" i="1"/>
  <c r="G476" i="1"/>
  <c r="G456" i="1"/>
  <c r="G457" i="1"/>
  <c r="G458" i="1"/>
  <c r="G459" i="1"/>
  <c r="G460" i="1"/>
  <c r="G461" i="1"/>
  <c r="G462" i="1"/>
  <c r="G455" i="1"/>
  <c r="G445" i="1"/>
  <c r="G446" i="1"/>
  <c r="G447" i="1"/>
  <c r="G448" i="1"/>
  <c r="G449" i="1"/>
  <c r="G450" i="1"/>
  <c r="G451" i="1"/>
  <c r="G444" i="1"/>
  <c r="G435" i="1"/>
  <c r="G436" i="1"/>
  <c r="G437" i="1"/>
  <c r="G438" i="1"/>
  <c r="G439" i="1"/>
  <c r="G440" i="1"/>
  <c r="G441" i="1"/>
  <c r="G434" i="1"/>
  <c r="I363" i="1"/>
  <c r="I362" i="1"/>
  <c r="E103" i="1" l="1"/>
  <c r="E109" i="1"/>
  <c r="E110" i="1"/>
  <c r="E112" i="1"/>
  <c r="E104" i="1"/>
  <c r="E106" i="1"/>
  <c r="E105" i="1"/>
  <c r="E111" i="1"/>
  <c r="E124" i="1"/>
  <c r="E67" i="1"/>
  <c r="E130" i="1"/>
  <c r="E141" i="1"/>
  <c r="E129" i="1"/>
  <c r="E127" i="1"/>
  <c r="E121" i="1"/>
  <c r="E75" i="1"/>
  <c r="E122" i="1"/>
  <c r="E128" i="1"/>
  <c r="E144" i="1"/>
  <c r="E138" i="1"/>
  <c r="E68" i="1"/>
  <c r="E123" i="1"/>
  <c r="E139" i="1"/>
  <c r="E145" i="1"/>
  <c r="E73" i="1"/>
  <c r="E147" i="1"/>
  <c r="E69" i="1"/>
  <c r="E140" i="1"/>
  <c r="E146" i="1"/>
  <c r="E74" i="1"/>
  <c r="G473" i="1"/>
  <c r="G452" i="1"/>
  <c r="G442" i="1"/>
  <c r="C487" i="1"/>
  <c r="I487" i="1" s="1"/>
  <c r="C488" i="1"/>
  <c r="I488" i="1" s="1"/>
  <c r="C489" i="1"/>
  <c r="I489" i="1" s="1"/>
  <c r="C490" i="1"/>
  <c r="I490" i="1" s="1"/>
  <c r="C491" i="1"/>
  <c r="I491" i="1" s="1"/>
  <c r="C492" i="1"/>
  <c r="I492" i="1" s="1"/>
  <c r="C493" i="1"/>
  <c r="I493" i="1" s="1"/>
  <c r="C486" i="1"/>
  <c r="I486" i="1" s="1"/>
  <c r="D434" i="1"/>
  <c r="G494" i="1"/>
  <c r="G484" i="1"/>
  <c r="G463" i="1"/>
  <c r="D507" i="1"/>
  <c r="D508" i="1"/>
  <c r="D509" i="1"/>
  <c r="D510" i="1"/>
  <c r="D511" i="1"/>
  <c r="D512" i="1"/>
  <c r="D513" i="1"/>
  <c r="D506" i="1"/>
  <c r="D498" i="1"/>
  <c r="D499" i="1"/>
  <c r="D500" i="1"/>
  <c r="D501" i="1"/>
  <c r="D502" i="1"/>
  <c r="D503" i="1"/>
  <c r="D504" i="1"/>
  <c r="D497" i="1"/>
  <c r="C507" i="1"/>
  <c r="I507" i="1" s="1"/>
  <c r="C508" i="1"/>
  <c r="I508" i="1" s="1"/>
  <c r="C509" i="1"/>
  <c r="I509" i="1" s="1"/>
  <c r="C510" i="1"/>
  <c r="I510" i="1" s="1"/>
  <c r="C511" i="1"/>
  <c r="I511" i="1" s="1"/>
  <c r="C512" i="1"/>
  <c r="I512" i="1" s="1"/>
  <c r="C513" i="1"/>
  <c r="I513" i="1" s="1"/>
  <c r="C506" i="1"/>
  <c r="I506" i="1" s="1"/>
  <c r="C498" i="1"/>
  <c r="I498" i="1" s="1"/>
  <c r="C499" i="1"/>
  <c r="I499" i="1" s="1"/>
  <c r="C500" i="1"/>
  <c r="I500" i="1" s="1"/>
  <c r="C501" i="1"/>
  <c r="I501" i="1" s="1"/>
  <c r="C502" i="1"/>
  <c r="I502" i="1" s="1"/>
  <c r="C503" i="1"/>
  <c r="I503" i="1" s="1"/>
  <c r="C504" i="1"/>
  <c r="I504" i="1" s="1"/>
  <c r="C497" i="1"/>
  <c r="I497" i="1" s="1"/>
  <c r="D487" i="1"/>
  <c r="F487" i="1" s="1"/>
  <c r="D488" i="1"/>
  <c r="D489" i="1"/>
  <c r="D490" i="1"/>
  <c r="D491" i="1"/>
  <c r="F491" i="1" s="1"/>
  <c r="D492" i="1"/>
  <c r="D493" i="1"/>
  <c r="D486" i="1"/>
  <c r="D477" i="1"/>
  <c r="D478" i="1"/>
  <c r="D479" i="1"/>
  <c r="D480" i="1"/>
  <c r="D481" i="1"/>
  <c r="D482" i="1"/>
  <c r="D483" i="1"/>
  <c r="D476" i="1"/>
  <c r="D466" i="1"/>
  <c r="F466" i="1" s="1"/>
  <c r="D467" i="1"/>
  <c r="D468" i="1"/>
  <c r="D469" i="1"/>
  <c r="D470" i="1"/>
  <c r="D471" i="1"/>
  <c r="D472" i="1"/>
  <c r="D456" i="1"/>
  <c r="D457" i="1"/>
  <c r="D458" i="1"/>
  <c r="D459" i="1"/>
  <c r="D460" i="1"/>
  <c r="D461" i="1"/>
  <c r="D462" i="1"/>
  <c r="D455" i="1"/>
  <c r="D465" i="1"/>
  <c r="D445" i="1"/>
  <c r="D446" i="1"/>
  <c r="D447" i="1"/>
  <c r="D448" i="1"/>
  <c r="D449" i="1"/>
  <c r="D450" i="1"/>
  <c r="D451" i="1"/>
  <c r="D444" i="1"/>
  <c r="D435" i="1"/>
  <c r="D436" i="1"/>
  <c r="D437" i="1"/>
  <c r="D438" i="1"/>
  <c r="D439" i="1"/>
  <c r="D440" i="1"/>
  <c r="D441" i="1"/>
  <c r="C477" i="1"/>
  <c r="I477" i="1" s="1"/>
  <c r="C478" i="1"/>
  <c r="I478" i="1" s="1"/>
  <c r="C479" i="1"/>
  <c r="I479" i="1" s="1"/>
  <c r="C480" i="1"/>
  <c r="I480" i="1" s="1"/>
  <c r="C481" i="1"/>
  <c r="I481" i="1" s="1"/>
  <c r="C482" i="1"/>
  <c r="I482" i="1" s="1"/>
  <c r="C483" i="1"/>
  <c r="I483" i="1" s="1"/>
  <c r="C476" i="1"/>
  <c r="I476" i="1" s="1"/>
  <c r="C468" i="1"/>
  <c r="I468" i="1" s="1"/>
  <c r="C469" i="1"/>
  <c r="I469" i="1" s="1"/>
  <c r="C470" i="1"/>
  <c r="I470" i="1" s="1"/>
  <c r="C471" i="1"/>
  <c r="I471" i="1" s="1"/>
  <c r="C472" i="1"/>
  <c r="I472" i="1" s="1"/>
  <c r="C467" i="1"/>
  <c r="C456" i="1"/>
  <c r="I456" i="1" s="1"/>
  <c r="C457" i="1"/>
  <c r="I457" i="1" s="1"/>
  <c r="C458" i="1"/>
  <c r="I458" i="1" s="1"/>
  <c r="C459" i="1"/>
  <c r="I459" i="1" s="1"/>
  <c r="C460" i="1"/>
  <c r="I460" i="1" s="1"/>
  <c r="C461" i="1"/>
  <c r="I461" i="1" s="1"/>
  <c r="C462" i="1"/>
  <c r="I462" i="1" s="1"/>
  <c r="C455" i="1"/>
  <c r="I455" i="1" s="1"/>
  <c r="C445" i="1"/>
  <c r="I445" i="1" s="1"/>
  <c r="C446" i="1"/>
  <c r="I446" i="1" s="1"/>
  <c r="C447" i="1"/>
  <c r="I447" i="1" s="1"/>
  <c r="C448" i="1"/>
  <c r="I448" i="1" s="1"/>
  <c r="C449" i="1"/>
  <c r="I449" i="1" s="1"/>
  <c r="C450" i="1"/>
  <c r="I450" i="1" s="1"/>
  <c r="C451" i="1"/>
  <c r="I451" i="1" s="1"/>
  <c r="C444" i="1"/>
  <c r="I444" i="1" s="1"/>
  <c r="C435" i="1"/>
  <c r="I435" i="1" s="1"/>
  <c r="C436" i="1"/>
  <c r="I436" i="1" s="1"/>
  <c r="C437" i="1"/>
  <c r="I437" i="1" s="1"/>
  <c r="C438" i="1"/>
  <c r="I438" i="1" s="1"/>
  <c r="C439" i="1"/>
  <c r="I439" i="1" s="1"/>
  <c r="C440" i="1"/>
  <c r="I440" i="1" s="1"/>
  <c r="C441" i="1"/>
  <c r="I441" i="1" s="1"/>
  <c r="C434" i="1"/>
  <c r="G418" i="1"/>
  <c r="G419" i="1"/>
  <c r="G417" i="1"/>
  <c r="G409" i="1"/>
  <c r="G410" i="1"/>
  <c r="G411" i="1"/>
  <c r="G412" i="1"/>
  <c r="G413" i="1"/>
  <c r="G414" i="1"/>
  <c r="G408" i="1"/>
  <c r="G401" i="1"/>
  <c r="G402" i="1"/>
  <c r="G403" i="1"/>
  <c r="G400" i="1"/>
  <c r="G391" i="1"/>
  <c r="G392" i="1"/>
  <c r="G393" i="1"/>
  <c r="G394" i="1"/>
  <c r="G395" i="1"/>
  <c r="G396" i="1"/>
  <c r="G390" i="1"/>
  <c r="G383" i="1"/>
  <c r="G384" i="1"/>
  <c r="G385" i="1"/>
  <c r="G382" i="1"/>
  <c r="G373" i="1"/>
  <c r="G374" i="1"/>
  <c r="G375" i="1"/>
  <c r="G376" i="1"/>
  <c r="G377" i="1"/>
  <c r="G378" i="1"/>
  <c r="G372" i="1"/>
  <c r="G365" i="1"/>
  <c r="G366" i="1"/>
  <c r="G367" i="1"/>
  <c r="G364" i="1"/>
  <c r="G355" i="1"/>
  <c r="G356" i="1"/>
  <c r="G357" i="1"/>
  <c r="G358" i="1"/>
  <c r="G359" i="1"/>
  <c r="G360" i="1"/>
  <c r="G354" i="1"/>
  <c r="D418" i="1"/>
  <c r="D419" i="1"/>
  <c r="D417" i="1"/>
  <c r="D409" i="1"/>
  <c r="D410" i="1"/>
  <c r="D411" i="1"/>
  <c r="D412" i="1"/>
  <c r="D413" i="1"/>
  <c r="D414" i="1"/>
  <c r="D408" i="1"/>
  <c r="D401" i="1"/>
  <c r="D402" i="1"/>
  <c r="D403" i="1"/>
  <c r="D400" i="1"/>
  <c r="D391" i="1"/>
  <c r="D392" i="1"/>
  <c r="D393" i="1"/>
  <c r="D394" i="1"/>
  <c r="D395" i="1"/>
  <c r="D396" i="1"/>
  <c r="D390" i="1"/>
  <c r="D383" i="1"/>
  <c r="D384" i="1"/>
  <c r="D385" i="1"/>
  <c r="D382" i="1"/>
  <c r="D373" i="1"/>
  <c r="D374" i="1"/>
  <c r="D375" i="1"/>
  <c r="D376" i="1"/>
  <c r="D377" i="1"/>
  <c r="D378" i="1"/>
  <c r="D372" i="1"/>
  <c r="E368" i="1"/>
  <c r="D365" i="1"/>
  <c r="D366" i="1"/>
  <c r="D367" i="1"/>
  <c r="D364" i="1"/>
  <c r="D355" i="1"/>
  <c r="D356" i="1"/>
  <c r="D357" i="1"/>
  <c r="D358" i="1"/>
  <c r="D359" i="1"/>
  <c r="D360" i="1"/>
  <c r="C418" i="1"/>
  <c r="C419" i="1"/>
  <c r="C420" i="1"/>
  <c r="C417" i="1"/>
  <c r="C409" i="1"/>
  <c r="C410" i="1"/>
  <c r="C411" i="1"/>
  <c r="C412" i="1"/>
  <c r="C413" i="1"/>
  <c r="C414" i="1"/>
  <c r="C408" i="1"/>
  <c r="C401" i="1"/>
  <c r="C402" i="1"/>
  <c r="C403" i="1"/>
  <c r="C400" i="1"/>
  <c r="C391" i="1"/>
  <c r="C392" i="1"/>
  <c r="C393" i="1"/>
  <c r="C394" i="1"/>
  <c r="C395" i="1"/>
  <c r="C396" i="1"/>
  <c r="C390" i="1"/>
  <c r="C383" i="1"/>
  <c r="C384" i="1"/>
  <c r="C385" i="1"/>
  <c r="C382" i="1"/>
  <c r="C373" i="1"/>
  <c r="C374" i="1"/>
  <c r="C375" i="1"/>
  <c r="C376" i="1"/>
  <c r="C377" i="1"/>
  <c r="C378" i="1"/>
  <c r="C372" i="1"/>
  <c r="C365" i="1"/>
  <c r="C366" i="1"/>
  <c r="C367" i="1"/>
  <c r="C364" i="1"/>
  <c r="C356" i="1"/>
  <c r="C357" i="1"/>
  <c r="C358" i="1"/>
  <c r="C359" i="1"/>
  <c r="C360" i="1"/>
  <c r="C355" i="1"/>
  <c r="C354" i="1"/>
  <c r="G297" i="1"/>
  <c r="G286" i="1"/>
  <c r="F312" i="1"/>
  <c r="G312" i="1" s="1"/>
  <c r="F313" i="1"/>
  <c r="G313" i="1" s="1"/>
  <c r="F311" i="1"/>
  <c r="G311" i="1" s="1"/>
  <c r="F308" i="1"/>
  <c r="G308" i="1" s="1"/>
  <c r="F307" i="1"/>
  <c r="G307" i="1" s="1"/>
  <c r="F298" i="1"/>
  <c r="G298" i="1" s="1"/>
  <c r="F299" i="1"/>
  <c r="G299" i="1" s="1"/>
  <c r="F300" i="1"/>
  <c r="G300" i="1" s="1"/>
  <c r="F301" i="1"/>
  <c r="G301" i="1" s="1"/>
  <c r="F302" i="1"/>
  <c r="G302" i="1" s="1"/>
  <c r="F303" i="1"/>
  <c r="G303" i="1" s="1"/>
  <c r="F304" i="1"/>
  <c r="G304" i="1" s="1"/>
  <c r="F297" i="1"/>
  <c r="F287" i="1"/>
  <c r="G287" i="1" s="1"/>
  <c r="F288" i="1"/>
  <c r="G288" i="1" s="1"/>
  <c r="F289" i="1"/>
  <c r="G289" i="1" s="1"/>
  <c r="F290" i="1"/>
  <c r="G290" i="1" s="1"/>
  <c r="F291" i="1"/>
  <c r="G291" i="1" s="1"/>
  <c r="F292" i="1"/>
  <c r="G292" i="1" s="1"/>
  <c r="F293" i="1"/>
  <c r="G293" i="1" s="1"/>
  <c r="F294" i="1"/>
  <c r="G294" i="1" s="1"/>
  <c r="F286" i="1"/>
  <c r="F277" i="1"/>
  <c r="G277" i="1" s="1"/>
  <c r="F278" i="1"/>
  <c r="G278" i="1" s="1"/>
  <c r="F279" i="1"/>
  <c r="G279" i="1" s="1"/>
  <c r="F280" i="1"/>
  <c r="G280" i="1" s="1"/>
  <c r="F281" i="1"/>
  <c r="G281" i="1" s="1"/>
  <c r="F282" i="1"/>
  <c r="G282" i="1" s="1"/>
  <c r="F283" i="1"/>
  <c r="G283" i="1" s="1"/>
  <c r="F276" i="1"/>
  <c r="G276" i="1" s="1"/>
  <c r="F269" i="1"/>
  <c r="G269" i="1" s="1"/>
  <c r="F270" i="1"/>
  <c r="G270" i="1" s="1"/>
  <c r="F271" i="1"/>
  <c r="G271" i="1" s="1"/>
  <c r="F272" i="1"/>
  <c r="G272" i="1" s="1"/>
  <c r="F273" i="1"/>
  <c r="G273" i="1" s="1"/>
  <c r="F268" i="1"/>
  <c r="G268" i="1" s="1"/>
  <c r="H312" i="1"/>
  <c r="I312" i="1"/>
  <c r="H313" i="1"/>
  <c r="I313" i="1"/>
  <c r="I311" i="1"/>
  <c r="H311" i="1"/>
  <c r="H308" i="1"/>
  <c r="I308" i="1"/>
  <c r="I307" i="1"/>
  <c r="H307" i="1"/>
  <c r="H298" i="1"/>
  <c r="I298" i="1"/>
  <c r="H299" i="1"/>
  <c r="I299" i="1"/>
  <c r="H300" i="1"/>
  <c r="I300" i="1"/>
  <c r="H301" i="1"/>
  <c r="I301" i="1"/>
  <c r="H302" i="1"/>
  <c r="I302" i="1"/>
  <c r="H303" i="1"/>
  <c r="I303" i="1"/>
  <c r="H304" i="1"/>
  <c r="I304" i="1"/>
  <c r="I297" i="1"/>
  <c r="H297" i="1"/>
  <c r="H287" i="1"/>
  <c r="I287" i="1"/>
  <c r="H288" i="1"/>
  <c r="I288" i="1"/>
  <c r="H289" i="1"/>
  <c r="I289" i="1"/>
  <c r="H290" i="1"/>
  <c r="I290" i="1"/>
  <c r="H291" i="1"/>
  <c r="I291" i="1"/>
  <c r="H292" i="1"/>
  <c r="I292" i="1"/>
  <c r="H293" i="1"/>
  <c r="I293" i="1"/>
  <c r="H294" i="1"/>
  <c r="I294" i="1"/>
  <c r="I286" i="1"/>
  <c r="H286" i="1"/>
  <c r="H277" i="1"/>
  <c r="I277" i="1"/>
  <c r="H278" i="1"/>
  <c r="I278" i="1"/>
  <c r="H279" i="1"/>
  <c r="I279" i="1"/>
  <c r="H280" i="1"/>
  <c r="I280" i="1"/>
  <c r="H281" i="1"/>
  <c r="I281" i="1"/>
  <c r="H282" i="1"/>
  <c r="I282" i="1"/>
  <c r="H283" i="1"/>
  <c r="I283" i="1"/>
  <c r="I276" i="1"/>
  <c r="H276" i="1"/>
  <c r="I269" i="1"/>
  <c r="I270" i="1"/>
  <c r="I271" i="1"/>
  <c r="I272" i="1"/>
  <c r="I273" i="1"/>
  <c r="I268" i="1"/>
  <c r="H269" i="1"/>
  <c r="H270" i="1"/>
  <c r="H271" i="1"/>
  <c r="H272" i="1"/>
  <c r="H273" i="1"/>
  <c r="H268" i="1"/>
  <c r="D31" i="1"/>
  <c r="D30" i="1"/>
  <c r="D29" i="1"/>
  <c r="C31" i="1"/>
  <c r="C30" i="1"/>
  <c r="C29" i="1"/>
  <c r="B30" i="1"/>
  <c r="B29" i="1"/>
  <c r="C18" i="1"/>
  <c r="D18" i="1"/>
  <c r="D17" i="1"/>
  <c r="D16" i="1"/>
  <c r="C17" i="1"/>
  <c r="B18" i="1"/>
  <c r="B17" i="1"/>
  <c r="C16" i="1"/>
  <c r="B16" i="1"/>
  <c r="E31" i="1" l="1"/>
  <c r="I467" i="1"/>
  <c r="C473" i="1"/>
  <c r="I473" i="1" s="1"/>
  <c r="F434" i="1"/>
  <c r="F354" i="1"/>
  <c r="B70" i="1"/>
  <c r="C70" i="1" s="1"/>
  <c r="E70" i="1" s="1"/>
  <c r="F378" i="1"/>
  <c r="F374" i="1"/>
  <c r="F384" i="1"/>
  <c r="F395" i="1"/>
  <c r="F391" i="1"/>
  <c r="F401" i="1"/>
  <c r="F412" i="1"/>
  <c r="F417" i="1"/>
  <c r="F358" i="1"/>
  <c r="I358" i="1"/>
  <c r="F461" i="1"/>
  <c r="F457" i="1"/>
  <c r="F481" i="1"/>
  <c r="F477" i="1"/>
  <c r="F513" i="1"/>
  <c r="F382" i="1"/>
  <c r="F393" i="1"/>
  <c r="F414" i="1"/>
  <c r="F439" i="1"/>
  <c r="F449" i="1"/>
  <c r="F470" i="1"/>
  <c r="F460" i="1"/>
  <c r="F456" i="1"/>
  <c r="F376" i="1"/>
  <c r="F390" i="1"/>
  <c r="F403" i="1"/>
  <c r="F410" i="1"/>
  <c r="C442" i="1"/>
  <c r="I442" i="1" s="1"/>
  <c r="F435" i="1"/>
  <c r="F445" i="1"/>
  <c r="F360" i="1"/>
  <c r="F356" i="1"/>
  <c r="I360" i="1"/>
  <c r="I356" i="1"/>
  <c r="I419" i="1"/>
  <c r="F441" i="1"/>
  <c r="F437" i="1"/>
  <c r="F451" i="1"/>
  <c r="F447" i="1"/>
  <c r="F472" i="1"/>
  <c r="F468" i="1"/>
  <c r="F483" i="1"/>
  <c r="F479" i="1"/>
  <c r="F493" i="1"/>
  <c r="F489" i="1"/>
  <c r="I372" i="1"/>
  <c r="I385" i="1"/>
  <c r="I392" i="1"/>
  <c r="F366" i="1"/>
  <c r="I366" i="1"/>
  <c r="I377" i="1"/>
  <c r="I373" i="1"/>
  <c r="I383" i="1"/>
  <c r="I394" i="1"/>
  <c r="I400" i="1"/>
  <c r="I408" i="1"/>
  <c r="I411" i="1"/>
  <c r="F455" i="1"/>
  <c r="F459" i="1"/>
  <c r="F504" i="1"/>
  <c r="F500" i="1"/>
  <c r="F509" i="1"/>
  <c r="F359" i="1"/>
  <c r="F355" i="1"/>
  <c r="F365" i="1"/>
  <c r="F377" i="1"/>
  <c r="F373" i="1"/>
  <c r="F383" i="1"/>
  <c r="F394" i="1"/>
  <c r="F400" i="1"/>
  <c r="F408" i="1"/>
  <c r="F411" i="1"/>
  <c r="F419" i="1"/>
  <c r="I359" i="1"/>
  <c r="I355" i="1"/>
  <c r="I365" i="1"/>
  <c r="I376" i="1"/>
  <c r="I382" i="1"/>
  <c r="I390" i="1"/>
  <c r="I393" i="1"/>
  <c r="I403" i="1"/>
  <c r="I414" i="1"/>
  <c r="I410" i="1"/>
  <c r="I418" i="1"/>
  <c r="F440" i="1"/>
  <c r="F436" i="1"/>
  <c r="F450" i="1"/>
  <c r="F446" i="1"/>
  <c r="F462" i="1"/>
  <c r="F458" i="1"/>
  <c r="F471" i="1"/>
  <c r="F467" i="1"/>
  <c r="F482" i="1"/>
  <c r="F478" i="1"/>
  <c r="F492" i="1"/>
  <c r="F488" i="1"/>
  <c r="F503" i="1"/>
  <c r="F499" i="1"/>
  <c r="F512" i="1"/>
  <c r="F508" i="1"/>
  <c r="F364" i="1"/>
  <c r="F418" i="1"/>
  <c r="I364" i="1"/>
  <c r="I375" i="1"/>
  <c r="I396" i="1"/>
  <c r="I402" i="1"/>
  <c r="I413" i="1"/>
  <c r="I409" i="1"/>
  <c r="F502" i="1"/>
  <c r="F498" i="1"/>
  <c r="F511" i="1"/>
  <c r="F507" i="1"/>
  <c r="B76" i="1"/>
  <c r="C76" i="1" s="1"/>
  <c r="E76" i="1" s="1"/>
  <c r="F357" i="1"/>
  <c r="F367" i="1"/>
  <c r="F372" i="1"/>
  <c r="F375" i="1"/>
  <c r="F385" i="1"/>
  <c r="F396" i="1"/>
  <c r="F392" i="1"/>
  <c r="F402" i="1"/>
  <c r="F413" i="1"/>
  <c r="F409" i="1"/>
  <c r="I354" i="1"/>
  <c r="I357" i="1"/>
  <c r="I367" i="1"/>
  <c r="I378" i="1"/>
  <c r="I374" i="1"/>
  <c r="I384" i="1"/>
  <c r="I395" i="1"/>
  <c r="I391" i="1"/>
  <c r="I401" i="1"/>
  <c r="I412" i="1"/>
  <c r="I417" i="1"/>
  <c r="F438" i="1"/>
  <c r="D452" i="1"/>
  <c r="F444" i="1"/>
  <c r="F448" i="1"/>
  <c r="D473" i="1"/>
  <c r="F465" i="1"/>
  <c r="F469" i="1"/>
  <c r="D484" i="1"/>
  <c r="F476" i="1"/>
  <c r="F480" i="1"/>
  <c r="D494" i="1"/>
  <c r="F486" i="1"/>
  <c r="F490" i="1"/>
  <c r="F497" i="1"/>
  <c r="F501" i="1"/>
  <c r="F506" i="1"/>
  <c r="F510" i="1"/>
  <c r="D442" i="1"/>
  <c r="I434" i="1"/>
  <c r="D463" i="1"/>
  <c r="D368" i="1"/>
  <c r="D379" i="1"/>
  <c r="G361" i="1"/>
  <c r="C452" i="1"/>
  <c r="I452" i="1" s="1"/>
  <c r="C463" i="1"/>
  <c r="I463" i="1" s="1"/>
  <c r="D397" i="1"/>
  <c r="G404" i="1"/>
  <c r="D404" i="1"/>
  <c r="G386" i="1"/>
  <c r="G397" i="1"/>
  <c r="C494" i="1"/>
  <c r="I494" i="1" s="1"/>
  <c r="G379" i="1"/>
  <c r="D386" i="1"/>
  <c r="G368" i="1"/>
  <c r="C484" i="1"/>
  <c r="I484" i="1" s="1"/>
  <c r="C368" i="1"/>
  <c r="B73" i="1" s="1"/>
  <c r="D361" i="1"/>
  <c r="C397" i="1"/>
  <c r="B69" i="1" s="1"/>
  <c r="E29" i="1"/>
  <c r="E30" i="1"/>
  <c r="J23" i="7"/>
  <c r="J22" i="7"/>
  <c r="J21" i="7"/>
  <c r="J20" i="7"/>
  <c r="J17" i="7"/>
  <c r="J16" i="7"/>
  <c r="J15" i="7"/>
  <c r="J14" i="7"/>
  <c r="J11" i="7"/>
  <c r="J10" i="7"/>
  <c r="J9" i="7"/>
  <c r="J8" i="7"/>
  <c r="J3" i="7"/>
  <c r="J4" i="7"/>
  <c r="J5" i="7"/>
  <c r="J2" i="7"/>
  <c r="B22" i="1"/>
  <c r="B23" i="1"/>
  <c r="D23" i="1"/>
  <c r="D22" i="1"/>
  <c r="C23" i="1"/>
  <c r="C22" i="1"/>
  <c r="D21" i="1"/>
  <c r="C21" i="1"/>
  <c r="B21" i="1"/>
  <c r="F473" i="1" l="1"/>
  <c r="B154" i="1"/>
  <c r="E21" i="1"/>
  <c r="F442" i="1"/>
  <c r="F368" i="1"/>
  <c r="F494" i="1"/>
  <c r="I368" i="1"/>
  <c r="I397" i="1"/>
  <c r="F397" i="1"/>
  <c r="F484" i="1"/>
  <c r="F463" i="1"/>
  <c r="F452" i="1"/>
  <c r="E23" i="1"/>
  <c r="C157" i="1"/>
  <c r="G157" i="1"/>
  <c r="H157" i="1"/>
  <c r="G156" i="1"/>
  <c r="B155" i="1"/>
  <c r="C156" i="1"/>
  <c r="H156" i="1"/>
  <c r="B156" i="1"/>
  <c r="C154" i="1"/>
  <c r="G154" i="1"/>
  <c r="H154" i="1"/>
  <c r="B157" i="1"/>
  <c r="C155" i="1"/>
  <c r="G155" i="1"/>
  <c r="H155" i="1"/>
  <c r="E22" i="1"/>
  <c r="D154" i="1" l="1"/>
  <c r="D156" i="1"/>
  <c r="I155" i="1"/>
  <c r="I154" i="1"/>
  <c r="I157" i="1"/>
  <c r="D155" i="1"/>
  <c r="D157" i="1"/>
  <c r="I156" i="1"/>
  <c r="E18" i="1"/>
  <c r="E17" i="1"/>
  <c r="E16" i="1"/>
  <c r="D59" i="1"/>
  <c r="B59" i="1"/>
  <c r="H494" i="1" l="1"/>
  <c r="H484" i="1"/>
  <c r="H473" i="1"/>
  <c r="H463" i="1"/>
  <c r="H452" i="1"/>
  <c r="H442" i="1"/>
  <c r="E494" i="1"/>
  <c r="E484" i="1"/>
  <c r="E463" i="1"/>
  <c r="E452" i="1"/>
  <c r="E442" i="1"/>
  <c r="A429" i="1"/>
  <c r="C404" i="1"/>
  <c r="C386" i="1"/>
  <c r="C379" i="1"/>
  <c r="C361" i="1"/>
  <c r="E404" i="1"/>
  <c r="E397" i="1"/>
  <c r="E386" i="1"/>
  <c r="A347" i="1"/>
  <c r="A262" i="1"/>
  <c r="I219" i="1"/>
  <c r="H219" i="1"/>
  <c r="G219" i="1"/>
  <c r="F219" i="1"/>
  <c r="D219" i="1"/>
  <c r="C219" i="1"/>
  <c r="B219" i="1"/>
  <c r="I209" i="1"/>
  <c r="H209" i="1"/>
  <c r="G209" i="1"/>
  <c r="F209" i="1"/>
  <c r="D209" i="1"/>
  <c r="C209" i="1"/>
  <c r="B209" i="1"/>
  <c r="E237" i="1"/>
  <c r="I196" i="1"/>
  <c r="H196" i="1"/>
  <c r="G196" i="1"/>
  <c r="F196" i="1"/>
  <c r="D196" i="1"/>
  <c r="C196" i="1"/>
  <c r="B196" i="1"/>
  <c r="I183" i="1"/>
  <c r="H183" i="1"/>
  <c r="G183" i="1"/>
  <c r="F183" i="1"/>
  <c r="A177" i="1"/>
  <c r="D163" i="1"/>
  <c r="B101" i="1"/>
  <c r="I136" i="1"/>
  <c r="H136" i="1"/>
  <c r="G136" i="1"/>
  <c r="F136" i="1"/>
  <c r="D136" i="1"/>
  <c r="C136" i="1"/>
  <c r="B136" i="1"/>
  <c r="I119" i="1"/>
  <c r="H119" i="1"/>
  <c r="G119" i="1"/>
  <c r="F119" i="1"/>
  <c r="D119" i="1"/>
  <c r="C119" i="1"/>
  <c r="B119" i="1"/>
  <c r="B65" i="1"/>
  <c r="B56" i="1"/>
  <c r="B36" i="1"/>
  <c r="B28" i="1"/>
  <c r="B15" i="1"/>
  <c r="A94" i="1"/>
  <c r="A7" i="1"/>
  <c r="C15" i="1"/>
  <c r="D15" i="1"/>
  <c r="D56" i="1" s="1"/>
  <c r="F15" i="1"/>
  <c r="G15" i="1"/>
  <c r="H15" i="1"/>
  <c r="I15" i="1"/>
  <c r="F65" i="1" l="1"/>
  <c r="F101" i="1"/>
  <c r="G65" i="1"/>
  <c r="G101" i="1"/>
  <c r="I65" i="1"/>
  <c r="I101" i="1"/>
  <c r="H65" i="1"/>
  <c r="H101" i="1"/>
  <c r="B67" i="1"/>
  <c r="F361" i="1"/>
  <c r="I361" i="1"/>
  <c r="B68" i="1"/>
  <c r="I379" i="1"/>
  <c r="F379" i="1"/>
  <c r="B74" i="1"/>
  <c r="I386" i="1"/>
  <c r="F386" i="1"/>
  <c r="B75" i="1"/>
  <c r="I404" i="1"/>
  <c r="F404" i="1"/>
  <c r="F36" i="1"/>
  <c r="G36" i="1"/>
  <c r="G28" i="1"/>
  <c r="G56" i="1"/>
  <c r="F28" i="1"/>
  <c r="F56" i="1"/>
  <c r="D36" i="1"/>
  <c r="I28" i="1"/>
  <c r="I36" i="1"/>
  <c r="I56" i="1"/>
  <c r="D28" i="1"/>
  <c r="H28" i="1"/>
  <c r="H36" i="1"/>
  <c r="H56" i="1"/>
  <c r="C28" i="1"/>
  <c r="C56" i="1"/>
  <c r="C36" i="1"/>
  <c r="C12" i="6"/>
  <c r="B12" i="6"/>
  <c r="D12" i="6" s="1"/>
  <c r="C22" i="6"/>
  <c r="B22" i="6"/>
  <c r="D22" i="6" s="1"/>
  <c r="C33" i="6"/>
  <c r="B33" i="6"/>
  <c r="D33" i="6" s="1"/>
  <c r="C54" i="6"/>
  <c r="B54" i="6"/>
  <c r="C64" i="6"/>
  <c r="B64" i="6"/>
  <c r="E64" i="6"/>
  <c r="E54" i="6"/>
  <c r="E43" i="6"/>
  <c r="E33" i="6"/>
  <c r="E22" i="6"/>
  <c r="F43" i="6"/>
  <c r="D43" i="6"/>
  <c r="F22" i="6"/>
  <c r="E12" i="6"/>
  <c r="F64" i="6" l="1"/>
  <c r="D64" i="6"/>
  <c r="F12" i="6"/>
  <c r="F33" i="6"/>
  <c r="D54" i="6"/>
  <c r="F54" i="6"/>
  <c r="C59" i="1" l="1"/>
</calcChain>
</file>

<file path=xl/sharedStrings.xml><?xml version="1.0" encoding="utf-8"?>
<sst xmlns="http://schemas.openxmlformats.org/spreadsheetml/2006/main" count="2493" uniqueCount="670">
  <si>
    <t>Turnover on the JSE Equities Market</t>
  </si>
  <si>
    <t xml:space="preserve">Month </t>
  </si>
  <si>
    <t>% Change</t>
  </si>
  <si>
    <t>Ended</t>
  </si>
  <si>
    <t>Date</t>
  </si>
  <si>
    <t xml:space="preserve">Year on </t>
  </si>
  <si>
    <t>Year</t>
  </si>
  <si>
    <t>Foreign Trading on the JSE Equities Market (R Million)</t>
  </si>
  <si>
    <t>Difference</t>
  </si>
  <si>
    <t>Year on</t>
  </si>
  <si>
    <t>Purchases</t>
  </si>
  <si>
    <t>Sales</t>
  </si>
  <si>
    <t>Net (Sales) / Purchases</t>
  </si>
  <si>
    <t>%Change</t>
  </si>
  <si>
    <t>Futures</t>
  </si>
  <si>
    <t>Options</t>
  </si>
  <si>
    <t>Ranking</t>
  </si>
  <si>
    <t>Market Capitalisation (US$ million)</t>
  </si>
  <si>
    <t>Market Turnover (US$ million)</t>
  </si>
  <si>
    <t>Note:The liquidity figure has been adjusted for Off Order Book Principal Trades</t>
  </si>
  <si>
    <t>WFE = World Federation of Exchanges</t>
  </si>
  <si>
    <t>Acquisition of Assets</t>
  </si>
  <si>
    <t>Rights Issue</t>
  </si>
  <si>
    <t>Share Incentive</t>
  </si>
  <si>
    <t>Waiver of Pre-emptive rights</t>
  </si>
  <si>
    <t>TOTAL</t>
  </si>
  <si>
    <t>Annualised JSE liquidity</t>
  </si>
  <si>
    <t xml:space="preserve">% Change </t>
  </si>
  <si>
    <t>Month</t>
  </si>
  <si>
    <t xml:space="preserve">Companies Listed </t>
  </si>
  <si>
    <t>No of New Listings</t>
  </si>
  <si>
    <t>No of Delistings</t>
  </si>
  <si>
    <t>Overall JSE</t>
  </si>
  <si>
    <t>Foreign Listings</t>
  </si>
  <si>
    <t>Domestic Listings</t>
  </si>
  <si>
    <t>Companies Listed</t>
  </si>
  <si>
    <t>No of Securities Listed</t>
  </si>
  <si>
    <t>Market Capitalisation (Rbn at period)</t>
  </si>
  <si>
    <t xml:space="preserve">Month on </t>
  </si>
  <si>
    <t>Headline Indices</t>
  </si>
  <si>
    <t>Index Code</t>
  </si>
  <si>
    <t>Highest Date</t>
  </si>
  <si>
    <t>All Share</t>
  </si>
  <si>
    <t>J203</t>
  </si>
  <si>
    <t>Mid Cap</t>
  </si>
  <si>
    <t>J201</t>
  </si>
  <si>
    <t>Small Cap</t>
  </si>
  <si>
    <t>J202</t>
  </si>
  <si>
    <t>Fledgling</t>
  </si>
  <si>
    <t>J204</t>
  </si>
  <si>
    <t xml:space="preserve">Capped All Share </t>
  </si>
  <si>
    <t>J303</t>
  </si>
  <si>
    <t>Shareholder Weighted All Share</t>
  </si>
  <si>
    <t>J403</t>
  </si>
  <si>
    <t>Tradeable Indices</t>
  </si>
  <si>
    <t>Top 40</t>
  </si>
  <si>
    <t>J200</t>
  </si>
  <si>
    <t xml:space="preserve">Capped Top 40 </t>
  </si>
  <si>
    <t>J300</t>
  </si>
  <si>
    <t>Shareholder Weighted Top 40</t>
  </si>
  <si>
    <t>J400</t>
  </si>
  <si>
    <t>J210</t>
  </si>
  <si>
    <t>Gold Mining</t>
  </si>
  <si>
    <t>J150</t>
  </si>
  <si>
    <t>Industrial 25</t>
  </si>
  <si>
    <t>J211</t>
  </si>
  <si>
    <t>Financial 15</t>
  </si>
  <si>
    <t>J212</t>
  </si>
  <si>
    <t>Financial and Industrial 30</t>
  </si>
  <si>
    <t>J213</t>
  </si>
  <si>
    <t>All Share Economic Group</t>
  </si>
  <si>
    <t>Oil &amp; Gas</t>
  </si>
  <si>
    <t>J500</t>
  </si>
  <si>
    <t>Basic Materials</t>
  </si>
  <si>
    <t>J510</t>
  </si>
  <si>
    <t>Industrials</t>
  </si>
  <si>
    <t>J520</t>
  </si>
  <si>
    <t>Consumer Goods</t>
  </si>
  <si>
    <t>J530</t>
  </si>
  <si>
    <t>Consumer Services</t>
  </si>
  <si>
    <t>J550</t>
  </si>
  <si>
    <t>Financials</t>
  </si>
  <si>
    <t>J580</t>
  </si>
  <si>
    <t>Technology</t>
  </si>
  <si>
    <t>J590</t>
  </si>
  <si>
    <t>Telecommunications</t>
  </si>
  <si>
    <t>J560</t>
  </si>
  <si>
    <t>Health Care</t>
  </si>
  <si>
    <t>J540</t>
  </si>
  <si>
    <t>Specialist Indices</t>
  </si>
  <si>
    <t>JSE SRI Index</t>
  </si>
  <si>
    <t>J100</t>
  </si>
  <si>
    <t xml:space="preserve"> FTSE/JSE Shariah All Share</t>
  </si>
  <si>
    <t>J143</t>
  </si>
  <si>
    <t>SA Listed Property Index</t>
  </si>
  <si>
    <t>J253</t>
  </si>
  <si>
    <t>Capped Property Index</t>
  </si>
  <si>
    <t>J254</t>
  </si>
  <si>
    <t>SA Resources</t>
  </si>
  <si>
    <t>J258</t>
  </si>
  <si>
    <t>Value Index</t>
  </si>
  <si>
    <t>J330</t>
  </si>
  <si>
    <t>Growth Index</t>
  </si>
  <si>
    <t>J331</t>
  </si>
  <si>
    <t>Sub-sector Indices</t>
  </si>
  <si>
    <t>Platinum &amp; Precious Metals</t>
  </si>
  <si>
    <t>J153</t>
  </si>
  <si>
    <t>General Mining</t>
  </si>
  <si>
    <t>J154</t>
  </si>
  <si>
    <t>Secondary Market</t>
  </si>
  <si>
    <t>Development Capital</t>
  </si>
  <si>
    <t>J230</t>
  </si>
  <si>
    <t>Venture Capital</t>
  </si>
  <si>
    <t>J231</t>
  </si>
  <si>
    <t>Alt-X</t>
  </si>
  <si>
    <t>J232</t>
  </si>
  <si>
    <t>Platinum &amp; Precious Metal Index was rebased in March 2007</t>
  </si>
  <si>
    <t>Trades</t>
  </si>
  <si>
    <t>Volume (Mil)</t>
  </si>
  <si>
    <t>Value (R Mil)</t>
  </si>
  <si>
    <t>Agency and Principal (R Million)</t>
  </si>
  <si>
    <t>% change</t>
  </si>
  <si>
    <t>Agency Buy</t>
  </si>
  <si>
    <t>Agency Sell</t>
  </si>
  <si>
    <t>Principal Buy</t>
  </si>
  <si>
    <t>Principal Sell</t>
  </si>
  <si>
    <t>All Time High Figures</t>
  </si>
  <si>
    <t>Daily High</t>
  </si>
  <si>
    <t>Weekly High</t>
  </si>
  <si>
    <t>Week Ended</t>
  </si>
  <si>
    <t>Monthly High</t>
  </si>
  <si>
    <t>10/2008</t>
  </si>
  <si>
    <t>Volume</t>
  </si>
  <si>
    <t>Total</t>
  </si>
  <si>
    <t>Suns</t>
  </si>
  <si>
    <t>White Maize</t>
  </si>
  <si>
    <t>Yellow Maize</t>
  </si>
  <si>
    <t>Corn</t>
  </si>
  <si>
    <t xml:space="preserve">Open Interest </t>
  </si>
  <si>
    <t>AltX</t>
  </si>
  <si>
    <t>Gold</t>
  </si>
  <si>
    <t>Crude Oil</t>
  </si>
  <si>
    <t>Volume (000)</t>
  </si>
  <si>
    <t>Value (R bn)</t>
  </si>
  <si>
    <t>Open Interest</t>
  </si>
  <si>
    <t>Value  (R bn)</t>
  </si>
  <si>
    <t xml:space="preserve">Volume </t>
  </si>
  <si>
    <t>Month on</t>
  </si>
  <si>
    <t xml:space="preserve"> </t>
  </si>
  <si>
    <t xml:space="preserve">Number of Companies / Securities Listed and Market Capitalisation  </t>
  </si>
  <si>
    <t>Standard Trades</t>
  </si>
  <si>
    <t>Nominal (R Mil)</t>
  </si>
  <si>
    <t>Consideration (R Mil)</t>
  </si>
  <si>
    <t>Repo Trades</t>
  </si>
  <si>
    <t>Nominal (Mil)</t>
  </si>
  <si>
    <t>*Other Trades include FOV, SD and OX</t>
  </si>
  <si>
    <t>Foreign Trading on the JSE Interest Rate Market (R Million)</t>
  </si>
  <si>
    <t>Purchases**</t>
  </si>
  <si>
    <t>Sales**</t>
  </si>
  <si>
    <t xml:space="preserve">Turnover on the JSE Interest Rate Derivatives Market </t>
  </si>
  <si>
    <t>Other Trades*</t>
  </si>
  <si>
    <t>Turnover on the Interest Rate Market</t>
  </si>
  <si>
    <t xml:space="preserve">Turnover on the Commodity Derivatives Market </t>
  </si>
  <si>
    <t xml:space="preserve">Turnover on the Equities Derivatives Market </t>
  </si>
  <si>
    <t>Year to Date Liquidity %</t>
  </si>
  <si>
    <t>Monthly Liquidity %</t>
  </si>
  <si>
    <t>Equity capital raised on the JSE (R Million)</t>
  </si>
  <si>
    <t xml:space="preserve">Central Order Book and  Reported  Trades </t>
  </si>
  <si>
    <t xml:space="preserve">Reported Trades </t>
  </si>
  <si>
    <t>Including Reported Trades</t>
  </si>
  <si>
    <t>Central Order Book Trades</t>
  </si>
  <si>
    <t xml:space="preserve">Turnover on the JSE Currency Derivatives Market </t>
  </si>
  <si>
    <t>Overall JSE Liquidity %</t>
  </si>
  <si>
    <t>Central Order Book Trades Liquidity %</t>
  </si>
  <si>
    <t>NB:The totals may vary monthly</t>
  </si>
  <si>
    <t>Note: AltX and Mainboard include companies that changed boards</t>
  </si>
  <si>
    <t>Via Prospetus (IPOs)</t>
  </si>
  <si>
    <t>Value (R Mil)***</t>
  </si>
  <si>
    <t>***Effective January 2013 options value calculation is based on nominal and not premium</t>
  </si>
  <si>
    <t>Year to</t>
  </si>
  <si>
    <t xml:space="preserve"> Date</t>
  </si>
  <si>
    <t xml:space="preserve">Year to </t>
  </si>
  <si>
    <t>Exchange Traded CFD</t>
  </si>
  <si>
    <t>**Nominal of Standards Trades</t>
  </si>
  <si>
    <t>Soya Future</t>
  </si>
  <si>
    <t>Resource 10</t>
  </si>
  <si>
    <t>Plat</t>
  </si>
  <si>
    <t>Total Futures</t>
  </si>
  <si>
    <t>Total Options</t>
  </si>
  <si>
    <t>REITS Index</t>
  </si>
  <si>
    <t>J867</t>
  </si>
  <si>
    <t/>
  </si>
  <si>
    <t>Mainboard, Venture,Development Capital and BEE</t>
  </si>
  <si>
    <t>%Change Month on Month</t>
  </si>
  <si>
    <t>%Change Year on Year</t>
  </si>
  <si>
    <t>Value(ZAR000)</t>
  </si>
  <si>
    <t>Value (R Mil)*</t>
  </si>
  <si>
    <t xml:space="preserve">**Nominal Value traded, note the value in the previous  </t>
  </si>
  <si>
    <t>publications is premium</t>
  </si>
  <si>
    <t>Market Highlights</t>
  </si>
  <si>
    <t>Equity Market</t>
  </si>
  <si>
    <t>FTSE/JSE Africa Index Series</t>
  </si>
  <si>
    <t>Highest Index Close</t>
  </si>
  <si>
    <t>% Change Month On Month</t>
  </si>
  <si>
    <t>Equity Derivatives Market</t>
  </si>
  <si>
    <t>Commodity Derivatives Market</t>
  </si>
  <si>
    <t xml:space="preserve">Options </t>
  </si>
  <si>
    <t>Contracts</t>
  </si>
  <si>
    <t xml:space="preserve"> Turnover Value(R 000)</t>
  </si>
  <si>
    <t>Ranking At Year End</t>
  </si>
  <si>
    <t>MTD</t>
  </si>
  <si>
    <t>YTD</t>
  </si>
  <si>
    <t>YTDPrevYear</t>
  </si>
  <si>
    <t>Year-1</t>
  </si>
  <si>
    <t>Year-2</t>
  </si>
  <si>
    <t>Year-3</t>
  </si>
  <si>
    <t>Year-4</t>
  </si>
  <si>
    <t>Reported Trades</t>
  </si>
  <si>
    <t>Principal Agency Trades MTD</t>
  </si>
  <si>
    <t>Principal Agency Trades 2 Months Prev</t>
  </si>
  <si>
    <t>Key</t>
  </si>
  <si>
    <t>Principal Agency COB Trades</t>
  </si>
  <si>
    <t>Principal Agency COD Trades 2 Months Prev</t>
  </si>
  <si>
    <t xml:space="preserve">Non Res Flows MTD </t>
  </si>
  <si>
    <t>Non Res Flows YTD</t>
  </si>
  <si>
    <t>Non Res Flows YTDPrevYear</t>
  </si>
  <si>
    <t>IndexCode</t>
  </si>
  <si>
    <t>StatisticDate</t>
  </si>
  <si>
    <t>CapitalIndex</t>
  </si>
  <si>
    <t>rn</t>
  </si>
  <si>
    <t>J000</t>
  </si>
  <si>
    <t>J004</t>
  </si>
  <si>
    <t>J007</t>
  </si>
  <si>
    <t>J010</t>
  </si>
  <si>
    <t>J011</t>
  </si>
  <si>
    <t>J013</t>
  </si>
  <si>
    <t>J015</t>
  </si>
  <si>
    <t>J018</t>
  </si>
  <si>
    <t>J020</t>
  </si>
  <si>
    <t>J024</t>
  </si>
  <si>
    <t>J025</t>
  </si>
  <si>
    <t>J026</t>
  </si>
  <si>
    <t>J030</t>
  </si>
  <si>
    <t>J031</t>
  </si>
  <si>
    <t>J034</t>
  </si>
  <si>
    <t>J040</t>
  </si>
  <si>
    <t>J041</t>
  </si>
  <si>
    <t>J043</t>
  </si>
  <si>
    <t>J044</t>
  </si>
  <si>
    <t>J048</t>
  </si>
  <si>
    <t>J050</t>
  </si>
  <si>
    <t>J052</t>
  </si>
  <si>
    <t>J053</t>
  </si>
  <si>
    <t>J054</t>
  </si>
  <si>
    <t>J055</t>
  </si>
  <si>
    <t>J058</t>
  </si>
  <si>
    <t>J059</t>
  </si>
  <si>
    <t>J060</t>
  </si>
  <si>
    <t>J063</t>
  </si>
  <si>
    <t>J067</t>
  </si>
  <si>
    <t>J080</t>
  </si>
  <si>
    <t>J081</t>
  </si>
  <si>
    <t>J083</t>
  </si>
  <si>
    <t>J084</t>
  </si>
  <si>
    <t>J085</t>
  </si>
  <si>
    <t>J086</t>
  </si>
  <si>
    <t>J087</t>
  </si>
  <si>
    <t>J090</t>
  </si>
  <si>
    <t>J093</t>
  </si>
  <si>
    <t>J097</t>
  </si>
  <si>
    <t>J101</t>
  </si>
  <si>
    <t>J110</t>
  </si>
  <si>
    <t>J113</t>
  </si>
  <si>
    <t>J135</t>
  </si>
  <si>
    <t>J140</t>
  </si>
  <si>
    <t>J141</t>
  </si>
  <si>
    <t>J151</t>
  </si>
  <si>
    <t>J152</t>
  </si>
  <si>
    <t>J155</t>
  </si>
  <si>
    <t>J173</t>
  </si>
  <si>
    <t>J175</t>
  </si>
  <si>
    <t>J177</t>
  </si>
  <si>
    <t>J20U</t>
  </si>
  <si>
    <t>J233</t>
  </si>
  <si>
    <t>J235</t>
  </si>
  <si>
    <t>J240</t>
  </si>
  <si>
    <t>J241</t>
  </si>
  <si>
    <t>J242</t>
  </si>
  <si>
    <t>J243</t>
  </si>
  <si>
    <t>J250</t>
  </si>
  <si>
    <t>J251</t>
  </si>
  <si>
    <t>J255</t>
  </si>
  <si>
    <t>J256</t>
  </si>
  <si>
    <t>J257</t>
  </si>
  <si>
    <t>J259</t>
  </si>
  <si>
    <t>J260</t>
  </si>
  <si>
    <t>J263</t>
  </si>
  <si>
    <t>J272</t>
  </si>
  <si>
    <t>J273</t>
  </si>
  <si>
    <t>J275</t>
  </si>
  <si>
    <t>J277</t>
  </si>
  <si>
    <t>J279</t>
  </si>
  <si>
    <t>J283</t>
  </si>
  <si>
    <t>J2DV</t>
  </si>
  <si>
    <t>J2EQ</t>
  </si>
  <si>
    <t>J310</t>
  </si>
  <si>
    <t>J335</t>
  </si>
  <si>
    <t>J353</t>
  </si>
  <si>
    <t>J357</t>
  </si>
  <si>
    <t>J372</t>
  </si>
  <si>
    <t>J374</t>
  </si>
  <si>
    <t>J376</t>
  </si>
  <si>
    <t>J378</t>
  </si>
  <si>
    <t>J3EQ</t>
  </si>
  <si>
    <t>J453</t>
  </si>
  <si>
    <t>J457</t>
  </si>
  <si>
    <t>J4EQ</t>
  </si>
  <si>
    <t>J533</t>
  </si>
  <si>
    <t>J537</t>
  </si>
  <si>
    <t>J555</t>
  </si>
  <si>
    <t>J575</t>
  </si>
  <si>
    <t>J5EQ</t>
  </si>
  <si>
    <t>J653</t>
  </si>
  <si>
    <t>J657</t>
  </si>
  <si>
    <t>J835</t>
  </si>
  <si>
    <t>J853</t>
  </si>
  <si>
    <t>J857</t>
  </si>
  <si>
    <t>J863</t>
  </si>
  <si>
    <t>J873</t>
  </si>
  <si>
    <t>J877</t>
  </si>
  <si>
    <t>J898</t>
  </si>
  <si>
    <t>J953</t>
  </si>
  <si>
    <t>J957</t>
  </si>
  <si>
    <t>JA00</t>
  </si>
  <si>
    <t>JA0R</t>
  </si>
  <si>
    <t>JA30</t>
  </si>
  <si>
    <t>JA3R</t>
  </si>
  <si>
    <t>JN00</t>
  </si>
  <si>
    <t>JN0U</t>
  </si>
  <si>
    <t>JN23</t>
  </si>
  <si>
    <t>JN43</t>
  </si>
  <si>
    <t>JN51</t>
  </si>
  <si>
    <t>JNR4</t>
  </si>
  <si>
    <t>JNS4</t>
  </si>
  <si>
    <t>JNX4</t>
  </si>
  <si>
    <t>JS01</t>
  </si>
  <si>
    <t>JS11</t>
  </si>
  <si>
    <t>JS12</t>
  </si>
  <si>
    <t>JS13</t>
  </si>
  <si>
    <t>JS14</t>
  </si>
  <si>
    <t>JS21</t>
  </si>
  <si>
    <t>JS23</t>
  </si>
  <si>
    <t>JS24</t>
  </si>
  <si>
    <t>JS25</t>
  </si>
  <si>
    <t>JS26</t>
  </si>
  <si>
    <t>JS27</t>
  </si>
  <si>
    <t>JS31</t>
  </si>
  <si>
    <t>JS32</t>
  </si>
  <si>
    <t>JS33</t>
  </si>
  <si>
    <t>JS34</t>
  </si>
  <si>
    <t>JS36</t>
  </si>
  <si>
    <t>JS37</t>
  </si>
  <si>
    <t>JS41</t>
  </si>
  <si>
    <t>JS42</t>
  </si>
  <si>
    <t>JS52</t>
  </si>
  <si>
    <t>JS53</t>
  </si>
  <si>
    <t>JS54</t>
  </si>
  <si>
    <t>JS55</t>
  </si>
  <si>
    <t>JS61</t>
  </si>
  <si>
    <t>JS62</t>
  </si>
  <si>
    <t>JS81</t>
  </si>
  <si>
    <t>JS82</t>
  </si>
  <si>
    <t>JS83</t>
  </si>
  <si>
    <t>JS84</t>
  </si>
  <si>
    <t>JS85</t>
  </si>
  <si>
    <t>JS86</t>
  </si>
  <si>
    <t>JS87</t>
  </si>
  <si>
    <t>JS91</t>
  </si>
  <si>
    <t>JS92</t>
  </si>
  <si>
    <t>JSI0</t>
  </si>
  <si>
    <t>JSI1</t>
  </si>
  <si>
    <t>JSI2</t>
  </si>
  <si>
    <t>JSI3</t>
  </si>
  <si>
    <t>JSI4</t>
  </si>
  <si>
    <t>JSI5</t>
  </si>
  <si>
    <t>JSI6</t>
  </si>
  <si>
    <t>JSI8</t>
  </si>
  <si>
    <t>JSI9</t>
  </si>
  <si>
    <t>JSZ0</t>
  </si>
  <si>
    <t>JSZ1</t>
  </si>
  <si>
    <t>JSZ2</t>
  </si>
  <si>
    <t>JSZ3</t>
  </si>
  <si>
    <t>JSZ4</t>
  </si>
  <si>
    <t>JSZ5</t>
  </si>
  <si>
    <t>JSZ6</t>
  </si>
  <si>
    <t>JSZ7</t>
  </si>
  <si>
    <t>MV1X</t>
  </si>
  <si>
    <t>N000</t>
  </si>
  <si>
    <t>N004</t>
  </si>
  <si>
    <t>N010</t>
  </si>
  <si>
    <t>N011</t>
  </si>
  <si>
    <t>N020</t>
  </si>
  <si>
    <t>N024</t>
  </si>
  <si>
    <t>N040</t>
  </si>
  <si>
    <t>N041</t>
  </si>
  <si>
    <t>N043</t>
  </si>
  <si>
    <t>N050</t>
  </si>
  <si>
    <t>N052</t>
  </si>
  <si>
    <t>N059</t>
  </si>
  <si>
    <t>N060</t>
  </si>
  <si>
    <t>N063</t>
  </si>
  <si>
    <t>N080</t>
  </si>
  <si>
    <t>N081</t>
  </si>
  <si>
    <t>N083</t>
  </si>
  <si>
    <t>N084</t>
  </si>
  <si>
    <t>N085</t>
  </si>
  <si>
    <t>N086</t>
  </si>
  <si>
    <t>N087</t>
  </si>
  <si>
    <t>N098</t>
  </si>
  <si>
    <t>N099</t>
  </si>
  <si>
    <t>N135</t>
  </si>
  <si>
    <t>N175</t>
  </si>
  <si>
    <t>N177</t>
  </si>
  <si>
    <t>N272</t>
  </si>
  <si>
    <t>N279</t>
  </si>
  <si>
    <t>N353</t>
  </si>
  <si>
    <t>N357</t>
  </si>
  <si>
    <t>N453</t>
  </si>
  <si>
    <t>N510</t>
  </si>
  <si>
    <t>N520</t>
  </si>
  <si>
    <t>N530</t>
  </si>
  <si>
    <t>N533</t>
  </si>
  <si>
    <t>N537</t>
  </si>
  <si>
    <t>N540</t>
  </si>
  <si>
    <t>N550</t>
  </si>
  <si>
    <t>N580</t>
  </si>
  <si>
    <t>N835</t>
  </si>
  <si>
    <t>N853</t>
  </si>
  <si>
    <t>N857</t>
  </si>
  <si>
    <t>N863</t>
  </si>
  <si>
    <t>N867</t>
  </si>
  <si>
    <t>N873</t>
  </si>
  <si>
    <t>N877</t>
  </si>
  <si>
    <t>N898</t>
  </si>
  <si>
    <t>Index Close ToDay</t>
  </si>
  <si>
    <t>Index Close Prev Month</t>
  </si>
  <si>
    <t>Index</t>
  </si>
  <si>
    <t>Single Stock</t>
  </si>
  <si>
    <t>Dividend</t>
  </si>
  <si>
    <t>International Derivatives</t>
  </si>
  <si>
    <t>International Derivatives Dividends</t>
  </si>
  <si>
    <t>Can-Do</t>
  </si>
  <si>
    <t>EDM MTD</t>
  </si>
  <si>
    <t>EDM Open Interest MTD</t>
  </si>
  <si>
    <t>EDM MTD 2MNTH AGO</t>
  </si>
  <si>
    <t>EDM Open Interest MTD 2MNTH AGO</t>
  </si>
  <si>
    <t>EDM MTD Prev Year</t>
  </si>
  <si>
    <t>EDM Open Interest MTD Prev Year</t>
  </si>
  <si>
    <t>Commodities Page MTD</t>
  </si>
  <si>
    <t>Commodities Page MTD Prev Year</t>
  </si>
  <si>
    <t>Commodities Page MTD 2MAGO</t>
  </si>
  <si>
    <t>Corn Contract</t>
  </si>
  <si>
    <t>Yellow Maize Future</t>
  </si>
  <si>
    <t>Sunflower Seeds Future</t>
  </si>
  <si>
    <t>White Maize Future</t>
  </si>
  <si>
    <t>Platinum</t>
  </si>
  <si>
    <t>Commodities Page Open Interest MTD</t>
  </si>
  <si>
    <t>Commodities Page Ope Interest MTD 2MAGO</t>
  </si>
  <si>
    <t>EDM YTD TurnOver Futures</t>
  </si>
  <si>
    <t>EDM YTD TurnOver Options</t>
  </si>
  <si>
    <t xml:space="preserve">IRD YTD TurnOver Futures </t>
  </si>
  <si>
    <t>EDM YTD TurnOver Futures PrevYear</t>
  </si>
  <si>
    <t>EDM YTD TurnOver Options PrevYear</t>
  </si>
  <si>
    <t>IRD YTD TurnOver Futures PrevYear</t>
  </si>
  <si>
    <t>IRD YTD TurnOver Options PrevYear</t>
  </si>
  <si>
    <t xml:space="preserve">Currency YTD TurnOver Futures </t>
  </si>
  <si>
    <t>Currency YTD TurnOver Futures PrevYear</t>
  </si>
  <si>
    <t>Currency YTD TurnOver Options PrevYear</t>
  </si>
  <si>
    <t xml:space="preserve">Commodity YTD TurnOver Futures </t>
  </si>
  <si>
    <t>Commodity YTD TurnOver Futures PrevYear</t>
  </si>
  <si>
    <t>Commodity YTD TurnOver Options PrevYear</t>
  </si>
  <si>
    <t xml:space="preserve">IRD YTD TurnOver Options </t>
  </si>
  <si>
    <t xml:space="preserve">IRD MTD TurnOver Futures </t>
  </si>
  <si>
    <t xml:space="preserve">IRD MTD TurnOver Options </t>
  </si>
  <si>
    <t>EDM TurnOver Futures OpenInterest PrevYear</t>
  </si>
  <si>
    <t>EDM TurnOver Options OpenInterest PrevYear</t>
  </si>
  <si>
    <t xml:space="preserve">IRD MTD TurnOver OpenInterest Futures </t>
  </si>
  <si>
    <t xml:space="preserve">IRD MTD TurnOver OpenInterest Options </t>
  </si>
  <si>
    <t>IRD TurnOver Futures OpenInterest PrevYear</t>
  </si>
  <si>
    <t>IRD TurnOver Options OpenInterest PrevYear</t>
  </si>
  <si>
    <t xml:space="preserve">Currency YTD TurnOver Options </t>
  </si>
  <si>
    <t xml:space="preserve">Currency MTD TurnOver Futures </t>
  </si>
  <si>
    <t xml:space="preserve">Currency MTD TurnOver Options </t>
  </si>
  <si>
    <t xml:space="preserve">Currency MTD TurnOver OpenInterest Futures </t>
  </si>
  <si>
    <t>Currency YTD TurnOver OpenInterest Futures Prev Year</t>
  </si>
  <si>
    <t xml:space="preserve">Commodity MTD TurnOver OpenInterest Futures Prev Year </t>
  </si>
  <si>
    <t>Commodity MTD TurnOver OpenInterest Options Prev Year</t>
  </si>
  <si>
    <t xml:space="preserve">Commodity YTD TurnOver Options </t>
  </si>
  <si>
    <t>Market Capitalisation (R Trn)</t>
  </si>
  <si>
    <t>Listed Companies Matrix YTD</t>
  </si>
  <si>
    <t>Listed Companies Matrix YTD PrevYear</t>
  </si>
  <si>
    <t>Listed Companies Matrix MTD</t>
  </si>
  <si>
    <t>Listed Securities and Market Cap MTD</t>
  </si>
  <si>
    <t>Listed Securities and Market Cap YTD PrevYear</t>
  </si>
  <si>
    <t>Liquidity MTD</t>
  </si>
  <si>
    <t>Liquidity YTD</t>
  </si>
  <si>
    <t>Liquidity YTD PrevYear</t>
  </si>
  <si>
    <t>Number Trading Days MTD</t>
  </si>
  <si>
    <t>Number Trading Days YTD</t>
  </si>
  <si>
    <t>Bonds ST MTD</t>
  </si>
  <si>
    <t>Bonds ST YTD</t>
  </si>
  <si>
    <t>Bonds ST YTD PrevYear</t>
  </si>
  <si>
    <t>Bonds Repo MTD</t>
  </si>
  <si>
    <t>Bonds Repo YTD</t>
  </si>
  <si>
    <t>Bonds Repo YTD PrevYear</t>
  </si>
  <si>
    <t>Bonds Other MTD</t>
  </si>
  <si>
    <t>Bonds Other YTD</t>
  </si>
  <si>
    <t>Bonds Other YTD PrevYear</t>
  </si>
  <si>
    <t>Bonds Non Res Flows YTD</t>
  </si>
  <si>
    <t>Bonds Non Res Flows MTD</t>
  </si>
  <si>
    <t>Bonds Non Res Flows YTD PrevYear</t>
  </si>
  <si>
    <t>InstrumentDescription</t>
  </si>
  <si>
    <t>Value (R m)</t>
  </si>
  <si>
    <t>Volume (R 000)</t>
  </si>
  <si>
    <t>SUM_PurchaseValue</t>
  </si>
  <si>
    <t>SUM_SalesValue</t>
  </si>
  <si>
    <t>SUM_NetSalesPurchasesValue</t>
  </si>
  <si>
    <t>Market Cap YTD Prev Year</t>
  </si>
  <si>
    <t>Market Cap MTD</t>
  </si>
  <si>
    <t xml:space="preserve">Capital Raised MTD </t>
  </si>
  <si>
    <t>Capital Raised YTD</t>
  </si>
  <si>
    <t>Capital Raised YTD Prev Year</t>
  </si>
  <si>
    <t>NOTE:FTSE/JSE Indices were reintroduced in June 2002 and all values are reflective since.</t>
  </si>
  <si>
    <t>09/2016</t>
  </si>
  <si>
    <t xml:space="preserve">                       -   </t>
  </si>
  <si>
    <t xml:space="preserve">                        -   </t>
  </si>
  <si>
    <t>SUM_Volume</t>
  </si>
  <si>
    <t>SUM_Value</t>
  </si>
  <si>
    <t>SUM_Deals</t>
  </si>
  <si>
    <t>Capacity</t>
  </si>
  <si>
    <t>Party</t>
  </si>
  <si>
    <t>A</t>
  </si>
  <si>
    <t>Buy</t>
  </si>
  <si>
    <t>P</t>
  </si>
  <si>
    <t>Sell</t>
  </si>
  <si>
    <t>Index Close</t>
  </si>
  <si>
    <t>J205</t>
  </si>
  <si>
    <t>J206</t>
  </si>
  <si>
    <t>J311</t>
  </si>
  <si>
    <t>J430</t>
  </si>
  <si>
    <t>J433</t>
  </si>
  <si>
    <t>IndexRank</t>
  </si>
  <si>
    <t>J203CF</t>
  </si>
  <si>
    <t>J203DF</t>
  </si>
  <si>
    <t>J203LF</t>
  </si>
  <si>
    <t>J203MF</t>
  </si>
  <si>
    <t>J203QF</t>
  </si>
  <si>
    <t>J203SF</t>
  </si>
  <si>
    <t>J203VF</t>
  </si>
  <si>
    <t>J203VOF</t>
  </si>
  <si>
    <t>InstrumentTypeName</t>
  </si>
  <si>
    <t>SUM_DaysValue</t>
  </si>
  <si>
    <t>SUM_DaysVolume</t>
  </si>
  <si>
    <t>SUM_DaysDeal</t>
  </si>
  <si>
    <t>SUM_OpenInterest</t>
  </si>
  <si>
    <t>FuturesContract</t>
  </si>
  <si>
    <t>African Derivatives</t>
  </si>
  <si>
    <t>COPPER QUANTO</t>
  </si>
  <si>
    <t>CORN CONTRACT</t>
  </si>
  <si>
    <t>SOYA FUTURE</t>
  </si>
  <si>
    <t>BRENT CRUDE OIL FUTURE</t>
  </si>
  <si>
    <t xml:space="preserve">DIESEL EUROPEAN GASOIL </t>
  </si>
  <si>
    <t xml:space="preserve">SOFT RED WHEAT FUTURES </t>
  </si>
  <si>
    <t>GOLD QUANTO</t>
  </si>
  <si>
    <t>SOYBEAN CONTRACT</t>
  </si>
  <si>
    <t>COPPER</t>
  </si>
  <si>
    <t>HARD RED WINTER WHEAT FUTURES</t>
  </si>
  <si>
    <t>YELLOW MAIZE FUTURE</t>
  </si>
  <si>
    <t>EURONEXT MILLING WHEAT CONTRACT</t>
  </si>
  <si>
    <t>COCOA QUANTO</t>
  </si>
  <si>
    <t>GASOLINE QUANTO</t>
  </si>
  <si>
    <t>SILVER QUANTO</t>
  </si>
  <si>
    <t>PALLADIUM</t>
  </si>
  <si>
    <t>COFFEE QUANTO</t>
  </si>
  <si>
    <t>NATURAL GAS QUANTO</t>
  </si>
  <si>
    <t>GOLD</t>
  </si>
  <si>
    <t>SOYBEAN MEAL CONTRACT</t>
  </si>
  <si>
    <t>SUNFLOWER SEEDS FUTURE</t>
  </si>
  <si>
    <t>BREAD MILLING WHEAT</t>
  </si>
  <si>
    <t>WHITE MAIZE FUTURE</t>
  </si>
  <si>
    <t>SOYBEAN OIL CONTRACT</t>
  </si>
  <si>
    <t>SOYBEAN QUANTO</t>
  </si>
  <si>
    <t>PALLADIUM QUANTO</t>
  </si>
  <si>
    <t>SORGHUM FUTURES</t>
  </si>
  <si>
    <t>COTTON QUANTO</t>
  </si>
  <si>
    <t>BEEF CARCASS</t>
  </si>
  <si>
    <t>SORGHUM  BITTER - GH1 FUTURE</t>
  </si>
  <si>
    <t>HEATING OIL QUANTO</t>
  </si>
  <si>
    <t>QUANTO SOYBEAN COMMODITY CANDO</t>
  </si>
  <si>
    <t>BRENT CRUDE OIL QUANTO</t>
  </si>
  <si>
    <t>CORN QUANTO</t>
  </si>
  <si>
    <t>SUGAR #11 QUANTO</t>
  </si>
  <si>
    <t>SOYABEAN CRUSH FUTURE</t>
  </si>
  <si>
    <t>LAMB CARCASS</t>
  </si>
  <si>
    <t xml:space="preserve">PLATINUM QUANTO </t>
  </si>
  <si>
    <t>PLATINUM</t>
  </si>
  <si>
    <t>SILVER</t>
  </si>
  <si>
    <t>CRUDE OIL</t>
  </si>
  <si>
    <t>MERINO WOOL</t>
  </si>
  <si>
    <t>QUANTO WHITE MAIZE</t>
  </si>
  <si>
    <t>ZAMBIAN BREAD MILLING WHEAT FUTURE</t>
  </si>
  <si>
    <t>ZAMBIAN WHITE MAIZE</t>
  </si>
  <si>
    <t>YELLOW MAIZE COMMODITY CANDO</t>
  </si>
  <si>
    <t>ZAMBIAN SOYA BEANS FUTURE</t>
  </si>
  <si>
    <t>RAND DOLLAR CORN</t>
  </si>
  <si>
    <t>WHITE MAIZE GRADE 2 FUTURE</t>
  </si>
  <si>
    <t>QUANTO SOYBEAN CALANDER SPREAD COMMODITY CANDO</t>
  </si>
  <si>
    <t>QUANTO SOYBEAN MEAL COMMODITY CANDO</t>
  </si>
  <si>
    <t>isFuture</t>
  </si>
  <si>
    <t>Option</t>
  </si>
  <si>
    <t>Future</t>
  </si>
  <si>
    <t>MainBoardCode</t>
  </si>
  <si>
    <t>TotalCompaniesListed</t>
  </si>
  <si>
    <t>NewListings</t>
  </si>
  <si>
    <t>DeListings</t>
  </si>
  <si>
    <t>LeftBoard</t>
  </si>
  <si>
    <t>JoinedBoard</t>
  </si>
  <si>
    <t>NetListed</t>
  </si>
  <si>
    <t>DomesticLisitings</t>
  </si>
  <si>
    <t>ForeignLisitings</t>
  </si>
  <si>
    <t>BEE</t>
  </si>
  <si>
    <t>DCM</t>
  </si>
  <si>
    <t>Main</t>
  </si>
  <si>
    <t>VCM</t>
  </si>
  <si>
    <t>COUNT_InstAlpha</t>
  </si>
  <si>
    <t>SUM_MarketCap</t>
  </si>
  <si>
    <t>TradingDays</t>
  </si>
  <si>
    <t>SUM_TradeValue</t>
  </si>
  <si>
    <t>Nominal</t>
  </si>
  <si>
    <t>Consideration</t>
  </si>
  <si>
    <t>TradeYear</t>
  </si>
  <si>
    <t>NumberOfInstruments</t>
  </si>
  <si>
    <t>TradeType</t>
  </si>
  <si>
    <t>ForeignNetConsideration</t>
  </si>
  <si>
    <t>ForeignNetNominal</t>
  </si>
  <si>
    <t>ForeignNetNrTrades</t>
  </si>
  <si>
    <t>ForeignPurchasesConsideration</t>
  </si>
  <si>
    <t>ForeignPurchasesNominal</t>
  </si>
  <si>
    <t>ForeignPurchasesNrTrades</t>
  </si>
  <si>
    <t>ForeignSalesConsideration</t>
  </si>
  <si>
    <t>ForeignSalesNominal</t>
  </si>
  <si>
    <t>ForeignSalesNrTrades</t>
  </si>
  <si>
    <t>Free of Value</t>
  </si>
  <si>
    <t>Other Trade - I</t>
  </si>
  <si>
    <t>Repo 1</t>
  </si>
  <si>
    <t>Repo 2</t>
  </si>
  <si>
    <t>Standard Trade</t>
  </si>
  <si>
    <t>Standard Trade (Spot)</t>
  </si>
  <si>
    <t>Structured Deal</t>
  </si>
  <si>
    <t>TradeMonth</t>
  </si>
  <si>
    <t>2017/08</t>
  </si>
  <si>
    <t>CorporateActionTypeCode</t>
  </si>
  <si>
    <t>SUM_TotalValue</t>
  </si>
  <si>
    <t>AS</t>
  </si>
  <si>
    <t>GI</t>
  </si>
  <si>
    <t>SI</t>
  </si>
  <si>
    <t>SO</t>
  </si>
  <si>
    <t>SS</t>
  </si>
  <si>
    <t>TU</t>
  </si>
  <si>
    <t>Note: The monthly "local liquidity"  using the value traded and Strate market capitalisation is 60.72%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</si>
</sst>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64" formatCode="&quot;R&quot;#,##0.00_);\(&quot;R&quot;#,##0.00\)"/>
    <numFmt numFmtId="165" formatCode="_ * #,##0_ ;_ * \-#,##0_ ;_ * &quot;-&quot;??_ ;_ @_ "/>
    <numFmt numFmtId="166" formatCode="_ * #,##0.0_ ;_ * \-#,##0.0_ ;_ * &quot;-&quot;??_ ;_ @_ "/>
    <numFmt numFmtId="167" formatCode="_(* #,##0_);_(* \(#,##0\);_(* &quot;-&quot;??_);_(@_)"/>
    <numFmt numFmtId="168" formatCode="mmm\-yyyy"/>
    <numFmt numFmtId="169" formatCode="#,###,###,"/>
    <numFmt numFmtId="170" formatCode="0.0"/>
  </numFmts>
  <fonts count="60" x14ac:knownFonts="1"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i/>
      <sz val="8"/>
      <color theme="1"/>
      <name val="Arial"/>
      <family val="2"/>
    </font>
    <font>
      <b/>
      <sz val="10"/>
      <name val="Arial"/>
      <family val="2"/>
    </font>
    <font>
      <i/>
      <sz val="8"/>
      <color indexed="8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B050"/>
      <name val="Arial"/>
      <family val="2"/>
    </font>
    <font>
      <b/>
      <sz val="10"/>
      <color rgb="FF00B050"/>
      <name val="Arial"/>
      <family val="2"/>
    </font>
    <font>
      <b/>
      <i/>
      <sz val="10"/>
      <color rgb="FFFF0000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b/>
      <sz val="9"/>
      <color theme="1"/>
      <name val="Arial"/>
      <family val="2"/>
    </font>
    <font>
      <b/>
      <i/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b/>
      <sz val="11"/>
      <color rgb="FFFF0000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i/>
      <sz val="11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/>
      <top style="medium">
        <color rgb="FF92D050"/>
      </top>
      <bottom style="medium">
        <color rgb="FF92D050"/>
      </bottom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/>
      <right style="medium">
        <color rgb="FF92D050"/>
      </right>
      <top/>
      <bottom style="medium">
        <color rgb="FF92D050"/>
      </bottom>
      <diagonal/>
    </border>
  </borders>
  <cellStyleXfs count="1103">
    <xf numFmtId="0" fontId="0" fillId="0" borderId="0"/>
    <xf numFmtId="43" fontId="1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" applyNumberFormat="0" applyFill="0" applyAlignment="0" applyProtection="0"/>
    <xf numFmtId="0" fontId="27" fillId="0" borderId="2" applyNumberFormat="0" applyFill="0" applyAlignment="0" applyProtection="0"/>
    <xf numFmtId="0" fontId="28" fillId="0" borderId="3" applyNumberFormat="0" applyFill="0" applyAlignment="0" applyProtection="0"/>
    <xf numFmtId="0" fontId="28" fillId="0" borderId="0" applyNumberFormat="0" applyFill="0" applyBorder="0" applyAlignment="0" applyProtection="0"/>
    <xf numFmtId="0" fontId="29" fillId="2" borderId="0" applyNumberFormat="0" applyBorder="0" applyAlignment="0" applyProtection="0"/>
    <xf numFmtId="0" fontId="30" fillId="3" borderId="0" applyNumberFormat="0" applyBorder="0" applyAlignment="0" applyProtection="0"/>
    <xf numFmtId="0" fontId="31" fillId="4" borderId="0" applyNumberFormat="0" applyBorder="0" applyAlignment="0" applyProtection="0"/>
    <xf numFmtId="0" fontId="32" fillId="5" borderId="4" applyNumberFormat="0" applyAlignment="0" applyProtection="0"/>
    <xf numFmtId="0" fontId="33" fillId="6" borderId="5" applyNumberFormat="0" applyAlignment="0" applyProtection="0"/>
    <xf numFmtId="0" fontId="34" fillId="6" borderId="4" applyNumberFormat="0" applyAlignment="0" applyProtection="0"/>
    <xf numFmtId="0" fontId="35" fillId="0" borderId="6" applyNumberFormat="0" applyFill="0" applyAlignment="0" applyProtection="0"/>
    <xf numFmtId="0" fontId="36" fillId="7" borderId="7" applyNumberFormat="0" applyAlignment="0" applyProtection="0"/>
    <xf numFmtId="0" fontId="37" fillId="0" borderId="0" applyNumberFormat="0" applyFill="0" applyBorder="0" applyAlignment="0" applyProtection="0"/>
    <xf numFmtId="0" fontId="18" fillId="8" borderId="8" applyNumberFormat="0" applyFont="0" applyAlignment="0" applyProtection="0"/>
    <xf numFmtId="0" fontId="3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39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39" fillId="32" borderId="0" applyNumberFormat="0" applyBorder="0" applyAlignment="0" applyProtection="0"/>
    <xf numFmtId="9" fontId="18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8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8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8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8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8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8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93">
    <xf numFmtId="0" fontId="0" fillId="0" borderId="0" xfId="0"/>
    <xf numFmtId="0" fontId="19" fillId="0" borderId="0" xfId="0" applyFont="1"/>
    <xf numFmtId="43" fontId="0" fillId="0" borderId="0" xfId="1" applyFont="1"/>
    <xf numFmtId="165" fontId="0" fillId="0" borderId="0" xfId="1" applyNumberFormat="1" applyFont="1"/>
    <xf numFmtId="165" fontId="19" fillId="0" borderId="0" xfId="1" applyNumberFormat="1" applyFont="1"/>
    <xf numFmtId="43" fontId="19" fillId="0" borderId="0" xfId="1" applyFont="1"/>
    <xf numFmtId="14" fontId="0" fillId="0" borderId="0" xfId="0" applyNumberFormat="1" applyAlignment="1">
      <alignment horizontal="right"/>
    </xf>
    <xf numFmtId="14" fontId="19" fillId="0" borderId="0" xfId="0" applyNumberFormat="1" applyFont="1" applyAlignment="1">
      <alignment horizontal="right"/>
    </xf>
    <xf numFmtId="0" fontId="21" fillId="0" borderId="0" xfId="0" applyFont="1" applyFill="1"/>
    <xf numFmtId="0" fontId="23" fillId="0" borderId="0" xfId="0" applyFont="1" applyFill="1"/>
    <xf numFmtId="0" fontId="0" fillId="0" borderId="0" xfId="0" applyFont="1"/>
    <xf numFmtId="17" fontId="19" fillId="0" borderId="0" xfId="0" quotePrefix="1" applyNumberFormat="1" applyFont="1" applyAlignment="1">
      <alignment horizontal="right"/>
    </xf>
    <xf numFmtId="14" fontId="0" fillId="0" borderId="0" xfId="0" applyNumberFormat="1" applyFont="1" applyAlignment="1">
      <alignment horizontal="right"/>
    </xf>
    <xf numFmtId="167" fontId="22" fillId="0" borderId="0" xfId="0" applyNumberFormat="1" applyFont="1"/>
    <xf numFmtId="0" fontId="20" fillId="0" borderId="0" xfId="0" applyFont="1"/>
    <xf numFmtId="165" fontId="0" fillId="0" borderId="0" xfId="0" applyNumberFormat="1" applyFont="1"/>
    <xf numFmtId="3" fontId="19" fillId="0" borderId="0" xfId="0" applyNumberFormat="1" applyFont="1"/>
    <xf numFmtId="0" fontId="19" fillId="0" borderId="0" xfId="0" applyFont="1"/>
    <xf numFmtId="0" fontId="40" fillId="0" borderId="0" xfId="0" applyFont="1"/>
    <xf numFmtId="3" fontId="0" fillId="0" borderId="0" xfId="0" applyNumberFormat="1" applyFont="1"/>
    <xf numFmtId="43" fontId="0" fillId="0" borderId="0" xfId="0" applyNumberFormat="1"/>
    <xf numFmtId="0" fontId="24" fillId="0" borderId="0" xfId="0" applyFont="1"/>
    <xf numFmtId="167" fontId="16" fillId="0" borderId="0" xfId="0" applyNumberFormat="1" applyFont="1"/>
    <xf numFmtId="166" fontId="19" fillId="0" borderId="0" xfId="0" applyNumberFormat="1" applyFont="1"/>
    <xf numFmtId="0" fontId="19" fillId="0" borderId="0" xfId="0" applyFont="1" applyAlignment="1">
      <alignment horizontal="right"/>
    </xf>
    <xf numFmtId="0" fontId="19" fillId="0" borderId="0" xfId="0" quotePrefix="1" applyFont="1" applyAlignment="1">
      <alignment horizontal="right"/>
    </xf>
    <xf numFmtId="0" fontId="19" fillId="0" borderId="0" xfId="0" applyFont="1"/>
    <xf numFmtId="165" fontId="0" fillId="0" borderId="0" xfId="0" applyNumberFormat="1" applyFont="1"/>
    <xf numFmtId="0" fontId="0" fillId="0" borderId="0" xfId="0" applyFont="1"/>
    <xf numFmtId="165" fontId="15" fillId="0" borderId="0" xfId="0" applyNumberFormat="1" applyFont="1" applyFill="1"/>
    <xf numFmtId="3" fontId="16" fillId="0" borderId="0" xfId="0" applyNumberFormat="1" applyFont="1"/>
    <xf numFmtId="165" fontId="20" fillId="0" borderId="0" xfId="0" applyNumberFormat="1" applyFont="1" applyFill="1"/>
    <xf numFmtId="165" fontId="0" fillId="0" borderId="0" xfId="0" applyNumberFormat="1" applyFont="1" applyFill="1"/>
    <xf numFmtId="165" fontId="19" fillId="0" borderId="0" xfId="0" applyNumberFormat="1" applyFont="1"/>
    <xf numFmtId="0" fontId="19" fillId="0" borderId="0" xfId="0" applyFont="1"/>
    <xf numFmtId="0" fontId="22" fillId="0" borderId="0" xfId="0" applyFont="1"/>
    <xf numFmtId="165" fontId="16" fillId="0" borderId="0" xfId="0" applyNumberFormat="1" applyFont="1"/>
    <xf numFmtId="166" fontId="0" fillId="0" borderId="0" xfId="0" applyNumberFormat="1" applyFont="1"/>
    <xf numFmtId="166" fontId="19" fillId="0" borderId="0" xfId="0" applyNumberFormat="1" applyFont="1"/>
    <xf numFmtId="0" fontId="19" fillId="0" borderId="0" xfId="0" applyFont="1" applyAlignment="1">
      <alignment horizontal="right"/>
    </xf>
    <xf numFmtId="165" fontId="24" fillId="0" borderId="0" xfId="0" applyNumberFormat="1" applyFont="1"/>
    <xf numFmtId="0" fontId="0" fillId="0" borderId="0" xfId="0"/>
    <xf numFmtId="0" fontId="24" fillId="0" borderId="0" xfId="0" applyFont="1"/>
    <xf numFmtId="0" fontId="0" fillId="0" borderId="0" xfId="0"/>
    <xf numFmtId="165" fontId="0" fillId="0" borderId="0" xfId="0" applyNumberFormat="1" applyFont="1" applyFill="1" applyBorder="1"/>
    <xf numFmtId="165" fontId="0" fillId="0" borderId="0" xfId="0" applyNumberFormat="1" applyFont="1" applyAlignment="1">
      <alignment horizontal="right"/>
    </xf>
    <xf numFmtId="0" fontId="0" fillId="0" borderId="0" xfId="0" applyFont="1" applyAlignment="1">
      <alignment horizontal="right"/>
    </xf>
    <xf numFmtId="0" fontId="42" fillId="0" borderId="0" xfId="0" applyFont="1"/>
    <xf numFmtId="165" fontId="0" fillId="0" borderId="0" xfId="0" applyNumberFormat="1" applyFont="1" applyFill="1" applyBorder="1" applyAlignment="1">
      <alignment horizontal="right"/>
    </xf>
    <xf numFmtId="165" fontId="15" fillId="0" borderId="0" xfId="0" applyNumberFormat="1" applyFont="1"/>
    <xf numFmtId="165" fontId="20" fillId="0" borderId="0" xfId="0" applyNumberFormat="1" applyFont="1"/>
    <xf numFmtId="166" fontId="20" fillId="0" borderId="0" xfId="0" applyNumberFormat="1" applyFont="1"/>
    <xf numFmtId="0" fontId="44" fillId="0" borderId="0" xfId="0" applyFont="1"/>
    <xf numFmtId="166" fontId="0" fillId="0" borderId="0" xfId="0" applyNumberFormat="1" applyFont="1" applyAlignment="1">
      <alignment horizontal="right"/>
    </xf>
    <xf numFmtId="165" fontId="44" fillId="0" borderId="0" xfId="0" applyNumberFormat="1" applyFont="1"/>
    <xf numFmtId="165" fontId="43" fillId="0" borderId="0" xfId="0" applyNumberFormat="1" applyFont="1"/>
    <xf numFmtId="0" fontId="19" fillId="0" borderId="0" xfId="0" applyFont="1"/>
    <xf numFmtId="166" fontId="0" fillId="0" borderId="0" xfId="1" applyNumberFormat="1" applyFont="1"/>
    <xf numFmtId="0" fontId="19" fillId="0" borderId="0" xfId="0" applyFont="1"/>
    <xf numFmtId="0" fontId="21" fillId="0" borderId="0" xfId="0" applyFont="1"/>
    <xf numFmtId="0" fontId="19" fillId="0" borderId="0" xfId="0" applyFont="1"/>
    <xf numFmtId="0" fontId="19" fillId="0" borderId="0" xfId="0" applyFont="1"/>
    <xf numFmtId="165" fontId="0" fillId="0" borderId="0" xfId="0" applyNumberFormat="1" applyFont="1"/>
    <xf numFmtId="165" fontId="15" fillId="0" borderId="0" xfId="1" applyNumberFormat="1" applyFont="1"/>
    <xf numFmtId="0" fontId="19" fillId="0" borderId="0" xfId="0" applyFont="1"/>
    <xf numFmtId="0" fontId="19" fillId="0" borderId="0" xfId="0" applyFont="1"/>
    <xf numFmtId="165" fontId="22" fillId="0" borderId="0" xfId="0" quotePrefix="1" applyNumberFormat="1" applyFont="1" applyAlignment="1">
      <alignment horizontal="right"/>
    </xf>
    <xf numFmtId="165" fontId="14" fillId="0" borderId="0" xfId="0" applyNumberFormat="1" applyFont="1"/>
    <xf numFmtId="165" fontId="18" fillId="0" borderId="0" xfId="0" applyNumberFormat="1" applyFont="1"/>
    <xf numFmtId="0" fontId="43" fillId="0" borderId="0" xfId="0" applyFont="1"/>
    <xf numFmtId="165" fontId="14" fillId="0" borderId="0" xfId="0" applyNumberFormat="1" applyFont="1"/>
    <xf numFmtId="0" fontId="14" fillId="0" borderId="0" xfId="0" applyFont="1"/>
    <xf numFmtId="165" fontId="13" fillId="0" borderId="0" xfId="0" applyNumberFormat="1" applyFont="1"/>
    <xf numFmtId="165" fontId="0" fillId="0" borderId="0" xfId="0" applyNumberFormat="1"/>
    <xf numFmtId="0" fontId="19" fillId="0" borderId="0" xfId="0" applyFont="1"/>
    <xf numFmtId="165" fontId="12" fillId="0" borderId="0" xfId="0" applyNumberFormat="1" applyFont="1"/>
    <xf numFmtId="165" fontId="11" fillId="0" borderId="0" xfId="0" applyNumberFormat="1" applyFont="1"/>
    <xf numFmtId="165" fontId="11" fillId="0" borderId="0" xfId="1" applyNumberFormat="1" applyFont="1"/>
    <xf numFmtId="165" fontId="11" fillId="0" borderId="0" xfId="0" applyNumberFormat="1" applyFont="1"/>
    <xf numFmtId="165" fontId="11" fillId="0" borderId="0" xfId="0" applyNumberFormat="1" applyFont="1"/>
    <xf numFmtId="165" fontId="11" fillId="0" borderId="0" xfId="0" applyNumberFormat="1" applyFont="1"/>
    <xf numFmtId="168" fontId="41" fillId="0" borderId="0" xfId="0" applyNumberFormat="1" applyFont="1" applyFill="1" applyBorder="1" applyAlignment="1">
      <alignment horizontal="right"/>
    </xf>
    <xf numFmtId="168" fontId="41" fillId="0" borderId="0" xfId="0" applyNumberFormat="1" applyFont="1" applyFill="1" applyBorder="1" applyAlignment="1">
      <alignment wrapText="1"/>
    </xf>
    <xf numFmtId="0" fontId="20" fillId="0" borderId="0" xfId="0" quotePrefix="1" applyFont="1"/>
    <xf numFmtId="0" fontId="19" fillId="0" borderId="0" xfId="0" applyFont="1"/>
    <xf numFmtId="0" fontId="19" fillId="0" borderId="0" xfId="0" applyFont="1" applyAlignment="1">
      <alignment horizontal="left"/>
    </xf>
    <xf numFmtId="43" fontId="19" fillId="0" borderId="0" xfId="1" applyFont="1" applyAlignment="1">
      <alignment horizontal="left"/>
    </xf>
    <xf numFmtId="14" fontId="19" fillId="0" borderId="0" xfId="0" applyNumberFormat="1" applyFont="1" applyAlignment="1">
      <alignment horizontal="left"/>
    </xf>
    <xf numFmtId="165" fontId="13" fillId="0" borderId="0" xfId="1" applyNumberFormat="1" applyFont="1"/>
    <xf numFmtId="0" fontId="46" fillId="0" borderId="0" xfId="0" applyFont="1"/>
    <xf numFmtId="170" fontId="0" fillId="0" borderId="0" xfId="0" applyNumberFormat="1"/>
    <xf numFmtId="0" fontId="41" fillId="0" borderId="0" xfId="0" applyFont="1"/>
    <xf numFmtId="3" fontId="41" fillId="0" borderId="0" xfId="0" applyNumberFormat="1" applyFont="1"/>
    <xf numFmtId="170" fontId="41" fillId="0" borderId="0" xfId="0" applyNumberFormat="1" applyFont="1"/>
    <xf numFmtId="165" fontId="41" fillId="0" borderId="0" xfId="1" applyNumberFormat="1" applyFont="1"/>
    <xf numFmtId="165" fontId="41" fillId="0" borderId="0" xfId="0" applyNumberFormat="1" applyFont="1"/>
    <xf numFmtId="169" fontId="0" fillId="0" borderId="0" xfId="1" applyNumberFormat="1" applyFont="1"/>
    <xf numFmtId="169" fontId="41" fillId="0" borderId="0" xfId="0" applyNumberFormat="1" applyFont="1"/>
    <xf numFmtId="169" fontId="0" fillId="0" borderId="0" xfId="0" applyNumberFormat="1"/>
    <xf numFmtId="0" fontId="0" fillId="0" borderId="0" xfId="0" applyBorder="1"/>
    <xf numFmtId="0" fontId="41" fillId="33" borderId="0" xfId="0" applyFont="1" applyFill="1"/>
    <xf numFmtId="0" fontId="0" fillId="33" borderId="0" xfId="0" applyFill="1"/>
    <xf numFmtId="170" fontId="0" fillId="33" borderId="0" xfId="0" applyNumberFormat="1" applyFill="1"/>
    <xf numFmtId="0" fontId="41" fillId="0" borderId="0" xfId="0" applyFont="1" applyFill="1" applyBorder="1" applyAlignment="1">
      <alignment horizontal="right" wrapText="1"/>
    </xf>
    <xf numFmtId="168" fontId="41" fillId="0" borderId="0" xfId="0" applyNumberFormat="1" applyFont="1" applyFill="1" applyBorder="1" applyAlignment="1">
      <alignment horizontal="right" wrapText="1"/>
    </xf>
    <xf numFmtId="14" fontId="0" fillId="0" borderId="0" xfId="0" applyNumberFormat="1" applyBorder="1"/>
    <xf numFmtId="170" fontId="19" fillId="0" borderId="0" xfId="0" applyNumberFormat="1" applyFont="1"/>
    <xf numFmtId="0" fontId="19" fillId="0" borderId="0" xfId="0" applyFont="1"/>
    <xf numFmtId="0" fontId="0" fillId="0" borderId="11" xfId="0" applyFont="1" applyBorder="1"/>
    <xf numFmtId="0" fontId="19" fillId="0" borderId="11" xfId="0" applyFont="1" applyBorder="1"/>
    <xf numFmtId="165" fontId="0" fillId="0" borderId="11" xfId="0" applyNumberFormat="1" applyFont="1" applyBorder="1"/>
    <xf numFmtId="0" fontId="0" fillId="0" borderId="11" xfId="0" applyBorder="1"/>
    <xf numFmtId="0" fontId="0" fillId="0" borderId="11" xfId="0" applyFont="1" applyBorder="1"/>
    <xf numFmtId="165" fontId="19" fillId="0" borderId="11" xfId="0" applyNumberFormat="1" applyFont="1" applyBorder="1"/>
    <xf numFmtId="165" fontId="0" fillId="0" borderId="11" xfId="1" applyNumberFormat="1" applyFont="1" applyBorder="1"/>
    <xf numFmtId="0" fontId="19" fillId="0" borderId="12" xfId="0" applyFont="1" applyBorder="1" applyAlignment="1">
      <alignment horizontal="right"/>
    </xf>
    <xf numFmtId="0" fontId="0" fillId="0" borderId="12" xfId="0" applyFont="1" applyBorder="1"/>
    <xf numFmtId="0" fontId="19" fillId="0" borderId="12" xfId="0" applyFont="1" applyBorder="1"/>
    <xf numFmtId="165" fontId="0" fillId="0" borderId="12" xfId="0" applyNumberFormat="1" applyFont="1" applyBorder="1"/>
    <xf numFmtId="0" fontId="20" fillId="0" borderId="12" xfId="0" applyFont="1" applyFill="1" applyBorder="1"/>
    <xf numFmtId="0" fontId="45" fillId="0" borderId="12" xfId="0" applyFont="1" applyFill="1" applyBorder="1"/>
    <xf numFmtId="0" fontId="22" fillId="0" borderId="12" xfId="0" applyFont="1" applyBorder="1"/>
    <xf numFmtId="0" fontId="16" fillId="0" borderId="12" xfId="0" applyFont="1" applyBorder="1"/>
    <xf numFmtId="0" fontId="16" fillId="0" borderId="12" xfId="0" applyFont="1" applyFill="1" applyBorder="1"/>
    <xf numFmtId="0" fontId="16" fillId="0" borderId="0" xfId="0" applyFont="1"/>
    <xf numFmtId="0" fontId="48" fillId="0" borderId="0" xfId="0" applyFont="1" applyAlignment="1">
      <alignment vertical="center"/>
    </xf>
    <xf numFmtId="14" fontId="0" fillId="0" borderId="0" xfId="0" applyNumberFormat="1" applyFont="1"/>
    <xf numFmtId="165" fontId="24" fillId="0" borderId="0" xfId="1" applyNumberFormat="1" applyFont="1"/>
    <xf numFmtId="165" fontId="24" fillId="0" borderId="11" xfId="1" applyNumberFormat="1" applyFont="1" applyBorder="1"/>
    <xf numFmtId="165" fontId="0" fillId="0" borderId="0" xfId="0" applyNumberFormat="1" applyFont="1"/>
    <xf numFmtId="0" fontId="0" fillId="0" borderId="0" xfId="0" applyFont="1" applyFill="1"/>
    <xf numFmtId="165" fontId="0" fillId="0" borderId="0" xfId="0" applyNumberFormat="1" applyFont="1" applyFill="1"/>
    <xf numFmtId="165" fontId="24" fillId="0" borderId="0" xfId="0" applyNumberFormat="1" applyFont="1"/>
    <xf numFmtId="0" fontId="24" fillId="0" borderId="0" xfId="0" applyFont="1"/>
    <xf numFmtId="3" fontId="0" fillId="0" borderId="12" xfId="0" applyNumberFormat="1" applyFont="1" applyBorder="1"/>
    <xf numFmtId="165" fontId="47" fillId="0" borderId="0" xfId="0" applyNumberFormat="1" applyFont="1"/>
    <xf numFmtId="0" fontId="0" fillId="0" borderId="0" xfId="0" applyFont="1"/>
    <xf numFmtId="0" fontId="19" fillId="33" borderId="0" xfId="0" applyFont="1" applyFill="1"/>
    <xf numFmtId="0" fontId="0" fillId="33" borderId="0" xfId="0" applyFont="1" applyFill="1"/>
    <xf numFmtId="0" fontId="50" fillId="0" borderId="0" xfId="0" applyFont="1"/>
    <xf numFmtId="170" fontId="0" fillId="0" borderId="0" xfId="0" applyNumberFormat="1" applyFont="1"/>
    <xf numFmtId="169" fontId="0" fillId="0" borderId="0" xfId="0" applyNumberFormat="1" applyFont="1"/>
    <xf numFmtId="166" fontId="0" fillId="0" borderId="11" xfId="0" applyNumberFormat="1" applyFont="1" applyBorder="1"/>
    <xf numFmtId="166" fontId="0" fillId="0" borderId="11" xfId="1" applyNumberFormat="1" applyFont="1" applyBorder="1"/>
    <xf numFmtId="165" fontId="0" fillId="0" borderId="11" xfId="0" applyNumberFormat="1" applyFont="1" applyFill="1" applyBorder="1" applyAlignment="1">
      <alignment horizontal="right"/>
    </xf>
    <xf numFmtId="0" fontId="19" fillId="0" borderId="11" xfId="0" applyFont="1" applyBorder="1"/>
    <xf numFmtId="166" fontId="0" fillId="0" borderId="11" xfId="0" applyNumberFormat="1" applyFont="1" applyBorder="1" applyAlignment="1">
      <alignment horizontal="right"/>
    </xf>
    <xf numFmtId="0" fontId="19" fillId="0" borderId="0" xfId="0" applyFont="1"/>
    <xf numFmtId="0" fontId="19" fillId="35" borderId="0" xfId="0" applyFont="1" applyFill="1"/>
    <xf numFmtId="0" fontId="19" fillId="0" borderId="0" xfId="0" quotePrefix="1" applyFont="1"/>
    <xf numFmtId="16" fontId="20" fillId="0" borderId="0" xfId="0" quotePrefix="1" applyNumberFormat="1" applyFont="1"/>
    <xf numFmtId="16" fontId="19" fillId="0" borderId="0" xfId="0" quotePrefix="1" applyNumberFormat="1" applyFont="1" applyAlignment="1">
      <alignment horizontal="left"/>
    </xf>
    <xf numFmtId="0" fontId="0" fillId="35" borderId="0" xfId="0" applyFont="1" applyFill="1"/>
    <xf numFmtId="0" fontId="51" fillId="35" borderId="0" xfId="44" applyFont="1" applyFill="1" applyAlignment="1"/>
    <xf numFmtId="14" fontId="0" fillId="0" borderId="0" xfId="0" applyNumberFormat="1"/>
    <xf numFmtId="0" fontId="0" fillId="0" borderId="0" xfId="0"/>
    <xf numFmtId="0" fontId="19" fillId="0" borderId="0" xfId="0" applyFont="1"/>
    <xf numFmtId="0" fontId="0" fillId="0" borderId="0" xfId="0" applyFont="1"/>
    <xf numFmtId="165" fontId="0" fillId="0" borderId="0" xfId="0" applyNumberFormat="1" applyFont="1"/>
    <xf numFmtId="3" fontId="0" fillId="0" borderId="0" xfId="0" applyNumberFormat="1" applyFont="1"/>
    <xf numFmtId="165" fontId="19" fillId="0" borderId="0" xfId="0" applyNumberFormat="1" applyFont="1"/>
    <xf numFmtId="0" fontId="0" fillId="0" borderId="0" xfId="0" applyFont="1" applyFill="1"/>
    <xf numFmtId="0" fontId="19" fillId="35" borderId="0" xfId="0" applyFont="1" applyFill="1"/>
    <xf numFmtId="0" fontId="51" fillId="35" borderId="0" xfId="0" applyFont="1" applyFill="1"/>
    <xf numFmtId="0" fontId="9" fillId="0" borderId="0" xfId="47" applyFill="1"/>
    <xf numFmtId="0" fontId="51" fillId="0" borderId="0" xfId="47" applyFont="1" applyFill="1" applyAlignment="1"/>
    <xf numFmtId="10" fontId="19" fillId="0" borderId="0" xfId="43" applyNumberFormat="1" applyFont="1"/>
    <xf numFmtId="10" fontId="19" fillId="33" borderId="0" xfId="43" applyNumberFormat="1" applyFont="1" applyFill="1"/>
    <xf numFmtId="165" fontId="19" fillId="33" borderId="0" xfId="1" applyNumberFormat="1" applyFont="1" applyFill="1"/>
    <xf numFmtId="10" fontId="0" fillId="33" borderId="0" xfId="43" applyNumberFormat="1" applyFont="1" applyFill="1"/>
    <xf numFmtId="0" fontId="47" fillId="0" borderId="0" xfId="0" applyNumberFormat="1" applyFont="1"/>
    <xf numFmtId="0" fontId="0" fillId="0" borderId="0" xfId="1" applyNumberFormat="1" applyFont="1"/>
    <xf numFmtId="0" fontId="19" fillId="0" borderId="0" xfId="0" applyNumberFormat="1" applyFont="1"/>
    <xf numFmtId="0" fontId="19" fillId="0" borderId="0" xfId="1" applyNumberFormat="1" applyFont="1"/>
    <xf numFmtId="0" fontId="0" fillId="0" borderId="0" xfId="0" applyNumberFormat="1"/>
    <xf numFmtId="0" fontId="0" fillId="0" borderId="0" xfId="0" applyNumberFormat="1" applyFont="1" applyFill="1"/>
    <xf numFmtId="0" fontId="16" fillId="0" borderId="0" xfId="0" applyNumberFormat="1" applyFont="1"/>
    <xf numFmtId="0" fontId="24" fillId="0" borderId="0" xfId="0" applyNumberFormat="1" applyFont="1"/>
    <xf numFmtId="0" fontId="0" fillId="0" borderId="0" xfId="0" applyNumberFormat="1" applyFont="1"/>
    <xf numFmtId="10" fontId="0" fillId="0" borderId="0" xfId="43" applyNumberFormat="1" applyFont="1"/>
    <xf numFmtId="0" fontId="19" fillId="34" borderId="12" xfId="0" applyFont="1" applyFill="1" applyBorder="1" applyAlignment="1">
      <alignment horizontal="right" wrapText="1"/>
    </xf>
    <xf numFmtId="43" fontId="47" fillId="34" borderId="0" xfId="1" applyFont="1" applyFill="1"/>
    <xf numFmtId="43" fontId="24" fillId="0" borderId="11" xfId="1" applyFont="1" applyBorder="1"/>
    <xf numFmtId="0" fontId="24" fillId="0" borderId="0" xfId="0" applyFont="1" applyBorder="1"/>
    <xf numFmtId="43" fontId="24" fillId="0" borderId="0" xfId="1" applyFont="1"/>
    <xf numFmtId="43" fontId="24" fillId="0" borderId="0" xfId="1" applyFont="1" applyFill="1"/>
    <xf numFmtId="10" fontId="53" fillId="0" borderId="14" xfId="43" applyNumberFormat="1" applyFont="1" applyBorder="1"/>
    <xf numFmtId="0" fontId="0" fillId="0" borderId="0" xfId="0"/>
    <xf numFmtId="0" fontId="0" fillId="0" borderId="0" xfId="0" applyFont="1"/>
    <xf numFmtId="0" fontId="0" fillId="35" borderId="0" xfId="0" applyFont="1" applyFill="1"/>
    <xf numFmtId="0" fontId="3" fillId="0" borderId="0" xfId="334" applyFill="1"/>
    <xf numFmtId="0" fontId="51" fillId="0" borderId="0" xfId="334" applyFont="1" applyFill="1" applyAlignment="1"/>
    <xf numFmtId="14" fontId="51" fillId="0" borderId="0" xfId="334" applyNumberFormat="1" applyFont="1" applyFill="1" applyAlignment="1"/>
    <xf numFmtId="14" fontId="3" fillId="0" borderId="0" xfId="334" applyNumberFormat="1" applyFill="1"/>
    <xf numFmtId="11" fontId="0" fillId="0" borderId="0" xfId="0" applyNumberFormat="1" applyFont="1"/>
    <xf numFmtId="165" fontId="24" fillId="0" borderId="0" xfId="1" applyNumberFormat="1" applyFont="1" applyFill="1"/>
    <xf numFmtId="0" fontId="47" fillId="34" borderId="14" xfId="0" applyFont="1" applyFill="1" applyBorder="1"/>
    <xf numFmtId="43" fontId="47" fillId="34" borderId="12" xfId="1" applyFont="1" applyFill="1" applyBorder="1" applyAlignment="1">
      <alignment horizontal="left"/>
    </xf>
    <xf numFmtId="17" fontId="24" fillId="0" borderId="0" xfId="0" applyNumberFormat="1" applyFont="1" applyFill="1" applyAlignment="1">
      <alignment horizontal="right"/>
    </xf>
    <xf numFmtId="43" fontId="24" fillId="0" borderId="0" xfId="0" applyNumberFormat="1" applyFont="1" applyFill="1" applyAlignment="1">
      <alignment horizontal="right"/>
    </xf>
    <xf numFmtId="10" fontId="53" fillId="0" borderId="0" xfId="43" applyNumberFormat="1" applyFont="1" applyBorder="1"/>
    <xf numFmtId="165" fontId="47" fillId="0" borderId="0" xfId="1" applyNumberFormat="1" applyFont="1"/>
    <xf numFmtId="0" fontId="47" fillId="34" borderId="0" xfId="0" applyFont="1" applyFill="1" applyAlignment="1"/>
    <xf numFmtId="43" fontId="24" fillId="0" borderId="0" xfId="1" applyNumberFormat="1" applyFont="1"/>
    <xf numFmtId="10" fontId="24" fillId="0" borderId="0" xfId="43" applyNumberFormat="1" applyFont="1" applyBorder="1"/>
    <xf numFmtId="0" fontId="24" fillId="0" borderId="0" xfId="0" applyFont="1" applyFill="1" applyAlignment="1">
      <alignment horizontal="right"/>
    </xf>
    <xf numFmtId="165" fontId="24" fillId="0" borderId="0" xfId="0" applyNumberFormat="1" applyFont="1" applyFill="1" applyAlignment="1">
      <alignment horizontal="right"/>
    </xf>
    <xf numFmtId="165" fontId="24" fillId="0" borderId="0" xfId="1" applyNumberFormat="1" applyFont="1" applyBorder="1"/>
    <xf numFmtId="43" fontId="47" fillId="34" borderId="0" xfId="1" applyFont="1" applyFill="1" applyBorder="1"/>
    <xf numFmtId="0" fontId="0" fillId="0" borderId="0" xfId="0"/>
    <xf numFmtId="0" fontId="19" fillId="0" borderId="0" xfId="0" applyFont="1"/>
    <xf numFmtId="0" fontId="0" fillId="0" borderId="0" xfId="0" applyFont="1"/>
    <xf numFmtId="0" fontId="20" fillId="0" borderId="0" xfId="0" applyFont="1"/>
    <xf numFmtId="0" fontId="15" fillId="0" borderId="0" xfId="0" applyFont="1"/>
    <xf numFmtId="165" fontId="0" fillId="0" borderId="0" xfId="0" applyNumberFormat="1" applyFont="1"/>
    <xf numFmtId="0" fontId="19" fillId="0" borderId="0" xfId="0" applyFont="1" applyAlignment="1">
      <alignment horizontal="right"/>
    </xf>
    <xf numFmtId="0" fontId="19" fillId="0" borderId="0" xfId="0" quotePrefix="1" applyFont="1" applyAlignment="1">
      <alignment horizontal="right"/>
    </xf>
    <xf numFmtId="165" fontId="16" fillId="0" borderId="0" xfId="0" applyNumberFormat="1" applyFont="1"/>
    <xf numFmtId="165" fontId="0" fillId="0" borderId="0" xfId="0" applyNumberFormat="1" applyFont="1" applyAlignment="1">
      <alignment horizontal="right"/>
    </xf>
    <xf numFmtId="0" fontId="15" fillId="0" borderId="0" xfId="0" applyFont="1" applyAlignment="1">
      <alignment horizontal="right"/>
    </xf>
    <xf numFmtId="2" fontId="15" fillId="0" borderId="0" xfId="0" applyNumberFormat="1" applyFont="1"/>
    <xf numFmtId="0" fontId="0" fillId="35" borderId="0" xfId="0" applyFont="1" applyFill="1"/>
    <xf numFmtId="165" fontId="0" fillId="35" borderId="0" xfId="0" applyNumberFormat="1" applyFont="1" applyFill="1"/>
    <xf numFmtId="0" fontId="3" fillId="0" borderId="0" xfId="586" applyFill="1"/>
    <xf numFmtId="0" fontId="51" fillId="0" borderId="0" xfId="586" applyFont="1" applyFill="1" applyAlignment="1"/>
    <xf numFmtId="11" fontId="0" fillId="0" borderId="0" xfId="0" applyNumberFormat="1" applyFont="1"/>
    <xf numFmtId="0" fontId="19" fillId="0" borderId="0" xfId="0" applyFont="1" applyAlignment="1"/>
    <xf numFmtId="0" fontId="51" fillId="35" borderId="0" xfId="0" applyFont="1" applyFill="1"/>
    <xf numFmtId="0" fontId="0" fillId="0" borderId="0" xfId="0"/>
    <xf numFmtId="0" fontId="0" fillId="0" borderId="0" xfId="0" applyFont="1"/>
    <xf numFmtId="165" fontId="0" fillId="0" borderId="0" xfId="0" applyNumberFormat="1" applyFont="1"/>
    <xf numFmtId="165" fontId="18" fillId="0" borderId="0" xfId="0" applyNumberFormat="1" applyFont="1"/>
    <xf numFmtId="165" fontId="19" fillId="0" borderId="0" xfId="0" applyNumberFormat="1" applyFont="1"/>
    <xf numFmtId="165" fontId="11" fillId="0" borderId="0" xfId="0" applyNumberFormat="1" applyFont="1"/>
    <xf numFmtId="0" fontId="3" fillId="0" borderId="0" xfId="586" applyFill="1"/>
    <xf numFmtId="0" fontId="51" fillId="0" borderId="0" xfId="586" applyFont="1" applyFill="1" applyAlignment="1"/>
    <xf numFmtId="43" fontId="11" fillId="0" borderId="0" xfId="46" applyFont="1"/>
    <xf numFmtId="43" fontId="51" fillId="0" borderId="0" xfId="46" applyFont="1" applyFill="1" applyAlignment="1"/>
    <xf numFmtId="43" fontId="3" fillId="0" borderId="0" xfId="46" applyFont="1" applyFill="1"/>
    <xf numFmtId="0" fontId="0" fillId="0" borderId="0" xfId="0"/>
    <xf numFmtId="0" fontId="0" fillId="35" borderId="0" xfId="0" applyFont="1" applyFill="1"/>
    <xf numFmtId="0" fontId="3" fillId="0" borderId="0" xfId="586" applyFill="1"/>
    <xf numFmtId="0" fontId="51" fillId="0" borderId="0" xfId="586" applyFont="1" applyFill="1" applyAlignment="1"/>
    <xf numFmtId="0" fontId="51" fillId="35" borderId="0" xfId="586" applyFont="1" applyFill="1" applyAlignment="1"/>
    <xf numFmtId="11" fontId="3" fillId="0" borderId="0" xfId="586" applyNumberFormat="1" applyFill="1"/>
    <xf numFmtId="0" fontId="0" fillId="0" borderId="0" xfId="0"/>
    <xf numFmtId="0" fontId="19" fillId="0" borderId="0" xfId="0" applyFont="1"/>
    <xf numFmtId="0" fontId="0" fillId="0" borderId="0" xfId="0" applyFont="1"/>
    <xf numFmtId="0" fontId="24" fillId="0" borderId="0" xfId="0" applyFont="1"/>
    <xf numFmtId="165" fontId="24" fillId="0" borderId="0" xfId="0" applyNumberFormat="1" applyFont="1"/>
    <xf numFmtId="165" fontId="47" fillId="0" borderId="0" xfId="0" applyNumberFormat="1" applyFont="1"/>
    <xf numFmtId="0" fontId="3" fillId="0" borderId="0" xfId="0" applyFont="1"/>
    <xf numFmtId="0" fontId="51" fillId="35" borderId="0" xfId="586" applyFont="1" applyFill="1" applyAlignment="1"/>
    <xf numFmtId="0" fontId="3" fillId="0" borderId="0" xfId="586" applyFill="1"/>
    <xf numFmtId="0" fontId="51" fillId="0" borderId="0" xfId="586" applyFont="1" applyFill="1" applyAlignment="1"/>
    <xf numFmtId="0" fontId="0" fillId="0" borderId="0" xfId="0" applyFont="1" applyFill="1"/>
    <xf numFmtId="0" fontId="51" fillId="35" borderId="0" xfId="0" applyFont="1" applyFill="1"/>
    <xf numFmtId="165" fontId="51" fillId="0" borderId="0" xfId="335" applyNumberFormat="1" applyFont="1" applyFill="1" applyAlignment="1"/>
    <xf numFmtId="165" fontId="3" fillId="0" borderId="0" xfId="335" applyNumberFormat="1" applyFont="1" applyFill="1"/>
    <xf numFmtId="0" fontId="52" fillId="35" borderId="0" xfId="0" applyFont="1" applyFill="1"/>
    <xf numFmtId="0" fontId="52" fillId="35" borderId="0" xfId="586" applyFont="1" applyFill="1" applyAlignment="1"/>
    <xf numFmtId="0" fontId="51" fillId="35" borderId="0" xfId="587" applyFont="1" applyFill="1" applyAlignment="1"/>
    <xf numFmtId="0" fontId="0" fillId="0" borderId="0" xfId="0" applyNumberFormat="1" applyFont="1"/>
    <xf numFmtId="0" fontId="3" fillId="0" borderId="0" xfId="587" applyFill="1"/>
    <xf numFmtId="0" fontId="51" fillId="0" borderId="0" xfId="587" applyFont="1" applyFill="1" applyAlignment="1"/>
    <xf numFmtId="0" fontId="3" fillId="0" borderId="0" xfId="581" applyFill="1"/>
    <xf numFmtId="0" fontId="51" fillId="0" borderId="0" xfId="581" applyFont="1" applyFill="1" applyAlignment="1"/>
    <xf numFmtId="0" fontId="51" fillId="35" borderId="0" xfId="581" applyFont="1" applyFill="1" applyAlignment="1"/>
    <xf numFmtId="165" fontId="51" fillId="0" borderId="0" xfId="573" applyNumberFormat="1" applyFont="1" applyFill="1" applyAlignment="1"/>
    <xf numFmtId="165" fontId="3" fillId="0" borderId="0" xfId="573" applyNumberFormat="1" applyFont="1" applyFill="1"/>
    <xf numFmtId="165" fontId="51" fillId="0" borderId="0" xfId="46" applyNumberFormat="1" applyFont="1" applyFill="1" applyAlignment="1"/>
    <xf numFmtId="165" fontId="3" fillId="0" borderId="0" xfId="46" applyNumberFormat="1" applyFont="1" applyFill="1"/>
    <xf numFmtId="43" fontId="3" fillId="0" borderId="0" xfId="573" applyNumberFormat="1" applyFont="1" applyFill="1"/>
    <xf numFmtId="43" fontId="51" fillId="0" borderId="0" xfId="573" applyFont="1" applyFill="1" applyAlignment="1"/>
    <xf numFmtId="43" fontId="3" fillId="0" borderId="0" xfId="573" applyFont="1" applyFill="1"/>
    <xf numFmtId="43" fontId="0" fillId="0" borderId="0" xfId="46" applyFont="1"/>
    <xf numFmtId="165" fontId="0" fillId="0" borderId="0" xfId="46" applyNumberFormat="1" applyFont="1"/>
    <xf numFmtId="0" fontId="0" fillId="0" borderId="0" xfId="46" applyNumberFormat="1" applyFont="1"/>
    <xf numFmtId="0" fontId="24" fillId="0" borderId="12" xfId="0" applyFont="1" applyBorder="1"/>
    <xf numFmtId="0" fontId="47" fillId="0" borderId="12" xfId="0" applyFont="1" applyBorder="1"/>
    <xf numFmtId="0" fontId="47" fillId="34" borderId="0" xfId="0" applyFont="1" applyFill="1" applyAlignment="1">
      <alignment horizontal="right"/>
    </xf>
    <xf numFmtId="0" fontId="47" fillId="34" borderId="0" xfId="0" applyFont="1" applyFill="1"/>
    <xf numFmtId="0" fontId="47" fillId="34" borderId="12" xfId="0" quotePrefix="1" applyFont="1" applyFill="1" applyBorder="1" applyAlignment="1">
      <alignment horizontal="right"/>
    </xf>
    <xf numFmtId="0" fontId="47" fillId="34" borderId="12" xfId="0" quotePrefix="1" applyNumberFormat="1" applyFont="1" applyFill="1" applyBorder="1" applyAlignment="1">
      <alignment horizontal="right"/>
    </xf>
    <xf numFmtId="0" fontId="47" fillId="34" borderId="12" xfId="0" applyFont="1" applyFill="1" applyBorder="1" applyAlignment="1">
      <alignment horizontal="right"/>
    </xf>
    <xf numFmtId="0" fontId="47" fillId="34" borderId="12" xfId="0" applyNumberFormat="1" applyFont="1" applyFill="1" applyBorder="1" applyAlignment="1">
      <alignment horizontal="right"/>
    </xf>
    <xf numFmtId="10" fontId="24" fillId="0" borderId="0" xfId="43" applyNumberFormat="1" applyFont="1"/>
    <xf numFmtId="165" fontId="24" fillId="0" borderId="0" xfId="0" applyNumberFormat="1" applyFont="1" applyFill="1"/>
    <xf numFmtId="0" fontId="47" fillId="0" borderId="0" xfId="0" applyFont="1"/>
    <xf numFmtId="0" fontId="24" fillId="0" borderId="11" xfId="0" applyFont="1" applyBorder="1"/>
    <xf numFmtId="165" fontId="24" fillId="0" borderId="11" xfId="0" applyNumberFormat="1" applyFont="1" applyBorder="1"/>
    <xf numFmtId="10" fontId="24" fillId="0" borderId="11" xfId="43" applyNumberFormat="1" applyFont="1" applyBorder="1"/>
    <xf numFmtId="165" fontId="24" fillId="0" borderId="11" xfId="0" applyNumberFormat="1" applyFont="1" applyFill="1" applyBorder="1"/>
    <xf numFmtId="165" fontId="24" fillId="34" borderId="0" xfId="0" applyNumberFormat="1" applyFont="1" applyFill="1"/>
    <xf numFmtId="0" fontId="47" fillId="34" borderId="0" xfId="0" applyFont="1" applyFill="1" applyBorder="1" applyAlignment="1">
      <alignment horizontal="center" vertical="center"/>
    </xf>
    <xf numFmtId="0" fontId="47" fillId="34" borderId="12" xfId="0" applyFont="1" applyFill="1" applyBorder="1"/>
    <xf numFmtId="165" fontId="24" fillId="0" borderId="0" xfId="0" applyNumberFormat="1" applyFont="1" applyAlignment="1">
      <alignment horizontal="right"/>
    </xf>
    <xf numFmtId="0" fontId="47" fillId="0" borderId="11" xfId="0" applyFont="1" applyBorder="1"/>
    <xf numFmtId="165" fontId="47" fillId="0" borderId="11" xfId="0" applyNumberFormat="1" applyFont="1" applyBorder="1"/>
    <xf numFmtId="165" fontId="47" fillId="0" borderId="11" xfId="0" applyNumberFormat="1" applyFont="1" applyFill="1" applyBorder="1"/>
    <xf numFmtId="0" fontId="54" fillId="34" borderId="0" xfId="0" applyFont="1" applyFill="1"/>
    <xf numFmtId="0" fontId="54" fillId="34" borderId="0" xfId="0" applyFont="1" applyFill="1" applyAlignment="1">
      <alignment horizontal="right"/>
    </xf>
    <xf numFmtId="0" fontId="54" fillId="34" borderId="12" xfId="0" applyFont="1" applyFill="1" applyBorder="1"/>
    <xf numFmtId="0" fontId="54" fillId="0" borderId="0" xfId="0" applyFont="1" applyFill="1"/>
    <xf numFmtId="0" fontId="55" fillId="0" borderId="0" xfId="0" applyFont="1" applyFill="1"/>
    <xf numFmtId="0" fontId="24" fillId="0" borderId="0" xfId="0" applyFont="1" applyFill="1"/>
    <xf numFmtId="165" fontId="56" fillId="0" borderId="0" xfId="0" applyNumberFormat="1" applyFont="1" applyFill="1"/>
    <xf numFmtId="165" fontId="54" fillId="0" borderId="0" xfId="0" applyNumberFormat="1" applyFont="1" applyFill="1"/>
    <xf numFmtId="0" fontId="47" fillId="0" borderId="0" xfId="0" applyFont="1" applyFill="1"/>
    <xf numFmtId="0" fontId="24" fillId="0" borderId="11" xfId="0" applyFont="1" applyFill="1" applyBorder="1"/>
    <xf numFmtId="0" fontId="24" fillId="34" borderId="0" xfId="0" applyFont="1" applyFill="1"/>
    <xf numFmtId="0" fontId="54" fillId="0" borderId="11" xfId="0" applyFont="1" applyFill="1" applyBorder="1"/>
    <xf numFmtId="0" fontId="47" fillId="0" borderId="0" xfId="0" applyFont="1" applyAlignment="1">
      <alignment horizontal="right"/>
    </xf>
    <xf numFmtId="165" fontId="24" fillId="0" borderId="0" xfId="0" applyNumberFormat="1" applyFont="1" applyFill="1" applyAlignment="1"/>
    <xf numFmtId="0" fontId="57" fillId="0" borderId="0" xfId="0" applyFont="1"/>
    <xf numFmtId="165" fontId="58" fillId="0" borderId="0" xfId="0" applyNumberFormat="1" applyFont="1"/>
    <xf numFmtId="165" fontId="55" fillId="0" borderId="0" xfId="0" applyNumberFormat="1" applyFont="1"/>
    <xf numFmtId="0" fontId="47" fillId="0" borderId="0" xfId="0" quotePrefix="1" applyFont="1" applyAlignment="1">
      <alignment horizontal="right"/>
    </xf>
    <xf numFmtId="0" fontId="54" fillId="0" borderId="0" xfId="0" applyFont="1" applyAlignment="1">
      <alignment horizontal="right"/>
    </xf>
    <xf numFmtId="0" fontId="47" fillId="34" borderId="15" xfId="0" applyFont="1" applyFill="1" applyBorder="1"/>
    <xf numFmtId="17" fontId="47" fillId="34" borderId="12" xfId="0" quotePrefix="1" applyNumberFormat="1" applyFont="1" applyFill="1" applyBorder="1" applyAlignment="1">
      <alignment horizontal="right"/>
    </xf>
    <xf numFmtId="0" fontId="47" fillId="34" borderId="16" xfId="0" applyFont="1" applyFill="1" applyBorder="1" applyAlignment="1">
      <alignment horizontal="right"/>
    </xf>
    <xf numFmtId="165" fontId="53" fillId="0" borderId="0" xfId="0" applyNumberFormat="1" applyFont="1"/>
    <xf numFmtId="3" fontId="47" fillId="34" borderId="0" xfId="0" applyNumberFormat="1" applyFont="1" applyFill="1"/>
    <xf numFmtId="166" fontId="24" fillId="0" borderId="0" xfId="0" applyNumberFormat="1" applyFont="1" applyAlignment="1">
      <alignment horizontal="right"/>
    </xf>
    <xf numFmtId="9" fontId="24" fillId="0" borderId="0" xfId="0" applyNumberFormat="1" applyFont="1"/>
    <xf numFmtId="10" fontId="47" fillId="0" borderId="0" xfId="43" applyNumberFormat="1" applyFont="1"/>
    <xf numFmtId="166" fontId="47" fillId="0" borderId="0" xfId="0" applyNumberFormat="1" applyFont="1"/>
    <xf numFmtId="0" fontId="47" fillId="34" borderId="0" xfId="0" applyFont="1" applyFill="1" applyBorder="1"/>
    <xf numFmtId="0" fontId="24" fillId="34" borderId="0" xfId="0" applyFont="1" applyFill="1" applyBorder="1"/>
    <xf numFmtId="0" fontId="24" fillId="34" borderId="12" xfId="0" applyFont="1" applyFill="1" applyBorder="1"/>
    <xf numFmtId="0" fontId="47" fillId="34" borderId="12" xfId="0" applyFont="1" applyFill="1" applyBorder="1" applyAlignment="1">
      <alignment horizontal="left"/>
    </xf>
    <xf numFmtId="0" fontId="47" fillId="33" borderId="0" xfId="0" applyFont="1" applyFill="1"/>
    <xf numFmtId="14" fontId="24" fillId="0" borderId="0" xfId="0" applyNumberFormat="1" applyFont="1" applyAlignment="1">
      <alignment horizontal="right"/>
    </xf>
    <xf numFmtId="10" fontId="24" fillId="0" borderId="0" xfId="43" applyNumberFormat="1" applyFont="1" applyFill="1"/>
    <xf numFmtId="14" fontId="24" fillId="0" borderId="0" xfId="0" applyNumberFormat="1" applyFont="1" applyFill="1" applyAlignment="1">
      <alignment horizontal="right"/>
    </xf>
    <xf numFmtId="14" fontId="24" fillId="0" borderId="11" xfId="0" applyNumberFormat="1" applyFont="1" applyBorder="1" applyAlignment="1">
      <alignment horizontal="right"/>
    </xf>
    <xf numFmtId="165" fontId="47" fillId="34" borderId="0" xfId="0" applyNumberFormat="1" applyFont="1" applyFill="1"/>
    <xf numFmtId="165" fontId="57" fillId="34" borderId="12" xfId="0" quotePrefix="1" applyNumberFormat="1" applyFont="1" applyFill="1" applyBorder="1" applyAlignment="1">
      <alignment horizontal="right"/>
    </xf>
    <xf numFmtId="0" fontId="59" fillId="0" borderId="0" xfId="0" applyFont="1"/>
    <xf numFmtId="10" fontId="47" fillId="33" borderId="0" xfId="43" applyNumberFormat="1" applyFont="1" applyFill="1"/>
    <xf numFmtId="168" fontId="47" fillId="34" borderId="12" xfId="0" applyNumberFormat="1" applyFont="1" applyFill="1" applyBorder="1" applyAlignment="1">
      <alignment horizontal="right"/>
    </xf>
    <xf numFmtId="168" fontId="47" fillId="34" borderId="12" xfId="0" applyNumberFormat="1" applyFont="1" applyFill="1" applyBorder="1" applyAlignment="1">
      <alignment horizontal="right" wrapText="1"/>
    </xf>
    <xf numFmtId="0" fontId="24" fillId="33" borderId="0" xfId="0" applyFont="1" applyFill="1"/>
    <xf numFmtId="3" fontId="3" fillId="35" borderId="0" xfId="586" applyNumberFormat="1" applyFill="1"/>
    <xf numFmtId="165" fontId="24" fillId="0" borderId="0" xfId="0" applyNumberFormat="1" applyFont="1" applyFill="1" applyBorder="1" applyAlignment="1">
      <alignment horizontal="right"/>
    </xf>
    <xf numFmtId="165" fontId="2" fillId="0" borderId="0" xfId="982" applyNumberFormat="1" applyFont="1" applyFill="1"/>
    <xf numFmtId="0" fontId="51" fillId="0" borderId="0" xfId="1100" applyFont="1" applyFill="1" applyAlignment="1"/>
    <xf numFmtId="0" fontId="2" fillId="0" borderId="0" xfId="1100" applyFill="1"/>
    <xf numFmtId="0" fontId="51" fillId="0" borderId="0" xfId="1100" applyFont="1" applyFill="1" applyAlignment="1"/>
    <xf numFmtId="165" fontId="2" fillId="0" borderId="0" xfId="982" applyNumberFormat="1" applyFont="1" applyFill="1"/>
    <xf numFmtId="0" fontId="2" fillId="0" borderId="0" xfId="1100" applyFill="1"/>
    <xf numFmtId="0" fontId="2" fillId="0" borderId="0" xfId="1100" applyFill="1"/>
    <xf numFmtId="165" fontId="2" fillId="0" borderId="0" xfId="982" applyNumberFormat="1" applyFont="1" applyFill="1"/>
    <xf numFmtId="0" fontId="51" fillId="0" borderId="0" xfId="1100" applyFont="1" applyFill="1" applyAlignment="1"/>
    <xf numFmtId="0" fontId="0" fillId="0" borderId="0" xfId="0"/>
    <xf numFmtId="0" fontId="19" fillId="35" borderId="0" xfId="0" applyFont="1" applyFill="1"/>
    <xf numFmtId="0" fontId="51" fillId="0" borderId="0" xfId="1095" applyFont="1" applyFill="1" applyAlignment="1"/>
    <xf numFmtId="0" fontId="51" fillId="35" borderId="0" xfId="1095" applyFont="1" applyFill="1" applyAlignment="1"/>
    <xf numFmtId="165" fontId="2" fillId="0" borderId="0" xfId="1087" applyNumberFormat="1" applyFont="1" applyFill="1"/>
    <xf numFmtId="43" fontId="2" fillId="0" borderId="0" xfId="1087" applyNumberFormat="1" applyFont="1" applyFill="1"/>
    <xf numFmtId="165" fontId="24" fillId="0" borderId="0" xfId="0" applyNumberFormat="1" applyFont="1" applyFill="1"/>
    <xf numFmtId="165" fontId="47" fillId="0" borderId="0" xfId="0" applyNumberFormat="1" applyFont="1" applyFill="1"/>
    <xf numFmtId="10" fontId="24" fillId="0" borderId="0" xfId="43" applyNumberFormat="1" applyFont="1" applyFill="1"/>
    <xf numFmtId="10" fontId="47" fillId="0" borderId="0" xfId="43" applyNumberFormat="1" applyFont="1" applyFill="1"/>
    <xf numFmtId="0" fontId="1" fillId="0" borderId="0" xfId="0" applyFont="1"/>
    <xf numFmtId="164" fontId="0" fillId="0" borderId="0" xfId="0" applyNumberFormat="1" applyFont="1"/>
    <xf numFmtId="0" fontId="48" fillId="0" borderId="0" xfId="0" applyFont="1" applyAlignment="1">
      <alignment horizontal="center" vertical="center"/>
    </xf>
    <xf numFmtId="0" fontId="48" fillId="0" borderId="12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43" fontId="47" fillId="34" borderId="0" xfId="1" applyFont="1" applyFill="1" applyBorder="1" applyAlignment="1">
      <alignment horizontal="right" wrapText="1"/>
    </xf>
    <xf numFmtId="43" fontId="47" fillId="34" borderId="12" xfId="1" applyFont="1" applyFill="1" applyBorder="1" applyAlignment="1">
      <alignment horizontal="right" wrapText="1"/>
    </xf>
    <xf numFmtId="165" fontId="47" fillId="0" borderId="0" xfId="0" applyNumberFormat="1" applyFont="1" applyAlignment="1">
      <alignment horizontal="center"/>
    </xf>
    <xf numFmtId="0" fontId="47" fillId="0" borderId="0" xfId="0" applyFont="1" applyBorder="1" applyAlignment="1">
      <alignment horizontal="center" vertical="center"/>
    </xf>
    <xf numFmtId="0" fontId="47" fillId="0" borderId="12" xfId="0" applyFont="1" applyBorder="1" applyAlignment="1">
      <alignment horizontal="center" vertical="center"/>
    </xf>
    <xf numFmtId="0" fontId="47" fillId="34" borderId="14" xfId="0" applyFont="1" applyFill="1" applyBorder="1" applyAlignment="1">
      <alignment horizontal="center"/>
    </xf>
    <xf numFmtId="0" fontId="47" fillId="34" borderId="0" xfId="0" applyFont="1" applyFill="1" applyBorder="1" applyAlignment="1">
      <alignment horizontal="right" wrapText="1"/>
    </xf>
    <xf numFmtId="0" fontId="47" fillId="34" borderId="12" xfId="0" applyFont="1" applyFill="1" applyBorder="1" applyAlignment="1">
      <alignment horizontal="right" wrapText="1"/>
    </xf>
    <xf numFmtId="14" fontId="47" fillId="34" borderId="0" xfId="0" applyNumberFormat="1" applyFont="1" applyFill="1" applyBorder="1" applyAlignment="1">
      <alignment horizontal="right" wrapText="1"/>
    </xf>
    <xf numFmtId="14" fontId="47" fillId="34" borderId="12" xfId="0" applyNumberFormat="1" applyFont="1" applyFill="1" applyBorder="1" applyAlignment="1">
      <alignment horizontal="right" wrapText="1"/>
    </xf>
    <xf numFmtId="165" fontId="24" fillId="0" borderId="0" xfId="0" applyNumberFormat="1" applyFont="1" applyAlignment="1">
      <alignment horizontal="center"/>
    </xf>
    <xf numFmtId="0" fontId="47" fillId="34" borderId="13" xfId="0" applyFont="1" applyFill="1" applyBorder="1" applyAlignment="1">
      <alignment horizontal="right"/>
    </xf>
    <xf numFmtId="0" fontId="49" fillId="34" borderId="0" xfId="0" applyFont="1" applyFill="1" applyBorder="1" applyAlignment="1">
      <alignment horizontal="center" vertical="center"/>
    </xf>
    <xf numFmtId="0" fontId="49" fillId="34" borderId="12" xfId="0" applyFont="1" applyFill="1" applyBorder="1" applyAlignment="1">
      <alignment horizontal="center" vertical="center"/>
    </xf>
    <xf numFmtId="165" fontId="24" fillId="0" borderId="0" xfId="0" applyNumberFormat="1" applyFont="1" applyFill="1" applyAlignment="1">
      <alignment horizontal="center"/>
    </xf>
    <xf numFmtId="0" fontId="47" fillId="34" borderId="13" xfId="0" applyFont="1" applyFill="1" applyBorder="1" applyAlignment="1">
      <alignment horizontal="center"/>
    </xf>
    <xf numFmtId="165" fontId="57" fillId="34" borderId="14" xfId="0" quotePrefix="1" applyNumberFormat="1" applyFont="1" applyFill="1" applyBorder="1" applyAlignment="1">
      <alignment horizontal="right"/>
    </xf>
    <xf numFmtId="165" fontId="57" fillId="34" borderId="0" xfId="0" quotePrefix="1" applyNumberFormat="1" applyFont="1" applyFill="1" applyBorder="1" applyAlignment="1">
      <alignment horizontal="right"/>
    </xf>
    <xf numFmtId="165" fontId="57" fillId="34" borderId="12" xfId="0" quotePrefix="1" applyNumberFormat="1" applyFont="1" applyFill="1" applyBorder="1" applyAlignment="1">
      <alignment horizontal="right"/>
    </xf>
    <xf numFmtId="165" fontId="0" fillId="0" borderId="0" xfId="1" applyNumberFormat="1" applyFont="1" applyAlignment="1">
      <alignment horizontal="center"/>
    </xf>
    <xf numFmtId="165" fontId="19" fillId="0" borderId="0" xfId="1" applyNumberFormat="1" applyFont="1" applyAlignment="1">
      <alignment horizontal="center"/>
    </xf>
    <xf numFmtId="0" fontId="19" fillId="0" borderId="10" xfId="0" applyFont="1" applyBorder="1" applyAlignment="1">
      <alignment horizontal="center"/>
    </xf>
  </cellXfs>
  <cellStyles count="1103">
    <cellStyle name="20% - Accent1" xfId="20" builtinId="30" hidden="1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10" xfId="197"/>
    <cellStyle name="Comma 10 2" xfId="468"/>
    <cellStyle name="Comma 10 2 2" xfId="982"/>
    <cellStyle name="Comma 10 3" xfId="725"/>
    <cellStyle name="Comma 11" xfId="70"/>
    <cellStyle name="Comma 11 2" xfId="357"/>
    <cellStyle name="Comma 11 2 2" xfId="871"/>
    <cellStyle name="Comma 11 3" xfId="614"/>
    <cellStyle name="Comma 2" xfId="45"/>
    <cellStyle name="Comma 2 10" xfId="72"/>
    <cellStyle name="Comma 2 10 2" xfId="359"/>
    <cellStyle name="Comma 2 10 2 2" xfId="873"/>
    <cellStyle name="Comma 2 10 3" xfId="616"/>
    <cellStyle name="Comma 2 11" xfId="333"/>
    <cellStyle name="Comma 2 11 2" xfId="847"/>
    <cellStyle name="Comma 2 12" xfId="590"/>
    <cellStyle name="Comma 2 2" xfId="48"/>
    <cellStyle name="Comma 2 2 10" xfId="335"/>
    <cellStyle name="Comma 2 2 10 2" xfId="849"/>
    <cellStyle name="Comma 2 2 11" xfId="592"/>
    <cellStyle name="Comma 2 2 2" xfId="53"/>
    <cellStyle name="Comma 2 2 2 2" xfId="66"/>
    <cellStyle name="Comma 2 2 2 2 2" xfId="110"/>
    <cellStyle name="Comma 2 2 2 2 2 2" xfId="188"/>
    <cellStyle name="Comma 2 2 2 2 2 2 2" xfId="310"/>
    <cellStyle name="Comma 2 2 2 2 2 2 2 2" xfId="572"/>
    <cellStyle name="Comma 2 2 2 2 2 2 2 2 2" xfId="1086"/>
    <cellStyle name="Comma 2 2 2 2 2 2 2 3" xfId="829"/>
    <cellStyle name="Comma 2 2 2 2 2 2 3" xfId="464"/>
    <cellStyle name="Comma 2 2 2 2 2 2 3 2" xfId="978"/>
    <cellStyle name="Comma 2 2 2 2 2 2 4" xfId="721"/>
    <cellStyle name="Comma 2 2 2 2 2 3" xfId="149"/>
    <cellStyle name="Comma 2 2 2 2 2 3 2" xfId="271"/>
    <cellStyle name="Comma 2 2 2 2 2 3 2 2" xfId="536"/>
    <cellStyle name="Comma 2 2 2 2 2 3 2 2 2" xfId="1050"/>
    <cellStyle name="Comma 2 2 2 2 2 3 2 3" xfId="793"/>
    <cellStyle name="Comma 2 2 2 2 2 3 3" xfId="428"/>
    <cellStyle name="Comma 2 2 2 2 2 3 3 2" xfId="942"/>
    <cellStyle name="Comma 2 2 2 2 2 3 4" xfId="685"/>
    <cellStyle name="Comma 2 2 2 2 2 4" xfId="232"/>
    <cellStyle name="Comma 2 2 2 2 2 4 2" xfId="500"/>
    <cellStyle name="Comma 2 2 2 2 2 4 2 2" xfId="1014"/>
    <cellStyle name="Comma 2 2 2 2 2 4 3" xfId="757"/>
    <cellStyle name="Comma 2 2 2 2 2 5" xfId="392"/>
    <cellStyle name="Comma 2 2 2 2 2 5 2" xfId="906"/>
    <cellStyle name="Comma 2 2 2 2 2 6" xfId="649"/>
    <cellStyle name="Comma 2 2 2 2 3" xfId="168"/>
    <cellStyle name="Comma 2 2 2 2 3 2" xfId="290"/>
    <cellStyle name="Comma 2 2 2 2 3 2 2" xfId="554"/>
    <cellStyle name="Comma 2 2 2 2 3 2 2 2" xfId="1068"/>
    <cellStyle name="Comma 2 2 2 2 3 2 3" xfId="811"/>
    <cellStyle name="Comma 2 2 2 2 3 3" xfId="446"/>
    <cellStyle name="Comma 2 2 2 2 3 3 2" xfId="960"/>
    <cellStyle name="Comma 2 2 2 2 3 4" xfId="703"/>
    <cellStyle name="Comma 2 2 2 2 4" xfId="130"/>
    <cellStyle name="Comma 2 2 2 2 4 2" xfId="252"/>
    <cellStyle name="Comma 2 2 2 2 4 2 2" xfId="518"/>
    <cellStyle name="Comma 2 2 2 2 4 2 2 2" xfId="1032"/>
    <cellStyle name="Comma 2 2 2 2 4 2 3" xfId="775"/>
    <cellStyle name="Comma 2 2 2 2 4 3" xfId="410"/>
    <cellStyle name="Comma 2 2 2 2 4 3 2" xfId="924"/>
    <cellStyle name="Comma 2 2 2 2 4 4" xfId="667"/>
    <cellStyle name="Comma 2 2 2 2 5" xfId="212"/>
    <cellStyle name="Comma 2 2 2 2 5 2" xfId="482"/>
    <cellStyle name="Comma 2 2 2 2 5 2 2" xfId="996"/>
    <cellStyle name="Comma 2 2 2 2 5 3" xfId="739"/>
    <cellStyle name="Comma 2 2 2 2 6" xfId="90"/>
    <cellStyle name="Comma 2 2 2 2 6 2" xfId="374"/>
    <cellStyle name="Comma 2 2 2 2 6 2 2" xfId="888"/>
    <cellStyle name="Comma 2 2 2 2 6 3" xfId="631"/>
    <cellStyle name="Comma 2 2 2 2 7" xfId="353"/>
    <cellStyle name="Comma 2 2 2 2 7 2" xfId="867"/>
    <cellStyle name="Comma 2 2 2 2 8" xfId="610"/>
    <cellStyle name="Comma 2 2 2 3" xfId="100"/>
    <cellStyle name="Comma 2 2 2 3 2" xfId="178"/>
    <cellStyle name="Comma 2 2 2 3 2 2" xfId="300"/>
    <cellStyle name="Comma 2 2 2 3 2 2 2" xfId="563"/>
    <cellStyle name="Comma 2 2 2 3 2 2 2 2" xfId="1077"/>
    <cellStyle name="Comma 2 2 2 3 2 2 3" xfId="820"/>
    <cellStyle name="Comma 2 2 2 3 2 3" xfId="455"/>
    <cellStyle name="Comma 2 2 2 3 2 3 2" xfId="969"/>
    <cellStyle name="Comma 2 2 2 3 2 4" xfId="712"/>
    <cellStyle name="Comma 2 2 2 3 3" xfId="139"/>
    <cellStyle name="Comma 2 2 2 3 3 2" xfId="261"/>
    <cellStyle name="Comma 2 2 2 3 3 2 2" xfId="527"/>
    <cellStyle name="Comma 2 2 2 3 3 2 2 2" xfId="1041"/>
    <cellStyle name="Comma 2 2 2 3 3 2 3" xfId="784"/>
    <cellStyle name="Comma 2 2 2 3 3 3" xfId="419"/>
    <cellStyle name="Comma 2 2 2 3 3 3 2" xfId="933"/>
    <cellStyle name="Comma 2 2 2 3 3 4" xfId="676"/>
    <cellStyle name="Comma 2 2 2 3 4" xfId="222"/>
    <cellStyle name="Comma 2 2 2 3 4 2" xfId="491"/>
    <cellStyle name="Comma 2 2 2 3 4 2 2" xfId="1005"/>
    <cellStyle name="Comma 2 2 2 3 4 3" xfId="748"/>
    <cellStyle name="Comma 2 2 2 3 5" xfId="383"/>
    <cellStyle name="Comma 2 2 2 3 5 2" xfId="897"/>
    <cellStyle name="Comma 2 2 2 3 6" xfId="640"/>
    <cellStyle name="Comma 2 2 2 4" xfId="158"/>
    <cellStyle name="Comma 2 2 2 4 2" xfId="280"/>
    <cellStyle name="Comma 2 2 2 4 2 2" xfId="545"/>
    <cellStyle name="Comma 2 2 2 4 2 2 2" xfId="1059"/>
    <cellStyle name="Comma 2 2 2 4 2 3" xfId="802"/>
    <cellStyle name="Comma 2 2 2 4 3" xfId="437"/>
    <cellStyle name="Comma 2 2 2 4 3 2" xfId="951"/>
    <cellStyle name="Comma 2 2 2 4 4" xfId="694"/>
    <cellStyle name="Comma 2 2 2 5" xfId="120"/>
    <cellStyle name="Comma 2 2 2 5 2" xfId="242"/>
    <cellStyle name="Comma 2 2 2 5 2 2" xfId="509"/>
    <cellStyle name="Comma 2 2 2 5 2 2 2" xfId="1023"/>
    <cellStyle name="Comma 2 2 2 5 2 3" xfId="766"/>
    <cellStyle name="Comma 2 2 2 5 3" xfId="401"/>
    <cellStyle name="Comma 2 2 2 5 3 2" xfId="915"/>
    <cellStyle name="Comma 2 2 2 5 4" xfId="658"/>
    <cellStyle name="Comma 2 2 2 6" xfId="202"/>
    <cellStyle name="Comma 2 2 2 6 2" xfId="473"/>
    <cellStyle name="Comma 2 2 2 6 2 2" xfId="987"/>
    <cellStyle name="Comma 2 2 2 6 3" xfId="730"/>
    <cellStyle name="Comma 2 2 2 7" xfId="76"/>
    <cellStyle name="Comma 2 2 2 7 2" xfId="363"/>
    <cellStyle name="Comma 2 2 2 7 2 2" xfId="877"/>
    <cellStyle name="Comma 2 2 2 7 3" xfId="620"/>
    <cellStyle name="Comma 2 2 2 8" xfId="340"/>
    <cellStyle name="Comma 2 2 2 8 2" xfId="854"/>
    <cellStyle name="Comma 2 2 2 9" xfId="597"/>
    <cellStyle name="Comma 2 2 3" xfId="61"/>
    <cellStyle name="Comma 2 2 3 2" xfId="93"/>
    <cellStyle name="Comma 2 2 3 2 2" xfId="113"/>
    <cellStyle name="Comma 2 2 3 2 2 2" xfId="191"/>
    <cellStyle name="Comma 2 2 3 2 2 2 2" xfId="313"/>
    <cellStyle name="Comma 2 2 3 2 2 2 2 2" xfId="575"/>
    <cellStyle name="Comma 2 2 3 2 2 2 2 2 2" xfId="1089"/>
    <cellStyle name="Comma 2 2 3 2 2 2 2 3" xfId="832"/>
    <cellStyle name="Comma 2 2 3 2 2 2 3" xfId="467"/>
    <cellStyle name="Comma 2 2 3 2 2 2 3 2" xfId="981"/>
    <cellStyle name="Comma 2 2 3 2 2 2 4" xfId="724"/>
    <cellStyle name="Comma 2 2 3 2 2 3" xfId="152"/>
    <cellStyle name="Comma 2 2 3 2 2 3 2" xfId="274"/>
    <cellStyle name="Comma 2 2 3 2 2 3 2 2" xfId="539"/>
    <cellStyle name="Comma 2 2 3 2 2 3 2 2 2" xfId="1053"/>
    <cellStyle name="Comma 2 2 3 2 2 3 2 3" xfId="796"/>
    <cellStyle name="Comma 2 2 3 2 2 3 3" xfId="431"/>
    <cellStyle name="Comma 2 2 3 2 2 3 3 2" xfId="945"/>
    <cellStyle name="Comma 2 2 3 2 2 3 4" xfId="688"/>
    <cellStyle name="Comma 2 2 3 2 2 4" xfId="235"/>
    <cellStyle name="Comma 2 2 3 2 2 4 2" xfId="503"/>
    <cellStyle name="Comma 2 2 3 2 2 4 2 2" xfId="1017"/>
    <cellStyle name="Comma 2 2 3 2 2 4 3" xfId="760"/>
    <cellStyle name="Comma 2 2 3 2 2 5" xfId="395"/>
    <cellStyle name="Comma 2 2 3 2 2 5 2" xfId="909"/>
    <cellStyle name="Comma 2 2 3 2 2 6" xfId="652"/>
    <cellStyle name="Comma 2 2 3 2 3" xfId="171"/>
    <cellStyle name="Comma 2 2 3 2 3 2" xfId="293"/>
    <cellStyle name="Comma 2 2 3 2 3 2 2" xfId="557"/>
    <cellStyle name="Comma 2 2 3 2 3 2 2 2" xfId="1071"/>
    <cellStyle name="Comma 2 2 3 2 3 2 3" xfId="814"/>
    <cellStyle name="Comma 2 2 3 2 3 3" xfId="449"/>
    <cellStyle name="Comma 2 2 3 2 3 3 2" xfId="963"/>
    <cellStyle name="Comma 2 2 3 2 3 4" xfId="706"/>
    <cellStyle name="Comma 2 2 3 2 4" xfId="133"/>
    <cellStyle name="Comma 2 2 3 2 4 2" xfId="255"/>
    <cellStyle name="Comma 2 2 3 2 4 2 2" xfId="521"/>
    <cellStyle name="Comma 2 2 3 2 4 2 2 2" xfId="1035"/>
    <cellStyle name="Comma 2 2 3 2 4 2 3" xfId="778"/>
    <cellStyle name="Comma 2 2 3 2 4 3" xfId="413"/>
    <cellStyle name="Comma 2 2 3 2 4 3 2" xfId="927"/>
    <cellStyle name="Comma 2 2 3 2 4 4" xfId="670"/>
    <cellStyle name="Comma 2 2 3 2 5" xfId="215"/>
    <cellStyle name="Comma 2 2 3 2 5 2" xfId="485"/>
    <cellStyle name="Comma 2 2 3 2 5 2 2" xfId="999"/>
    <cellStyle name="Comma 2 2 3 2 5 3" xfId="742"/>
    <cellStyle name="Comma 2 2 3 2 6" xfId="377"/>
    <cellStyle name="Comma 2 2 3 2 6 2" xfId="891"/>
    <cellStyle name="Comma 2 2 3 2 7" xfId="634"/>
    <cellStyle name="Comma 2 2 3 3" xfId="103"/>
    <cellStyle name="Comma 2 2 3 3 2" xfId="181"/>
    <cellStyle name="Comma 2 2 3 3 2 2" xfId="303"/>
    <cellStyle name="Comma 2 2 3 3 2 2 2" xfId="566"/>
    <cellStyle name="Comma 2 2 3 3 2 2 2 2" xfId="1080"/>
    <cellStyle name="Comma 2 2 3 3 2 2 3" xfId="823"/>
    <cellStyle name="Comma 2 2 3 3 2 3" xfId="458"/>
    <cellStyle name="Comma 2 2 3 3 2 3 2" xfId="972"/>
    <cellStyle name="Comma 2 2 3 3 2 4" xfId="715"/>
    <cellStyle name="Comma 2 2 3 3 3" xfId="142"/>
    <cellStyle name="Comma 2 2 3 3 3 2" xfId="264"/>
    <cellStyle name="Comma 2 2 3 3 3 2 2" xfId="530"/>
    <cellStyle name="Comma 2 2 3 3 3 2 2 2" xfId="1044"/>
    <cellStyle name="Comma 2 2 3 3 3 2 3" xfId="787"/>
    <cellStyle name="Comma 2 2 3 3 3 3" xfId="422"/>
    <cellStyle name="Comma 2 2 3 3 3 3 2" xfId="936"/>
    <cellStyle name="Comma 2 2 3 3 3 4" xfId="679"/>
    <cellStyle name="Comma 2 2 3 3 4" xfId="225"/>
    <cellStyle name="Comma 2 2 3 3 4 2" xfId="494"/>
    <cellStyle name="Comma 2 2 3 3 4 2 2" xfId="1008"/>
    <cellStyle name="Comma 2 2 3 3 4 3" xfId="751"/>
    <cellStyle name="Comma 2 2 3 3 5" xfId="386"/>
    <cellStyle name="Comma 2 2 3 3 5 2" xfId="900"/>
    <cellStyle name="Comma 2 2 3 3 6" xfId="643"/>
    <cellStyle name="Comma 2 2 3 4" xfId="161"/>
    <cellStyle name="Comma 2 2 3 4 2" xfId="283"/>
    <cellStyle name="Comma 2 2 3 4 2 2" xfId="548"/>
    <cellStyle name="Comma 2 2 3 4 2 2 2" xfId="1062"/>
    <cellStyle name="Comma 2 2 3 4 2 3" xfId="805"/>
    <cellStyle name="Comma 2 2 3 4 3" xfId="440"/>
    <cellStyle name="Comma 2 2 3 4 3 2" xfId="954"/>
    <cellStyle name="Comma 2 2 3 4 4" xfId="697"/>
    <cellStyle name="Comma 2 2 3 5" xfId="123"/>
    <cellStyle name="Comma 2 2 3 5 2" xfId="245"/>
    <cellStyle name="Comma 2 2 3 5 2 2" xfId="512"/>
    <cellStyle name="Comma 2 2 3 5 2 2 2" xfId="1026"/>
    <cellStyle name="Comma 2 2 3 5 2 3" xfId="769"/>
    <cellStyle name="Comma 2 2 3 5 3" xfId="404"/>
    <cellStyle name="Comma 2 2 3 5 3 2" xfId="918"/>
    <cellStyle name="Comma 2 2 3 5 4" xfId="661"/>
    <cellStyle name="Comma 2 2 3 6" xfId="205"/>
    <cellStyle name="Comma 2 2 3 6 2" xfId="476"/>
    <cellStyle name="Comma 2 2 3 6 2 2" xfId="990"/>
    <cellStyle name="Comma 2 2 3 6 3" xfId="733"/>
    <cellStyle name="Comma 2 2 3 7" xfId="79"/>
    <cellStyle name="Comma 2 2 3 7 2" xfId="366"/>
    <cellStyle name="Comma 2 2 3 7 2 2" xfId="880"/>
    <cellStyle name="Comma 2 2 3 7 3" xfId="623"/>
    <cellStyle name="Comma 2 2 3 8" xfId="348"/>
    <cellStyle name="Comma 2 2 3 8 2" xfId="862"/>
    <cellStyle name="Comma 2 2 3 9" xfId="605"/>
    <cellStyle name="Comma 2 2 4" xfId="87"/>
    <cellStyle name="Comma 2 2 4 2" xfId="107"/>
    <cellStyle name="Comma 2 2 4 2 2" xfId="185"/>
    <cellStyle name="Comma 2 2 4 2 2 2" xfId="307"/>
    <cellStyle name="Comma 2 2 4 2 2 2 2" xfId="569"/>
    <cellStyle name="Comma 2 2 4 2 2 2 2 2" xfId="1083"/>
    <cellStyle name="Comma 2 2 4 2 2 2 3" xfId="826"/>
    <cellStyle name="Comma 2 2 4 2 2 3" xfId="461"/>
    <cellStyle name="Comma 2 2 4 2 2 3 2" xfId="975"/>
    <cellStyle name="Comma 2 2 4 2 2 4" xfId="718"/>
    <cellStyle name="Comma 2 2 4 2 3" xfId="146"/>
    <cellStyle name="Comma 2 2 4 2 3 2" xfId="268"/>
    <cellStyle name="Comma 2 2 4 2 3 2 2" xfId="533"/>
    <cellStyle name="Comma 2 2 4 2 3 2 2 2" xfId="1047"/>
    <cellStyle name="Comma 2 2 4 2 3 2 3" xfId="790"/>
    <cellStyle name="Comma 2 2 4 2 3 3" xfId="425"/>
    <cellStyle name="Comma 2 2 4 2 3 3 2" xfId="939"/>
    <cellStyle name="Comma 2 2 4 2 3 4" xfId="682"/>
    <cellStyle name="Comma 2 2 4 2 4" xfId="229"/>
    <cellStyle name="Comma 2 2 4 2 4 2" xfId="497"/>
    <cellStyle name="Comma 2 2 4 2 4 2 2" xfId="1011"/>
    <cellStyle name="Comma 2 2 4 2 4 3" xfId="754"/>
    <cellStyle name="Comma 2 2 4 2 5" xfId="389"/>
    <cellStyle name="Comma 2 2 4 2 5 2" xfId="903"/>
    <cellStyle name="Comma 2 2 4 2 6" xfId="646"/>
    <cellStyle name="Comma 2 2 4 3" xfId="165"/>
    <cellStyle name="Comma 2 2 4 3 2" xfId="287"/>
    <cellStyle name="Comma 2 2 4 3 2 2" xfId="551"/>
    <cellStyle name="Comma 2 2 4 3 2 2 2" xfId="1065"/>
    <cellStyle name="Comma 2 2 4 3 2 3" xfId="808"/>
    <cellStyle name="Comma 2 2 4 3 3" xfId="443"/>
    <cellStyle name="Comma 2 2 4 3 3 2" xfId="957"/>
    <cellStyle name="Comma 2 2 4 3 4" xfId="700"/>
    <cellStyle name="Comma 2 2 4 4" xfId="127"/>
    <cellStyle name="Comma 2 2 4 4 2" xfId="249"/>
    <cellStyle name="Comma 2 2 4 4 2 2" xfId="515"/>
    <cellStyle name="Comma 2 2 4 4 2 2 2" xfId="1029"/>
    <cellStyle name="Comma 2 2 4 4 2 3" xfId="772"/>
    <cellStyle name="Comma 2 2 4 4 3" xfId="407"/>
    <cellStyle name="Comma 2 2 4 4 3 2" xfId="921"/>
    <cellStyle name="Comma 2 2 4 4 4" xfId="664"/>
    <cellStyle name="Comma 2 2 4 5" xfId="209"/>
    <cellStyle name="Comma 2 2 4 5 2" xfId="479"/>
    <cellStyle name="Comma 2 2 4 5 2 2" xfId="993"/>
    <cellStyle name="Comma 2 2 4 5 3" xfId="736"/>
    <cellStyle name="Comma 2 2 4 6" xfId="371"/>
    <cellStyle name="Comma 2 2 4 6 2" xfId="885"/>
    <cellStyle name="Comma 2 2 4 7" xfId="628"/>
    <cellStyle name="Comma 2 2 5" xfId="97"/>
    <cellStyle name="Comma 2 2 5 2" xfId="175"/>
    <cellStyle name="Comma 2 2 5 2 2" xfId="297"/>
    <cellStyle name="Comma 2 2 5 2 2 2" xfId="560"/>
    <cellStyle name="Comma 2 2 5 2 2 2 2" xfId="1074"/>
    <cellStyle name="Comma 2 2 5 2 2 3" xfId="817"/>
    <cellStyle name="Comma 2 2 5 2 3" xfId="452"/>
    <cellStyle name="Comma 2 2 5 2 3 2" xfId="966"/>
    <cellStyle name="Comma 2 2 5 2 4" xfId="709"/>
    <cellStyle name="Comma 2 2 5 3" xfId="136"/>
    <cellStyle name="Comma 2 2 5 3 2" xfId="258"/>
    <cellStyle name="Comma 2 2 5 3 2 2" xfId="524"/>
    <cellStyle name="Comma 2 2 5 3 2 2 2" xfId="1038"/>
    <cellStyle name="Comma 2 2 5 3 2 3" xfId="781"/>
    <cellStyle name="Comma 2 2 5 3 3" xfId="416"/>
    <cellStyle name="Comma 2 2 5 3 3 2" xfId="930"/>
    <cellStyle name="Comma 2 2 5 3 4" xfId="673"/>
    <cellStyle name="Comma 2 2 5 4" xfId="219"/>
    <cellStyle name="Comma 2 2 5 4 2" xfId="488"/>
    <cellStyle name="Comma 2 2 5 4 2 2" xfId="1002"/>
    <cellStyle name="Comma 2 2 5 4 3" xfId="745"/>
    <cellStyle name="Comma 2 2 5 5" xfId="380"/>
    <cellStyle name="Comma 2 2 5 5 2" xfId="894"/>
    <cellStyle name="Comma 2 2 5 6" xfId="637"/>
    <cellStyle name="Comma 2 2 6" xfId="155"/>
    <cellStyle name="Comma 2 2 6 2" xfId="277"/>
    <cellStyle name="Comma 2 2 6 2 2" xfId="542"/>
    <cellStyle name="Comma 2 2 6 2 2 2" xfId="1056"/>
    <cellStyle name="Comma 2 2 6 2 3" xfId="799"/>
    <cellStyle name="Comma 2 2 6 3" xfId="434"/>
    <cellStyle name="Comma 2 2 6 3 2" xfId="948"/>
    <cellStyle name="Comma 2 2 6 4" xfId="691"/>
    <cellStyle name="Comma 2 2 7" xfId="117"/>
    <cellStyle name="Comma 2 2 7 2" xfId="239"/>
    <cellStyle name="Comma 2 2 7 2 2" xfId="506"/>
    <cellStyle name="Comma 2 2 7 2 2 2" xfId="1020"/>
    <cellStyle name="Comma 2 2 7 2 3" xfId="763"/>
    <cellStyle name="Comma 2 2 7 3" xfId="398"/>
    <cellStyle name="Comma 2 2 7 3 2" xfId="912"/>
    <cellStyle name="Comma 2 2 7 4" xfId="655"/>
    <cellStyle name="Comma 2 2 8" xfId="199"/>
    <cellStyle name="Comma 2 2 8 2" xfId="470"/>
    <cellStyle name="Comma 2 2 8 2 2" xfId="984"/>
    <cellStyle name="Comma 2 2 8 3" xfId="727"/>
    <cellStyle name="Comma 2 2 9" xfId="73"/>
    <cellStyle name="Comma 2 2 9 2" xfId="360"/>
    <cellStyle name="Comma 2 2 9 2 2" xfId="874"/>
    <cellStyle name="Comma 2 2 9 3" xfId="617"/>
    <cellStyle name="Comma 2 3" xfId="51"/>
    <cellStyle name="Comma 2 3 2" xfId="64"/>
    <cellStyle name="Comma 2 3 2 2" xfId="109"/>
    <cellStyle name="Comma 2 3 2 2 2" xfId="187"/>
    <cellStyle name="Comma 2 3 2 2 2 2" xfId="309"/>
    <cellStyle name="Comma 2 3 2 2 2 2 2" xfId="571"/>
    <cellStyle name="Comma 2 3 2 2 2 2 2 2" xfId="1085"/>
    <cellStyle name="Comma 2 3 2 2 2 2 3" xfId="828"/>
    <cellStyle name="Comma 2 3 2 2 2 3" xfId="463"/>
    <cellStyle name="Comma 2 3 2 2 2 3 2" xfId="977"/>
    <cellStyle name="Comma 2 3 2 2 2 4" xfId="720"/>
    <cellStyle name="Comma 2 3 2 2 3" xfId="148"/>
    <cellStyle name="Comma 2 3 2 2 3 2" xfId="270"/>
    <cellStyle name="Comma 2 3 2 2 3 2 2" xfId="535"/>
    <cellStyle name="Comma 2 3 2 2 3 2 2 2" xfId="1049"/>
    <cellStyle name="Comma 2 3 2 2 3 2 3" xfId="792"/>
    <cellStyle name="Comma 2 3 2 2 3 3" xfId="427"/>
    <cellStyle name="Comma 2 3 2 2 3 3 2" xfId="941"/>
    <cellStyle name="Comma 2 3 2 2 3 4" xfId="684"/>
    <cellStyle name="Comma 2 3 2 2 4" xfId="231"/>
    <cellStyle name="Comma 2 3 2 2 4 2" xfId="499"/>
    <cellStyle name="Comma 2 3 2 2 4 2 2" xfId="1013"/>
    <cellStyle name="Comma 2 3 2 2 4 3" xfId="756"/>
    <cellStyle name="Comma 2 3 2 2 5" xfId="391"/>
    <cellStyle name="Comma 2 3 2 2 5 2" xfId="905"/>
    <cellStyle name="Comma 2 3 2 2 6" xfId="648"/>
    <cellStyle name="Comma 2 3 2 3" xfId="167"/>
    <cellStyle name="Comma 2 3 2 3 2" xfId="289"/>
    <cellStyle name="Comma 2 3 2 3 2 2" xfId="553"/>
    <cellStyle name="Comma 2 3 2 3 2 2 2" xfId="1067"/>
    <cellStyle name="Comma 2 3 2 3 2 3" xfId="810"/>
    <cellStyle name="Comma 2 3 2 3 3" xfId="445"/>
    <cellStyle name="Comma 2 3 2 3 3 2" xfId="959"/>
    <cellStyle name="Comma 2 3 2 3 4" xfId="702"/>
    <cellStyle name="Comma 2 3 2 4" xfId="129"/>
    <cellStyle name="Comma 2 3 2 4 2" xfId="251"/>
    <cellStyle name="Comma 2 3 2 4 2 2" xfId="517"/>
    <cellStyle name="Comma 2 3 2 4 2 2 2" xfId="1031"/>
    <cellStyle name="Comma 2 3 2 4 2 3" xfId="774"/>
    <cellStyle name="Comma 2 3 2 4 3" xfId="409"/>
    <cellStyle name="Comma 2 3 2 4 3 2" xfId="923"/>
    <cellStyle name="Comma 2 3 2 4 4" xfId="666"/>
    <cellStyle name="Comma 2 3 2 5" xfId="211"/>
    <cellStyle name="Comma 2 3 2 5 2" xfId="481"/>
    <cellStyle name="Comma 2 3 2 5 2 2" xfId="995"/>
    <cellStyle name="Comma 2 3 2 5 3" xfId="738"/>
    <cellStyle name="Comma 2 3 2 6" xfId="89"/>
    <cellStyle name="Comma 2 3 2 6 2" xfId="373"/>
    <cellStyle name="Comma 2 3 2 6 2 2" xfId="887"/>
    <cellStyle name="Comma 2 3 2 6 3" xfId="630"/>
    <cellStyle name="Comma 2 3 2 7" xfId="351"/>
    <cellStyle name="Comma 2 3 2 7 2" xfId="865"/>
    <cellStyle name="Comma 2 3 2 8" xfId="608"/>
    <cellStyle name="Comma 2 3 3" xfId="99"/>
    <cellStyle name="Comma 2 3 3 2" xfId="177"/>
    <cellStyle name="Comma 2 3 3 2 2" xfId="299"/>
    <cellStyle name="Comma 2 3 3 2 2 2" xfId="562"/>
    <cellStyle name="Comma 2 3 3 2 2 2 2" xfId="1076"/>
    <cellStyle name="Comma 2 3 3 2 2 3" xfId="819"/>
    <cellStyle name="Comma 2 3 3 2 3" xfId="454"/>
    <cellStyle name="Comma 2 3 3 2 3 2" xfId="968"/>
    <cellStyle name="Comma 2 3 3 2 4" xfId="711"/>
    <cellStyle name="Comma 2 3 3 3" xfId="138"/>
    <cellStyle name="Comma 2 3 3 3 2" xfId="260"/>
    <cellStyle name="Comma 2 3 3 3 2 2" xfId="526"/>
    <cellStyle name="Comma 2 3 3 3 2 2 2" xfId="1040"/>
    <cellStyle name="Comma 2 3 3 3 2 3" xfId="783"/>
    <cellStyle name="Comma 2 3 3 3 3" xfId="418"/>
    <cellStyle name="Comma 2 3 3 3 3 2" xfId="932"/>
    <cellStyle name="Comma 2 3 3 3 4" xfId="675"/>
    <cellStyle name="Comma 2 3 3 4" xfId="221"/>
    <cellStyle name="Comma 2 3 3 4 2" xfId="490"/>
    <cellStyle name="Comma 2 3 3 4 2 2" xfId="1004"/>
    <cellStyle name="Comma 2 3 3 4 3" xfId="747"/>
    <cellStyle name="Comma 2 3 3 5" xfId="382"/>
    <cellStyle name="Comma 2 3 3 5 2" xfId="896"/>
    <cellStyle name="Comma 2 3 3 6" xfId="639"/>
    <cellStyle name="Comma 2 3 4" xfId="157"/>
    <cellStyle name="Comma 2 3 4 2" xfId="279"/>
    <cellStyle name="Comma 2 3 4 2 2" xfId="544"/>
    <cellStyle name="Comma 2 3 4 2 2 2" xfId="1058"/>
    <cellStyle name="Comma 2 3 4 2 3" xfId="801"/>
    <cellStyle name="Comma 2 3 4 3" xfId="436"/>
    <cellStyle name="Comma 2 3 4 3 2" xfId="950"/>
    <cellStyle name="Comma 2 3 4 4" xfId="693"/>
    <cellStyle name="Comma 2 3 5" xfId="119"/>
    <cellStyle name="Comma 2 3 5 2" xfId="241"/>
    <cellStyle name="Comma 2 3 5 2 2" xfId="508"/>
    <cellStyle name="Comma 2 3 5 2 2 2" xfId="1022"/>
    <cellStyle name="Comma 2 3 5 2 3" xfId="765"/>
    <cellStyle name="Comma 2 3 5 3" xfId="400"/>
    <cellStyle name="Comma 2 3 5 3 2" xfId="914"/>
    <cellStyle name="Comma 2 3 5 4" xfId="657"/>
    <cellStyle name="Comma 2 3 6" xfId="201"/>
    <cellStyle name="Comma 2 3 6 2" xfId="472"/>
    <cellStyle name="Comma 2 3 6 2 2" xfId="986"/>
    <cellStyle name="Comma 2 3 6 3" xfId="729"/>
    <cellStyle name="Comma 2 3 7" xfId="75"/>
    <cellStyle name="Comma 2 3 7 2" xfId="362"/>
    <cellStyle name="Comma 2 3 7 2 2" xfId="876"/>
    <cellStyle name="Comma 2 3 7 3" xfId="619"/>
    <cellStyle name="Comma 2 3 8" xfId="338"/>
    <cellStyle name="Comma 2 3 8 2" xfId="852"/>
    <cellStyle name="Comma 2 3 9" xfId="595"/>
    <cellStyle name="Comma 2 4" xfId="59"/>
    <cellStyle name="Comma 2 4 2" xfId="92"/>
    <cellStyle name="Comma 2 4 2 2" xfId="112"/>
    <cellStyle name="Comma 2 4 2 2 2" xfId="190"/>
    <cellStyle name="Comma 2 4 2 2 2 2" xfId="312"/>
    <cellStyle name="Comma 2 4 2 2 2 2 2" xfId="574"/>
    <cellStyle name="Comma 2 4 2 2 2 2 2 2" xfId="1088"/>
    <cellStyle name="Comma 2 4 2 2 2 2 3" xfId="831"/>
    <cellStyle name="Comma 2 4 2 2 2 3" xfId="466"/>
    <cellStyle name="Comma 2 4 2 2 2 3 2" xfId="980"/>
    <cellStyle name="Comma 2 4 2 2 2 4" xfId="723"/>
    <cellStyle name="Comma 2 4 2 2 3" xfId="151"/>
    <cellStyle name="Comma 2 4 2 2 3 2" xfId="273"/>
    <cellStyle name="Comma 2 4 2 2 3 2 2" xfId="538"/>
    <cellStyle name="Comma 2 4 2 2 3 2 2 2" xfId="1052"/>
    <cellStyle name="Comma 2 4 2 2 3 2 3" xfId="795"/>
    <cellStyle name="Comma 2 4 2 2 3 3" xfId="430"/>
    <cellStyle name="Comma 2 4 2 2 3 3 2" xfId="944"/>
    <cellStyle name="Comma 2 4 2 2 3 4" xfId="687"/>
    <cellStyle name="Comma 2 4 2 2 4" xfId="234"/>
    <cellStyle name="Comma 2 4 2 2 4 2" xfId="502"/>
    <cellStyle name="Comma 2 4 2 2 4 2 2" xfId="1016"/>
    <cellStyle name="Comma 2 4 2 2 4 3" xfId="759"/>
    <cellStyle name="Comma 2 4 2 2 5" xfId="394"/>
    <cellStyle name="Comma 2 4 2 2 5 2" xfId="908"/>
    <cellStyle name="Comma 2 4 2 2 6" xfId="651"/>
    <cellStyle name="Comma 2 4 2 3" xfId="170"/>
    <cellStyle name="Comma 2 4 2 3 2" xfId="292"/>
    <cellStyle name="Comma 2 4 2 3 2 2" xfId="556"/>
    <cellStyle name="Comma 2 4 2 3 2 2 2" xfId="1070"/>
    <cellStyle name="Comma 2 4 2 3 2 3" xfId="813"/>
    <cellStyle name="Comma 2 4 2 3 3" xfId="448"/>
    <cellStyle name="Comma 2 4 2 3 3 2" xfId="962"/>
    <cellStyle name="Comma 2 4 2 3 4" xfId="705"/>
    <cellStyle name="Comma 2 4 2 4" xfId="132"/>
    <cellStyle name="Comma 2 4 2 4 2" xfId="254"/>
    <cellStyle name="Comma 2 4 2 4 2 2" xfId="520"/>
    <cellStyle name="Comma 2 4 2 4 2 2 2" xfId="1034"/>
    <cellStyle name="Comma 2 4 2 4 2 3" xfId="777"/>
    <cellStyle name="Comma 2 4 2 4 3" xfId="412"/>
    <cellStyle name="Comma 2 4 2 4 3 2" xfId="926"/>
    <cellStyle name="Comma 2 4 2 4 4" xfId="669"/>
    <cellStyle name="Comma 2 4 2 5" xfId="214"/>
    <cellStyle name="Comma 2 4 2 5 2" xfId="484"/>
    <cellStyle name="Comma 2 4 2 5 2 2" xfId="998"/>
    <cellStyle name="Comma 2 4 2 5 3" xfId="741"/>
    <cellStyle name="Comma 2 4 2 6" xfId="376"/>
    <cellStyle name="Comma 2 4 2 6 2" xfId="890"/>
    <cellStyle name="Comma 2 4 2 7" xfId="633"/>
    <cellStyle name="Comma 2 4 3" xfId="102"/>
    <cellStyle name="Comma 2 4 3 2" xfId="180"/>
    <cellStyle name="Comma 2 4 3 2 2" xfId="302"/>
    <cellStyle name="Comma 2 4 3 2 2 2" xfId="565"/>
    <cellStyle name="Comma 2 4 3 2 2 2 2" xfId="1079"/>
    <cellStyle name="Comma 2 4 3 2 2 3" xfId="822"/>
    <cellStyle name="Comma 2 4 3 2 3" xfId="457"/>
    <cellStyle name="Comma 2 4 3 2 3 2" xfId="971"/>
    <cellStyle name="Comma 2 4 3 2 4" xfId="714"/>
    <cellStyle name="Comma 2 4 3 3" xfId="141"/>
    <cellStyle name="Comma 2 4 3 3 2" xfId="263"/>
    <cellStyle name="Comma 2 4 3 3 2 2" xfId="529"/>
    <cellStyle name="Comma 2 4 3 3 2 2 2" xfId="1043"/>
    <cellStyle name="Comma 2 4 3 3 2 3" xfId="786"/>
    <cellStyle name="Comma 2 4 3 3 3" xfId="421"/>
    <cellStyle name="Comma 2 4 3 3 3 2" xfId="935"/>
    <cellStyle name="Comma 2 4 3 3 4" xfId="678"/>
    <cellStyle name="Comma 2 4 3 4" xfId="224"/>
    <cellStyle name="Comma 2 4 3 4 2" xfId="493"/>
    <cellStyle name="Comma 2 4 3 4 2 2" xfId="1007"/>
    <cellStyle name="Comma 2 4 3 4 3" xfId="750"/>
    <cellStyle name="Comma 2 4 3 5" xfId="385"/>
    <cellStyle name="Comma 2 4 3 5 2" xfId="899"/>
    <cellStyle name="Comma 2 4 3 6" xfId="642"/>
    <cellStyle name="Comma 2 4 4" xfId="160"/>
    <cellStyle name="Comma 2 4 4 2" xfId="282"/>
    <cellStyle name="Comma 2 4 4 2 2" xfId="547"/>
    <cellStyle name="Comma 2 4 4 2 2 2" xfId="1061"/>
    <cellStyle name="Comma 2 4 4 2 3" xfId="804"/>
    <cellStyle name="Comma 2 4 4 3" xfId="439"/>
    <cellStyle name="Comma 2 4 4 3 2" xfId="953"/>
    <cellStyle name="Comma 2 4 4 4" xfId="696"/>
    <cellStyle name="Comma 2 4 5" xfId="122"/>
    <cellStyle name="Comma 2 4 5 2" xfId="244"/>
    <cellStyle name="Comma 2 4 5 2 2" xfId="511"/>
    <cellStyle name="Comma 2 4 5 2 2 2" xfId="1025"/>
    <cellStyle name="Comma 2 4 5 2 3" xfId="768"/>
    <cellStyle name="Comma 2 4 5 3" xfId="403"/>
    <cellStyle name="Comma 2 4 5 3 2" xfId="917"/>
    <cellStyle name="Comma 2 4 5 4" xfId="660"/>
    <cellStyle name="Comma 2 4 6" xfId="204"/>
    <cellStyle name="Comma 2 4 6 2" xfId="475"/>
    <cellStyle name="Comma 2 4 6 2 2" xfId="989"/>
    <cellStyle name="Comma 2 4 6 3" xfId="732"/>
    <cellStyle name="Comma 2 4 7" xfId="78"/>
    <cellStyle name="Comma 2 4 7 2" xfId="365"/>
    <cellStyle name="Comma 2 4 7 2 2" xfId="879"/>
    <cellStyle name="Comma 2 4 7 3" xfId="622"/>
    <cellStyle name="Comma 2 4 8" xfId="346"/>
    <cellStyle name="Comma 2 4 8 2" xfId="860"/>
    <cellStyle name="Comma 2 4 9" xfId="603"/>
    <cellStyle name="Comma 2 5" xfId="86"/>
    <cellStyle name="Comma 2 5 2" xfId="106"/>
    <cellStyle name="Comma 2 5 2 2" xfId="184"/>
    <cellStyle name="Comma 2 5 2 2 2" xfId="306"/>
    <cellStyle name="Comma 2 5 2 2 2 2" xfId="568"/>
    <cellStyle name="Comma 2 5 2 2 2 2 2" xfId="1082"/>
    <cellStyle name="Comma 2 5 2 2 2 3" xfId="825"/>
    <cellStyle name="Comma 2 5 2 2 3" xfId="460"/>
    <cellStyle name="Comma 2 5 2 2 3 2" xfId="974"/>
    <cellStyle name="Comma 2 5 2 2 4" xfId="717"/>
    <cellStyle name="Comma 2 5 2 3" xfId="145"/>
    <cellStyle name="Comma 2 5 2 3 2" xfId="267"/>
    <cellStyle name="Comma 2 5 2 3 2 2" xfId="532"/>
    <cellStyle name="Comma 2 5 2 3 2 2 2" xfId="1046"/>
    <cellStyle name="Comma 2 5 2 3 2 3" xfId="789"/>
    <cellStyle name="Comma 2 5 2 3 3" xfId="424"/>
    <cellStyle name="Comma 2 5 2 3 3 2" xfId="938"/>
    <cellStyle name="Comma 2 5 2 3 4" xfId="681"/>
    <cellStyle name="Comma 2 5 2 4" xfId="228"/>
    <cellStyle name="Comma 2 5 2 4 2" xfId="496"/>
    <cellStyle name="Comma 2 5 2 4 2 2" xfId="1010"/>
    <cellStyle name="Comma 2 5 2 4 3" xfId="753"/>
    <cellStyle name="Comma 2 5 2 5" xfId="388"/>
    <cellStyle name="Comma 2 5 2 5 2" xfId="902"/>
    <cellStyle name="Comma 2 5 2 6" xfId="645"/>
    <cellStyle name="Comma 2 5 3" xfId="164"/>
    <cellStyle name="Comma 2 5 3 2" xfId="286"/>
    <cellStyle name="Comma 2 5 3 2 2" xfId="550"/>
    <cellStyle name="Comma 2 5 3 2 2 2" xfId="1064"/>
    <cellStyle name="Comma 2 5 3 2 3" xfId="807"/>
    <cellStyle name="Comma 2 5 3 3" xfId="442"/>
    <cellStyle name="Comma 2 5 3 3 2" xfId="956"/>
    <cellStyle name="Comma 2 5 3 4" xfId="699"/>
    <cellStyle name="Comma 2 5 4" xfId="126"/>
    <cellStyle name="Comma 2 5 4 2" xfId="248"/>
    <cellStyle name="Comma 2 5 4 2 2" xfId="514"/>
    <cellStyle name="Comma 2 5 4 2 2 2" xfId="1028"/>
    <cellStyle name="Comma 2 5 4 2 3" xfId="771"/>
    <cellStyle name="Comma 2 5 4 3" xfId="406"/>
    <cellStyle name="Comma 2 5 4 3 2" xfId="920"/>
    <cellStyle name="Comma 2 5 4 4" xfId="663"/>
    <cellStyle name="Comma 2 5 5" xfId="208"/>
    <cellStyle name="Comma 2 5 5 2" xfId="478"/>
    <cellStyle name="Comma 2 5 5 2 2" xfId="992"/>
    <cellStyle name="Comma 2 5 5 3" xfId="735"/>
    <cellStyle name="Comma 2 5 6" xfId="370"/>
    <cellStyle name="Comma 2 5 6 2" xfId="884"/>
    <cellStyle name="Comma 2 5 7" xfId="627"/>
    <cellStyle name="Comma 2 6" xfId="96"/>
    <cellStyle name="Comma 2 6 2" xfId="174"/>
    <cellStyle name="Comma 2 6 2 2" xfId="296"/>
    <cellStyle name="Comma 2 6 2 2 2" xfId="559"/>
    <cellStyle name="Comma 2 6 2 2 2 2" xfId="1073"/>
    <cellStyle name="Comma 2 6 2 2 3" xfId="816"/>
    <cellStyle name="Comma 2 6 2 3" xfId="451"/>
    <cellStyle name="Comma 2 6 2 3 2" xfId="965"/>
    <cellStyle name="Comma 2 6 2 4" xfId="708"/>
    <cellStyle name="Comma 2 6 3" xfId="135"/>
    <cellStyle name="Comma 2 6 3 2" xfId="257"/>
    <cellStyle name="Comma 2 6 3 2 2" xfId="523"/>
    <cellStyle name="Comma 2 6 3 2 2 2" xfId="1037"/>
    <cellStyle name="Comma 2 6 3 2 3" xfId="780"/>
    <cellStyle name="Comma 2 6 3 3" xfId="415"/>
    <cellStyle name="Comma 2 6 3 3 2" xfId="929"/>
    <cellStyle name="Comma 2 6 3 4" xfId="672"/>
    <cellStyle name="Comma 2 6 4" xfId="218"/>
    <cellStyle name="Comma 2 6 4 2" xfId="487"/>
    <cellStyle name="Comma 2 6 4 2 2" xfId="1001"/>
    <cellStyle name="Comma 2 6 4 3" xfId="744"/>
    <cellStyle name="Comma 2 6 5" xfId="379"/>
    <cellStyle name="Comma 2 6 5 2" xfId="893"/>
    <cellStyle name="Comma 2 6 6" xfId="636"/>
    <cellStyle name="Comma 2 7" xfId="154"/>
    <cellStyle name="Comma 2 7 2" xfId="276"/>
    <cellStyle name="Comma 2 7 2 2" xfId="541"/>
    <cellStyle name="Comma 2 7 2 2 2" xfId="1055"/>
    <cellStyle name="Comma 2 7 2 3" xfId="798"/>
    <cellStyle name="Comma 2 7 3" xfId="433"/>
    <cellStyle name="Comma 2 7 3 2" xfId="947"/>
    <cellStyle name="Comma 2 7 4" xfId="690"/>
    <cellStyle name="Comma 2 8" xfId="116"/>
    <cellStyle name="Comma 2 8 2" xfId="238"/>
    <cellStyle name="Comma 2 8 2 2" xfId="505"/>
    <cellStyle name="Comma 2 8 2 2 2" xfId="1019"/>
    <cellStyle name="Comma 2 8 2 3" xfId="762"/>
    <cellStyle name="Comma 2 8 3" xfId="397"/>
    <cellStyle name="Comma 2 8 3 2" xfId="911"/>
    <cellStyle name="Comma 2 8 4" xfId="654"/>
    <cellStyle name="Comma 2 9" xfId="198"/>
    <cellStyle name="Comma 2 9 2" xfId="469"/>
    <cellStyle name="Comma 2 9 2 2" xfId="983"/>
    <cellStyle name="Comma 2 9 3" xfId="726"/>
    <cellStyle name="Comma 3" xfId="46"/>
    <cellStyle name="Comma 3 2" xfId="88"/>
    <cellStyle name="Comma 3 2 2" xfId="108"/>
    <cellStyle name="Comma 3 2 2 2" xfId="186"/>
    <cellStyle name="Comma 3 2 2 2 2" xfId="308"/>
    <cellStyle name="Comma 3 2 2 2 2 2" xfId="570"/>
    <cellStyle name="Comma 3 2 2 2 2 2 2" xfId="1084"/>
    <cellStyle name="Comma 3 2 2 2 2 3" xfId="827"/>
    <cellStyle name="Comma 3 2 2 2 3" xfId="462"/>
    <cellStyle name="Comma 3 2 2 2 3 2" xfId="976"/>
    <cellStyle name="Comma 3 2 2 2 4" xfId="719"/>
    <cellStyle name="Comma 3 2 2 3" xfId="147"/>
    <cellStyle name="Comma 3 2 2 3 2" xfId="269"/>
    <cellStyle name="Comma 3 2 2 3 2 2" xfId="534"/>
    <cellStyle name="Comma 3 2 2 3 2 2 2" xfId="1048"/>
    <cellStyle name="Comma 3 2 2 3 2 3" xfId="791"/>
    <cellStyle name="Comma 3 2 2 3 3" xfId="426"/>
    <cellStyle name="Comma 3 2 2 3 3 2" xfId="940"/>
    <cellStyle name="Comma 3 2 2 3 4" xfId="683"/>
    <cellStyle name="Comma 3 2 2 4" xfId="230"/>
    <cellStyle name="Comma 3 2 2 4 2" xfId="498"/>
    <cellStyle name="Comma 3 2 2 4 2 2" xfId="1012"/>
    <cellStyle name="Comma 3 2 2 4 3" xfId="755"/>
    <cellStyle name="Comma 3 2 2 5" xfId="390"/>
    <cellStyle name="Comma 3 2 2 5 2" xfId="904"/>
    <cellStyle name="Comma 3 2 2 6" xfId="647"/>
    <cellStyle name="Comma 3 2 3" xfId="166"/>
    <cellStyle name="Comma 3 2 3 2" xfId="288"/>
    <cellStyle name="Comma 3 2 3 2 2" xfId="552"/>
    <cellStyle name="Comma 3 2 3 2 2 2" xfId="1066"/>
    <cellStyle name="Comma 3 2 3 2 3" xfId="809"/>
    <cellStyle name="Comma 3 2 3 3" xfId="444"/>
    <cellStyle name="Comma 3 2 3 3 2" xfId="958"/>
    <cellStyle name="Comma 3 2 3 4" xfId="701"/>
    <cellStyle name="Comma 3 2 4" xfId="128"/>
    <cellStyle name="Comma 3 2 4 2" xfId="250"/>
    <cellStyle name="Comma 3 2 4 2 2" xfId="516"/>
    <cellStyle name="Comma 3 2 4 2 2 2" xfId="1030"/>
    <cellStyle name="Comma 3 2 4 2 3" xfId="773"/>
    <cellStyle name="Comma 3 2 4 3" xfId="408"/>
    <cellStyle name="Comma 3 2 4 3 2" xfId="922"/>
    <cellStyle name="Comma 3 2 4 4" xfId="665"/>
    <cellStyle name="Comma 3 2 5" xfId="210"/>
    <cellStyle name="Comma 3 2 5 2" xfId="480"/>
    <cellStyle name="Comma 3 2 5 2 2" xfId="994"/>
    <cellStyle name="Comma 3 2 5 3" xfId="737"/>
    <cellStyle name="Comma 3 2 6" xfId="372"/>
    <cellStyle name="Comma 3 2 6 2" xfId="886"/>
    <cellStyle name="Comma 3 2 7" xfId="629"/>
    <cellStyle name="Comma 3 3" xfId="98"/>
    <cellStyle name="Comma 3 3 2" xfId="176"/>
    <cellStyle name="Comma 3 3 2 2" xfId="298"/>
    <cellStyle name="Comma 3 3 2 2 2" xfId="561"/>
    <cellStyle name="Comma 3 3 2 2 2 2" xfId="1075"/>
    <cellStyle name="Comma 3 3 2 2 3" xfId="818"/>
    <cellStyle name="Comma 3 3 2 3" xfId="453"/>
    <cellStyle name="Comma 3 3 2 3 2" xfId="967"/>
    <cellStyle name="Comma 3 3 2 4" xfId="710"/>
    <cellStyle name="Comma 3 3 3" xfId="137"/>
    <cellStyle name="Comma 3 3 3 2" xfId="259"/>
    <cellStyle name="Comma 3 3 3 2 2" xfId="525"/>
    <cellStyle name="Comma 3 3 3 2 2 2" xfId="1039"/>
    <cellStyle name="Comma 3 3 3 2 3" xfId="782"/>
    <cellStyle name="Comma 3 3 3 3" xfId="417"/>
    <cellStyle name="Comma 3 3 3 3 2" xfId="931"/>
    <cellStyle name="Comma 3 3 3 4" xfId="674"/>
    <cellStyle name="Comma 3 3 4" xfId="220"/>
    <cellStyle name="Comma 3 3 4 2" xfId="489"/>
    <cellStyle name="Comma 3 3 4 2 2" xfId="1003"/>
    <cellStyle name="Comma 3 3 4 3" xfId="746"/>
    <cellStyle name="Comma 3 3 5" xfId="381"/>
    <cellStyle name="Comma 3 3 5 2" xfId="895"/>
    <cellStyle name="Comma 3 3 6" xfId="638"/>
    <cellStyle name="Comma 3 4" xfId="156"/>
    <cellStyle name="Comma 3 4 2" xfId="278"/>
    <cellStyle name="Comma 3 4 2 2" xfId="543"/>
    <cellStyle name="Comma 3 4 2 2 2" xfId="1057"/>
    <cellStyle name="Comma 3 4 2 3" xfId="800"/>
    <cellStyle name="Comma 3 4 3" xfId="435"/>
    <cellStyle name="Comma 3 4 3 2" xfId="949"/>
    <cellStyle name="Comma 3 4 4" xfId="692"/>
    <cellStyle name="Comma 3 5" xfId="118"/>
    <cellStyle name="Comma 3 5 2" xfId="240"/>
    <cellStyle name="Comma 3 5 2 2" xfId="507"/>
    <cellStyle name="Comma 3 5 2 2 2" xfId="1021"/>
    <cellStyle name="Comma 3 5 2 3" xfId="764"/>
    <cellStyle name="Comma 3 5 3" xfId="399"/>
    <cellStyle name="Comma 3 5 3 2" xfId="913"/>
    <cellStyle name="Comma 3 5 4" xfId="656"/>
    <cellStyle name="Comma 3 6" xfId="200"/>
    <cellStyle name="Comma 3 6 2" xfId="471"/>
    <cellStyle name="Comma 3 6 2 2" xfId="985"/>
    <cellStyle name="Comma 3 6 3" xfId="728"/>
    <cellStyle name="Comma 3 7" xfId="74"/>
    <cellStyle name="Comma 3 7 2" xfId="361"/>
    <cellStyle name="Comma 3 7 2 2" xfId="875"/>
    <cellStyle name="Comma 3 7 3" xfId="618"/>
    <cellStyle name="Comma 4" xfId="57"/>
    <cellStyle name="Comma 4 2" xfId="91"/>
    <cellStyle name="Comma 4 2 2" xfId="111"/>
    <cellStyle name="Comma 4 2 2 2" xfId="189"/>
    <cellStyle name="Comma 4 2 2 2 2" xfId="311"/>
    <cellStyle name="Comma 4 2 2 2 2 2" xfId="573"/>
    <cellStyle name="Comma 4 2 2 2 2 2 2" xfId="1087"/>
    <cellStyle name="Comma 4 2 2 2 2 3" xfId="830"/>
    <cellStyle name="Comma 4 2 2 2 3" xfId="465"/>
    <cellStyle name="Comma 4 2 2 2 3 2" xfId="979"/>
    <cellStyle name="Comma 4 2 2 2 4" xfId="722"/>
    <cellStyle name="Comma 4 2 2 3" xfId="150"/>
    <cellStyle name="Comma 4 2 2 3 2" xfId="272"/>
    <cellStyle name="Comma 4 2 2 3 2 2" xfId="537"/>
    <cellStyle name="Comma 4 2 2 3 2 2 2" xfId="1051"/>
    <cellStyle name="Comma 4 2 2 3 2 3" xfId="794"/>
    <cellStyle name="Comma 4 2 2 3 3" xfId="429"/>
    <cellStyle name="Comma 4 2 2 3 3 2" xfId="943"/>
    <cellStyle name="Comma 4 2 2 3 4" xfId="686"/>
    <cellStyle name="Comma 4 2 2 4" xfId="233"/>
    <cellStyle name="Comma 4 2 2 4 2" xfId="501"/>
    <cellStyle name="Comma 4 2 2 4 2 2" xfId="1015"/>
    <cellStyle name="Comma 4 2 2 4 3" xfId="758"/>
    <cellStyle name="Comma 4 2 2 5" xfId="393"/>
    <cellStyle name="Comma 4 2 2 5 2" xfId="907"/>
    <cellStyle name="Comma 4 2 2 6" xfId="650"/>
    <cellStyle name="Comma 4 2 3" xfId="169"/>
    <cellStyle name="Comma 4 2 3 2" xfId="291"/>
    <cellStyle name="Comma 4 2 3 2 2" xfId="555"/>
    <cellStyle name="Comma 4 2 3 2 2 2" xfId="1069"/>
    <cellStyle name="Comma 4 2 3 2 3" xfId="812"/>
    <cellStyle name="Comma 4 2 3 3" xfId="447"/>
    <cellStyle name="Comma 4 2 3 3 2" xfId="961"/>
    <cellStyle name="Comma 4 2 3 4" xfId="704"/>
    <cellStyle name="Comma 4 2 4" xfId="131"/>
    <cellStyle name="Comma 4 2 4 2" xfId="253"/>
    <cellStyle name="Comma 4 2 4 2 2" xfId="519"/>
    <cellStyle name="Comma 4 2 4 2 2 2" xfId="1033"/>
    <cellStyle name="Comma 4 2 4 2 3" xfId="776"/>
    <cellStyle name="Comma 4 2 4 3" xfId="411"/>
    <cellStyle name="Comma 4 2 4 3 2" xfId="925"/>
    <cellStyle name="Comma 4 2 4 4" xfId="668"/>
    <cellStyle name="Comma 4 2 5" xfId="213"/>
    <cellStyle name="Comma 4 2 5 2" xfId="483"/>
    <cellStyle name="Comma 4 2 5 2 2" xfId="997"/>
    <cellStyle name="Comma 4 2 5 3" xfId="740"/>
    <cellStyle name="Comma 4 2 6" xfId="375"/>
    <cellStyle name="Comma 4 2 6 2" xfId="889"/>
    <cellStyle name="Comma 4 2 7" xfId="632"/>
    <cellStyle name="Comma 4 3" xfId="101"/>
    <cellStyle name="Comma 4 3 2" xfId="179"/>
    <cellStyle name="Comma 4 3 2 2" xfId="301"/>
    <cellStyle name="Comma 4 3 2 2 2" xfId="564"/>
    <cellStyle name="Comma 4 3 2 2 2 2" xfId="1078"/>
    <cellStyle name="Comma 4 3 2 2 3" xfId="821"/>
    <cellStyle name="Comma 4 3 2 3" xfId="456"/>
    <cellStyle name="Comma 4 3 2 3 2" xfId="970"/>
    <cellStyle name="Comma 4 3 2 4" xfId="713"/>
    <cellStyle name="Comma 4 3 3" xfId="140"/>
    <cellStyle name="Comma 4 3 3 2" xfId="262"/>
    <cellStyle name="Comma 4 3 3 2 2" xfId="528"/>
    <cellStyle name="Comma 4 3 3 2 2 2" xfId="1042"/>
    <cellStyle name="Comma 4 3 3 2 3" xfId="785"/>
    <cellStyle name="Comma 4 3 3 3" xfId="420"/>
    <cellStyle name="Comma 4 3 3 3 2" xfId="934"/>
    <cellStyle name="Comma 4 3 3 4" xfId="677"/>
    <cellStyle name="Comma 4 3 4" xfId="223"/>
    <cellStyle name="Comma 4 3 4 2" xfId="492"/>
    <cellStyle name="Comma 4 3 4 2 2" xfId="1006"/>
    <cellStyle name="Comma 4 3 4 3" xfId="749"/>
    <cellStyle name="Comma 4 3 5" xfId="384"/>
    <cellStyle name="Comma 4 3 5 2" xfId="898"/>
    <cellStyle name="Comma 4 3 6" xfId="641"/>
    <cellStyle name="Comma 4 4" xfId="159"/>
    <cellStyle name="Comma 4 4 2" xfId="281"/>
    <cellStyle name="Comma 4 4 2 2" xfId="546"/>
    <cellStyle name="Comma 4 4 2 2 2" xfId="1060"/>
    <cellStyle name="Comma 4 4 2 3" xfId="803"/>
    <cellStyle name="Comma 4 4 3" xfId="438"/>
    <cellStyle name="Comma 4 4 3 2" xfId="952"/>
    <cellStyle name="Comma 4 4 4" xfId="695"/>
    <cellStyle name="Comma 4 5" xfId="121"/>
    <cellStyle name="Comma 4 5 2" xfId="243"/>
    <cellStyle name="Comma 4 5 2 2" xfId="510"/>
    <cellStyle name="Comma 4 5 2 2 2" xfId="1024"/>
    <cellStyle name="Comma 4 5 2 3" xfId="767"/>
    <cellStyle name="Comma 4 5 3" xfId="402"/>
    <cellStyle name="Comma 4 5 3 2" xfId="916"/>
    <cellStyle name="Comma 4 5 4" xfId="659"/>
    <cellStyle name="Comma 4 6" xfId="203"/>
    <cellStyle name="Comma 4 6 2" xfId="474"/>
    <cellStyle name="Comma 4 6 2 2" xfId="988"/>
    <cellStyle name="Comma 4 6 3" xfId="731"/>
    <cellStyle name="Comma 4 7" xfId="77"/>
    <cellStyle name="Comma 4 7 2" xfId="364"/>
    <cellStyle name="Comma 4 7 2 2" xfId="878"/>
    <cellStyle name="Comma 4 7 3" xfId="621"/>
    <cellStyle name="Comma 4 8" xfId="344"/>
    <cellStyle name="Comma 4 8 2" xfId="858"/>
    <cellStyle name="Comma 4 9" xfId="601"/>
    <cellStyle name="Comma 5" xfId="84"/>
    <cellStyle name="Comma 5 2" xfId="105"/>
    <cellStyle name="Comma 5 2 2" xfId="183"/>
    <cellStyle name="Comma 5 2 2 2" xfId="305"/>
    <cellStyle name="Comma 5 2 2 2 2" xfId="567"/>
    <cellStyle name="Comma 5 2 2 2 2 2" xfId="1081"/>
    <cellStyle name="Comma 5 2 2 2 3" xfId="824"/>
    <cellStyle name="Comma 5 2 2 3" xfId="459"/>
    <cellStyle name="Comma 5 2 2 3 2" xfId="973"/>
    <cellStyle name="Comma 5 2 2 4" xfId="716"/>
    <cellStyle name="Comma 5 2 3" xfId="144"/>
    <cellStyle name="Comma 5 2 3 2" xfId="266"/>
    <cellStyle name="Comma 5 2 3 2 2" xfId="531"/>
    <cellStyle name="Comma 5 2 3 2 2 2" xfId="1045"/>
    <cellStyle name="Comma 5 2 3 2 3" xfId="788"/>
    <cellStyle name="Comma 5 2 3 3" xfId="423"/>
    <cellStyle name="Comma 5 2 3 3 2" xfId="937"/>
    <cellStyle name="Comma 5 2 3 4" xfId="680"/>
    <cellStyle name="Comma 5 2 4" xfId="227"/>
    <cellStyle name="Comma 5 2 4 2" xfId="495"/>
    <cellStyle name="Comma 5 2 4 2 2" xfId="1009"/>
    <cellStyle name="Comma 5 2 4 3" xfId="752"/>
    <cellStyle name="Comma 5 2 5" xfId="387"/>
    <cellStyle name="Comma 5 2 5 2" xfId="901"/>
    <cellStyle name="Comma 5 2 6" xfId="644"/>
    <cellStyle name="Comma 5 3" xfId="163"/>
    <cellStyle name="Comma 5 3 2" xfId="285"/>
    <cellStyle name="Comma 5 3 2 2" xfId="549"/>
    <cellStyle name="Comma 5 3 2 2 2" xfId="1063"/>
    <cellStyle name="Comma 5 3 2 3" xfId="806"/>
    <cellStyle name="Comma 5 3 3" xfId="441"/>
    <cellStyle name="Comma 5 3 3 2" xfId="955"/>
    <cellStyle name="Comma 5 3 4" xfId="698"/>
    <cellStyle name="Comma 5 4" xfId="125"/>
    <cellStyle name="Comma 5 4 2" xfId="247"/>
    <cellStyle name="Comma 5 4 2 2" xfId="513"/>
    <cellStyle name="Comma 5 4 2 2 2" xfId="1027"/>
    <cellStyle name="Comma 5 4 2 3" xfId="770"/>
    <cellStyle name="Comma 5 4 3" xfId="405"/>
    <cellStyle name="Comma 5 4 3 2" xfId="919"/>
    <cellStyle name="Comma 5 4 4" xfId="662"/>
    <cellStyle name="Comma 5 5" xfId="207"/>
    <cellStyle name="Comma 5 5 2" xfId="477"/>
    <cellStyle name="Comma 5 5 2 2" xfId="991"/>
    <cellStyle name="Comma 5 5 3" xfId="734"/>
    <cellStyle name="Comma 5 6" xfId="368"/>
    <cellStyle name="Comma 5 6 2" xfId="882"/>
    <cellStyle name="Comma 5 7" xfId="625"/>
    <cellStyle name="Comma 6" xfId="81"/>
    <cellStyle name="Comma 6 2" xfId="104"/>
    <cellStyle name="Comma 6 2 2" xfId="182"/>
    <cellStyle name="Comma 6 2 2 2" xfId="304"/>
    <cellStyle name="Comma 6 2 3" xfId="143"/>
    <cellStyle name="Comma 6 2 3 2" xfId="265"/>
    <cellStyle name="Comma 6 2 4" xfId="226"/>
    <cellStyle name="Comma 6 3" xfId="162"/>
    <cellStyle name="Comma 6 3 2" xfId="284"/>
    <cellStyle name="Comma 6 4" xfId="124"/>
    <cellStyle name="Comma 6 4 2" xfId="246"/>
    <cellStyle name="Comma 6 5" xfId="206"/>
    <cellStyle name="Comma 7" xfId="95"/>
    <cellStyle name="Comma 7 2" xfId="173"/>
    <cellStyle name="Comma 7 2 2" xfId="295"/>
    <cellStyle name="Comma 7 2 2 2" xfId="558"/>
    <cellStyle name="Comma 7 2 2 2 2" xfId="1072"/>
    <cellStyle name="Comma 7 2 2 3" xfId="815"/>
    <cellStyle name="Comma 7 2 3" xfId="450"/>
    <cellStyle name="Comma 7 2 3 2" xfId="964"/>
    <cellStyle name="Comma 7 2 4" xfId="707"/>
    <cellStyle name="Comma 7 3" xfId="134"/>
    <cellStyle name="Comma 7 3 2" xfId="256"/>
    <cellStyle name="Comma 7 3 2 2" xfId="522"/>
    <cellStyle name="Comma 7 3 2 2 2" xfId="1036"/>
    <cellStyle name="Comma 7 3 2 3" xfId="779"/>
    <cellStyle name="Comma 7 3 3" xfId="414"/>
    <cellStyle name="Comma 7 3 3 2" xfId="928"/>
    <cellStyle name="Comma 7 3 4" xfId="671"/>
    <cellStyle name="Comma 7 4" xfId="217"/>
    <cellStyle name="Comma 7 4 2" xfId="486"/>
    <cellStyle name="Comma 7 4 2 2" xfId="1000"/>
    <cellStyle name="Comma 7 4 3" xfId="743"/>
    <cellStyle name="Comma 7 5" xfId="378"/>
    <cellStyle name="Comma 7 5 2" xfId="892"/>
    <cellStyle name="Comma 7 6" xfId="635"/>
    <cellStyle name="Comma 8" xfId="153"/>
    <cellStyle name="Comma 8 2" xfId="275"/>
    <cellStyle name="Comma 8 2 2" xfId="540"/>
    <cellStyle name="Comma 8 2 2 2" xfId="1054"/>
    <cellStyle name="Comma 8 2 3" xfId="797"/>
    <cellStyle name="Comma 8 3" xfId="432"/>
    <cellStyle name="Comma 8 3 2" xfId="946"/>
    <cellStyle name="Comma 8 4" xfId="689"/>
    <cellStyle name="Comma 9" xfId="115"/>
    <cellStyle name="Comma 9 2" xfId="237"/>
    <cellStyle name="Comma 9 2 2" xfId="504"/>
    <cellStyle name="Comma 9 2 2 2" xfId="1018"/>
    <cellStyle name="Comma 9 2 3" xfId="761"/>
    <cellStyle name="Comma 9 3" xfId="396"/>
    <cellStyle name="Comma 9 3 2" xfId="910"/>
    <cellStyle name="Comma 9 4" xfId="65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4"/>
    <cellStyle name="Normal 2 2" xfId="47"/>
    <cellStyle name="Normal 2 2 2" xfId="52"/>
    <cellStyle name="Normal 2 2 2 2" xfId="65"/>
    <cellStyle name="Normal 2 2 2 2 2" xfId="329"/>
    <cellStyle name="Normal 2 2 2 2 2 2" xfId="586"/>
    <cellStyle name="Normal 2 2 2 2 2 2 2" xfId="1100"/>
    <cellStyle name="Normal 2 2 2 2 2 3" xfId="843"/>
    <cellStyle name="Normal 2 2 2 2 3" xfId="352"/>
    <cellStyle name="Normal 2 2 2 2 3 2" xfId="866"/>
    <cellStyle name="Normal 2 2 2 2 4" xfId="609"/>
    <cellStyle name="Normal 2 2 2 3" xfId="321"/>
    <cellStyle name="Normal 2 2 2 3 2" xfId="578"/>
    <cellStyle name="Normal 2 2 2 3 2 2" xfId="1092"/>
    <cellStyle name="Normal 2 2 2 3 3" xfId="835"/>
    <cellStyle name="Normal 2 2 2 4" xfId="339"/>
    <cellStyle name="Normal 2 2 2 4 2" xfId="853"/>
    <cellStyle name="Normal 2 2 2 5" xfId="596"/>
    <cellStyle name="Normal 2 2 3" xfId="60"/>
    <cellStyle name="Normal 2 2 3 2" xfId="326"/>
    <cellStyle name="Normal 2 2 3 2 2" xfId="583"/>
    <cellStyle name="Normal 2 2 3 2 2 2" xfId="1097"/>
    <cellStyle name="Normal 2 2 3 2 3" xfId="840"/>
    <cellStyle name="Normal 2 2 3 3" xfId="347"/>
    <cellStyle name="Normal 2 2 3 3 2" xfId="861"/>
    <cellStyle name="Normal 2 2 3 4" xfId="604"/>
    <cellStyle name="Normal 2 2 4" xfId="83"/>
    <cellStyle name="Normal 2 2 4 2" xfId="367"/>
    <cellStyle name="Normal 2 2 4 2 2" xfId="881"/>
    <cellStyle name="Normal 2 2 4 3" xfId="624"/>
    <cellStyle name="Normal 2 2 5" xfId="334"/>
    <cellStyle name="Normal 2 2 5 2" xfId="848"/>
    <cellStyle name="Normal 2 2 6" xfId="591"/>
    <cellStyle name="Normal 2 3" xfId="50"/>
    <cellStyle name="Normal 2 3 2" xfId="63"/>
    <cellStyle name="Normal 2 3 2 2" xfId="328"/>
    <cellStyle name="Normal 2 3 2 2 2" xfId="585"/>
    <cellStyle name="Normal 2 3 2 2 2 2" xfId="1099"/>
    <cellStyle name="Normal 2 3 2 2 3" xfId="842"/>
    <cellStyle name="Normal 2 3 2 3" xfId="350"/>
    <cellStyle name="Normal 2 3 2 3 2" xfId="864"/>
    <cellStyle name="Normal 2 3 2 4" xfId="607"/>
    <cellStyle name="Normal 2 3 3" xfId="320"/>
    <cellStyle name="Normal 2 3 3 2" xfId="577"/>
    <cellStyle name="Normal 2 3 3 2 2" xfId="1091"/>
    <cellStyle name="Normal 2 3 3 3" xfId="834"/>
    <cellStyle name="Normal 2 3 4" xfId="337"/>
    <cellStyle name="Normal 2 3 4 2" xfId="851"/>
    <cellStyle name="Normal 2 3 5" xfId="594"/>
    <cellStyle name="Normal 2 4" xfId="58"/>
    <cellStyle name="Normal 2 4 2" xfId="325"/>
    <cellStyle name="Normal 2 4 2 2" xfId="582"/>
    <cellStyle name="Normal 2 4 2 2 2" xfId="1096"/>
    <cellStyle name="Normal 2 4 2 3" xfId="839"/>
    <cellStyle name="Normal 2 4 3" xfId="345"/>
    <cellStyle name="Normal 2 4 3 2" xfId="859"/>
    <cellStyle name="Normal 2 4 4" xfId="602"/>
    <cellStyle name="Normal 2 5" xfId="80"/>
    <cellStyle name="Normal 2 6" xfId="332"/>
    <cellStyle name="Normal 2 6 2" xfId="846"/>
    <cellStyle name="Normal 2 7" xfId="589"/>
    <cellStyle name="Normal 3" xfId="49"/>
    <cellStyle name="Normal 3 2" xfId="54"/>
    <cellStyle name="Normal 3 2 2" xfId="67"/>
    <cellStyle name="Normal 3 2 2 2" xfId="196"/>
    <cellStyle name="Normal 3 2 2 2 2" xfId="318"/>
    <cellStyle name="Normal 3 2 2 3" xfId="314"/>
    <cellStyle name="Normal 3 2 2 4" xfId="192"/>
    <cellStyle name="Normal 3 2 2 5" xfId="330"/>
    <cellStyle name="Normal 3 2 2 5 2" xfId="587"/>
    <cellStyle name="Normal 3 2 2 5 2 2" xfId="1101"/>
    <cellStyle name="Normal 3 2 2 5 3" xfId="844"/>
    <cellStyle name="Normal 3 2 2 6" xfId="354"/>
    <cellStyle name="Normal 3 2 2 6 2" xfId="868"/>
    <cellStyle name="Normal 3 2 2 7" xfId="611"/>
    <cellStyle name="Normal 3 2 3" xfId="194"/>
    <cellStyle name="Normal 3 2 3 2" xfId="316"/>
    <cellStyle name="Normal 3 2 4" xfId="236"/>
    <cellStyle name="Normal 3 2 5" xfId="114"/>
    <cellStyle name="Normal 3 2 6" xfId="322"/>
    <cellStyle name="Normal 3 2 6 2" xfId="579"/>
    <cellStyle name="Normal 3 2 6 2 2" xfId="1093"/>
    <cellStyle name="Normal 3 2 6 3" xfId="836"/>
    <cellStyle name="Normal 3 2 7" xfId="341"/>
    <cellStyle name="Normal 3 2 7 2" xfId="855"/>
    <cellStyle name="Normal 3 2 8" xfId="598"/>
    <cellStyle name="Normal 3 3" xfId="62"/>
    <cellStyle name="Normal 3 3 2" xfId="195"/>
    <cellStyle name="Normal 3 3 2 2" xfId="317"/>
    <cellStyle name="Normal 3 3 3" xfId="294"/>
    <cellStyle name="Normal 3 3 4" xfId="172"/>
    <cellStyle name="Normal 3 3 5" xfId="327"/>
    <cellStyle name="Normal 3 3 5 2" xfId="584"/>
    <cellStyle name="Normal 3 3 5 2 2" xfId="1098"/>
    <cellStyle name="Normal 3 3 5 3" xfId="841"/>
    <cellStyle name="Normal 3 3 6" xfId="349"/>
    <cellStyle name="Normal 3 3 6 2" xfId="863"/>
    <cellStyle name="Normal 3 3 7" xfId="606"/>
    <cellStyle name="Normal 3 4" xfId="193"/>
    <cellStyle name="Normal 3 4 2" xfId="315"/>
    <cellStyle name="Normal 3 5" xfId="216"/>
    <cellStyle name="Normal 3 6" xfId="94"/>
    <cellStyle name="Normal 3 7" xfId="319"/>
    <cellStyle name="Normal 3 7 2" xfId="576"/>
    <cellStyle name="Normal 3 7 2 2" xfId="1090"/>
    <cellStyle name="Normal 3 7 3" xfId="833"/>
    <cellStyle name="Normal 3 8" xfId="336"/>
    <cellStyle name="Normal 3 8 2" xfId="850"/>
    <cellStyle name="Normal 3 9" xfId="593"/>
    <cellStyle name="Normal 4" xfId="55"/>
    <cellStyle name="Normal 4 2" xfId="68"/>
    <cellStyle name="Normal 4 2 2" xfId="331"/>
    <cellStyle name="Normal 4 2 2 2" xfId="588"/>
    <cellStyle name="Normal 4 2 2 2 2" xfId="1102"/>
    <cellStyle name="Normal 4 2 2 3" xfId="845"/>
    <cellStyle name="Normal 4 2 3" xfId="355"/>
    <cellStyle name="Normal 4 2 3 2" xfId="869"/>
    <cellStyle name="Normal 4 2 4" xfId="612"/>
    <cellStyle name="Normal 4 3" xfId="323"/>
    <cellStyle name="Normal 4 3 2" xfId="580"/>
    <cellStyle name="Normal 4 3 2 2" xfId="1094"/>
    <cellStyle name="Normal 4 3 3" xfId="837"/>
    <cellStyle name="Normal 4 4" xfId="342"/>
    <cellStyle name="Normal 4 4 2" xfId="856"/>
    <cellStyle name="Normal 4 5" xfId="599"/>
    <cellStyle name="Normal 5" xfId="56"/>
    <cellStyle name="Normal 5 2" xfId="324"/>
    <cellStyle name="Normal 5 2 2" xfId="581"/>
    <cellStyle name="Normal 5 2 2 2" xfId="1095"/>
    <cellStyle name="Normal 5 2 3" xfId="838"/>
    <cellStyle name="Normal 5 3" xfId="343"/>
    <cellStyle name="Normal 5 3 2" xfId="857"/>
    <cellStyle name="Normal 5 4" xfId="600"/>
    <cellStyle name="Normal 6" xfId="69"/>
    <cellStyle name="Normal 6 2" xfId="356"/>
    <cellStyle name="Normal 6 2 2" xfId="870"/>
    <cellStyle name="Normal 6 3" xfId="613"/>
    <cellStyle name="Note" xfId="16" builtinId="10" customBuiltin="1"/>
    <cellStyle name="Output" xfId="11" builtinId="21" customBuiltin="1"/>
    <cellStyle name="Percent" xfId="43" builtinId="5"/>
    <cellStyle name="Percent 2" xfId="85"/>
    <cellStyle name="Percent 2 2" xfId="369"/>
    <cellStyle name="Percent 2 2 2" xfId="883"/>
    <cellStyle name="Percent 2 3" xfId="626"/>
    <cellStyle name="Percent 3" xfId="82"/>
    <cellStyle name="Percent 4" xfId="71"/>
    <cellStyle name="Percent 4 2" xfId="358"/>
    <cellStyle name="Percent 4 2 2" xfId="872"/>
    <cellStyle name="Percent 4 3" xfId="615"/>
    <cellStyle name="Title" xfId="2" builtinId="15" customBuiltin="1"/>
    <cellStyle name="Total" xfId="18" builtinId="25" customBuiltin="1"/>
    <cellStyle name="Warning Text" xfId="15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8</xdr:col>
      <xdr:colOff>923924</xdr:colOff>
      <xdr:row>6</xdr:row>
      <xdr:rowOff>0</xdr:rowOff>
    </xdr:to>
    <xdr:pic>
      <xdr:nvPicPr>
        <xdr:cNvPr id="14" name="Picture 13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10163174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87</xdr:row>
      <xdr:rowOff>19049</xdr:rowOff>
    </xdr:from>
    <xdr:to>
      <xdr:col>8</xdr:col>
      <xdr:colOff>923924</xdr:colOff>
      <xdr:row>92</xdr:row>
      <xdr:rowOff>152399</xdr:rowOff>
    </xdr:to>
    <xdr:pic>
      <xdr:nvPicPr>
        <xdr:cNvPr id="15" name="Picture 14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439899"/>
          <a:ext cx="10163174" cy="9429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170</xdr:row>
      <xdr:rowOff>28575</xdr:rowOff>
    </xdr:from>
    <xdr:to>
      <xdr:col>8</xdr:col>
      <xdr:colOff>923924</xdr:colOff>
      <xdr:row>176</xdr:row>
      <xdr:rowOff>9525</xdr:rowOff>
    </xdr:to>
    <xdr:pic>
      <xdr:nvPicPr>
        <xdr:cNvPr id="16" name="Picture 15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279850"/>
          <a:ext cx="10163174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255</xdr:row>
      <xdr:rowOff>19049</xdr:rowOff>
    </xdr:from>
    <xdr:to>
      <xdr:col>8</xdr:col>
      <xdr:colOff>923924</xdr:colOff>
      <xdr:row>260</xdr:row>
      <xdr:rowOff>133349</xdr:rowOff>
    </xdr:to>
    <xdr:pic>
      <xdr:nvPicPr>
        <xdr:cNvPr id="17" name="Picture 16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195999"/>
          <a:ext cx="10163174" cy="923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340</xdr:row>
      <xdr:rowOff>19050</xdr:rowOff>
    </xdr:from>
    <xdr:to>
      <xdr:col>8</xdr:col>
      <xdr:colOff>923924</xdr:colOff>
      <xdr:row>346</xdr:row>
      <xdr:rowOff>0</xdr:rowOff>
    </xdr:to>
    <xdr:pic>
      <xdr:nvPicPr>
        <xdr:cNvPr id="18" name="Picture 17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026425"/>
          <a:ext cx="10163174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422</xdr:row>
      <xdr:rowOff>0</xdr:rowOff>
    </xdr:from>
    <xdr:to>
      <xdr:col>8</xdr:col>
      <xdr:colOff>923924</xdr:colOff>
      <xdr:row>427</xdr:row>
      <xdr:rowOff>171450</xdr:rowOff>
    </xdr:to>
    <xdr:pic>
      <xdr:nvPicPr>
        <xdr:cNvPr id="19" name="Picture 18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885425"/>
          <a:ext cx="10163174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3:N514"/>
  <sheetViews>
    <sheetView showGridLines="0" tabSelected="1" zoomScaleNormal="100" workbookViewId="0">
      <selection activeCell="J7" sqref="J7"/>
    </sheetView>
  </sheetViews>
  <sheetFormatPr defaultColWidth="9.140625" defaultRowHeight="12.75" x14ac:dyDescent="0.2"/>
  <cols>
    <col min="1" max="1" width="35" style="10" customWidth="1"/>
    <col min="2" max="2" width="14" style="10" customWidth="1"/>
    <col min="3" max="3" width="16.42578125" style="10" customWidth="1"/>
    <col min="4" max="4" width="13.7109375" style="10" bestFit="1" customWidth="1"/>
    <col min="5" max="5" width="11.85546875" style="10" bestFit="1" customWidth="1"/>
    <col min="6" max="6" width="15.5703125" style="10" bestFit="1" customWidth="1"/>
    <col min="7" max="8" width="16" style="10" bestFit="1" customWidth="1"/>
    <col min="9" max="9" width="15.5703125" style="10" bestFit="1" customWidth="1"/>
    <col min="10" max="10" width="18.7109375" style="10" bestFit="1" customWidth="1"/>
    <col min="11" max="11" width="18.7109375" style="178" bestFit="1" customWidth="1"/>
    <col min="12" max="12" width="17.140625" style="178" customWidth="1"/>
    <col min="13" max="16384" width="9.140625" style="10"/>
  </cols>
  <sheetData>
    <row r="3" spans="1:12" x14ac:dyDescent="0.2">
      <c r="H3" s="126">
        <v>42978</v>
      </c>
    </row>
    <row r="7" spans="1:12" x14ac:dyDescent="0.2">
      <c r="A7" s="107" t="str">
        <f>"Market Profile - "&amp; TEXT($H$3,"MMM")&amp;" "&amp;TEXT($H$3,"YYYY")</f>
        <v>Market Profile - Aug 2017</v>
      </c>
    </row>
    <row r="8" spans="1:12" x14ac:dyDescent="0.2">
      <c r="A8" s="107"/>
      <c r="G8" s="367" t="s">
        <v>199</v>
      </c>
      <c r="H8" s="367"/>
      <c r="I8" s="367"/>
    </row>
    <row r="9" spans="1:12" x14ac:dyDescent="0.2">
      <c r="A9" s="107"/>
      <c r="G9" s="367"/>
      <c r="H9" s="367"/>
      <c r="I9" s="367"/>
    </row>
    <row r="10" spans="1:12" x14ac:dyDescent="0.2">
      <c r="A10" s="107"/>
    </row>
    <row r="11" spans="1:12" x14ac:dyDescent="0.2">
      <c r="K11" s="174"/>
    </row>
    <row r="12" spans="1:12" s="107" customFormat="1" ht="12.75" customHeight="1" thickBot="1" x14ac:dyDescent="0.25">
      <c r="A12" s="116" t="s">
        <v>0</v>
      </c>
      <c r="B12" s="117"/>
      <c r="C12" s="117"/>
      <c r="D12" s="117"/>
      <c r="E12" s="117"/>
      <c r="F12" s="117"/>
      <c r="G12" s="117"/>
      <c r="H12" s="117"/>
      <c r="I12" s="117"/>
      <c r="K12" s="172"/>
      <c r="L12" s="172"/>
    </row>
    <row r="13" spans="1:12" s="107" customFormat="1" ht="12.75" customHeight="1" x14ac:dyDescent="0.25">
      <c r="A13" s="383" t="s">
        <v>167</v>
      </c>
      <c r="B13" s="280" t="s">
        <v>1</v>
      </c>
      <c r="C13" s="280" t="s">
        <v>179</v>
      </c>
      <c r="D13" s="280" t="s">
        <v>179</v>
      </c>
      <c r="E13" s="280" t="s">
        <v>2</v>
      </c>
      <c r="F13" s="280"/>
      <c r="G13" s="280"/>
      <c r="H13" s="280"/>
      <c r="I13" s="281"/>
      <c r="K13" s="172"/>
      <c r="L13" s="172"/>
    </row>
    <row r="14" spans="1:12" s="107" customFormat="1" ht="12.75" customHeight="1" x14ac:dyDescent="0.25">
      <c r="A14" s="383"/>
      <c r="B14" s="280" t="s">
        <v>3</v>
      </c>
      <c r="C14" s="280" t="s">
        <v>4</v>
      </c>
      <c r="D14" s="280" t="s">
        <v>4</v>
      </c>
      <c r="E14" s="280" t="s">
        <v>5</v>
      </c>
      <c r="F14" s="280"/>
      <c r="G14" s="280"/>
      <c r="H14" s="280"/>
      <c r="I14" s="281"/>
      <c r="K14" s="172"/>
      <c r="L14" s="172"/>
    </row>
    <row r="15" spans="1:12" s="107" customFormat="1" ht="12.75" customHeight="1" thickBot="1" x14ac:dyDescent="0.3">
      <c r="A15" s="384"/>
      <c r="B15" s="282" t="str">
        <f>TEXT($H$3,"MMM")&amp;" "&amp;TEXT($H$3,"YYYY")</f>
        <v>Aug 2017</v>
      </c>
      <c r="C15" s="282" t="str">
        <f>TEXT($H$3,"YYYY")</f>
        <v>2017</v>
      </c>
      <c r="D15" s="283">
        <f>TEXT($H$3,"YYYY")-1</f>
        <v>2016</v>
      </c>
      <c r="E15" s="284" t="s">
        <v>6</v>
      </c>
      <c r="F15" s="285">
        <f>TEXT($H$3,"YYYY")-1</f>
        <v>2016</v>
      </c>
      <c r="G15" s="285">
        <f>TEXT($H$3,"YYYY")-2</f>
        <v>2015</v>
      </c>
      <c r="H15" s="285">
        <f>TEXT($H$3,"YYYY")-3</f>
        <v>2014</v>
      </c>
      <c r="I15" s="285">
        <f>TEXT($H$3,"YYYY")-4</f>
        <v>2013</v>
      </c>
      <c r="J15" s="16"/>
      <c r="K15" s="172"/>
      <c r="L15" s="172"/>
    </row>
    <row r="16" spans="1:12" ht="12.75" customHeight="1" x14ac:dyDescent="0.2">
      <c r="A16" s="248" t="s">
        <v>117</v>
      </c>
      <c r="B16" s="127">
        <f>Data!D2</f>
        <v>5487839</v>
      </c>
      <c r="C16" s="127">
        <f>Data!D5</f>
        <v>45956500</v>
      </c>
      <c r="D16" s="249">
        <f>Data!D8</f>
        <v>45825130</v>
      </c>
      <c r="E16" s="286">
        <f>(C16-D16)/ABS(D16)</f>
        <v>2.8667676447399057E-3</v>
      </c>
      <c r="F16" s="361">
        <v>71179762</v>
      </c>
      <c r="G16" s="361">
        <v>61894253</v>
      </c>
      <c r="H16" s="361">
        <v>46298171</v>
      </c>
      <c r="I16" s="361">
        <v>38964070</v>
      </c>
      <c r="J16" s="3"/>
      <c r="K16" s="171"/>
      <c r="L16" s="171"/>
    </row>
    <row r="17" spans="1:12" ht="12.75" customHeight="1" x14ac:dyDescent="0.2">
      <c r="A17" s="248" t="s">
        <v>118</v>
      </c>
      <c r="B17" s="127">
        <f>Data!B2/1000000</f>
        <v>6436.5326859999996</v>
      </c>
      <c r="C17" s="127">
        <f>Data!B5/1000000</f>
        <v>51484.685566</v>
      </c>
      <c r="D17" s="249">
        <f>Data!B8/1000000</f>
        <v>53153.681020999997</v>
      </c>
      <c r="E17" s="286">
        <f t="shared" ref="E17:E18" si="0">(C17-D17)/ABS(D17)</f>
        <v>-3.1399433170782823E-2</v>
      </c>
      <c r="F17" s="361">
        <v>79501</v>
      </c>
      <c r="G17" s="361">
        <v>74406</v>
      </c>
      <c r="H17" s="361">
        <v>61735</v>
      </c>
      <c r="I17" s="361">
        <v>63892</v>
      </c>
      <c r="J17" s="3"/>
      <c r="K17" s="171"/>
      <c r="L17" s="171"/>
    </row>
    <row r="18" spans="1:12" ht="12.75" customHeight="1" x14ac:dyDescent="0.2">
      <c r="A18" s="248" t="s">
        <v>119</v>
      </c>
      <c r="B18" s="127">
        <f>Data!C2/1000000</f>
        <v>446373.15473148064</v>
      </c>
      <c r="C18" s="127">
        <f>Data!C5/1000000</f>
        <v>3414620.2668668581</v>
      </c>
      <c r="D18" s="249">
        <f>Data!C8/1000000</f>
        <v>3981611.2282467457</v>
      </c>
      <c r="E18" s="286">
        <f t="shared" si="0"/>
        <v>-0.14240239161409918</v>
      </c>
      <c r="F18" s="361">
        <v>5892768</v>
      </c>
      <c r="G18" s="361">
        <v>5015419</v>
      </c>
      <c r="H18" s="361">
        <v>4050044</v>
      </c>
      <c r="I18" s="361">
        <v>3981618</v>
      </c>
      <c r="J18" s="3"/>
      <c r="K18" s="174"/>
      <c r="L18" s="171"/>
    </row>
    <row r="19" spans="1:12" ht="12.75" customHeight="1" x14ac:dyDescent="0.2">
      <c r="A19" s="248"/>
      <c r="B19" s="203"/>
      <c r="C19" s="127"/>
      <c r="D19" s="249"/>
      <c r="E19" s="248"/>
      <c r="F19" s="361"/>
      <c r="G19" s="361"/>
      <c r="H19" s="361"/>
      <c r="I19" s="361"/>
      <c r="J19" s="3"/>
      <c r="K19" s="171"/>
      <c r="L19" s="171"/>
    </row>
    <row r="20" spans="1:12" s="107" customFormat="1" ht="12.75" customHeight="1" x14ac:dyDescent="0.25">
      <c r="A20" s="288" t="s">
        <v>168</v>
      </c>
      <c r="B20" s="201"/>
      <c r="C20" s="201"/>
      <c r="D20" s="250"/>
      <c r="E20" s="248"/>
      <c r="F20" s="361"/>
      <c r="G20" s="361"/>
      <c r="H20" s="362"/>
      <c r="I20" s="362"/>
      <c r="J20" s="3"/>
      <c r="K20" s="171"/>
      <c r="L20" s="171"/>
    </row>
    <row r="21" spans="1:12" ht="12.75" customHeight="1" x14ac:dyDescent="0.2">
      <c r="A21" s="248" t="s">
        <v>117</v>
      </c>
      <c r="B21" s="127">
        <f>Data!F2</f>
        <v>3087</v>
      </c>
      <c r="C21" s="127">
        <f>Data!F5</f>
        <v>23436</v>
      </c>
      <c r="D21" s="249">
        <f>Data!F8</f>
        <v>25388</v>
      </c>
      <c r="E21" s="286">
        <f>(C21-D21)/ABS(D21)</f>
        <v>-7.6886718134551751E-2</v>
      </c>
      <c r="F21" s="361">
        <v>38735</v>
      </c>
      <c r="G21" s="361">
        <v>30897</v>
      </c>
      <c r="H21" s="361">
        <v>30062</v>
      </c>
      <c r="I21" s="361">
        <v>103715</v>
      </c>
      <c r="J21" s="3"/>
      <c r="K21" s="171"/>
      <c r="L21" s="171"/>
    </row>
    <row r="22" spans="1:12" ht="12.75" customHeight="1" x14ac:dyDescent="0.2">
      <c r="A22" s="248" t="s">
        <v>118</v>
      </c>
      <c r="B22" s="127">
        <f>Data!G2/1000000</f>
        <v>561.59954300000004</v>
      </c>
      <c r="C22" s="127">
        <f>Data!G5/1000000</f>
        <v>4463.621725</v>
      </c>
      <c r="D22" s="249">
        <f>Data!G8/1000000</f>
        <v>4352.3243430000002</v>
      </c>
      <c r="E22" s="286">
        <f t="shared" ref="E22:E23" si="1">(C22-D22)/ABS(D22)</f>
        <v>2.5571941158062661E-2</v>
      </c>
      <c r="F22" s="361">
        <v>6935</v>
      </c>
      <c r="G22" s="361">
        <v>7273</v>
      </c>
      <c r="H22" s="361">
        <v>6833</v>
      </c>
      <c r="I22" s="361">
        <v>10908</v>
      </c>
      <c r="J22" s="3"/>
      <c r="K22" s="171"/>
      <c r="L22" s="171"/>
    </row>
    <row r="23" spans="1:12" ht="12.75" customHeight="1" thickBot="1" x14ac:dyDescent="0.25">
      <c r="A23" s="289" t="s">
        <v>119</v>
      </c>
      <c r="B23" s="128">
        <f>Data!H2/1000000</f>
        <v>31302.940148235622</v>
      </c>
      <c r="C23" s="128">
        <f>Data!H5/1000000</f>
        <v>218290.63329431304</v>
      </c>
      <c r="D23" s="290">
        <f>Data!H8/1000000</f>
        <v>254414.12097040552</v>
      </c>
      <c r="E23" s="291">
        <f t="shared" si="1"/>
        <v>-0.14198696022967416</v>
      </c>
      <c r="F23" s="292">
        <v>379199</v>
      </c>
      <c r="G23" s="292">
        <v>336258</v>
      </c>
      <c r="H23" s="292">
        <v>294652</v>
      </c>
      <c r="I23" s="292">
        <v>648244</v>
      </c>
    </row>
    <row r="24" spans="1:12" ht="12.75" customHeight="1" thickTop="1" x14ac:dyDescent="0.2">
      <c r="B24" s="3"/>
      <c r="C24" s="3"/>
      <c r="D24" s="3"/>
      <c r="E24" s="3"/>
      <c r="F24" s="27"/>
      <c r="G24" s="27"/>
      <c r="H24" s="27"/>
      <c r="I24" s="27"/>
    </row>
    <row r="25" spans="1:12" s="107" customFormat="1" ht="12.75" customHeight="1" thickBot="1" x14ac:dyDescent="0.25">
      <c r="A25" s="116" t="s">
        <v>7</v>
      </c>
      <c r="B25" s="117"/>
      <c r="C25" s="117"/>
      <c r="D25" s="117"/>
      <c r="E25" s="117"/>
      <c r="F25" s="117"/>
      <c r="G25" s="118"/>
      <c r="H25" s="117"/>
      <c r="I25" s="117"/>
      <c r="K25" s="172"/>
      <c r="L25" s="172"/>
    </row>
    <row r="26" spans="1:12" s="107" customFormat="1" ht="12.75" customHeight="1" x14ac:dyDescent="0.25">
      <c r="A26" s="281"/>
      <c r="B26" s="280" t="s">
        <v>1</v>
      </c>
      <c r="C26" s="280" t="s">
        <v>179</v>
      </c>
      <c r="D26" s="280" t="s">
        <v>179</v>
      </c>
      <c r="E26" s="280" t="s">
        <v>8</v>
      </c>
      <c r="F26" s="280"/>
      <c r="G26" s="293"/>
      <c r="H26" s="281"/>
      <c r="I26" s="281"/>
      <c r="K26" s="172"/>
      <c r="L26" s="172"/>
    </row>
    <row r="27" spans="1:12" s="107" customFormat="1" ht="12.75" customHeight="1" x14ac:dyDescent="0.25">
      <c r="A27" s="294"/>
      <c r="B27" s="280" t="s">
        <v>3</v>
      </c>
      <c r="C27" s="280" t="s">
        <v>4</v>
      </c>
      <c r="D27" s="280" t="s">
        <v>4</v>
      </c>
      <c r="E27" s="280" t="s">
        <v>9</v>
      </c>
      <c r="F27" s="280"/>
      <c r="G27" s="280"/>
      <c r="H27" s="280"/>
      <c r="I27" s="281"/>
      <c r="K27" s="172"/>
      <c r="L27" s="172"/>
    </row>
    <row r="28" spans="1:12" s="107" customFormat="1" ht="12.75" customHeight="1" thickBot="1" x14ac:dyDescent="0.3">
      <c r="A28" s="295"/>
      <c r="B28" s="282" t="str">
        <f>TEXT($H$3,"MMM")&amp;" "&amp;TEXT($H$3,"YYYY")</f>
        <v>Aug 2017</v>
      </c>
      <c r="C28" s="282" t="str">
        <f>$C$15</f>
        <v>2017</v>
      </c>
      <c r="D28" s="282">
        <f>$D$15</f>
        <v>2016</v>
      </c>
      <c r="E28" s="284" t="s">
        <v>6</v>
      </c>
      <c r="F28" s="284">
        <f>$F$15</f>
        <v>2016</v>
      </c>
      <c r="G28" s="295">
        <f>$G$15</f>
        <v>2015</v>
      </c>
      <c r="H28" s="295">
        <f>$H$15</f>
        <v>2014</v>
      </c>
      <c r="I28" s="295">
        <f>$I$15</f>
        <v>2013</v>
      </c>
      <c r="K28" s="172"/>
      <c r="L28" s="172"/>
    </row>
    <row r="29" spans="1:12" ht="12.75" customHeight="1" x14ac:dyDescent="0.2">
      <c r="A29" s="248" t="s">
        <v>10</v>
      </c>
      <c r="B29" s="249">
        <f>Data!O2/1000000</f>
        <v>77365.548918100001</v>
      </c>
      <c r="C29" s="249">
        <f>Data!O5/1000000</f>
        <v>584550.60312177998</v>
      </c>
      <c r="D29" s="249">
        <f>Data!O8/1000000</f>
        <v>708515.53098988999</v>
      </c>
      <c r="E29" s="195">
        <f>C29-D29</f>
        <v>-123964.92786811001</v>
      </c>
      <c r="F29" s="249">
        <v>1010947</v>
      </c>
      <c r="G29" s="249">
        <v>969468</v>
      </c>
      <c r="H29" s="296">
        <v>784579</v>
      </c>
      <c r="I29" s="296">
        <v>645668</v>
      </c>
      <c r="J29" s="129"/>
    </row>
    <row r="30" spans="1:12" ht="12.75" customHeight="1" x14ac:dyDescent="0.2">
      <c r="A30" s="248" t="s">
        <v>11</v>
      </c>
      <c r="B30" s="249">
        <f>Data!P2/1000000</f>
        <v>-78830.454210800002</v>
      </c>
      <c r="C30" s="249">
        <f>Data!P5/1000000</f>
        <v>-649267.12993775005</v>
      </c>
      <c r="D30" s="249">
        <f>Data!P8/1000000</f>
        <v>-791207.47838295996</v>
      </c>
      <c r="E30" s="195">
        <f>C30-D30</f>
        <v>141940.34844520991</v>
      </c>
      <c r="F30" s="249">
        <v>-1134812</v>
      </c>
      <c r="G30" s="249">
        <v>-970485</v>
      </c>
      <c r="H30" s="296">
        <v>-771216</v>
      </c>
      <c r="I30" s="296">
        <v>-645833</v>
      </c>
      <c r="J30" s="129"/>
    </row>
    <row r="31" spans="1:12" s="107" customFormat="1" ht="12.75" customHeight="1" thickBot="1" x14ac:dyDescent="0.3">
      <c r="A31" s="297" t="s">
        <v>12</v>
      </c>
      <c r="B31" s="298">
        <f>Data!Q2/1000000</f>
        <v>-1464.9052927</v>
      </c>
      <c r="C31" s="298">
        <f>Data!Q5/1000000</f>
        <v>-64716.526815969999</v>
      </c>
      <c r="D31" s="298">
        <f>Data!Q8/1000000</f>
        <v>-82691.947393070004</v>
      </c>
      <c r="E31" s="299">
        <f>C31-D31</f>
        <v>17975.420577100005</v>
      </c>
      <c r="F31" s="298">
        <v>-123865</v>
      </c>
      <c r="G31" s="298">
        <v>-1017</v>
      </c>
      <c r="H31" s="298">
        <v>13363</v>
      </c>
      <c r="I31" s="298">
        <v>-165</v>
      </c>
      <c r="J31" s="129"/>
      <c r="K31" s="172"/>
      <c r="L31" s="172"/>
    </row>
    <row r="32" spans="1:12" ht="12.75" customHeight="1" thickTop="1" x14ac:dyDescent="0.2">
      <c r="B32" s="27"/>
      <c r="C32" s="27"/>
      <c r="D32" s="27"/>
      <c r="E32" s="27"/>
      <c r="F32" s="27"/>
      <c r="G32" s="27"/>
      <c r="H32" s="27"/>
      <c r="I32" s="27"/>
      <c r="J32" s="129"/>
    </row>
    <row r="33" spans="1:14" ht="12.75" customHeight="1" thickBot="1" x14ac:dyDescent="0.25">
      <c r="A33" s="123" t="s">
        <v>161</v>
      </c>
      <c r="B33" s="119"/>
      <c r="C33" s="119"/>
      <c r="D33" s="119"/>
      <c r="E33" s="119"/>
      <c r="F33" s="119"/>
      <c r="G33" s="118"/>
      <c r="H33" s="119"/>
      <c r="I33" s="119"/>
    </row>
    <row r="34" spans="1:14" s="107" customFormat="1" ht="12.75" customHeight="1" x14ac:dyDescent="0.25">
      <c r="A34" s="300"/>
      <c r="B34" s="280" t="s">
        <v>1</v>
      </c>
      <c r="C34" s="280" t="s">
        <v>179</v>
      </c>
      <c r="D34" s="280" t="s">
        <v>179</v>
      </c>
      <c r="E34" s="301" t="s">
        <v>2</v>
      </c>
      <c r="F34" s="301"/>
      <c r="G34" s="293"/>
      <c r="H34" s="301"/>
      <c r="I34" s="300"/>
      <c r="K34" s="171"/>
      <c r="L34" s="172"/>
    </row>
    <row r="35" spans="1:14" s="107" customFormat="1" ht="12.75" customHeight="1" x14ac:dyDescent="0.25">
      <c r="A35" s="300"/>
      <c r="B35" s="280" t="s">
        <v>3</v>
      </c>
      <c r="C35" s="280" t="s">
        <v>4</v>
      </c>
      <c r="D35" s="280" t="s">
        <v>4</v>
      </c>
      <c r="E35" s="301" t="s">
        <v>5</v>
      </c>
      <c r="F35" s="280"/>
      <c r="G35" s="293"/>
      <c r="H35" s="301"/>
      <c r="I35" s="300"/>
      <c r="K35" s="171"/>
      <c r="L35" s="172"/>
    </row>
    <row r="36" spans="1:14" s="107" customFormat="1" ht="12.75" customHeight="1" thickBot="1" x14ac:dyDescent="0.3">
      <c r="A36" s="302"/>
      <c r="B36" s="282" t="str">
        <f>TEXT($H$3,"MMM")&amp;" "&amp;TEXT($H$3,"YYYY")</f>
        <v>Aug 2017</v>
      </c>
      <c r="C36" s="282" t="str">
        <f>$C$15</f>
        <v>2017</v>
      </c>
      <c r="D36" s="282">
        <f>$D$15</f>
        <v>2016</v>
      </c>
      <c r="E36" s="284" t="s">
        <v>6</v>
      </c>
      <c r="F36" s="284">
        <f>$F$15</f>
        <v>2016</v>
      </c>
      <c r="G36" s="295">
        <f>$G$15</f>
        <v>2015</v>
      </c>
      <c r="H36" s="295">
        <f>$H$15</f>
        <v>2014</v>
      </c>
      <c r="I36" s="295">
        <f>$I$15</f>
        <v>2013</v>
      </c>
      <c r="K36" s="173"/>
      <c r="L36" s="178"/>
    </row>
    <row r="37" spans="1:14" ht="12.75" customHeight="1" x14ac:dyDescent="0.25">
      <c r="A37" s="303" t="s">
        <v>150</v>
      </c>
      <c r="B37" s="304"/>
      <c r="C37" s="304"/>
      <c r="D37" s="304"/>
      <c r="E37" s="303"/>
      <c r="F37" s="303"/>
      <c r="G37" s="287"/>
      <c r="H37" s="303"/>
      <c r="I37" s="303"/>
      <c r="K37" s="171"/>
      <c r="M37" s="19"/>
      <c r="N37" s="19"/>
    </row>
    <row r="38" spans="1:14" ht="12.75" customHeight="1" x14ac:dyDescent="0.2">
      <c r="A38" s="305" t="s">
        <v>117</v>
      </c>
      <c r="B38" s="287">
        <f>Data!CK1</f>
        <v>24411</v>
      </c>
      <c r="C38" s="287">
        <f>Data!CK6</f>
        <v>185942</v>
      </c>
      <c r="D38" s="287">
        <f>Data!CK11</f>
        <v>199181</v>
      </c>
      <c r="E38" s="286">
        <f t="shared" ref="E38:E40" si="2">IFERROR(IF(OR(AND(D38="",C38=""),AND(D38=0,C38=0)),"",
IF(OR(D38="",D38=0),1,
IF(OR(D38&lt;&gt;"",D38&lt;&gt;0),(C38-D38)/ABS(D38)))),-1)</f>
        <v>-6.6467183114855333E-2</v>
      </c>
      <c r="F38" s="361">
        <v>283127</v>
      </c>
      <c r="G38" s="361">
        <v>290607</v>
      </c>
      <c r="H38" s="361">
        <v>240900</v>
      </c>
      <c r="I38" s="361">
        <v>248016</v>
      </c>
      <c r="J38" s="29"/>
      <c r="K38" s="171"/>
      <c r="M38" s="19"/>
      <c r="N38" s="19"/>
    </row>
    <row r="39" spans="1:14" ht="12.75" customHeight="1" x14ac:dyDescent="0.2">
      <c r="A39" s="305" t="s">
        <v>151</v>
      </c>
      <c r="B39" s="287">
        <f>Data!CK2/1000000</f>
        <v>653467.84466299997</v>
      </c>
      <c r="C39" s="287">
        <f>Data!CK7/1000000</f>
        <v>4869700.2890039999</v>
      </c>
      <c r="D39" s="287">
        <f>Data!CK12/1000000</f>
        <v>5162429.5229259999</v>
      </c>
      <c r="E39" s="286">
        <f t="shared" si="2"/>
        <v>-5.6703773411725882E-2</v>
      </c>
      <c r="F39" s="361">
        <v>7321629</v>
      </c>
      <c r="G39" s="361">
        <v>6653964</v>
      </c>
      <c r="H39" s="361">
        <v>5413031</v>
      </c>
      <c r="I39" s="361">
        <v>5515590</v>
      </c>
      <c r="J39" s="27"/>
      <c r="K39" s="171"/>
    </row>
    <row r="40" spans="1:14" ht="12.75" customHeight="1" x14ac:dyDescent="0.2">
      <c r="A40" s="305" t="s">
        <v>152</v>
      </c>
      <c r="B40" s="287">
        <f>Data!CK3/1000000</f>
        <v>674140.01302178856</v>
      </c>
      <c r="C40" s="287">
        <f>Data!CK8/1000000</f>
        <v>5129643.3278189637</v>
      </c>
      <c r="D40" s="287">
        <f>Data!CK13/1000000</f>
        <v>5306696.7362839254</v>
      </c>
      <c r="E40" s="286">
        <f t="shared" si="2"/>
        <v>-3.3364146711904505E-2</v>
      </c>
      <c r="F40" s="361">
        <v>7580050</v>
      </c>
      <c r="G40" s="361">
        <v>7166248</v>
      </c>
      <c r="H40" s="361">
        <v>5777503</v>
      </c>
      <c r="I40" s="361">
        <v>6140455</v>
      </c>
      <c r="J40" s="29"/>
      <c r="L40" s="176"/>
    </row>
    <row r="41" spans="1:14" ht="12.75" customHeight="1" x14ac:dyDescent="0.2">
      <c r="A41" s="305"/>
      <c r="B41" s="249"/>
      <c r="C41" s="306"/>
      <c r="D41" s="306"/>
      <c r="E41" s="184"/>
      <c r="F41" s="361"/>
      <c r="G41" s="361"/>
      <c r="H41" s="361"/>
      <c r="I41" s="306"/>
      <c r="M41" s="19"/>
      <c r="N41" s="19"/>
    </row>
    <row r="42" spans="1:14" s="107" customFormat="1" ht="12.75" customHeight="1" x14ac:dyDescent="0.25">
      <c r="A42" s="303" t="s">
        <v>153</v>
      </c>
      <c r="B42" s="287"/>
      <c r="C42" s="287"/>
      <c r="D42" s="287"/>
      <c r="E42" s="184"/>
      <c r="F42" s="361"/>
      <c r="G42" s="361"/>
      <c r="H42" s="307"/>
      <c r="I42" s="307"/>
      <c r="K42" s="172"/>
      <c r="L42" s="172"/>
      <c r="M42" s="16"/>
      <c r="N42" s="16"/>
    </row>
    <row r="43" spans="1:14" ht="12.75" customHeight="1" x14ac:dyDescent="0.2">
      <c r="A43" s="305" t="s">
        <v>117</v>
      </c>
      <c r="B43" s="287">
        <f>Data!CN1</f>
        <v>14976</v>
      </c>
      <c r="C43" s="287">
        <f>Data!CN6</f>
        <v>103110</v>
      </c>
      <c r="D43" s="287">
        <f>Data!CN11</f>
        <v>118493</v>
      </c>
      <c r="E43" s="286">
        <f t="shared" ref="E43:E45" si="3">IFERROR(IF(OR(AND(D43="",C43=""),AND(D43=0,C43=0)),"",
IF(OR(D43="",D43=0),1,
IF(OR(D43&lt;&gt;"",D43&lt;&gt;0),(C43-D43)/ABS(D43)))),-1)</f>
        <v>-0.12982201480256217</v>
      </c>
      <c r="F43" s="361">
        <v>170507</v>
      </c>
      <c r="G43" s="361">
        <v>157998</v>
      </c>
      <c r="H43" s="361">
        <v>137284</v>
      </c>
      <c r="I43" s="361">
        <v>146100</v>
      </c>
      <c r="J43" s="27"/>
      <c r="L43" s="172"/>
      <c r="M43" s="19"/>
      <c r="N43" s="19"/>
    </row>
    <row r="44" spans="1:14" ht="12.75" customHeight="1" x14ac:dyDescent="0.2">
      <c r="A44" s="305" t="s">
        <v>154</v>
      </c>
      <c r="B44" s="287">
        <f>Data!CN2/1000000</f>
        <v>1742551.2955410001</v>
      </c>
      <c r="C44" s="287">
        <f>Data!CN7/1000000</f>
        <v>12717473.354511</v>
      </c>
      <c r="D44" s="287">
        <f>Data!CN12/1000000</f>
        <v>14229592.207828</v>
      </c>
      <c r="E44" s="286">
        <f t="shared" si="3"/>
        <v>-0.10626578971709051</v>
      </c>
      <c r="F44" s="361">
        <v>19586029</v>
      </c>
      <c r="G44" s="361">
        <v>15650220</v>
      </c>
      <c r="H44" s="361">
        <v>12475495</v>
      </c>
      <c r="I44" s="361">
        <v>13616880</v>
      </c>
      <c r="J44" s="29"/>
      <c r="L44" s="172"/>
    </row>
    <row r="45" spans="1:14" ht="12.75" customHeight="1" x14ac:dyDescent="0.2">
      <c r="A45" s="305" t="s">
        <v>152</v>
      </c>
      <c r="B45" s="287">
        <f>Data!CN3/1000000</f>
        <v>1688683.087452319</v>
      </c>
      <c r="C45" s="287">
        <f>Data!CN8/1000000</f>
        <v>12421989.229257738</v>
      </c>
      <c r="D45" s="287">
        <f>Data!CN13/1000000</f>
        <v>13858510.028559158</v>
      </c>
      <c r="E45" s="286">
        <f t="shared" si="3"/>
        <v>-0.10365622251894936</v>
      </c>
      <c r="F45" s="361">
        <v>19133372</v>
      </c>
      <c r="G45" s="361">
        <v>16112281</v>
      </c>
      <c r="H45" s="361">
        <v>12958219</v>
      </c>
      <c r="I45" s="361">
        <v>14624272</v>
      </c>
      <c r="J45" s="29"/>
      <c r="L45" s="172"/>
    </row>
    <row r="46" spans="1:14" ht="12.75" customHeight="1" x14ac:dyDescent="0.2">
      <c r="A46" s="305"/>
      <c r="B46" s="249"/>
      <c r="C46" s="306"/>
      <c r="D46" s="306"/>
      <c r="E46" s="184"/>
      <c r="F46" s="361"/>
      <c r="G46" s="361"/>
      <c r="H46" s="361"/>
      <c r="I46" s="361"/>
      <c r="L46" s="172"/>
    </row>
    <row r="47" spans="1:14" ht="12.75" customHeight="1" x14ac:dyDescent="0.25">
      <c r="A47" s="308" t="s">
        <v>160</v>
      </c>
      <c r="B47" s="249"/>
      <c r="C47" s="306"/>
      <c r="D47" s="306"/>
      <c r="E47" s="184"/>
      <c r="F47" s="361"/>
      <c r="G47" s="361"/>
      <c r="H47" s="361"/>
      <c r="I47" s="361"/>
      <c r="J47" s="27"/>
      <c r="L47" s="172"/>
    </row>
    <row r="48" spans="1:14" s="107" customFormat="1" ht="12.75" customHeight="1" x14ac:dyDescent="0.2">
      <c r="A48" s="305" t="s">
        <v>117</v>
      </c>
      <c r="B48" s="127">
        <f>Data!CQ1</f>
        <v>577</v>
      </c>
      <c r="C48" s="127">
        <f>Data!CQ6</f>
        <v>4785</v>
      </c>
      <c r="D48" s="249">
        <f>Data!CQ11</f>
        <v>4553</v>
      </c>
      <c r="E48" s="286">
        <f t="shared" ref="E48:E50" si="4">IFERROR(IF(OR(AND(D48="",C48=""),AND(D48=0,C48=0)),"",
IF(OR(D48="",D48=0),1,
IF(OR(D48&lt;&gt;"",D48&lt;&gt;0),(C48-D48)/ABS(D48)))),-1)</f>
        <v>5.0955414012738856E-2</v>
      </c>
      <c r="F48" s="361">
        <v>7665</v>
      </c>
      <c r="G48" s="361">
        <v>5572</v>
      </c>
      <c r="H48" s="361">
        <v>7734</v>
      </c>
      <c r="I48" s="361">
        <v>7506</v>
      </c>
      <c r="J48" s="27"/>
      <c r="K48" s="172"/>
      <c r="L48" s="176"/>
    </row>
    <row r="49" spans="1:12" s="107" customFormat="1" ht="12.75" customHeight="1" x14ac:dyDescent="0.2">
      <c r="A49" s="305" t="s">
        <v>154</v>
      </c>
      <c r="B49" s="127">
        <f>Data!CQ2/1000000</f>
        <v>39354.739382</v>
      </c>
      <c r="C49" s="127">
        <f>Data!CQ7/1000000</f>
        <v>321874.70344299998</v>
      </c>
      <c r="D49" s="249">
        <f>Data!CQ12/1000000</f>
        <v>514239.110468</v>
      </c>
      <c r="E49" s="286">
        <f t="shared" si="4"/>
        <v>-0.37407580074944619</v>
      </c>
      <c r="F49" s="361">
        <v>747909</v>
      </c>
      <c r="G49" s="361">
        <v>434632</v>
      </c>
      <c r="H49" s="361">
        <v>895388</v>
      </c>
      <c r="I49" s="361">
        <v>357990</v>
      </c>
      <c r="J49" s="32"/>
      <c r="K49" s="172"/>
      <c r="L49" s="176"/>
    </row>
    <row r="50" spans="1:12" s="107" customFormat="1" ht="12.75" customHeight="1" thickBot="1" x14ac:dyDescent="0.25">
      <c r="A50" s="309" t="s">
        <v>152</v>
      </c>
      <c r="B50" s="128">
        <f>Data!CQ3/1000000</f>
        <v>9079.8381068199997</v>
      </c>
      <c r="C50" s="128">
        <f>Data!CQ8/1000000</f>
        <v>91085.934594739985</v>
      </c>
      <c r="D50" s="290">
        <f>Data!CQ13/1000000</f>
        <v>268436.20623741002</v>
      </c>
      <c r="E50" s="291">
        <f t="shared" si="4"/>
        <v>-0.66067939987878577</v>
      </c>
      <c r="F50" s="292">
        <v>370548</v>
      </c>
      <c r="G50" s="292">
        <v>240709</v>
      </c>
      <c r="H50" s="292">
        <v>803782</v>
      </c>
      <c r="I50" s="292">
        <v>323288</v>
      </c>
      <c r="J50" s="32"/>
      <c r="K50" s="16"/>
      <c r="L50" s="176"/>
    </row>
    <row r="51" spans="1:12" s="107" customFormat="1" ht="12.75" customHeight="1" thickTop="1" x14ac:dyDescent="0.2">
      <c r="A51" s="8" t="s">
        <v>155</v>
      </c>
      <c r="B51" s="130"/>
      <c r="C51" s="130"/>
      <c r="D51" s="130"/>
      <c r="E51" s="130"/>
      <c r="F51" s="32"/>
      <c r="G51" s="27"/>
      <c r="H51" s="130"/>
      <c r="I51" s="130"/>
      <c r="K51" s="172"/>
      <c r="L51" s="172"/>
    </row>
    <row r="52" spans="1:12" s="107" customFormat="1" ht="12.75" customHeight="1" x14ac:dyDescent="0.2">
      <c r="A52" s="8"/>
      <c r="B52" s="131"/>
      <c r="C52" s="131"/>
      <c r="D52" s="131"/>
      <c r="E52" s="28"/>
      <c r="F52" s="32"/>
      <c r="G52" s="27"/>
      <c r="H52" s="130"/>
      <c r="I52" s="130"/>
      <c r="K52" s="172"/>
      <c r="L52" s="172"/>
    </row>
    <row r="53" spans="1:12" ht="12.75" customHeight="1" thickBot="1" x14ac:dyDescent="0.25">
      <c r="A53" s="123" t="s">
        <v>156</v>
      </c>
      <c r="B53" s="119"/>
      <c r="C53" s="120"/>
      <c r="D53" s="119"/>
      <c r="E53" s="119"/>
      <c r="F53" s="116"/>
      <c r="G53" s="118"/>
      <c r="H53" s="119"/>
      <c r="I53" s="119"/>
      <c r="J53" s="30"/>
    </row>
    <row r="54" spans="1:12" ht="12.75" customHeight="1" x14ac:dyDescent="0.25">
      <c r="A54" s="300"/>
      <c r="B54" s="280" t="s">
        <v>1</v>
      </c>
      <c r="C54" s="280" t="s">
        <v>179</v>
      </c>
      <c r="D54" s="280" t="s">
        <v>179</v>
      </c>
      <c r="E54" s="301" t="s">
        <v>8</v>
      </c>
      <c r="F54" s="310"/>
      <c r="G54" s="293"/>
      <c r="H54" s="300"/>
      <c r="I54" s="300"/>
      <c r="J54" s="30"/>
    </row>
    <row r="55" spans="1:12" ht="12.75" customHeight="1" x14ac:dyDescent="0.25">
      <c r="A55" s="300"/>
      <c r="B55" s="280" t="s">
        <v>3</v>
      </c>
      <c r="C55" s="280" t="s">
        <v>4</v>
      </c>
      <c r="D55" s="280" t="s">
        <v>4</v>
      </c>
      <c r="E55" s="301" t="s">
        <v>9</v>
      </c>
      <c r="F55" s="310"/>
      <c r="G55" s="293"/>
      <c r="H55" s="300"/>
      <c r="I55" s="300"/>
      <c r="J55" s="30"/>
    </row>
    <row r="56" spans="1:12" ht="12.75" customHeight="1" thickBot="1" x14ac:dyDescent="0.3">
      <c r="A56" s="302"/>
      <c r="B56" s="282" t="str">
        <f>TEXT($H$3,"MMM")&amp;" "&amp;TEXT($H$3,"YYYY")</f>
        <v>Aug 2017</v>
      </c>
      <c r="C56" s="282" t="str">
        <f>$C$15</f>
        <v>2017</v>
      </c>
      <c r="D56" s="282">
        <f>$D$15</f>
        <v>2016</v>
      </c>
      <c r="E56" s="284" t="s">
        <v>6</v>
      </c>
      <c r="F56" s="284">
        <f>$F$15</f>
        <v>2016</v>
      </c>
      <c r="G56" s="295">
        <f>$G$15</f>
        <v>2015</v>
      </c>
      <c r="H56" s="295">
        <f>$H$15</f>
        <v>2014</v>
      </c>
      <c r="I56" s="295">
        <f>$I$15</f>
        <v>2013</v>
      </c>
      <c r="J56" s="107"/>
      <c r="L56" s="176"/>
    </row>
    <row r="57" spans="1:12" ht="12.75" customHeight="1" x14ac:dyDescent="0.2">
      <c r="A57" s="305" t="s">
        <v>157</v>
      </c>
      <c r="B57" s="287">
        <f>(SUMIFS(Data!$CZ$14:$CZ$25,Data!$CU$14:$CU$25,"Standard Trade")+SUMIFS(Data!$CZ$14:$CZ$25,Data!$CU$14:$CU$25,"Standard Trade (Spot)"))/1000000</f>
        <v>76648.340435000006</v>
      </c>
      <c r="C57" s="287">
        <f>(SUMIFS(Data!$CZ$1:$CZ$12,Data!$CU$1:$CU$12,"Standard Trade")+SUMIFS(Data!$CZ$1:$CZ$12,Data!$CU$1:$CU$12,"Standard Trade (Spot)"))/1000000</f>
        <v>662749.33953500004</v>
      </c>
      <c r="D57" s="287">
        <f>(SUMIFS(Data!$CZ$27:$CZ$38,Data!$CU$27:$CU$38,"Standard Trade")+SUMIFS(Data!$CZ$27:$CZ$38,Data!$CU$27:$CU$38,"Standard Trade (Spot)"))/1000000</f>
        <v>704370.84785500006</v>
      </c>
      <c r="E57" s="195">
        <f>C57-D57</f>
        <v>-41621.508320000023</v>
      </c>
      <c r="F57" s="361">
        <v>954436</v>
      </c>
      <c r="G57" s="361">
        <v>821507</v>
      </c>
      <c r="H57" s="306">
        <v>774058</v>
      </c>
      <c r="I57" s="306">
        <v>779778</v>
      </c>
      <c r="J57" s="27"/>
      <c r="L57" s="176"/>
    </row>
    <row r="58" spans="1:12" ht="12.75" customHeight="1" x14ac:dyDescent="0.2">
      <c r="A58" s="305" t="s">
        <v>158</v>
      </c>
      <c r="B58" s="287">
        <f>(SUMIFS(Data!$DC$14:$DC$25,Data!$CU$14:$CU$25,"Standard Trade")+SUMIFS(Data!$DC$14:$DC$25,Data!$CU$14:$CU$25,"Standard Trade (Spot)"))/1000000</f>
        <v>76499.405819000007</v>
      </c>
      <c r="C58" s="287">
        <f>(SUMIFS(Data!$DC$1:$DC$12,Data!$CU$1:$CU$12,"Standard Trade")+SUMIFS(Data!$DC$1:$DC$12,Data!$CU$1:$CU$12,"Standard Trade (Spot)"))/1000000</f>
        <v>608812.70821199997</v>
      </c>
      <c r="D58" s="287">
        <f>(SUMIFS(Data!$DC$27:$DC$38,Data!$CU$27:$CU$38,"Standard Trade")+SUMIFS(Data!$DC$27:$DC$38,Data!$CU$27:$CU$38,"Standard Trade (Spot)"))/1000000</f>
        <v>639290.80350599997</v>
      </c>
      <c r="E58" s="195">
        <f>C58-D58</f>
        <v>-30478.095293999999</v>
      </c>
      <c r="F58" s="361">
        <v>922129</v>
      </c>
      <c r="G58" s="361">
        <v>820729</v>
      </c>
      <c r="H58" s="306">
        <v>771223</v>
      </c>
      <c r="I58" s="306">
        <v>747292</v>
      </c>
      <c r="J58" s="27"/>
      <c r="L58" s="176"/>
    </row>
    <row r="59" spans="1:12" ht="12.75" customHeight="1" thickBot="1" x14ac:dyDescent="0.3">
      <c r="A59" s="311" t="s">
        <v>12</v>
      </c>
      <c r="B59" s="298">
        <f>B57-B58</f>
        <v>148.93461599999864</v>
      </c>
      <c r="C59" s="298">
        <f t="shared" ref="C59" si="5">C57-C58</f>
        <v>53936.631323000067</v>
      </c>
      <c r="D59" s="298">
        <f>D57-D58</f>
        <v>65080.044349000091</v>
      </c>
      <c r="E59" s="298">
        <f>E57-E58</f>
        <v>-11143.413026000024</v>
      </c>
      <c r="F59" s="298">
        <v>32307</v>
      </c>
      <c r="G59" s="298">
        <v>778</v>
      </c>
      <c r="H59" s="298">
        <v>2835</v>
      </c>
      <c r="I59" s="298">
        <v>32486</v>
      </c>
      <c r="J59" s="33"/>
      <c r="L59" s="176"/>
    </row>
    <row r="60" spans="1:12" ht="12.75" customHeight="1" thickTop="1" x14ac:dyDescent="0.2">
      <c r="A60" s="9" t="s">
        <v>183</v>
      </c>
      <c r="B60" s="31"/>
      <c r="C60" s="31"/>
      <c r="D60" s="31"/>
      <c r="E60" s="31"/>
      <c r="F60" s="107"/>
      <c r="G60" s="27"/>
      <c r="H60" s="31"/>
      <c r="I60" s="31"/>
      <c r="J60" s="30"/>
    </row>
    <row r="61" spans="1:12" ht="12.75" customHeight="1" x14ac:dyDescent="0.2">
      <c r="F61" s="24"/>
      <c r="G61" s="27"/>
      <c r="J61" s="30"/>
    </row>
    <row r="62" spans="1:12" ht="13.5" thickBot="1" x14ac:dyDescent="0.25">
      <c r="A62" s="121" t="s">
        <v>163</v>
      </c>
      <c r="B62" s="117"/>
      <c r="C62" s="117"/>
      <c r="D62" s="117"/>
      <c r="E62" s="117"/>
      <c r="F62" s="117"/>
      <c r="G62" s="117"/>
      <c r="H62" s="117"/>
      <c r="I62" s="116"/>
    </row>
    <row r="63" spans="1:12" ht="15" x14ac:dyDescent="0.25">
      <c r="A63" s="300"/>
      <c r="B63" s="280" t="s">
        <v>1</v>
      </c>
      <c r="C63" s="280" t="s">
        <v>179</v>
      </c>
      <c r="D63" s="280" t="s">
        <v>179</v>
      </c>
      <c r="E63" s="301" t="s">
        <v>13</v>
      </c>
      <c r="F63" s="310"/>
      <c r="G63" s="293"/>
      <c r="H63" s="300"/>
      <c r="I63" s="300"/>
    </row>
    <row r="64" spans="1:12" ht="15" x14ac:dyDescent="0.25">
      <c r="A64" s="300"/>
      <c r="B64" s="280" t="s">
        <v>3</v>
      </c>
      <c r="C64" s="280" t="s">
        <v>4</v>
      </c>
      <c r="D64" s="280" t="s">
        <v>4</v>
      </c>
      <c r="E64" s="301" t="s">
        <v>9</v>
      </c>
      <c r="F64" s="310"/>
      <c r="G64" s="293"/>
      <c r="H64" s="300"/>
      <c r="I64" s="300"/>
    </row>
    <row r="65" spans="1:12" ht="15.75" thickBot="1" x14ac:dyDescent="0.3">
      <c r="A65" s="302"/>
      <c r="B65" s="282" t="str">
        <f>TEXT($H$3,"MMM")&amp;" "&amp;TEXT($H$3,"YYYY")</f>
        <v>Aug 2017</v>
      </c>
      <c r="C65" s="282">
        <v>2016</v>
      </c>
      <c r="D65" s="282">
        <v>2015</v>
      </c>
      <c r="E65" s="284" t="s">
        <v>6</v>
      </c>
      <c r="F65" s="284">
        <f>$F$15</f>
        <v>2016</v>
      </c>
      <c r="G65" s="295">
        <f>$G$15</f>
        <v>2015</v>
      </c>
      <c r="H65" s="295">
        <f>$H$15</f>
        <v>2014</v>
      </c>
      <c r="I65" s="295">
        <f>$I$15</f>
        <v>2013</v>
      </c>
      <c r="J65" s="24"/>
    </row>
    <row r="66" spans="1:12" ht="15" x14ac:dyDescent="0.25">
      <c r="A66" s="288" t="s">
        <v>14</v>
      </c>
      <c r="B66" s="248"/>
      <c r="C66" s="248"/>
      <c r="D66" s="248"/>
      <c r="E66" s="248"/>
      <c r="F66" s="248"/>
      <c r="G66" s="248"/>
      <c r="H66" s="248"/>
      <c r="I66" s="248"/>
      <c r="J66" s="62"/>
    </row>
    <row r="67" spans="1:12" ht="14.25" x14ac:dyDescent="0.2">
      <c r="A67" s="248" t="s">
        <v>117</v>
      </c>
      <c r="B67" s="127">
        <f>C361</f>
        <v>281494</v>
      </c>
      <c r="C67" s="249">
        <f>Data!BR2</f>
        <v>2141542</v>
      </c>
      <c r="D67" s="249">
        <f>Data!BR8</f>
        <v>2435565</v>
      </c>
      <c r="E67" s="286">
        <f>IFERROR(IF(OR(AND(D67="",C67=""),AND(D67=0,C67=0)),"",
IF(OR(D67="",D67=0),1,
IF(OR(D67&lt;&gt;"",D67&lt;&gt;0),(C67-D67)/ABS(D67)))),-1)</f>
        <v>-0.12072065413979918</v>
      </c>
      <c r="F67" s="361">
        <v>3591024</v>
      </c>
      <c r="G67" s="361">
        <v>3526147</v>
      </c>
      <c r="H67" s="361">
        <v>3167060</v>
      </c>
      <c r="I67" s="313">
        <v>2682897</v>
      </c>
      <c r="J67" s="158"/>
    </row>
    <row r="68" spans="1:12" ht="14.25" x14ac:dyDescent="0.2">
      <c r="A68" s="248" t="s">
        <v>142</v>
      </c>
      <c r="B68" s="127">
        <f>C379/1000</f>
        <v>11335.434999999999</v>
      </c>
      <c r="C68" s="249">
        <f>Data!BQ2</f>
        <v>184450185</v>
      </c>
      <c r="D68" s="249">
        <f>Data!BQ8</f>
        <v>259218200</v>
      </c>
      <c r="E68" s="286">
        <f t="shared" ref="E68:E70" si="6">IFERROR(IF(OR(AND(D68="",C68=""),AND(D68=0,C68=0)),"",
IF(OR(D68="",D68=0),1,
IF(OR(D68&lt;&gt;"",D68&lt;&gt;0),(C68-D68)/ABS(D68)))),-1)</f>
        <v>-0.28843659511562075</v>
      </c>
      <c r="F68" s="361">
        <v>412077</v>
      </c>
      <c r="G68" s="361">
        <v>432277</v>
      </c>
      <c r="H68" s="361">
        <v>210421</v>
      </c>
      <c r="I68" s="361">
        <v>161800</v>
      </c>
      <c r="J68" s="158"/>
    </row>
    <row r="69" spans="1:12" ht="14.25" x14ac:dyDescent="0.2">
      <c r="A69" s="248" t="s">
        <v>143</v>
      </c>
      <c r="B69" s="127">
        <f>C397/1000000</f>
        <v>373.00259325869223</v>
      </c>
      <c r="C69" s="249">
        <f>Data!BP2/1000000000</f>
        <v>3661.6658005744125</v>
      </c>
      <c r="D69" s="249">
        <f>Data!BP8/1000000000</f>
        <v>4374.174688086935</v>
      </c>
      <c r="E69" s="286">
        <f t="shared" si="6"/>
        <v>-0.16288990228329026</v>
      </c>
      <c r="F69" s="361">
        <v>6894</v>
      </c>
      <c r="G69" s="361">
        <v>6619</v>
      </c>
      <c r="H69" s="361">
        <v>5958</v>
      </c>
      <c r="I69" s="361">
        <v>5029</v>
      </c>
      <c r="J69" s="158"/>
    </row>
    <row r="70" spans="1:12" ht="14.25" x14ac:dyDescent="0.2">
      <c r="A70" s="248" t="s">
        <v>144</v>
      </c>
      <c r="B70" s="127">
        <f>SUM(C408:C414)</f>
        <v>29586063</v>
      </c>
      <c r="C70" s="249">
        <f>B70</f>
        <v>29586063</v>
      </c>
      <c r="D70" s="249">
        <f>Data!BP14</f>
        <v>42559616</v>
      </c>
      <c r="E70" s="286">
        <f t="shared" si="6"/>
        <v>-0.30483247311253936</v>
      </c>
      <c r="F70" s="361">
        <v>40320362</v>
      </c>
      <c r="G70" s="361">
        <v>60646619</v>
      </c>
      <c r="H70" s="361">
        <v>22036181</v>
      </c>
      <c r="I70" s="361">
        <v>13839186</v>
      </c>
      <c r="J70" s="158"/>
    </row>
    <row r="71" spans="1:12" ht="14.25" x14ac:dyDescent="0.2">
      <c r="A71" s="248"/>
      <c r="B71" s="249"/>
      <c r="C71" s="249"/>
      <c r="D71" s="249"/>
      <c r="E71" s="248"/>
      <c r="F71" s="361"/>
      <c r="G71" s="361"/>
      <c r="H71" s="361"/>
      <c r="I71" s="361"/>
      <c r="J71" s="158"/>
    </row>
    <row r="72" spans="1:12" ht="15" x14ac:dyDescent="0.25">
      <c r="A72" s="288" t="s">
        <v>15</v>
      </c>
      <c r="B72" s="249"/>
      <c r="C72" s="250"/>
      <c r="D72" s="250"/>
      <c r="E72" s="288"/>
      <c r="F72" s="362"/>
      <c r="G72" s="361"/>
      <c r="H72" s="361"/>
      <c r="I72" s="361"/>
      <c r="J72" s="160"/>
    </row>
    <row r="73" spans="1:12" ht="14.25" x14ac:dyDescent="0.2">
      <c r="A73" s="248" t="s">
        <v>117</v>
      </c>
      <c r="B73" s="249">
        <f>C368</f>
        <v>1260</v>
      </c>
      <c r="C73" s="249">
        <f>Data!BR5</f>
        <v>17648</v>
      </c>
      <c r="D73" s="249">
        <f>Data!BR11</f>
        <v>13149</v>
      </c>
      <c r="E73" s="286">
        <f t="shared" ref="E73:E76" si="7">IFERROR(IF(OR(AND(D73="",C73=""),AND(D73=0,C73=0)),"",
IF(OR(D73="",D73=0),1,
IF(OR(D73&lt;&gt;"",D73&lt;&gt;0),(C73-D73)/ABS(D73)))),-1)</f>
        <v>0.34215529698075897</v>
      </c>
      <c r="F73" s="361">
        <v>22261</v>
      </c>
      <c r="G73" s="361">
        <v>19921</v>
      </c>
      <c r="H73" s="361">
        <v>20811</v>
      </c>
      <c r="I73" s="361">
        <v>22726</v>
      </c>
      <c r="J73" s="158"/>
      <c r="K73" s="177"/>
      <c r="L73" s="177"/>
    </row>
    <row r="74" spans="1:12" ht="14.25" x14ac:dyDescent="0.2">
      <c r="A74" s="248" t="s">
        <v>142</v>
      </c>
      <c r="B74" s="249">
        <f>C386/1000</f>
        <v>1614.04</v>
      </c>
      <c r="C74" s="249">
        <f>Data!BQ5/1000</f>
        <v>12948.093000000001</v>
      </c>
      <c r="D74" s="249">
        <f>Data!BQ11/1000</f>
        <v>9677.3529999999992</v>
      </c>
      <c r="E74" s="286">
        <f t="shared" si="7"/>
        <v>0.33797878407452969</v>
      </c>
      <c r="F74" s="361">
        <v>15373</v>
      </c>
      <c r="G74" s="361">
        <v>15764</v>
      </c>
      <c r="H74" s="361">
        <v>41957</v>
      </c>
      <c r="I74" s="361">
        <v>55672</v>
      </c>
      <c r="J74" s="158"/>
      <c r="K74" s="177"/>
      <c r="L74" s="177"/>
    </row>
    <row r="75" spans="1:12" ht="14.25" x14ac:dyDescent="0.2">
      <c r="A75" s="248" t="s">
        <v>145</v>
      </c>
      <c r="B75" s="249">
        <f>C404/1000000</f>
        <v>3.2980348190500002</v>
      </c>
      <c r="C75" s="249">
        <f>Data!BP5/1000000000</f>
        <v>28.023621297609999</v>
      </c>
      <c r="D75" s="249">
        <f>Data!BP11/1000000000</f>
        <v>28.207472434890001</v>
      </c>
      <c r="E75" s="286">
        <f t="shared" si="7"/>
        <v>-6.5178167843423897E-3</v>
      </c>
      <c r="F75" s="361">
        <v>47</v>
      </c>
      <c r="G75" s="361">
        <v>28</v>
      </c>
      <c r="H75" s="361">
        <v>24</v>
      </c>
      <c r="I75" s="361">
        <v>33</v>
      </c>
      <c r="J75" s="158"/>
      <c r="K75" s="177"/>
    </row>
    <row r="76" spans="1:12" ht="14.25" x14ac:dyDescent="0.2">
      <c r="A76" s="248" t="s">
        <v>144</v>
      </c>
      <c r="B76" s="249">
        <f>SUM(C417:C420)</f>
        <v>3809688</v>
      </c>
      <c r="C76" s="249">
        <f>B76</f>
        <v>3809688</v>
      </c>
      <c r="D76" s="249">
        <f>Data!BP17</f>
        <v>3017481</v>
      </c>
      <c r="E76" s="286">
        <f t="shared" si="7"/>
        <v>0.26253918417381916</v>
      </c>
      <c r="F76" s="361">
        <v>2300487</v>
      </c>
      <c r="G76" s="361">
        <v>1541161</v>
      </c>
      <c r="H76" s="361">
        <v>2094483</v>
      </c>
      <c r="I76" s="361">
        <v>2072619</v>
      </c>
      <c r="J76" s="158"/>
    </row>
    <row r="77" spans="1:12" x14ac:dyDescent="0.2">
      <c r="C77" s="157"/>
      <c r="D77" s="157"/>
      <c r="E77" s="157"/>
      <c r="F77" s="157"/>
      <c r="G77" s="157"/>
      <c r="H77" s="157"/>
      <c r="I77" s="157"/>
      <c r="J77" s="157"/>
    </row>
    <row r="78" spans="1:12" x14ac:dyDescent="0.2">
      <c r="C78" s="157"/>
      <c r="D78" s="157"/>
      <c r="E78" s="157"/>
      <c r="F78" s="157"/>
      <c r="G78" s="157"/>
      <c r="H78" s="157"/>
      <c r="I78" s="157"/>
      <c r="J78" s="157"/>
    </row>
    <row r="79" spans="1:12" x14ac:dyDescent="0.2">
      <c r="C79" s="157"/>
      <c r="D79" s="157"/>
      <c r="E79" s="157"/>
      <c r="F79" s="157"/>
      <c r="G79" s="157"/>
      <c r="H79" s="157"/>
      <c r="I79" s="157"/>
      <c r="J79" s="157"/>
    </row>
    <row r="80" spans="1:12" x14ac:dyDescent="0.2">
      <c r="C80" s="157"/>
    </row>
    <row r="81" spans="1:9" x14ac:dyDescent="0.2">
      <c r="C81" s="157"/>
    </row>
    <row r="82" spans="1:9" x14ac:dyDescent="0.2">
      <c r="A82" s="107"/>
      <c r="B82" s="27"/>
      <c r="C82" s="158"/>
      <c r="D82" s="27"/>
      <c r="E82" s="28"/>
      <c r="F82" s="24"/>
      <c r="G82" s="27"/>
      <c r="H82" s="27"/>
      <c r="I82" s="27"/>
    </row>
    <row r="83" spans="1:9" x14ac:dyDescent="0.2">
      <c r="A83" s="107"/>
      <c r="B83" s="27"/>
      <c r="C83" s="27"/>
      <c r="D83" s="27"/>
      <c r="E83" s="28"/>
      <c r="F83" s="24"/>
      <c r="G83" s="27"/>
      <c r="H83" s="27"/>
      <c r="I83" s="27"/>
    </row>
    <row r="84" spans="1:9" x14ac:dyDescent="0.2">
      <c r="A84" s="107"/>
      <c r="B84" s="27"/>
      <c r="C84" s="27"/>
      <c r="D84" s="27"/>
      <c r="E84" s="28"/>
      <c r="F84" s="24"/>
      <c r="G84" s="27"/>
      <c r="H84" s="27"/>
      <c r="I84" s="27"/>
    </row>
    <row r="85" spans="1:9" x14ac:dyDescent="0.2">
      <c r="A85" s="107"/>
      <c r="B85" s="27"/>
      <c r="C85" s="27"/>
      <c r="D85" s="27"/>
      <c r="E85" s="28"/>
      <c r="F85" s="24"/>
      <c r="G85" s="27"/>
      <c r="H85" s="27"/>
      <c r="I85" s="27"/>
    </row>
    <row r="86" spans="1:9" x14ac:dyDescent="0.2">
      <c r="A86" s="107"/>
      <c r="B86" s="27"/>
      <c r="C86" s="27"/>
      <c r="D86" s="27"/>
      <c r="E86" s="28"/>
      <c r="F86" s="24"/>
      <c r="G86" s="27"/>
      <c r="H86" s="27"/>
      <c r="I86" s="27"/>
    </row>
    <row r="87" spans="1:9" x14ac:dyDescent="0.2">
      <c r="A87" s="107"/>
      <c r="B87" s="27"/>
      <c r="C87" s="27"/>
      <c r="D87" s="27"/>
      <c r="E87" s="28"/>
      <c r="F87" s="24"/>
      <c r="G87" s="27"/>
      <c r="H87" s="27"/>
      <c r="I87" s="27"/>
    </row>
    <row r="88" spans="1:9" x14ac:dyDescent="0.2">
      <c r="A88" s="107"/>
      <c r="B88" s="27"/>
      <c r="C88" s="27"/>
      <c r="D88" s="27"/>
      <c r="E88" s="28"/>
      <c r="F88" s="24"/>
      <c r="G88" s="27"/>
      <c r="H88" s="27"/>
      <c r="I88" s="27"/>
    </row>
    <row r="89" spans="1:9" x14ac:dyDescent="0.2">
      <c r="A89" s="107"/>
      <c r="B89" s="27"/>
      <c r="C89" s="27"/>
      <c r="D89" s="27"/>
      <c r="E89" s="28"/>
      <c r="F89" s="24"/>
      <c r="G89" s="27"/>
      <c r="H89" s="27"/>
      <c r="I89" s="27"/>
    </row>
    <row r="90" spans="1:9" x14ac:dyDescent="0.2">
      <c r="A90" s="107"/>
      <c r="B90" s="27"/>
      <c r="C90" s="27"/>
      <c r="D90" s="27"/>
      <c r="E90" s="28"/>
      <c r="F90" s="24"/>
      <c r="G90" s="27"/>
      <c r="H90" s="27"/>
      <c r="I90" s="27"/>
    </row>
    <row r="91" spans="1:9" x14ac:dyDescent="0.2">
      <c r="A91" s="107"/>
      <c r="B91" s="27"/>
      <c r="C91" s="27"/>
      <c r="D91" s="27"/>
      <c r="E91" s="28"/>
      <c r="F91" s="24"/>
      <c r="G91" s="27"/>
      <c r="H91" s="27"/>
      <c r="I91" s="27"/>
    </row>
    <row r="92" spans="1:9" x14ac:dyDescent="0.2">
      <c r="A92" s="107"/>
      <c r="B92" s="27"/>
      <c r="C92" s="27"/>
      <c r="D92" s="27"/>
      <c r="E92" s="28"/>
      <c r="F92" s="24"/>
      <c r="G92" s="27"/>
      <c r="H92" s="27"/>
      <c r="I92" s="27"/>
    </row>
    <row r="93" spans="1:9" x14ac:dyDescent="0.2">
      <c r="B93" s="27"/>
      <c r="C93" s="27"/>
      <c r="D93" s="27"/>
      <c r="E93" s="28"/>
      <c r="F93" s="24"/>
      <c r="G93" s="27"/>
      <c r="H93" s="27"/>
      <c r="I93" s="27"/>
    </row>
    <row r="94" spans="1:9" ht="12.75" customHeight="1" x14ac:dyDescent="0.2">
      <c r="A94" s="107" t="str">
        <f>"Market Profile - "&amp; TEXT($H$3,"MMM")&amp;" "&amp;TEXT($H$3,"YYYY")</f>
        <v>Market Profile - Aug 2017</v>
      </c>
      <c r="B94" s="230"/>
      <c r="C94" s="230"/>
      <c r="D94" s="230"/>
      <c r="E94" s="247"/>
      <c r="F94" s="125"/>
      <c r="G94" s="125"/>
      <c r="H94" s="125"/>
      <c r="I94" s="230"/>
    </row>
    <row r="95" spans="1:9" ht="12.75" customHeight="1" x14ac:dyDescent="0.2">
      <c r="A95" s="246"/>
      <c r="B95" s="230"/>
      <c r="C95" s="230"/>
      <c r="D95" s="230"/>
      <c r="E95" s="247"/>
      <c r="F95" s="367" t="s">
        <v>199</v>
      </c>
      <c r="G95" s="367"/>
      <c r="H95" s="367"/>
      <c r="I95" s="230"/>
    </row>
    <row r="96" spans="1:9" x14ac:dyDescent="0.2">
      <c r="A96" s="247"/>
      <c r="B96" s="159"/>
      <c r="C96" s="247"/>
      <c r="D96" s="247"/>
      <c r="E96" s="247"/>
      <c r="F96" s="367"/>
      <c r="G96" s="367"/>
      <c r="H96" s="367"/>
      <c r="I96" s="247"/>
    </row>
    <row r="97" spans="1:9" x14ac:dyDescent="0.2">
      <c r="B97" s="19"/>
      <c r="F97" s="24"/>
      <c r="G97" s="27"/>
    </row>
    <row r="98" spans="1:9" ht="13.5" thickBot="1" x14ac:dyDescent="0.25">
      <c r="A98" s="122" t="s">
        <v>159</v>
      </c>
      <c r="B98" s="117"/>
      <c r="C98" s="117"/>
      <c r="D98" s="117"/>
      <c r="E98" s="117"/>
      <c r="F98" s="116"/>
      <c r="G98" s="118"/>
      <c r="H98" s="117"/>
      <c r="I98" s="117"/>
    </row>
    <row r="99" spans="1:9" ht="15" x14ac:dyDescent="0.25">
      <c r="A99" s="300"/>
      <c r="B99" s="280" t="s">
        <v>1</v>
      </c>
      <c r="C99" s="280" t="s">
        <v>179</v>
      </c>
      <c r="D99" s="280" t="s">
        <v>179</v>
      </c>
      <c r="E99" s="301" t="s">
        <v>13</v>
      </c>
      <c r="F99" s="310"/>
      <c r="G99" s="293"/>
      <c r="H99" s="300"/>
      <c r="I99" s="300"/>
    </row>
    <row r="100" spans="1:9" ht="15" x14ac:dyDescent="0.25">
      <c r="A100" s="300"/>
      <c r="B100" s="280" t="s">
        <v>3</v>
      </c>
      <c r="C100" s="280" t="s">
        <v>4</v>
      </c>
      <c r="D100" s="280" t="s">
        <v>4</v>
      </c>
      <c r="E100" s="301" t="s">
        <v>9</v>
      </c>
      <c r="F100" s="310"/>
      <c r="G100" s="293"/>
      <c r="H100" s="300"/>
      <c r="I100" s="300"/>
    </row>
    <row r="101" spans="1:9" ht="15.75" thickBot="1" x14ac:dyDescent="0.3">
      <c r="A101" s="302"/>
      <c r="B101" s="282" t="str">
        <f>TEXT($H$3,"MMM")&amp;" "&amp;TEXT($H$3,"YYYY")</f>
        <v>Aug 2017</v>
      </c>
      <c r="C101" s="282" t="str">
        <f>TEXT($H$3,"YYYY")</f>
        <v>2017</v>
      </c>
      <c r="D101" s="283">
        <f>TEXT($H$3,"YYYY")-1</f>
        <v>2016</v>
      </c>
      <c r="E101" s="284" t="s">
        <v>6</v>
      </c>
      <c r="F101" s="284">
        <f>$F$15</f>
        <v>2016</v>
      </c>
      <c r="G101" s="295">
        <f>$G$15</f>
        <v>2015</v>
      </c>
      <c r="H101" s="295">
        <f>$H$15</f>
        <v>2014</v>
      </c>
      <c r="I101" s="295">
        <f>$I$15</f>
        <v>2013</v>
      </c>
    </row>
    <row r="102" spans="1:9" ht="15" x14ac:dyDescent="0.25">
      <c r="A102" s="288" t="s">
        <v>14</v>
      </c>
      <c r="B102" s="248"/>
      <c r="C102" s="248"/>
      <c r="D102" s="248"/>
      <c r="E102" s="248"/>
      <c r="F102" s="248"/>
      <c r="G102" s="248"/>
      <c r="H102" s="248"/>
      <c r="I102" s="248"/>
    </row>
    <row r="103" spans="1:9" ht="14.25" x14ac:dyDescent="0.2">
      <c r="A103" s="248" t="s">
        <v>117</v>
      </c>
      <c r="B103" s="127">
        <f>Data!BR20</f>
        <v>1565</v>
      </c>
      <c r="C103" s="249">
        <f>Data!BR32</f>
        <v>8435</v>
      </c>
      <c r="D103" s="249">
        <f>Data!BR38</f>
        <v>10112</v>
      </c>
      <c r="E103" s="286">
        <f t="shared" ref="E103:E106" si="8">IFERROR(IF(OR(AND(D103="",C103=""),AND(D103=0,C103=0)),"",
IF(OR(D103="",D103=0),1,
IF(OR(D103&lt;&gt;"",D103&lt;&gt;0),(C103-D103)/ABS(D103)))),-1)</f>
        <v>-0.16584256329113925</v>
      </c>
      <c r="F103" s="249">
        <v>14410</v>
      </c>
      <c r="G103" s="249">
        <v>9505</v>
      </c>
      <c r="H103" s="249">
        <v>10571</v>
      </c>
      <c r="I103" s="249">
        <v>6946</v>
      </c>
    </row>
    <row r="104" spans="1:9" ht="14.25" x14ac:dyDescent="0.2">
      <c r="A104" s="248" t="s">
        <v>146</v>
      </c>
      <c r="B104" s="127">
        <f>Data!BQ20</f>
        <v>1499170</v>
      </c>
      <c r="C104" s="249">
        <f>Data!BQ32</f>
        <v>8269877</v>
      </c>
      <c r="D104" s="249">
        <f>Data!BQ38</f>
        <v>6525857</v>
      </c>
      <c r="E104" s="286">
        <f t="shared" si="8"/>
        <v>0.26724765804705802</v>
      </c>
      <c r="F104" s="249">
        <v>9230179</v>
      </c>
      <c r="G104" s="249">
        <v>5344460</v>
      </c>
      <c r="H104" s="249">
        <v>4834077</v>
      </c>
      <c r="I104" s="249">
        <v>3419070</v>
      </c>
    </row>
    <row r="105" spans="1:9" ht="14.25" x14ac:dyDescent="0.2">
      <c r="A105" s="248" t="s">
        <v>119</v>
      </c>
      <c r="B105" s="127">
        <f>Data!BP20/1000000</f>
        <v>157784.94466211999</v>
      </c>
      <c r="C105" s="249">
        <f>Data!BP32/1000000</f>
        <v>932976.45934285014</v>
      </c>
      <c r="D105" s="249">
        <f>Data!BP38/1000000</f>
        <v>753104.3937067599</v>
      </c>
      <c r="E105" s="286">
        <f t="shared" si="8"/>
        <v>0.23884081295922957</v>
      </c>
      <c r="F105" s="249">
        <v>1073119</v>
      </c>
      <c r="G105" s="249">
        <v>698663</v>
      </c>
      <c r="H105" s="249">
        <v>641235</v>
      </c>
      <c r="I105" s="249">
        <v>513920</v>
      </c>
    </row>
    <row r="106" spans="1:9" ht="14.25" x14ac:dyDescent="0.2">
      <c r="A106" s="248" t="s">
        <v>144</v>
      </c>
      <c r="B106" s="127">
        <f>Data!BP26</f>
        <v>982329</v>
      </c>
      <c r="C106" s="249">
        <f>B106</f>
        <v>982329</v>
      </c>
      <c r="D106" s="249">
        <f>Data!BP44</f>
        <v>659642</v>
      </c>
      <c r="E106" s="286">
        <f t="shared" si="8"/>
        <v>0.48918504279594083</v>
      </c>
      <c r="F106" s="249">
        <v>802030</v>
      </c>
      <c r="G106" s="249">
        <v>621382</v>
      </c>
      <c r="H106" s="249">
        <v>418464</v>
      </c>
      <c r="I106" s="249">
        <v>332819</v>
      </c>
    </row>
    <row r="107" spans="1:9" ht="14.25" x14ac:dyDescent="0.2">
      <c r="A107" s="248"/>
      <c r="B107" s="127"/>
      <c r="C107" s="249"/>
      <c r="D107" s="249"/>
      <c r="E107" s="248"/>
      <c r="F107" s="249"/>
      <c r="G107" s="249"/>
      <c r="H107" s="249"/>
      <c r="I107" s="249"/>
    </row>
    <row r="108" spans="1:9" ht="15" x14ac:dyDescent="0.25">
      <c r="A108" s="288" t="s">
        <v>15</v>
      </c>
      <c r="B108" s="127"/>
      <c r="C108" s="249"/>
      <c r="D108" s="249"/>
      <c r="E108" s="248"/>
      <c r="F108" s="249"/>
      <c r="G108" s="249"/>
      <c r="H108" s="249"/>
      <c r="I108" s="249"/>
    </row>
    <row r="109" spans="1:9" ht="14.25" x14ac:dyDescent="0.2">
      <c r="A109" s="248" t="s">
        <v>117</v>
      </c>
      <c r="B109" s="127">
        <f>Data!BR23</f>
        <v>260</v>
      </c>
      <c r="C109" s="127">
        <f>Data!BR35</f>
        <v>480</v>
      </c>
      <c r="D109" s="127">
        <f>Data!BR41</f>
        <v>737</v>
      </c>
      <c r="E109" s="286">
        <f t="shared" ref="E109:E112" si="9">IFERROR(IF(OR(AND(D109="",C109=""),AND(D109=0,C109=0)),"",
IF(OR(D109="",D109=0),1,
IF(OR(D109&lt;&gt;"",D109&lt;&gt;0),(C109-D109)/ABS(D109)))),-1)</f>
        <v>-0.3487109905020353</v>
      </c>
      <c r="F109" s="127">
        <v>825</v>
      </c>
      <c r="G109" s="127">
        <v>1013</v>
      </c>
      <c r="H109" s="127">
        <v>683</v>
      </c>
      <c r="I109" s="127">
        <v>295</v>
      </c>
    </row>
    <row r="110" spans="1:9" ht="14.25" x14ac:dyDescent="0.2">
      <c r="A110" s="248" t="s">
        <v>146</v>
      </c>
      <c r="B110" s="127">
        <f>Data!BQ23</f>
        <v>63882</v>
      </c>
      <c r="C110" s="127">
        <f>Data!BQ35</f>
        <v>160919</v>
      </c>
      <c r="D110" s="127">
        <f>Data!BQ41</f>
        <v>156812</v>
      </c>
      <c r="E110" s="286">
        <f t="shared" si="9"/>
        <v>2.6190597658342474E-2</v>
      </c>
      <c r="F110" s="127">
        <v>205539</v>
      </c>
      <c r="G110" s="127">
        <v>348297</v>
      </c>
      <c r="H110" s="127">
        <v>197474</v>
      </c>
      <c r="I110" s="127">
        <v>246576</v>
      </c>
    </row>
    <row r="111" spans="1:9" ht="14.25" x14ac:dyDescent="0.2">
      <c r="A111" s="248" t="s">
        <v>196</v>
      </c>
      <c r="B111" s="127">
        <f>Data!BP23/1000000</f>
        <v>5519.1669954199997</v>
      </c>
      <c r="C111" s="127">
        <f>Data!BP35/1000000</f>
        <v>15285.62716025</v>
      </c>
      <c r="D111" s="127">
        <f>Data!BP41/1000000</f>
        <v>16514.733121829999</v>
      </c>
      <c r="E111" s="286">
        <f t="shared" si="9"/>
        <v>-7.4424815255131491E-2</v>
      </c>
      <c r="F111" s="127">
        <v>21987</v>
      </c>
      <c r="G111" s="127">
        <v>37202</v>
      </c>
      <c r="H111" s="127">
        <v>15321</v>
      </c>
      <c r="I111" s="127">
        <v>515922</v>
      </c>
    </row>
    <row r="112" spans="1:9" ht="15" thickBot="1" x14ac:dyDescent="0.25">
      <c r="A112" s="289" t="s">
        <v>144</v>
      </c>
      <c r="B112" s="128">
        <f>Data!BP29</f>
        <v>70896</v>
      </c>
      <c r="C112" s="128">
        <f>B112</f>
        <v>70896</v>
      </c>
      <c r="D112" s="128">
        <f>Data!BP47</f>
        <v>19268</v>
      </c>
      <c r="E112" s="291">
        <f t="shared" si="9"/>
        <v>2.6794685488893504</v>
      </c>
      <c r="F112" s="128">
        <v>36955</v>
      </c>
      <c r="G112" s="128">
        <v>75609</v>
      </c>
      <c r="H112" s="128">
        <v>34866</v>
      </c>
      <c r="I112" s="128">
        <v>47546</v>
      </c>
    </row>
    <row r="113" spans="1:12" ht="13.5" thickTop="1" x14ac:dyDescent="0.2">
      <c r="A113" s="9" t="s">
        <v>197</v>
      </c>
      <c r="B113" s="3"/>
      <c r="C113" s="15"/>
      <c r="D113" s="15"/>
      <c r="E113" s="28"/>
      <c r="F113" s="24"/>
      <c r="G113" s="27"/>
      <c r="H113" s="27"/>
      <c r="I113" s="27"/>
    </row>
    <row r="114" spans="1:12" x14ac:dyDescent="0.2">
      <c r="A114" s="9" t="s">
        <v>198</v>
      </c>
      <c r="B114" s="3"/>
      <c r="C114" s="15"/>
      <c r="D114" s="15"/>
      <c r="E114" s="28"/>
      <c r="F114" s="24"/>
      <c r="G114" s="27"/>
      <c r="H114" s="27"/>
      <c r="I114" s="27"/>
    </row>
    <row r="115" spans="1:12" x14ac:dyDescent="0.2">
      <c r="A115" s="35"/>
      <c r="B115" s="19"/>
      <c r="F115" s="24"/>
      <c r="G115" s="27"/>
    </row>
    <row r="116" spans="1:12" ht="13.5" thickBot="1" x14ac:dyDescent="0.25">
      <c r="A116" s="122" t="s">
        <v>171</v>
      </c>
      <c r="B116" s="134"/>
      <c r="C116" s="116"/>
      <c r="D116" s="116"/>
      <c r="E116" s="116"/>
      <c r="F116" s="115"/>
      <c r="G116" s="118"/>
      <c r="H116" s="116"/>
      <c r="I116" s="116"/>
    </row>
    <row r="117" spans="1:12" ht="15" x14ac:dyDescent="0.25">
      <c r="A117" s="300"/>
      <c r="B117" s="280" t="s">
        <v>1</v>
      </c>
      <c r="C117" s="280" t="s">
        <v>179</v>
      </c>
      <c r="D117" s="280" t="s">
        <v>179</v>
      </c>
      <c r="E117" s="301" t="s">
        <v>13</v>
      </c>
      <c r="F117" s="310"/>
      <c r="G117" s="293"/>
      <c r="H117" s="300"/>
      <c r="I117" s="300"/>
    </row>
    <row r="118" spans="1:12" ht="15" x14ac:dyDescent="0.25">
      <c r="A118" s="300"/>
      <c r="B118" s="280" t="s">
        <v>3</v>
      </c>
      <c r="C118" s="280" t="s">
        <v>4</v>
      </c>
      <c r="D118" s="280" t="s">
        <v>4</v>
      </c>
      <c r="E118" s="301" t="s">
        <v>9</v>
      </c>
      <c r="F118" s="310"/>
      <c r="G118" s="293"/>
      <c r="H118" s="300"/>
      <c r="I118" s="300"/>
    </row>
    <row r="119" spans="1:12" ht="15.75" thickBot="1" x14ac:dyDescent="0.3">
      <c r="A119" s="302"/>
      <c r="B119" s="282" t="str">
        <f>TEXT($H$3,"MMM")&amp;" "&amp;TEXT($H$3,"YYYY")</f>
        <v>Aug 2017</v>
      </c>
      <c r="C119" s="282" t="str">
        <f>TEXT($H$3,"YYYY")</f>
        <v>2017</v>
      </c>
      <c r="D119" s="282">
        <f>TEXT($H$3,"YYYY")-1</f>
        <v>2016</v>
      </c>
      <c r="E119" s="284" t="s">
        <v>6</v>
      </c>
      <c r="F119" s="284">
        <f>TEXT($H$3,"YYYY")-1</f>
        <v>2016</v>
      </c>
      <c r="G119" s="295">
        <f>TEXT($H$3,"YYYY")-2</f>
        <v>2015</v>
      </c>
      <c r="H119" s="295">
        <f>TEXT($H$3,"YYYY")-3</f>
        <v>2014</v>
      </c>
      <c r="I119" s="295">
        <f>TEXT($H$3,"YYYY")-4</f>
        <v>2013</v>
      </c>
      <c r="J119" s="135"/>
      <c r="K119" s="170"/>
      <c r="L119" s="170"/>
    </row>
    <row r="120" spans="1:12" ht="15" x14ac:dyDescent="0.25">
      <c r="A120" s="288" t="s">
        <v>14</v>
      </c>
      <c r="B120" s="248"/>
      <c r="C120" s="248"/>
      <c r="D120" s="248"/>
      <c r="E120" s="248"/>
      <c r="F120" s="248"/>
      <c r="G120" s="248"/>
      <c r="H120" s="248"/>
      <c r="I120" s="248"/>
      <c r="J120" s="62"/>
    </row>
    <row r="121" spans="1:12" ht="14.25" x14ac:dyDescent="0.2">
      <c r="A121" s="248" t="s">
        <v>117</v>
      </c>
      <c r="B121" s="249">
        <f>Data!BR50</f>
        <v>3957</v>
      </c>
      <c r="C121" s="249">
        <f>Data!BR60</f>
        <v>42412</v>
      </c>
      <c r="D121" s="249">
        <f>Data!BR66</f>
        <v>43491</v>
      </c>
      <c r="E121" s="286">
        <f t="shared" ref="E121:E123" si="10">IFERROR(IF(OR(AND(D121="",C121=""),AND(D121=0,C121=0)),"",
IF(OR(D121="",D121=0),1,
IF(OR(D121&lt;&gt;"",D121&lt;&gt;0),(C121-D121)/ABS(D121)))),-1)</f>
        <v>-2.4809730748890577E-2</v>
      </c>
      <c r="F121" s="249">
        <v>66920</v>
      </c>
      <c r="G121" s="249">
        <v>57891</v>
      </c>
      <c r="H121" s="249">
        <v>43500</v>
      </c>
      <c r="I121" s="249">
        <v>39077</v>
      </c>
      <c r="J121" s="62"/>
    </row>
    <row r="122" spans="1:12" ht="14.25" x14ac:dyDescent="0.2">
      <c r="A122" s="248" t="s">
        <v>146</v>
      </c>
      <c r="B122" s="249">
        <f>Data!BQ50</f>
        <v>2201724</v>
      </c>
      <c r="C122" s="249">
        <f>Data!BQ60</f>
        <v>30551256</v>
      </c>
      <c r="D122" s="249">
        <f>Data!BQ66</f>
        <v>21385465</v>
      </c>
      <c r="E122" s="286">
        <f t="shared" si="10"/>
        <v>0.42859909756463094</v>
      </c>
      <c r="F122" s="249">
        <v>34293431</v>
      </c>
      <c r="G122" s="249">
        <v>33917069</v>
      </c>
      <c r="H122" s="249">
        <v>33946042</v>
      </c>
      <c r="I122" s="249">
        <v>24258464</v>
      </c>
      <c r="J122" s="62"/>
    </row>
    <row r="123" spans="1:12" ht="14.25" x14ac:dyDescent="0.2">
      <c r="A123" s="248" t="s">
        <v>119</v>
      </c>
      <c r="B123" s="249">
        <f>Data!BP50/1000000</f>
        <v>30298.1420788</v>
      </c>
      <c r="C123" s="249">
        <f>Data!BP60/1000000</f>
        <v>414285.59646179999</v>
      </c>
      <c r="D123" s="249">
        <f>Data!BP66/1000000</f>
        <v>336116.30519670004</v>
      </c>
      <c r="E123" s="286">
        <f t="shared" si="10"/>
        <v>0.23256619823710775</v>
      </c>
      <c r="F123" s="249">
        <v>522169</v>
      </c>
      <c r="G123" s="249">
        <v>446203</v>
      </c>
      <c r="H123" s="249">
        <v>388071</v>
      </c>
      <c r="I123" s="249">
        <v>247049</v>
      </c>
      <c r="J123" s="62"/>
    </row>
    <row r="124" spans="1:12" ht="14.25" x14ac:dyDescent="0.2">
      <c r="A124" s="248" t="s">
        <v>144</v>
      </c>
      <c r="B124" s="249">
        <f>VLOOKUP("Future",Data!$BP$55:$BQ$57,2,FALSE)</f>
        <v>1998795</v>
      </c>
      <c r="C124" s="249">
        <f>B124</f>
        <v>1998795</v>
      </c>
      <c r="D124" s="249">
        <f>VLOOKUP("Future",Data!$BP$71:$BQ$73,2,FALSE)</f>
        <v>1160098</v>
      </c>
      <c r="E124" s="286">
        <f>IFERROR(IF(OR(AND(D124="",C124=""),AND(D124=0,C124=0)),"",
IF(OR(D124="",D124=0),1,
IF(OR(D124&lt;&gt;"",D124&lt;&gt;0),(C124-D124)/ABS(D124)))),-1)</f>
        <v>0.72295357805978455</v>
      </c>
      <c r="F124" s="249">
        <v>1090978</v>
      </c>
      <c r="G124" s="249">
        <v>1414841</v>
      </c>
      <c r="H124" s="249">
        <v>1705921</v>
      </c>
      <c r="I124" s="249">
        <v>1029528</v>
      </c>
      <c r="J124" s="62"/>
    </row>
    <row r="125" spans="1:12" ht="14.25" x14ac:dyDescent="0.2">
      <c r="A125" s="248"/>
      <c r="B125" s="315"/>
      <c r="C125" s="315"/>
      <c r="D125" s="315"/>
      <c r="E125" s="248"/>
      <c r="F125" s="249"/>
      <c r="G125" s="249"/>
      <c r="H125" s="315"/>
      <c r="I125" s="315"/>
      <c r="J125" s="107"/>
      <c r="K125" s="172"/>
      <c r="L125" s="172"/>
    </row>
    <row r="126" spans="1:12" ht="15" x14ac:dyDescent="0.25">
      <c r="A126" s="288" t="s">
        <v>15</v>
      </c>
      <c r="B126" s="248"/>
      <c r="C126" s="315"/>
      <c r="D126" s="315"/>
      <c r="E126" s="288"/>
      <c r="F126" s="250"/>
      <c r="G126" s="249"/>
      <c r="H126" s="315"/>
      <c r="I126" s="316"/>
      <c r="J126" s="107"/>
      <c r="K126" s="172"/>
      <c r="L126" s="172"/>
    </row>
    <row r="127" spans="1:12" ht="14.25" x14ac:dyDescent="0.2">
      <c r="A127" s="248" t="s">
        <v>117</v>
      </c>
      <c r="B127" s="249">
        <f>Data!BR53</f>
        <v>523</v>
      </c>
      <c r="C127" s="249">
        <f>Data!BR63</f>
        <v>2196</v>
      </c>
      <c r="D127" s="249">
        <f>Data!BR69</f>
        <v>2032</v>
      </c>
      <c r="E127" s="286">
        <f t="shared" ref="E127:E129" si="11">IFERROR(IF(OR(AND(D127="",C127=""),AND(D127=0,C127=0)),"",
IF(OR(D127="",D127=0),1,
IF(OR(D127&lt;&gt;"",D127&lt;&gt;0),(C127-D127)/ABS(D127)))),-1)</f>
        <v>8.070866141732283E-2</v>
      </c>
      <c r="F127" s="249">
        <v>3271</v>
      </c>
      <c r="G127" s="249">
        <v>2622</v>
      </c>
      <c r="H127" s="249">
        <v>3439</v>
      </c>
      <c r="I127" s="249">
        <v>2009</v>
      </c>
      <c r="J127" s="132"/>
      <c r="K127" s="177"/>
      <c r="L127" s="172"/>
    </row>
    <row r="128" spans="1:12" ht="14.25" x14ac:dyDescent="0.2">
      <c r="A128" s="248" t="s">
        <v>146</v>
      </c>
      <c r="B128" s="249">
        <f>Data!BQ53</f>
        <v>2033468</v>
      </c>
      <c r="C128" s="249">
        <f>Data!BQ63</f>
        <v>10058588</v>
      </c>
      <c r="D128" s="249">
        <f>Data!BQ69</f>
        <v>8865551</v>
      </c>
      <c r="E128" s="286">
        <f t="shared" si="11"/>
        <v>0.13456997765846704</v>
      </c>
      <c r="F128" s="249">
        <v>14030889</v>
      </c>
      <c r="G128" s="249">
        <v>11251621</v>
      </c>
      <c r="H128" s="249">
        <v>10687313</v>
      </c>
      <c r="I128" s="249">
        <v>10027182</v>
      </c>
      <c r="J128" s="133"/>
      <c r="K128" s="177"/>
      <c r="L128" s="172"/>
    </row>
    <row r="129" spans="1:12" ht="14.25" x14ac:dyDescent="0.2">
      <c r="A129" s="248" t="s">
        <v>177</v>
      </c>
      <c r="B129" s="249">
        <f>Data!BP53/1000000</f>
        <v>28042.454428699999</v>
      </c>
      <c r="C129" s="249">
        <f>Data!BP63/1000000</f>
        <v>139708.32058850001</v>
      </c>
      <c r="D129" s="249">
        <f>Data!BP69/1000000</f>
        <v>138241.44924070002</v>
      </c>
      <c r="E129" s="286">
        <f t="shared" si="11"/>
        <v>1.0610937282970259E-2</v>
      </c>
      <c r="F129" s="249">
        <v>212036</v>
      </c>
      <c r="G129" s="249">
        <v>157773</v>
      </c>
      <c r="H129" s="249">
        <v>128124</v>
      </c>
      <c r="I129" s="249">
        <v>87508</v>
      </c>
      <c r="J129" s="133"/>
      <c r="K129" s="172"/>
      <c r="L129" s="172"/>
    </row>
    <row r="130" spans="1:12" ht="14.25" x14ac:dyDescent="0.2">
      <c r="A130" s="248" t="s">
        <v>144</v>
      </c>
      <c r="B130" s="249">
        <f>VLOOKUP("Option",Data!$BP$55:$BQ$57,2,FALSE)</f>
        <v>3151672</v>
      </c>
      <c r="C130" s="249">
        <f>MarketProfile!B130</f>
        <v>3151672</v>
      </c>
      <c r="D130" s="249">
        <f>VLOOKUP("Option",Data!$BP$71:$BQ$73,2,FALSE)</f>
        <v>2106510</v>
      </c>
      <c r="E130" s="286">
        <f>IFERROR(IF(OR(AND(D130="",C130=""),AND(D130=0,C130=0)),"",
IF(OR(D130="",D130=0),1,
IF(OR(D130&lt;&gt;"",D130&lt;&gt;0),(C130-D130)/ABS(D130)))),-1)</f>
        <v>0.49615810036505881</v>
      </c>
      <c r="F130" s="249">
        <v>1240499</v>
      </c>
      <c r="G130" s="249">
        <v>1917456</v>
      </c>
      <c r="H130" s="249">
        <v>1839022</v>
      </c>
      <c r="I130" s="249">
        <v>797456</v>
      </c>
      <c r="J130" s="107"/>
      <c r="K130" s="172"/>
      <c r="L130" s="172"/>
    </row>
    <row r="131" spans="1:12" x14ac:dyDescent="0.2">
      <c r="A131" s="59" t="s">
        <v>178</v>
      </c>
      <c r="B131" s="62"/>
      <c r="C131" s="62"/>
      <c r="D131" s="62"/>
      <c r="H131" s="62"/>
      <c r="J131" s="107"/>
    </row>
    <row r="132" spans="1:12" x14ac:dyDescent="0.2">
      <c r="B132" s="3"/>
      <c r="C132" s="3"/>
      <c r="D132" s="3"/>
      <c r="J132" s="107"/>
    </row>
    <row r="133" spans="1:12" ht="13.5" thickBot="1" x14ac:dyDescent="0.25">
      <c r="A133" s="122" t="s">
        <v>162</v>
      </c>
      <c r="B133" s="117"/>
      <c r="C133" s="117"/>
      <c r="D133" s="117"/>
      <c r="E133" s="117"/>
      <c r="F133" s="118"/>
      <c r="G133" s="118"/>
      <c r="H133" s="117"/>
      <c r="I133" s="117"/>
    </row>
    <row r="134" spans="1:12" ht="15" x14ac:dyDescent="0.25">
      <c r="A134" s="300"/>
      <c r="B134" s="280" t="s">
        <v>1</v>
      </c>
      <c r="C134" s="280" t="s">
        <v>179</v>
      </c>
      <c r="D134" s="280" t="s">
        <v>179</v>
      </c>
      <c r="E134" s="301" t="s">
        <v>13</v>
      </c>
      <c r="F134" s="310"/>
      <c r="G134" s="293"/>
      <c r="H134" s="300"/>
      <c r="I134" s="300"/>
    </row>
    <row r="135" spans="1:12" ht="15" x14ac:dyDescent="0.25">
      <c r="A135" s="300"/>
      <c r="B135" s="280" t="s">
        <v>3</v>
      </c>
      <c r="C135" s="280" t="s">
        <v>4</v>
      </c>
      <c r="D135" s="280" t="s">
        <v>4</v>
      </c>
      <c r="E135" s="301" t="s">
        <v>9</v>
      </c>
      <c r="F135" s="310"/>
      <c r="G135" s="293"/>
      <c r="H135" s="300"/>
      <c r="I135" s="300"/>
    </row>
    <row r="136" spans="1:12" ht="15.75" thickBot="1" x14ac:dyDescent="0.3">
      <c r="A136" s="302"/>
      <c r="B136" s="282" t="str">
        <f>TEXT($H$3,"MMM")&amp;" "&amp;TEXT($H$3,"YYYY")</f>
        <v>Aug 2017</v>
      </c>
      <c r="C136" s="282" t="str">
        <f>TEXT($H$3,"YYYY")</f>
        <v>2017</v>
      </c>
      <c r="D136" s="282">
        <f>TEXT($H$3,"YYYY")-1</f>
        <v>2016</v>
      </c>
      <c r="E136" s="284" t="s">
        <v>6</v>
      </c>
      <c r="F136" s="284">
        <f>TEXT($H$3,"YYYY")-1</f>
        <v>2016</v>
      </c>
      <c r="G136" s="295">
        <f>TEXT($H$3,"YYYY")-2</f>
        <v>2015</v>
      </c>
      <c r="H136" s="295">
        <f>TEXT($H$3,"YYYY")-3</f>
        <v>2014</v>
      </c>
      <c r="I136" s="295">
        <f>TEXT($H$3,"YYYY")-4</f>
        <v>2013</v>
      </c>
    </row>
    <row r="137" spans="1:12" ht="15" x14ac:dyDescent="0.25">
      <c r="A137" s="288" t="s">
        <v>14</v>
      </c>
      <c r="B137" s="317"/>
      <c r="C137" s="317"/>
      <c r="D137" s="317"/>
      <c r="E137" s="312"/>
      <c r="F137" s="312"/>
      <c r="G137" s="318"/>
      <c r="H137" s="318"/>
      <c r="I137" s="318"/>
    </row>
    <row r="138" spans="1:12" ht="14.25" x14ac:dyDescent="0.2">
      <c r="A138" s="248" t="s">
        <v>117</v>
      </c>
      <c r="B138" s="249">
        <f>SUMIFS(Data!$AC:$AC,Data!$AE:$AE,"1")</f>
        <v>28868</v>
      </c>
      <c r="C138" s="249">
        <f>Data!BR76</f>
        <v>234846</v>
      </c>
      <c r="D138" s="249">
        <f>Data!BR82</f>
        <v>233081</v>
      </c>
      <c r="E138" s="286">
        <f>IFERROR(IF(OR(AND(D138="",C138=""),AND(D138=0,C138=0)),"",
IF(OR(D138="",D138=0),1,
IF(OR(D138&lt;&gt;"",D138&lt;&gt;0),(C138-D138)/ABS(D138)))),-1)</f>
        <v>7.5724748048961524E-3</v>
      </c>
      <c r="F138" s="249">
        <v>343265</v>
      </c>
      <c r="G138" s="249">
        <v>319935</v>
      </c>
      <c r="H138" s="249">
        <v>277392</v>
      </c>
      <c r="I138" s="249">
        <v>274898</v>
      </c>
    </row>
    <row r="139" spans="1:12" ht="14.25" x14ac:dyDescent="0.2">
      <c r="A139" s="248" t="s">
        <v>142</v>
      </c>
      <c r="B139" s="249">
        <f>SUMIFS(Data!$AB:$AB,Data!$AE:$AE,"1")/1000</f>
        <v>263.48599999999999</v>
      </c>
      <c r="C139" s="249">
        <f>Data!BQ76</f>
        <v>1868754</v>
      </c>
      <c r="D139" s="249">
        <f>Data!BQ82</f>
        <v>2063351</v>
      </c>
      <c r="E139" s="286">
        <f t="shared" ref="E139:E141" si="12">IFERROR(IF(OR(AND(D139="",C139=""),AND(D139=0,C139=0)),"",
IF(OR(D139="",D139=0),1,
IF(OR(D139&lt;&gt;"",D139&lt;&gt;0),(C139-D139)/ABS(D139)))),-1)</f>
        <v>-9.4311147255120437E-2</v>
      </c>
      <c r="F139" s="249">
        <v>2955</v>
      </c>
      <c r="G139" s="249">
        <v>2956</v>
      </c>
      <c r="H139" s="249">
        <v>2395</v>
      </c>
      <c r="I139" s="249">
        <v>2482</v>
      </c>
    </row>
    <row r="140" spans="1:12" ht="14.25" x14ac:dyDescent="0.2">
      <c r="A140" s="248" t="s">
        <v>119</v>
      </c>
      <c r="B140" s="249">
        <f>SUMIFS(Data!$AA:$AA,Data!$AE:$AE,"1")/1000000</f>
        <v>52685.442436536985</v>
      </c>
      <c r="C140" s="249">
        <f>Data!BP76/1000000</f>
        <v>391982.73777414899</v>
      </c>
      <c r="D140" s="249">
        <f>Data!BP82/1000000</f>
        <v>692765.40757126897</v>
      </c>
      <c r="E140" s="286">
        <f t="shared" si="12"/>
        <v>-0.43417680286840338</v>
      </c>
      <c r="F140" s="249">
        <v>943312</v>
      </c>
      <c r="G140" s="249">
        <v>736984</v>
      </c>
      <c r="H140" s="249">
        <v>487818</v>
      </c>
      <c r="I140" s="249">
        <v>486903</v>
      </c>
    </row>
    <row r="141" spans="1:12" ht="14.25" x14ac:dyDescent="0.2">
      <c r="A141" s="248" t="s">
        <v>144</v>
      </c>
      <c r="B141" s="249">
        <f>SUMIFS(Data!$AK:$AK,Data!$AL:$AL,"1")</f>
        <v>132208</v>
      </c>
      <c r="C141" s="249">
        <f>B141</f>
        <v>132208</v>
      </c>
      <c r="D141" s="249">
        <f>Data!BP88</f>
        <v>80671</v>
      </c>
      <c r="E141" s="286">
        <f t="shared" si="12"/>
        <v>0.63885411114278989</v>
      </c>
      <c r="F141" s="249">
        <v>65553</v>
      </c>
      <c r="G141" s="249">
        <v>89089</v>
      </c>
      <c r="H141" s="249">
        <v>75388</v>
      </c>
      <c r="I141" s="249">
        <v>66538</v>
      </c>
    </row>
    <row r="142" spans="1:12" ht="14.25" x14ac:dyDescent="0.2">
      <c r="A142" s="248"/>
      <c r="B142" s="249"/>
      <c r="C142" s="249"/>
      <c r="D142" s="249"/>
      <c r="E142" s="248"/>
      <c r="F142" s="249"/>
      <c r="G142" s="249"/>
      <c r="H142" s="249"/>
      <c r="I142" s="249"/>
    </row>
    <row r="143" spans="1:12" ht="15" x14ac:dyDescent="0.25">
      <c r="A143" s="288" t="s">
        <v>15</v>
      </c>
      <c r="B143" s="249"/>
      <c r="C143" s="249"/>
      <c r="D143" s="249"/>
      <c r="E143" s="248"/>
      <c r="F143" s="249"/>
      <c r="G143" s="249"/>
      <c r="H143" s="249"/>
      <c r="I143" s="249"/>
    </row>
    <row r="144" spans="1:12" ht="14.25" x14ac:dyDescent="0.2">
      <c r="A144" s="248" t="s">
        <v>117</v>
      </c>
      <c r="B144" s="249">
        <f>SUMIFS(Data!$AC:$AC,Data!$AE:$AE,"0")</f>
        <v>1948</v>
      </c>
      <c r="C144" s="249">
        <f>Data!BR79</f>
        <v>19336</v>
      </c>
      <c r="D144" s="249">
        <f>Data!BR85</f>
        <v>29911</v>
      </c>
      <c r="E144" s="286">
        <f>IFERROR(IF(OR(AND(D144="",C144=""),AND(D144=0,C144=0)),"",
IF(OR(D144="",D144=0),1,
IF(OR(D144&lt;&gt;"",D144&lt;&gt;0),(C144-D144)/ABS(D144)))),-1)</f>
        <v>-0.35354886162281435</v>
      </c>
      <c r="F144" s="249">
        <v>43815</v>
      </c>
      <c r="G144" s="249">
        <v>42966</v>
      </c>
      <c r="H144" s="249">
        <v>31365</v>
      </c>
      <c r="I144" s="249">
        <v>30380</v>
      </c>
    </row>
    <row r="145" spans="1:10" ht="14.25" x14ac:dyDescent="0.2">
      <c r="A145" s="248" t="s">
        <v>142</v>
      </c>
      <c r="B145" s="249">
        <f>SUMIFS(Data!$AB:$AB,Data!$AE:$AE,"0")/1000</f>
        <v>24.654</v>
      </c>
      <c r="C145" s="249">
        <f>Data!BQ79</f>
        <v>191220</v>
      </c>
      <c r="D145" s="249">
        <f>Data!BQ85</f>
        <v>349464</v>
      </c>
      <c r="E145" s="286">
        <f t="shared" ref="E145:E146" si="13">IFERROR(IF(OR(AND(D145="",C145=""),AND(D145=0,C145=0)),"",
IF(OR(D145="",D145=0),1,
IF(OR(D145&lt;&gt;"",D145&lt;&gt;0),(C145-D145)/ABS(D145)))),-1)</f>
        <v>-0.4528191745072454</v>
      </c>
      <c r="F145" s="249">
        <v>471</v>
      </c>
      <c r="G145" s="249">
        <v>544</v>
      </c>
      <c r="H145" s="249">
        <v>335</v>
      </c>
      <c r="I145" s="249">
        <v>307</v>
      </c>
    </row>
    <row r="146" spans="1:10" ht="14.25" x14ac:dyDescent="0.2">
      <c r="A146" s="248" t="s">
        <v>119</v>
      </c>
      <c r="B146" s="249">
        <f>SUMIFS(Data!$AA:$AA,Data!$AE:$AE,"0")/1000000</f>
        <v>253.91169410000001</v>
      </c>
      <c r="C146" s="249">
        <f>Data!BP79/1000000</f>
        <v>2267.6882079699899</v>
      </c>
      <c r="D146" s="249">
        <f>Data!BP85/1000000</f>
        <v>11218.22623102</v>
      </c>
      <c r="E146" s="286">
        <f t="shared" si="13"/>
        <v>-0.79785679471327586</v>
      </c>
      <c r="F146" s="249">
        <v>14527</v>
      </c>
      <c r="G146" s="249">
        <v>12378</v>
      </c>
      <c r="H146" s="249">
        <v>2724</v>
      </c>
      <c r="I146" s="249">
        <v>3357</v>
      </c>
    </row>
    <row r="147" spans="1:10" ht="14.25" x14ac:dyDescent="0.2">
      <c r="A147" s="248" t="s">
        <v>144</v>
      </c>
      <c r="B147" s="249">
        <f>SUMIFS(Data!$AK:$AK,Data!$AL:$AL,"0")</f>
        <v>44610</v>
      </c>
      <c r="C147" s="249">
        <f>B147</f>
        <v>44610</v>
      </c>
      <c r="D147" s="249">
        <f>Data!BP91</f>
        <v>53130</v>
      </c>
      <c r="E147" s="286">
        <f>IFERROR(IF(OR(AND(D147="",C147=""),AND(D147=0,C147=0)),"",
IF(OR(D147="",D147=0),1,
IF(OR(D147&lt;&gt;"",D147&lt;&gt;0),(C147-D147)/ABS(D147)))),-1)</f>
        <v>-0.16036137775268211</v>
      </c>
      <c r="F147" s="249">
        <v>36968</v>
      </c>
      <c r="G147" s="249">
        <v>87294</v>
      </c>
      <c r="H147" s="249">
        <v>57806</v>
      </c>
      <c r="I147" s="249">
        <v>52069</v>
      </c>
    </row>
    <row r="148" spans="1:10" x14ac:dyDescent="0.2">
      <c r="B148" s="3"/>
    </row>
    <row r="149" spans="1:10" ht="12.75" customHeight="1" x14ac:dyDescent="0.2">
      <c r="B149" s="3"/>
      <c r="F149" s="367" t="s">
        <v>200</v>
      </c>
      <c r="G149" s="367"/>
      <c r="H149" s="367"/>
      <c r="I149" s="125"/>
    </row>
    <row r="150" spans="1:10" ht="12.75" customHeight="1" x14ac:dyDescent="0.2">
      <c r="B150" s="3"/>
      <c r="F150" s="367"/>
      <c r="G150" s="367"/>
      <c r="H150" s="367"/>
      <c r="I150" s="125"/>
      <c r="J150" s="161"/>
    </row>
    <row r="151" spans="1:10" ht="13.5" thickBot="1" x14ac:dyDescent="0.25">
      <c r="A151" s="122" t="s">
        <v>120</v>
      </c>
      <c r="B151" s="117"/>
      <c r="C151" s="116"/>
      <c r="D151" s="117"/>
      <c r="E151" s="117"/>
      <c r="F151" s="116"/>
      <c r="G151" s="117"/>
      <c r="H151" s="116"/>
      <c r="I151" s="116"/>
      <c r="J151" s="161"/>
    </row>
    <row r="152" spans="1:10" ht="15" x14ac:dyDescent="0.25">
      <c r="A152" s="310"/>
      <c r="B152" s="202" t="s">
        <v>169</v>
      </c>
      <c r="C152" s="281"/>
      <c r="D152" s="196"/>
      <c r="E152" s="281"/>
      <c r="F152" s="281"/>
      <c r="G152" s="281" t="s">
        <v>170</v>
      </c>
      <c r="H152" s="281"/>
      <c r="I152" s="281"/>
      <c r="J152" s="161"/>
    </row>
    <row r="153" spans="1:10" ht="15.75" thickBot="1" x14ac:dyDescent="0.3">
      <c r="A153" s="295"/>
      <c r="B153" s="282" t="str">
        <f>TEXT($H$3,"MMM")&amp;" "&amp;TEXT($H$3,"YYYY")</f>
        <v>Aug 2017</v>
      </c>
      <c r="C153" s="282" t="str">
        <f>TEXT(DATE(2000,TEXT(H3,"M")-1,1),"mmm")&amp; " "&amp; TEXT(H3,"YYYY")</f>
        <v>Jul 2017</v>
      </c>
      <c r="D153" s="284" t="s">
        <v>121</v>
      </c>
      <c r="E153" s="282"/>
      <c r="F153" s="282"/>
      <c r="G153" s="282" t="str">
        <f>TEXT($H$3,"MMM")&amp;" "&amp;TEXT($H$3,"YYYY")</f>
        <v>Aug 2017</v>
      </c>
      <c r="H153" s="282" t="str">
        <f>TEXT($H$3,"MMM")&amp;" "&amp;TEXT($H$3,"YYYY")-1</f>
        <v>Aug 2016</v>
      </c>
      <c r="I153" s="284" t="s">
        <v>121</v>
      </c>
      <c r="J153" s="161"/>
    </row>
    <row r="154" spans="1:10" ht="14.25" x14ac:dyDescent="0.2">
      <c r="A154" s="248" t="s">
        <v>122</v>
      </c>
      <c r="B154" s="322">
        <f>VLOOKUP("ABuy",Data!$J$1:$M$5,4,FALSE)/1000000</f>
        <v>200861.21771023973</v>
      </c>
      <c r="C154" s="322">
        <f>VLOOKUP("ABuy",Data!$J$7:$M$11,4,FALSE)/1000000</f>
        <v>157563.92298249734</v>
      </c>
      <c r="D154" s="186">
        <f>((B154/C154)-1)</f>
        <v>0.27479193147883207</v>
      </c>
      <c r="E154" s="322"/>
      <c r="F154" s="322"/>
      <c r="G154" s="322">
        <f>VLOOKUP("Abuy",Data!$J$13:$M$17,4,FALSE)/1000000</f>
        <v>192129.352812525</v>
      </c>
      <c r="H154" s="322">
        <f>VLOOKUP("Abuy",Data!$J$19:$M$23,4,FALSE)/1000000</f>
        <v>152773.42094077499</v>
      </c>
      <c r="I154" s="200">
        <f>((G154/H154)-1)</f>
        <v>0.25760980954276702</v>
      </c>
      <c r="J154" s="161"/>
    </row>
    <row r="155" spans="1:10" ht="14.25" x14ac:dyDescent="0.2">
      <c r="A155" s="248" t="s">
        <v>123</v>
      </c>
      <c r="B155" s="322">
        <f>VLOOKUP("ASell",Data!$J$1:$M$5,4,FALSE)/1000000</f>
        <v>217616.55150670145</v>
      </c>
      <c r="C155" s="322">
        <f>VLOOKUP("Asell",Data!$J$7:$M$11,4,FALSE)/1000000</f>
        <v>169276.94391407524</v>
      </c>
      <c r="D155" s="200">
        <f t="shared" ref="D155:D157" si="14">((B155/C155)-1)</f>
        <v>0.28556521918994071</v>
      </c>
      <c r="E155" s="322"/>
      <c r="F155" s="322"/>
      <c r="G155" s="322">
        <f>VLOOKUP("Asell",Data!$J$13:$M$17,4,FALSE)/1000000</f>
        <v>207235.53754917998</v>
      </c>
      <c r="H155" s="322">
        <f>VLOOKUP("Asell",Data!$J$19:$M$23,4,FALSE)/1000000</f>
        <v>164843.15404460498</v>
      </c>
      <c r="I155" s="200">
        <f t="shared" ref="I155:I157" si="15">((G155/H155)-1)</f>
        <v>0.2571679955426236</v>
      </c>
      <c r="J155" s="161"/>
    </row>
    <row r="156" spans="1:10" ht="14.25" x14ac:dyDescent="0.2">
      <c r="A156" s="248" t="s">
        <v>124</v>
      </c>
      <c r="B156" s="322">
        <f>VLOOKUP("PBuy",Data!$J$1:$M$5,4,FALSE)/1000000</f>
        <v>245511.93702124091</v>
      </c>
      <c r="C156" s="322">
        <f>VLOOKUP("Pbuy",Data!$J$7:$M$11,4,FALSE)/1000000</f>
        <v>208254.1618056345</v>
      </c>
      <c r="D156" s="200">
        <f t="shared" si="14"/>
        <v>0.17890530922680647</v>
      </c>
      <c r="E156" s="322"/>
      <c r="F156" s="322"/>
      <c r="G156" s="322">
        <f>VLOOKUP("Pbuy",Data!$J$13:$M$17,4,FALSE)/1000000</f>
        <v>222940.86177071999</v>
      </c>
      <c r="H156" s="322">
        <f>VLOOKUP("Pbuy",Data!$J$19:$M$23,4,FALSE)/1000000</f>
        <v>190162.98472595002</v>
      </c>
      <c r="I156" s="200">
        <f t="shared" si="15"/>
        <v>0.17236728321238348</v>
      </c>
      <c r="J156" s="161"/>
    </row>
    <row r="157" spans="1:10" ht="14.25" x14ac:dyDescent="0.2">
      <c r="A157" s="248" t="s">
        <v>125</v>
      </c>
      <c r="B157" s="322">
        <f>VLOOKUP("PSell",Data!$J$1:$M$5,4,FALSE)/1000000</f>
        <v>228756.60322477919</v>
      </c>
      <c r="C157" s="322">
        <f>VLOOKUP("Psell",Data!$J$7:$M$11,4,FALSE)/1000000</f>
        <v>196541.14087405664</v>
      </c>
      <c r="D157" s="200">
        <f t="shared" si="14"/>
        <v>0.16391205529516184</v>
      </c>
      <c r="E157" s="322"/>
      <c r="F157" s="322"/>
      <c r="G157" s="322">
        <f>VLOOKUP("Psell",Data!$J$13:$M$17,4,FALSE)/1000000</f>
        <v>207834.67703406501</v>
      </c>
      <c r="H157" s="322">
        <f>VLOOKUP("Psell",Data!$J$19:$M$23,4,FALSE)/1000000</f>
        <v>178093.25162212001</v>
      </c>
      <c r="I157" s="200">
        <f t="shared" si="15"/>
        <v>0.16699917117045326</v>
      </c>
      <c r="J157" s="161"/>
    </row>
    <row r="158" spans="1:10" ht="14.25" x14ac:dyDescent="0.2">
      <c r="A158" s="248"/>
      <c r="B158" s="249"/>
      <c r="C158" s="249"/>
      <c r="D158" s="248"/>
      <c r="E158" s="249"/>
      <c r="F158" s="249"/>
      <c r="G158" s="248"/>
      <c r="H158" s="248"/>
      <c r="I158" s="248"/>
      <c r="J158" s="161"/>
    </row>
    <row r="159" spans="1:10" ht="15.75" thickBot="1" x14ac:dyDescent="0.3">
      <c r="A159" s="278" t="s">
        <v>126</v>
      </c>
      <c r="B159" s="279"/>
      <c r="C159" s="279"/>
      <c r="D159" s="279"/>
      <c r="E159" s="279"/>
      <c r="F159" s="279"/>
      <c r="G159" s="279"/>
      <c r="H159" s="278"/>
      <c r="I159" s="278"/>
      <c r="J159" s="161"/>
    </row>
    <row r="160" spans="1:10" ht="15.75" thickBot="1" x14ac:dyDescent="0.3">
      <c r="A160" s="295"/>
      <c r="B160" s="284" t="s">
        <v>127</v>
      </c>
      <c r="C160" s="284" t="s">
        <v>4</v>
      </c>
      <c r="D160" s="386" t="s">
        <v>128</v>
      </c>
      <c r="E160" s="386"/>
      <c r="F160" s="284" t="s">
        <v>129</v>
      </c>
      <c r="G160" s="382" t="s">
        <v>130</v>
      </c>
      <c r="H160" s="382"/>
      <c r="I160" s="284" t="s">
        <v>28</v>
      </c>
      <c r="J160" s="161"/>
    </row>
    <row r="161" spans="1:10" ht="15" x14ac:dyDescent="0.25">
      <c r="A161" s="288"/>
      <c r="B161" s="312"/>
      <c r="C161" s="312"/>
      <c r="D161" s="312"/>
      <c r="E161" s="312"/>
      <c r="F161" s="312"/>
      <c r="G161" s="312"/>
      <c r="H161" s="248"/>
      <c r="I161" s="312"/>
      <c r="J161" s="161"/>
    </row>
    <row r="162" spans="1:10" ht="14.25" x14ac:dyDescent="0.2">
      <c r="A162" s="248" t="s">
        <v>117</v>
      </c>
      <c r="B162" s="206">
        <v>667996</v>
      </c>
      <c r="C162" s="335">
        <v>42349</v>
      </c>
      <c r="D162" s="385">
        <v>1959547</v>
      </c>
      <c r="E162" s="385"/>
      <c r="F162" s="335">
        <v>42349</v>
      </c>
      <c r="G162" s="385">
        <v>7331360</v>
      </c>
      <c r="H162" s="385"/>
      <c r="I162" s="198" t="s">
        <v>533</v>
      </c>
    </row>
    <row r="163" spans="1:10" ht="14.25" x14ac:dyDescent="0.2">
      <c r="A163" s="248" t="s">
        <v>523</v>
      </c>
      <c r="B163" s="206">
        <f>1025315917/1000</f>
        <v>1025315.917</v>
      </c>
      <c r="C163" s="335">
        <v>42122</v>
      </c>
      <c r="D163" s="385">
        <f>2513652909/1000000</f>
        <v>2513.6529089999999</v>
      </c>
      <c r="E163" s="385"/>
      <c r="F163" s="335">
        <v>42349</v>
      </c>
      <c r="G163" s="385">
        <v>9748834</v>
      </c>
      <c r="H163" s="385"/>
      <c r="I163" s="205" t="s">
        <v>131</v>
      </c>
    </row>
    <row r="164" spans="1:10" ht="14.25" x14ac:dyDescent="0.2">
      <c r="A164" s="248" t="s">
        <v>522</v>
      </c>
      <c r="B164" s="206">
        <v>70020.093869999997</v>
      </c>
      <c r="C164" s="335">
        <v>42901</v>
      </c>
      <c r="D164" s="385">
        <v>165827</v>
      </c>
      <c r="E164" s="385"/>
      <c r="F164" s="335">
        <v>42631</v>
      </c>
      <c r="G164" s="385">
        <v>612552</v>
      </c>
      <c r="H164" s="385"/>
      <c r="I164" s="205" t="s">
        <v>533</v>
      </c>
    </row>
    <row r="165" spans="1:10" ht="14.25" x14ac:dyDescent="0.2">
      <c r="A165" s="248" t="s">
        <v>498</v>
      </c>
      <c r="B165" s="199">
        <f>15631907253004/1000000000000</f>
        <v>15.631907253004</v>
      </c>
      <c r="C165" s="335">
        <v>42447</v>
      </c>
      <c r="D165" s="206"/>
      <c r="E165" s="205"/>
      <c r="F165" s="206"/>
      <c r="G165" s="205"/>
      <c r="H165" s="305"/>
      <c r="I165" s="305"/>
    </row>
    <row r="166" spans="1:10" ht="13.5" thickBot="1" x14ac:dyDescent="0.25">
      <c r="A166" s="108"/>
      <c r="B166" s="108"/>
      <c r="C166" s="108"/>
      <c r="D166" s="108"/>
      <c r="E166" s="108"/>
      <c r="F166" s="108"/>
      <c r="G166" s="108"/>
      <c r="H166" s="108"/>
      <c r="I166" s="108"/>
    </row>
    <row r="167" spans="1:10" ht="13.5" thickTop="1" x14ac:dyDescent="0.2"/>
    <row r="177" spans="1:11" ht="12.75" customHeight="1" x14ac:dyDescent="0.2">
      <c r="A177" s="107" t="str">
        <f>"Market Profile - "&amp; TEXT($H$3,"MMM")&amp;" "&amp;TEXT($H$3,"YYYY")</f>
        <v>Market Profile - Aug 2017</v>
      </c>
      <c r="G177" s="125"/>
      <c r="H177" s="125"/>
    </row>
    <row r="178" spans="1:11" ht="12.75" customHeight="1" x14ac:dyDescent="0.2">
      <c r="F178" s="367" t="s">
        <v>200</v>
      </c>
      <c r="G178" s="367"/>
      <c r="H178" s="367"/>
    </row>
    <row r="179" spans="1:11" x14ac:dyDescent="0.2">
      <c r="F179" s="367"/>
      <c r="G179" s="367"/>
      <c r="H179" s="367"/>
    </row>
    <row r="180" spans="1:11" x14ac:dyDescent="0.2">
      <c r="K180" s="126"/>
    </row>
    <row r="181" spans="1:11" ht="13.5" thickBot="1" x14ac:dyDescent="0.25">
      <c r="A181" s="116" t="str">
        <f>"Position in the world league in "&amp;TEXT(DATE(YEAR(H3),MONTH(H3)-1,DAY(H3)),"MMMM") &amp;" "&amp; TEXT(H3,"YYYY")&amp;" (based on the WFE statistics)"</f>
        <v>Position in the world league in July 2017 (based on the WFE statistics)</v>
      </c>
      <c r="B181" s="121"/>
      <c r="C181" s="121"/>
      <c r="D181" s="121"/>
      <c r="E181" s="121"/>
      <c r="F181" s="121"/>
      <c r="G181" s="121"/>
      <c r="H181" s="121"/>
      <c r="I181" s="121"/>
      <c r="K181" s="126"/>
    </row>
    <row r="182" spans="1:11" ht="15" x14ac:dyDescent="0.25">
      <c r="A182" s="281"/>
      <c r="B182" s="281"/>
      <c r="C182" s="281"/>
      <c r="D182" s="281"/>
      <c r="E182" s="319"/>
      <c r="F182" s="376" t="s">
        <v>209</v>
      </c>
      <c r="G182" s="376"/>
      <c r="H182" s="376"/>
      <c r="I182" s="376"/>
    </row>
    <row r="183" spans="1:11" ht="15.75" thickBot="1" x14ac:dyDescent="0.3">
      <c r="A183" s="295"/>
      <c r="B183" s="320" t="str">
        <f>TEXT(DATE(2000,TEXT(H3,"M")-1,1),"mmm")&amp; " "&amp; TEXT(H3,"YYYY")</f>
        <v>Jul 2017</v>
      </c>
      <c r="C183" s="284" t="s">
        <v>16</v>
      </c>
      <c r="D183" s="320" t="str">
        <f>TEXT(DATE(2000,TEXT(H3,"M")-1,1),"mmm")&amp; " "&amp; TEXT(H3,"YYYY")-1</f>
        <v>Jul 2016</v>
      </c>
      <c r="E183" s="321" t="s">
        <v>16</v>
      </c>
      <c r="F183" s="295">
        <f>TEXT($H$3,"YYYY")-1</f>
        <v>2016</v>
      </c>
      <c r="G183" s="284">
        <f>TEXT($H$3,"YYYY")-2</f>
        <v>2015</v>
      </c>
      <c r="H183" s="295">
        <f>TEXT($H$3,"YYYY")-3</f>
        <v>2014</v>
      </c>
      <c r="I183" s="284">
        <f>TEXT($H$3,"YYYY")-4</f>
        <v>2013</v>
      </c>
    </row>
    <row r="184" spans="1:11" ht="14.25" x14ac:dyDescent="0.2">
      <c r="A184" s="248" t="s">
        <v>17</v>
      </c>
      <c r="B184" s="361">
        <v>1116293.0649025601</v>
      </c>
      <c r="C184" s="345">
        <v>16</v>
      </c>
      <c r="D184" s="361">
        <v>997173</v>
      </c>
      <c r="E184" s="345">
        <v>17</v>
      </c>
      <c r="F184" s="305">
        <v>17</v>
      </c>
      <c r="G184" s="345">
        <v>18</v>
      </c>
      <c r="H184" s="305">
        <v>17</v>
      </c>
      <c r="I184" s="345">
        <v>19</v>
      </c>
      <c r="K184" s="126"/>
    </row>
    <row r="185" spans="1:11" ht="14.25" x14ac:dyDescent="0.2">
      <c r="A185" s="248" t="s">
        <v>18</v>
      </c>
      <c r="B185" s="361">
        <v>27912.685986357188</v>
      </c>
      <c r="C185" s="345">
        <v>18</v>
      </c>
      <c r="D185" s="361">
        <v>36918</v>
      </c>
      <c r="E185" s="345">
        <v>19</v>
      </c>
      <c r="F185" s="305">
        <v>21</v>
      </c>
      <c r="G185" s="345">
        <v>20</v>
      </c>
      <c r="H185" s="305">
        <v>24</v>
      </c>
      <c r="I185" s="345">
        <v>22</v>
      </c>
      <c r="K185" s="262"/>
    </row>
    <row r="186" spans="1:11" ht="14.25" x14ac:dyDescent="0.2">
      <c r="A186" s="248" t="s">
        <v>164</v>
      </c>
      <c r="B186" s="363">
        <v>0.32331158903456342</v>
      </c>
      <c r="C186" s="345">
        <v>30</v>
      </c>
      <c r="D186" s="363">
        <v>0.375</v>
      </c>
      <c r="E186" s="345">
        <v>31</v>
      </c>
      <c r="F186" s="305">
        <v>25</v>
      </c>
      <c r="G186" s="345">
        <v>22</v>
      </c>
      <c r="H186" s="305">
        <v>29</v>
      </c>
      <c r="I186" s="345">
        <v>26</v>
      </c>
      <c r="K186" s="262"/>
    </row>
    <row r="187" spans="1:11" ht="14.25" x14ac:dyDescent="0.2">
      <c r="A187" s="248" t="s">
        <v>165</v>
      </c>
      <c r="B187" s="363">
        <v>0.28128920637887755</v>
      </c>
      <c r="C187" s="345">
        <v>30</v>
      </c>
      <c r="D187" s="363">
        <v>0.41599999999999998</v>
      </c>
      <c r="E187" s="345">
        <v>29</v>
      </c>
      <c r="F187" s="305">
        <v>28</v>
      </c>
      <c r="G187" s="345">
        <v>22</v>
      </c>
      <c r="H187" s="305">
        <v>29</v>
      </c>
      <c r="I187" s="345">
        <v>30</v>
      </c>
      <c r="K187" s="262"/>
    </row>
    <row r="188" spans="1:11" ht="13.5" thickBot="1" x14ac:dyDescent="0.25">
      <c r="A188" s="108"/>
      <c r="B188" s="143"/>
      <c r="C188" s="144"/>
      <c r="D188" s="143"/>
      <c r="E188" s="144"/>
      <c r="F188" s="108"/>
      <c r="G188" s="144"/>
      <c r="H188" s="108"/>
      <c r="I188" s="144"/>
      <c r="K188" s="262"/>
    </row>
    <row r="189" spans="1:11" ht="13.5" thickTop="1" x14ac:dyDescent="0.2">
      <c r="A189" s="18" t="s">
        <v>19</v>
      </c>
      <c r="B189" s="18"/>
      <c r="D189" s="27"/>
      <c r="E189" s="49"/>
      <c r="K189" s="262"/>
    </row>
    <row r="190" spans="1:11" x14ac:dyDescent="0.2">
      <c r="A190" s="18" t="s">
        <v>20</v>
      </c>
      <c r="B190" s="36"/>
      <c r="K190" s="262"/>
    </row>
    <row r="191" spans="1:11" x14ac:dyDescent="0.2">
      <c r="K191" s="262"/>
    </row>
    <row r="192" spans="1:11" x14ac:dyDescent="0.2">
      <c r="A192" s="124" t="s">
        <v>166</v>
      </c>
      <c r="K192" s="262"/>
    </row>
    <row r="193" spans="1:9" ht="13.5" thickBot="1" x14ac:dyDescent="0.25">
      <c r="A193" s="117" t="s">
        <v>148</v>
      </c>
      <c r="B193" s="117"/>
      <c r="C193" s="117"/>
      <c r="D193" s="117"/>
      <c r="E193" s="117"/>
      <c r="F193" s="117"/>
      <c r="G193" s="117"/>
      <c r="H193" s="117"/>
      <c r="I193" s="117"/>
    </row>
    <row r="194" spans="1:9" ht="15" x14ac:dyDescent="0.25">
      <c r="A194" s="281"/>
      <c r="B194" s="280" t="s">
        <v>1</v>
      </c>
      <c r="C194" s="280" t="s">
        <v>181</v>
      </c>
      <c r="D194" s="280" t="s">
        <v>181</v>
      </c>
      <c r="E194" s="280" t="s">
        <v>2</v>
      </c>
      <c r="F194" s="323"/>
      <c r="G194" s="281"/>
      <c r="H194" s="281"/>
      <c r="I194" s="281"/>
    </row>
    <row r="195" spans="1:9" ht="15" x14ac:dyDescent="0.25">
      <c r="A195" s="281"/>
      <c r="B195" s="280" t="s">
        <v>3</v>
      </c>
      <c r="C195" s="280" t="s">
        <v>180</v>
      </c>
      <c r="D195" s="280" t="s">
        <v>180</v>
      </c>
      <c r="E195" s="280" t="s">
        <v>5</v>
      </c>
      <c r="F195" s="323"/>
      <c r="G195" s="281"/>
      <c r="H195" s="281"/>
      <c r="I195" s="281"/>
    </row>
    <row r="196" spans="1:9" ht="15.75" thickBot="1" x14ac:dyDescent="0.3">
      <c r="A196" s="295"/>
      <c r="B196" s="282" t="str">
        <f>TEXT($H$3,"MMM")&amp;" "&amp;TEXT($H$3,"YYYY")</f>
        <v>Aug 2017</v>
      </c>
      <c r="C196" s="282" t="str">
        <f>TEXT($H$3,"YYYY")</f>
        <v>2017</v>
      </c>
      <c r="D196" s="282">
        <f>TEXT($H$3,"YYYY")-1</f>
        <v>2016</v>
      </c>
      <c r="E196" s="284" t="s">
        <v>6</v>
      </c>
      <c r="F196" s="284">
        <f>TEXT($H$3,"YYYY")-1</f>
        <v>2016</v>
      </c>
      <c r="G196" s="284">
        <f>TEXT($H$3,"YYYY")-2</f>
        <v>2015</v>
      </c>
      <c r="H196" s="284">
        <f>TEXT($H$3,"YYYY")-3</f>
        <v>2014</v>
      </c>
      <c r="I196" s="284">
        <f>TEXT($H$3,"YYYY")-4</f>
        <v>2013</v>
      </c>
    </row>
    <row r="197" spans="1:9" ht="14.25" x14ac:dyDescent="0.2">
      <c r="A197" s="248" t="s">
        <v>21</v>
      </c>
      <c r="B197" s="195">
        <f>SUMIF(Data!$DG$1:$DG$15,"AS",Data!$DH$1:$DH$15)/1000000</f>
        <v>7870.2969332700004</v>
      </c>
      <c r="C197" s="361">
        <f>SUMIF(Data!$DJ$1:$DJ$15,"AS",Data!$DK$1:$DK$15)/1000000</f>
        <v>14852.32955658</v>
      </c>
      <c r="D197" s="361">
        <f>SUMIF(Data!$DM$1:$DM$15,"AS",Data!$DN$1:$DN$15)/1000000</f>
        <v>9802.9205515899994</v>
      </c>
      <c r="E197" s="363">
        <f>IFERROR(IF(OR(AND(D197="",C197=""),AND(D197=0,C197=0)),0,
IF(OR(D197="",D197=0),1,
IF(OR(D197&lt;&gt;"",D197&lt;&gt;0),(C197-D197)/ABS(D197)))),-1)</f>
        <v>0.51509231135929223</v>
      </c>
      <c r="F197" s="206">
        <v>13085</v>
      </c>
      <c r="G197" s="361">
        <v>93130</v>
      </c>
      <c r="H197" s="361">
        <v>33385</v>
      </c>
      <c r="I197" s="361">
        <v>38563</v>
      </c>
    </row>
    <row r="198" spans="1:9" ht="14.25" x14ac:dyDescent="0.2">
      <c r="A198" s="248" t="s">
        <v>22</v>
      </c>
      <c r="B198" s="195">
        <f>(SUMIF(Data!$DG$1:$DG$15,"RT",Data!$DH$1:$DH$15)+SUMIF(Data!$DG$1:$DG$15,"TU",Data!$DH$1:$DH$15))/1000000</f>
        <v>1246.2857176</v>
      </c>
      <c r="C198" s="361">
        <f>(SUMIF(Data!$DJ$1:$DJ$15,"RT",Data!$DK$1:$DK$15)+SUMIF(Data!$DJ$1:$DJ$15,"TU",Data!$DK$1:$DK$15))/1000000</f>
        <v>27933.846667669997</v>
      </c>
      <c r="D198" s="361">
        <f>(SUMIF(Data!$DM$1:$DM$15,"RT",Data!$DN$1:$DN$15)+SUMIF(Data!$DM$1:$DM$15,"TU",Data!$DN$1:$DN$15))/1000000</f>
        <v>8114.9672043800001</v>
      </c>
      <c r="E198" s="363">
        <f t="shared" ref="E198:E201" si="16">IFERROR(IF(OR(AND(D198="",C198=""),AND(D198=0,C198=0)),0,
IF(OR(D198="",D198=0),1,
IF(OR(D198&lt;&gt;"",D198&lt;&gt;0),(C198-D198)/ABS(D198)))),-1)</f>
        <v>2.4422624225262286</v>
      </c>
      <c r="F198" s="206">
        <v>24160</v>
      </c>
      <c r="G198" s="361">
        <v>35842</v>
      </c>
      <c r="H198" s="361">
        <v>43473</v>
      </c>
      <c r="I198" s="361">
        <v>15510</v>
      </c>
    </row>
    <row r="199" spans="1:9" ht="14.25" x14ac:dyDescent="0.2">
      <c r="A199" s="248" t="s">
        <v>176</v>
      </c>
      <c r="B199" s="195">
        <v>0</v>
      </c>
      <c r="C199" s="361">
        <v>0</v>
      </c>
      <c r="D199" s="361">
        <v>0</v>
      </c>
      <c r="E199" s="363">
        <f t="shared" si="16"/>
        <v>0</v>
      </c>
      <c r="F199" s="206" t="s">
        <v>534</v>
      </c>
      <c r="G199" s="185" t="s">
        <v>535</v>
      </c>
      <c r="H199" s="185" t="s">
        <v>535</v>
      </c>
      <c r="I199" s="185" t="s">
        <v>534</v>
      </c>
    </row>
    <row r="200" spans="1:9" ht="14.25" x14ac:dyDescent="0.2">
      <c r="A200" s="248" t="s">
        <v>23</v>
      </c>
      <c r="B200" s="195">
        <f>(SUMIF(Data!$DG$1:$DG$15,"SO",Data!$DH$1:$DH$15)+SUMIF(Data!$DG$1:$DG$15,"SS",Data!$DH$1:$DH$15))/1000000</f>
        <v>59.543068649999995</v>
      </c>
      <c r="C200" s="361">
        <f>(SUMIF(Data!$DJ$1:$DJ$15,"SO",Data!$DK$1:$DK$15)+SUMIF(Data!$DJ$1:$DJ$15,"SS",Data!$DK$1:$DK$15))/1000000</f>
        <v>5859.3372427700006</v>
      </c>
      <c r="D200" s="361">
        <f>(SUMIF(Data!$DM$1:$DM$15,"SO",Data!$DN$1:$DN$15)+SUMIF(Data!$DM$1:$DM$15,"SS",Data!$DN$1:$DN$15))/1000000</f>
        <v>6336.6284354300005</v>
      </c>
      <c r="E200" s="363">
        <f t="shared" si="16"/>
        <v>-7.5322578485322103E-2</v>
      </c>
      <c r="F200" s="206">
        <v>9374</v>
      </c>
      <c r="G200" s="361">
        <v>11688</v>
      </c>
      <c r="H200" s="361">
        <v>9553</v>
      </c>
      <c r="I200" s="361">
        <v>8322</v>
      </c>
    </row>
    <row r="201" spans="1:9" ht="14.25" x14ac:dyDescent="0.2">
      <c r="A201" s="248" t="s">
        <v>24</v>
      </c>
      <c r="B201" s="195">
        <f>(SUMIF(Data!$DG$1:$DG$15,"SI",Data!$DH$1:$DH$15)+SUMIF(Data!$DG$1:$DG$15,"GI",Data!$DH$1:$DH$15))/1000000</f>
        <v>7957.0991068099993</v>
      </c>
      <c r="C201" s="361">
        <f>(SUMIF(Data!$DJ$1:$DJ$15,"SI",Data!$DK$1:$DK$15)+SUMIF(Data!$DJ$1:$DJ$15,"GI",Data!$DK$1:$DK$15))/1000000</f>
        <v>23369.179953400002</v>
      </c>
      <c r="D201" s="361">
        <f>(SUMIF(Data!$DM$1:$DM$15,"SI",Data!$DN$1:$DN$15)+SUMIF(Data!$DM$1:$DM$15,"GI",Data!$DN$1:$DN$15))/1000000</f>
        <v>27553.603506370004</v>
      </c>
      <c r="E201" s="363">
        <f t="shared" si="16"/>
        <v>-0.15186483873162443</v>
      </c>
      <c r="F201" s="206">
        <v>69649</v>
      </c>
      <c r="G201" s="361">
        <v>109530</v>
      </c>
      <c r="H201" s="361">
        <v>66949</v>
      </c>
      <c r="I201" s="361">
        <v>30691</v>
      </c>
    </row>
    <row r="202" spans="1:9" ht="15" x14ac:dyDescent="0.25">
      <c r="A202" s="288" t="s">
        <v>25</v>
      </c>
      <c r="B202" s="362">
        <f>SUM(B197:B201)</f>
        <v>17133.224826329999</v>
      </c>
      <c r="C202" s="362">
        <f>SUM(C197:C201)</f>
        <v>72014.693420419993</v>
      </c>
      <c r="D202" s="362">
        <f>SUM(D197:D201)</f>
        <v>51808.119697770002</v>
      </c>
      <c r="E202" s="364">
        <f>IFERROR(IF(OR(AND(D202="",C202=""),AND(D202=0,C202=0)),0,
IF(OR(D202="",D202=0),1,
IF(OR(D202&lt;&gt;"",D202&lt;&gt;0),(C202-D202)/ABS(D202)))),-1)</f>
        <v>0.3900271586872463</v>
      </c>
      <c r="F202" s="362">
        <v>116269</v>
      </c>
      <c r="G202" s="362">
        <v>250190</v>
      </c>
      <c r="H202" s="362">
        <v>153360</v>
      </c>
      <c r="I202" s="362">
        <v>93086</v>
      </c>
    </row>
    <row r="203" spans="1:9" ht="13.5" thickBot="1" x14ac:dyDescent="0.25">
      <c r="A203" s="109"/>
      <c r="B203" s="113"/>
      <c r="C203" s="113"/>
      <c r="D203" s="113"/>
      <c r="E203" s="145"/>
      <c r="F203" s="113"/>
      <c r="G203" s="113"/>
      <c r="H203" s="113"/>
      <c r="I203" s="113"/>
    </row>
    <row r="204" spans="1:9" ht="13.5" thickTop="1" x14ac:dyDescent="0.2">
      <c r="A204" s="18" t="s">
        <v>174</v>
      </c>
      <c r="B204" s="27"/>
      <c r="D204" s="28"/>
      <c r="E204" s="28"/>
      <c r="F204" s="28"/>
    </row>
    <row r="206" spans="1:9" ht="13.5" thickBot="1" x14ac:dyDescent="0.25">
      <c r="A206" s="122" t="s">
        <v>26</v>
      </c>
      <c r="B206" s="116"/>
      <c r="C206" s="116"/>
      <c r="D206" s="116"/>
      <c r="E206" s="116"/>
      <c r="F206" s="116"/>
      <c r="G206" s="116"/>
      <c r="H206" s="116"/>
      <c r="I206" s="116"/>
    </row>
    <row r="207" spans="1:9" ht="15" x14ac:dyDescent="0.25">
      <c r="A207" s="281"/>
      <c r="B207" s="280" t="s">
        <v>1</v>
      </c>
      <c r="C207" s="280" t="s">
        <v>181</v>
      </c>
      <c r="D207" s="280" t="s">
        <v>181</v>
      </c>
      <c r="E207" s="280" t="s">
        <v>27</v>
      </c>
      <c r="F207" s="323"/>
      <c r="G207" s="281"/>
      <c r="H207" s="281"/>
      <c r="I207" s="281"/>
    </row>
    <row r="208" spans="1:9" ht="15" x14ac:dyDescent="0.25">
      <c r="A208" s="281"/>
      <c r="B208" s="280" t="s">
        <v>3</v>
      </c>
      <c r="C208" s="280" t="s">
        <v>180</v>
      </c>
      <c r="D208" s="280" t="s">
        <v>180</v>
      </c>
      <c r="E208" s="280" t="s">
        <v>5</v>
      </c>
      <c r="F208" s="323"/>
      <c r="G208" s="281"/>
      <c r="H208" s="281"/>
      <c r="I208" s="281"/>
    </row>
    <row r="209" spans="1:9" ht="15.75" thickBot="1" x14ac:dyDescent="0.3">
      <c r="A209" s="295"/>
      <c r="B209" s="282" t="str">
        <f>TEXT($H$3,"MMM")&amp;" "&amp;TEXT($H$3,"YYYY")</f>
        <v>Aug 2017</v>
      </c>
      <c r="C209" s="282" t="str">
        <f>TEXT($H$3,"YYYY")</f>
        <v>2017</v>
      </c>
      <c r="D209" s="282">
        <f>TEXT($H$3,"YYYY")-1</f>
        <v>2016</v>
      </c>
      <c r="E209" s="284" t="s">
        <v>6</v>
      </c>
      <c r="F209" s="284">
        <f>TEXT($H$3,"YYYY")-1</f>
        <v>2016</v>
      </c>
      <c r="G209" s="284">
        <f>TEXT($H$3,"YYYY")-2</f>
        <v>2015</v>
      </c>
      <c r="H209" s="284">
        <f>TEXT($H$3,"YYYY")-3</f>
        <v>2014</v>
      </c>
      <c r="I209" s="284">
        <f>TEXT($H$3,"YYYY")-4</f>
        <v>2013</v>
      </c>
    </row>
    <row r="210" spans="1:9" ht="14.25" x14ac:dyDescent="0.2">
      <c r="A210" s="248" t="s">
        <v>172</v>
      </c>
      <c r="B210" s="286">
        <f>250*Data!CE9/Data!CH2/Data!CD18</f>
        <v>0.33287169234994024</v>
      </c>
      <c r="C210" s="286">
        <v>0.33950000000000002</v>
      </c>
      <c r="D210" s="286">
        <v>0.39860000000000001</v>
      </c>
      <c r="E210" s="286">
        <f>IFERROR(IF(OR(AND(D210="",C210=""),AND(D210=0,C210=0)),"",
IF(OR(D210="",D210=0),1,
IF(OR(D210&lt;&gt;"",D210&lt;&gt;0),(C210-D210)/ABS(D210)))),-1)</f>
        <v>-0.14826894129453083</v>
      </c>
      <c r="F210" s="324">
        <v>34.9</v>
      </c>
      <c r="G210" s="324">
        <v>42.8</v>
      </c>
      <c r="H210" s="324">
        <v>36.6</v>
      </c>
      <c r="I210" s="324">
        <v>39.4</v>
      </c>
    </row>
    <row r="211" spans="1:9" ht="14.25" x14ac:dyDescent="0.2">
      <c r="A211" s="247" t="s">
        <v>173</v>
      </c>
      <c r="B211" s="286">
        <v>0.30990000000000001</v>
      </c>
      <c r="C211" s="286">
        <v>0.31740000000000002</v>
      </c>
      <c r="D211" s="286">
        <v>0.373</v>
      </c>
      <c r="E211" s="286">
        <f>IFERROR(IF(OR(AND(D211="",C211=""),AND(D211=0,C211=0)),"",
IF(OR(D211="",D211=0),1,
IF(OR(D211&lt;&gt;"",D211&lt;&gt;0),(C211-D211)/ABS(D211)))),-1)</f>
        <v>-0.14906166219839137</v>
      </c>
      <c r="F211" s="324">
        <v>32.6</v>
      </c>
      <c r="G211" s="324">
        <v>39.9</v>
      </c>
      <c r="H211" s="324">
        <v>33.9</v>
      </c>
      <c r="I211" s="324">
        <v>33</v>
      </c>
    </row>
    <row r="212" spans="1:9" ht="13.5" thickBot="1" x14ac:dyDescent="0.25">
      <c r="A212" s="108"/>
      <c r="B212" s="143"/>
      <c r="C212" s="143"/>
      <c r="D212" s="142"/>
      <c r="E212" s="112"/>
      <c r="F212" s="146"/>
      <c r="G212" s="146"/>
      <c r="H212" s="146"/>
      <c r="I212" s="146"/>
    </row>
    <row r="213" spans="1:9" ht="13.5" thickTop="1" x14ac:dyDescent="0.2">
      <c r="A213" s="18" t="s">
        <v>669</v>
      </c>
      <c r="B213" s="37"/>
      <c r="C213" s="53"/>
      <c r="D213" s="46"/>
      <c r="E213" s="53"/>
      <c r="F213" s="53"/>
      <c r="G213" s="53"/>
      <c r="H213" s="37"/>
      <c r="I213" s="37"/>
    </row>
    <row r="215" spans="1:9" x14ac:dyDescent="0.2">
      <c r="B215" s="107"/>
      <c r="C215" s="107"/>
      <c r="D215" s="107" t="s">
        <v>148</v>
      </c>
      <c r="E215" s="107"/>
      <c r="F215" s="107"/>
      <c r="G215" s="107"/>
      <c r="H215" s="107"/>
      <c r="I215" s="107"/>
    </row>
    <row r="216" spans="1:9" ht="13.5" thickBot="1" x14ac:dyDescent="0.25">
      <c r="A216" s="122" t="s">
        <v>149</v>
      </c>
      <c r="B216" s="117"/>
      <c r="C216" s="117"/>
      <c r="D216" s="117"/>
      <c r="E216" s="117"/>
      <c r="F216" s="117"/>
      <c r="G216" s="117"/>
      <c r="H216" s="117"/>
      <c r="I216" s="117"/>
    </row>
    <row r="217" spans="1:9" ht="15" x14ac:dyDescent="0.25">
      <c r="A217" s="281"/>
      <c r="B217" s="280" t="s">
        <v>1</v>
      </c>
      <c r="C217" s="280" t="s">
        <v>181</v>
      </c>
      <c r="D217" s="280" t="s">
        <v>181</v>
      </c>
      <c r="E217" s="280" t="s">
        <v>27</v>
      </c>
      <c r="F217" s="323"/>
      <c r="G217" s="281"/>
      <c r="H217" s="281"/>
      <c r="I217" s="281"/>
    </row>
    <row r="218" spans="1:9" ht="15" x14ac:dyDescent="0.25">
      <c r="A218" s="281"/>
      <c r="B218" s="280" t="s">
        <v>3</v>
      </c>
      <c r="C218" s="280" t="s">
        <v>4</v>
      </c>
      <c r="D218" s="280" t="s">
        <v>180</v>
      </c>
      <c r="E218" s="280" t="s">
        <v>5</v>
      </c>
      <c r="F218" s="323"/>
      <c r="G218" s="281"/>
      <c r="H218" s="281"/>
      <c r="I218" s="281"/>
    </row>
    <row r="219" spans="1:9" ht="15.75" thickBot="1" x14ac:dyDescent="0.3">
      <c r="A219" s="295"/>
      <c r="B219" s="282" t="str">
        <f>TEXT($H$3,"MMM")&amp;" "&amp;TEXT($H$3,"YYYY")</f>
        <v>Aug 2017</v>
      </c>
      <c r="C219" s="282" t="str">
        <f>TEXT($H$3,"YYYY")</f>
        <v>2017</v>
      </c>
      <c r="D219" s="282">
        <f>TEXT($H$3,"YYYY")-1</f>
        <v>2016</v>
      </c>
      <c r="E219" s="284" t="s">
        <v>6</v>
      </c>
      <c r="F219" s="284">
        <f>TEXT($H$3,"YYYY")-1</f>
        <v>2016</v>
      </c>
      <c r="G219" s="284">
        <f>TEXT($H$3,"YYYY")-2</f>
        <v>2015</v>
      </c>
      <c r="H219" s="284">
        <f>TEXT($H$3,"YYYY")-3</f>
        <v>2014</v>
      </c>
      <c r="I219" s="284">
        <f>TEXT($H$3,"YYYY")-4</f>
        <v>2013</v>
      </c>
    </row>
    <row r="220" spans="1:9" ht="15" x14ac:dyDescent="0.25">
      <c r="A220" s="314" t="s">
        <v>192</v>
      </c>
      <c r="B220" s="248"/>
      <c r="C220" s="248"/>
      <c r="D220" s="248"/>
      <c r="E220" s="248"/>
      <c r="F220" s="248"/>
      <c r="G220" s="248"/>
      <c r="H220" s="248"/>
      <c r="I220" s="248"/>
    </row>
    <row r="221" spans="1:9" ht="14.25" x14ac:dyDescent="0.2">
      <c r="A221" s="248" t="s">
        <v>29</v>
      </c>
      <c r="B221" s="249">
        <f ca="1">SUMIF(Data!$BT$1:$BT$7,"&lt;&gt;AltX",Data!$BU$1:$BU$6)</f>
        <v>320</v>
      </c>
      <c r="C221" s="249">
        <f>SUMIF(Data!$BT$9:$BT$14,"&lt;&gt;AltX",Data!BU9:BU14)</f>
        <v>320</v>
      </c>
      <c r="D221" s="249">
        <f>SUMIF(Data!$BT$17:$BT$23,"&lt;&gt;AltX",Data!$BU$17:$BU$24)</f>
        <v>328</v>
      </c>
      <c r="E221" s="286">
        <f>IFERROR(IF(OR(AND(D221="",C221=""),AND(D221=0,C221=0)),"",
IF(OR(D221="",D221=0),1,
IF(OR(D221&lt;&gt;"",D221&lt;&gt;0),(C221-D221)/ABS(D221)))),-1)</f>
        <v>-2.4390243902439025E-2</v>
      </c>
      <c r="F221" s="249">
        <v>328</v>
      </c>
      <c r="G221" s="249">
        <v>331</v>
      </c>
      <c r="H221" s="249">
        <v>333</v>
      </c>
      <c r="I221" s="249">
        <v>329</v>
      </c>
    </row>
    <row r="222" spans="1:9" ht="14.25" x14ac:dyDescent="0.2">
      <c r="A222" s="248" t="s">
        <v>30</v>
      </c>
      <c r="B222" s="249">
        <f ca="1">SUMIF(Data!$BT$1:$BT$7,"&lt;&gt;AltX",Data!$BV$1:$BV$6)</f>
        <v>0</v>
      </c>
      <c r="C222" s="249">
        <f>SUMIF(Data!$BT$9:$BT$14,"&lt;&gt;AltX",Data!BV9:BV14)</f>
        <v>6</v>
      </c>
      <c r="D222" s="249">
        <f>SUMIF(Data!$BT$17:$BT$23,"&lt;&gt;AltX",Data!$BV$17:$BV$23)</f>
        <v>7</v>
      </c>
      <c r="E222" s="286">
        <f t="shared" ref="E222:E223" si="17">IFERROR(IF(OR(AND(D222="",C222=""),AND(D222=0,C222=0)),"",
IF(OR(D222="",D222=0),1,
IF(OR(D222&lt;&gt;"",D222&lt;&gt;0),(C222-D222)/ABS(D222)))),-1)</f>
        <v>-0.14285714285714285</v>
      </c>
      <c r="F222" s="249">
        <v>11</v>
      </c>
      <c r="G222" s="249">
        <v>15</v>
      </c>
      <c r="H222" s="249">
        <v>18</v>
      </c>
      <c r="I222" s="249">
        <v>8</v>
      </c>
    </row>
    <row r="223" spans="1:9" ht="14.25" x14ac:dyDescent="0.2">
      <c r="A223" s="248" t="s">
        <v>31</v>
      </c>
      <c r="B223" s="249">
        <v>7</v>
      </c>
      <c r="C223" s="249">
        <v>18</v>
      </c>
      <c r="D223" s="249">
        <f>SUMIF(Data!$BT$17:$BT$23,"&lt;&gt;AltX",Data!$BW$17:$BW$23)</f>
        <v>11</v>
      </c>
      <c r="E223" s="286">
        <f t="shared" si="17"/>
        <v>0.63636363636363635</v>
      </c>
      <c r="F223" s="249">
        <v>17</v>
      </c>
      <c r="G223" s="249">
        <v>18</v>
      </c>
      <c r="H223" s="249">
        <v>20</v>
      </c>
      <c r="I223" s="249">
        <v>18</v>
      </c>
    </row>
    <row r="224" spans="1:9" ht="14.25" x14ac:dyDescent="0.2">
      <c r="A224" s="248"/>
      <c r="B224" s="249"/>
      <c r="C224" s="249"/>
      <c r="D224" s="249"/>
      <c r="E224" s="325"/>
      <c r="F224" s="249"/>
      <c r="G224" s="249"/>
      <c r="H224" s="249"/>
      <c r="I224" s="249"/>
    </row>
    <row r="225" spans="1:9" ht="15" x14ac:dyDescent="0.25">
      <c r="A225" s="288" t="s">
        <v>139</v>
      </c>
      <c r="B225" s="249"/>
      <c r="C225" s="249"/>
      <c r="D225" s="249"/>
      <c r="E225" s="325"/>
      <c r="F225" s="249"/>
      <c r="G225" s="249"/>
      <c r="H225" s="249"/>
      <c r="I225" s="249"/>
    </row>
    <row r="226" spans="1:9" ht="14.25" x14ac:dyDescent="0.2">
      <c r="A226" s="248" t="s">
        <v>29</v>
      </c>
      <c r="B226" s="249">
        <f ca="1">SUMIF(Data!$BT$1:$BT$7,"AltX",Data!$BU$1:$BU$6)</f>
        <v>52</v>
      </c>
      <c r="C226" s="249">
        <f>SUMIF(Data!$BT$9:$BT$14,"AltX",Data!BU9:BU14)</f>
        <v>52</v>
      </c>
      <c r="D226" s="249">
        <f>SUMIF(Data!$BT$17:$BT$23,"AltX",Data!$BU$17:$BU$24)</f>
        <v>61</v>
      </c>
      <c r="E226" s="286">
        <f t="shared" ref="E226:E227" si="18">IFERROR(IF(OR(AND(D226="",C226=""),AND(D226=0,C226=0)),"",
IF(OR(D226="",D226=0),1,
IF(OR(D226&lt;&gt;"",D226&lt;&gt;0),(C226-D226)/ABS(D226)))),-1)</f>
        <v>-0.14754098360655737</v>
      </c>
      <c r="F226" s="249">
        <v>60</v>
      </c>
      <c r="G226" s="249">
        <v>64</v>
      </c>
      <c r="H226" s="249">
        <v>58</v>
      </c>
      <c r="I226" s="249">
        <v>60</v>
      </c>
    </row>
    <row r="227" spans="1:9" ht="14.25" x14ac:dyDescent="0.2">
      <c r="A227" s="248" t="s">
        <v>30</v>
      </c>
      <c r="B227" s="249">
        <f ca="1">SUMIF(Data!$BT$1:$BT$7,"AltX",Data!$BV$1:$BV$6)</f>
        <v>0</v>
      </c>
      <c r="C227" s="249">
        <f>SUMIF(Data!$BT$9:$BT$14,"AltX",Data!BV9:BV14)</f>
        <v>5</v>
      </c>
      <c r="D227" s="249">
        <f>SUMIF(Data!$BT$17:$BT$23,"AltX",Data!$BV$17:$BV$23)</f>
        <v>3</v>
      </c>
      <c r="E227" s="286">
        <f t="shared" si="18"/>
        <v>0.66666666666666663</v>
      </c>
      <c r="F227" s="249">
        <v>7</v>
      </c>
      <c r="G227" s="249">
        <v>8</v>
      </c>
      <c r="H227" s="249">
        <v>6</v>
      </c>
      <c r="I227" s="249">
        <v>5</v>
      </c>
    </row>
    <row r="228" spans="1:9" ht="14.25" x14ac:dyDescent="0.2">
      <c r="A228" s="248" t="s">
        <v>31</v>
      </c>
      <c r="B228" s="249">
        <v>5</v>
      </c>
      <c r="C228" s="249">
        <v>9</v>
      </c>
      <c r="D228" s="249">
        <f>SUMIF(Data!$BT$17:$BT$23,"AltX",Data!$BW$17:$BW$23)</f>
        <v>5</v>
      </c>
      <c r="E228" s="286">
        <f t="shared" ref="E228" si="19">IFERROR(IF(OR(AND(C228="",B228=""),AND(C228=0,B228=0)),"",
IF(OR(C228="",C228=0),1,
IF(OR(C228&lt;&gt;"",C228&lt;&gt;0),(B228-C228)/ABS(C228)))),-1)</f>
        <v>-0.44444444444444442</v>
      </c>
      <c r="F228" s="249">
        <v>8</v>
      </c>
      <c r="G228" s="249">
        <v>1</v>
      </c>
      <c r="H228" s="249">
        <v>2</v>
      </c>
      <c r="I228" s="249">
        <v>8</v>
      </c>
    </row>
    <row r="229" spans="1:9" ht="14.25" x14ac:dyDescent="0.2">
      <c r="A229" s="248"/>
      <c r="B229" s="249"/>
      <c r="C229" s="249"/>
      <c r="D229" s="249"/>
      <c r="E229" s="325"/>
      <c r="F229" s="249"/>
      <c r="G229" s="249"/>
      <c r="H229" s="249"/>
      <c r="I229" s="249"/>
    </row>
    <row r="230" spans="1:9" ht="15" x14ac:dyDescent="0.25">
      <c r="A230" s="288" t="s">
        <v>32</v>
      </c>
      <c r="B230" s="249"/>
      <c r="C230" s="249"/>
      <c r="D230" s="249"/>
      <c r="E230" s="325"/>
      <c r="F230" s="249"/>
      <c r="G230" s="249"/>
      <c r="H230" s="249"/>
      <c r="I230" s="249"/>
    </row>
    <row r="231" spans="1:9" ht="14.25" x14ac:dyDescent="0.2">
      <c r="A231" s="248" t="s">
        <v>30</v>
      </c>
      <c r="B231" s="249">
        <f t="shared" ref="B231:D232" ca="1" si="20">B222+B227</f>
        <v>0</v>
      </c>
      <c r="C231" s="249">
        <f t="shared" si="20"/>
        <v>11</v>
      </c>
      <c r="D231" s="249">
        <f t="shared" si="20"/>
        <v>10</v>
      </c>
      <c r="E231" s="286">
        <f t="shared" ref="E231:E237" si="21">IFERROR(IF(OR(AND(D231="",C231=""),AND(D231=0,C231=0)),"",
IF(OR(D231="",D231=0),1,
IF(OR(D231&lt;&gt;"",D231&lt;&gt;0),(C231-D231)/ABS(D231)))),-1)</f>
        <v>0.1</v>
      </c>
      <c r="F231" s="249">
        <v>18</v>
      </c>
      <c r="G231" s="249">
        <v>23</v>
      </c>
      <c r="H231" s="249">
        <v>24</v>
      </c>
      <c r="I231" s="249">
        <v>13</v>
      </c>
    </row>
    <row r="232" spans="1:9" ht="14.25" x14ac:dyDescent="0.2">
      <c r="A232" s="248" t="s">
        <v>31</v>
      </c>
      <c r="B232" s="249">
        <f t="shared" si="20"/>
        <v>12</v>
      </c>
      <c r="C232" s="249">
        <f t="shared" si="20"/>
        <v>27</v>
      </c>
      <c r="D232" s="249">
        <f t="shared" si="20"/>
        <v>16</v>
      </c>
      <c r="E232" s="286">
        <f>IFERROR(IF(OR(AND(D232="",C232=""),AND(D232=0,C232=0)),"",
IF(OR(D232="",D232=0),1,
IF(OR(D232&lt;&gt;"",D232&lt;&gt;0),(C232-D232)/ABS(D232)))),-1)</f>
        <v>0.6875</v>
      </c>
      <c r="F232" s="249">
        <v>25</v>
      </c>
      <c r="G232" s="249">
        <v>19</v>
      </c>
      <c r="H232" s="249">
        <v>22</v>
      </c>
      <c r="I232" s="249">
        <v>26</v>
      </c>
    </row>
    <row r="233" spans="1:9" ht="14.25" x14ac:dyDescent="0.2">
      <c r="A233" s="248" t="s">
        <v>33</v>
      </c>
      <c r="B233" s="249">
        <f>SUM(Data!$CB$2:$CB$6)</f>
        <v>71</v>
      </c>
      <c r="C233" s="249">
        <f>SUM(Data!$CB$10:$CB$14)</f>
        <v>71</v>
      </c>
      <c r="D233" s="249">
        <f>SUM(Data!CB18:CB22)</f>
        <v>75</v>
      </c>
      <c r="E233" s="286">
        <f t="shared" si="21"/>
        <v>-5.3333333333333337E-2</v>
      </c>
      <c r="F233" s="249">
        <v>76</v>
      </c>
      <c r="G233" s="249">
        <v>71</v>
      </c>
      <c r="H233" s="249">
        <v>62</v>
      </c>
      <c r="I233" s="249">
        <v>56</v>
      </c>
    </row>
    <row r="234" spans="1:9" ht="14.25" x14ac:dyDescent="0.2">
      <c r="A234" s="248" t="s">
        <v>34</v>
      </c>
      <c r="B234" s="249">
        <f>SUM(Data!$CA$2:$CA$6)</f>
        <v>301</v>
      </c>
      <c r="C234" s="249">
        <f>SUM(Data!$CA$10:$CA$14)</f>
        <v>301</v>
      </c>
      <c r="D234" s="249">
        <f>SUM(Data!CA18:CA22)</f>
        <v>314</v>
      </c>
      <c r="E234" s="286">
        <f t="shared" si="21"/>
        <v>-4.1401273885350316E-2</v>
      </c>
      <c r="F234" s="249">
        <v>312</v>
      </c>
      <c r="G234" s="249">
        <v>324</v>
      </c>
      <c r="H234" s="249">
        <v>329</v>
      </c>
      <c r="I234" s="249">
        <v>333</v>
      </c>
    </row>
    <row r="235" spans="1:9" ht="15" x14ac:dyDescent="0.25">
      <c r="A235" s="288" t="s">
        <v>35</v>
      </c>
      <c r="B235" s="250">
        <f ca="1">B221+B226</f>
        <v>372</v>
      </c>
      <c r="C235" s="250">
        <f>C221+C226</f>
        <v>372</v>
      </c>
      <c r="D235" s="250">
        <f>D221+D226</f>
        <v>389</v>
      </c>
      <c r="E235" s="326">
        <f t="shared" si="21"/>
        <v>-4.3701799485861184E-2</v>
      </c>
      <c r="F235" s="250">
        <v>388</v>
      </c>
      <c r="G235" s="250">
        <v>395</v>
      </c>
      <c r="H235" s="250">
        <v>391</v>
      </c>
      <c r="I235" s="250">
        <v>389</v>
      </c>
    </row>
    <row r="236" spans="1:9" ht="15" x14ac:dyDescent="0.25">
      <c r="A236" s="288"/>
      <c r="B236" s="249"/>
      <c r="C236" s="249"/>
      <c r="D236" s="250"/>
      <c r="E236" s="248"/>
      <c r="F236" s="249"/>
      <c r="G236" s="249"/>
      <c r="H236" s="249"/>
      <c r="I236" s="249"/>
    </row>
    <row r="237" spans="1:9" ht="15" x14ac:dyDescent="0.25">
      <c r="A237" s="288" t="s">
        <v>36</v>
      </c>
      <c r="B237" s="250">
        <f>Data!CD2</f>
        <v>803</v>
      </c>
      <c r="C237" s="250">
        <f>Data!CD2</f>
        <v>803</v>
      </c>
      <c r="D237" s="250">
        <f>Data!CD5</f>
        <v>812</v>
      </c>
      <c r="E237" s="326">
        <f t="shared" si="21"/>
        <v>-1.1083743842364532E-2</v>
      </c>
      <c r="F237" s="250">
        <v>816</v>
      </c>
      <c r="G237" s="250">
        <v>858</v>
      </c>
      <c r="H237" s="250">
        <v>863</v>
      </c>
      <c r="I237" s="250">
        <v>881</v>
      </c>
    </row>
    <row r="238" spans="1:9" ht="15" x14ac:dyDescent="0.25">
      <c r="A238" s="288"/>
      <c r="B238" s="249"/>
      <c r="C238" s="249"/>
      <c r="D238" s="249"/>
      <c r="E238" s="248"/>
      <c r="F238" s="248"/>
      <c r="G238" s="248"/>
      <c r="H238" s="248"/>
      <c r="I238" s="248"/>
    </row>
    <row r="239" spans="1:9" ht="15" x14ac:dyDescent="0.25">
      <c r="A239" s="246" t="s">
        <v>37</v>
      </c>
      <c r="B239" s="327">
        <f>Data!CE2/1000000000</f>
        <v>15084.224390679161</v>
      </c>
      <c r="C239" s="327"/>
      <c r="D239" s="327">
        <f>Data!CE5/1000000000</f>
        <v>15316.332589984533</v>
      </c>
      <c r="E239" s="326">
        <f>IFERROR(IF(OR(AND(D239="",B239=""),AND(D239=0,B239=0)),"",
IF(OR(D239="",D239=0),1,
IF(OR(D239&lt;&gt;"",D239&lt;&gt;0),(B239-D239)/ABS(D239)))),-1)</f>
        <v>-1.5154293493022573E-2</v>
      </c>
      <c r="F239" s="327">
        <v>13580.6</v>
      </c>
      <c r="G239" s="327">
        <v>11727.6</v>
      </c>
      <c r="H239" s="327">
        <v>11505</v>
      </c>
      <c r="I239" s="327">
        <v>10626.2</v>
      </c>
    </row>
    <row r="240" spans="1:9" ht="13.5" thickBot="1" x14ac:dyDescent="0.25">
      <c r="A240" s="108"/>
      <c r="B240" s="142"/>
      <c r="C240" s="142"/>
      <c r="D240" s="142"/>
      <c r="E240" s="142"/>
      <c r="F240" s="110"/>
      <c r="G240" s="142"/>
      <c r="H240" s="142"/>
      <c r="I240" s="142"/>
    </row>
    <row r="241" spans="1:9" ht="13.5" thickTop="1" x14ac:dyDescent="0.2">
      <c r="A241" s="18" t="s">
        <v>175</v>
      </c>
      <c r="B241" s="136"/>
      <c r="C241" s="27"/>
      <c r="D241" s="27"/>
      <c r="E241" s="27"/>
      <c r="F241" s="27"/>
      <c r="G241" s="27"/>
      <c r="H241" s="27"/>
      <c r="I241" s="27"/>
    </row>
    <row r="261" spans="1:13" ht="12.75" customHeight="1" x14ac:dyDescent="0.2">
      <c r="E261" s="125"/>
      <c r="F261" s="125"/>
      <c r="G261" s="125"/>
      <c r="H261" s="125"/>
      <c r="I261" s="125"/>
    </row>
    <row r="262" spans="1:13" ht="12.75" customHeight="1" x14ac:dyDescent="0.2">
      <c r="A262" s="107" t="str">
        <f>"Market Profile - "&amp; TEXT($H$3,"MMM")&amp;" "&amp;TEXT($H$3,"YYYY")</f>
        <v>Market Profile - Aug 2017</v>
      </c>
      <c r="E262" s="367" t="s">
        <v>201</v>
      </c>
      <c r="F262" s="367"/>
      <c r="G262" s="367"/>
      <c r="H262" s="367"/>
      <c r="I262" s="125"/>
    </row>
    <row r="263" spans="1:13" ht="13.5" thickBot="1" x14ac:dyDescent="0.25">
      <c r="A263" s="116"/>
      <c r="B263" s="116"/>
      <c r="C263" s="116"/>
      <c r="D263" s="116"/>
      <c r="E263" s="368"/>
      <c r="F263" s="368"/>
      <c r="G263" s="368"/>
      <c r="H263" s="368"/>
      <c r="I263" s="116"/>
    </row>
    <row r="264" spans="1:13" ht="15" x14ac:dyDescent="0.25">
      <c r="A264" s="281"/>
      <c r="B264" s="281"/>
      <c r="C264" s="281"/>
      <c r="D264" s="181"/>
      <c r="E264" s="208"/>
      <c r="F264" s="328"/>
      <c r="G264" s="371" t="s">
        <v>203</v>
      </c>
      <c r="H264" s="371" t="s">
        <v>202</v>
      </c>
      <c r="I264" s="329"/>
    </row>
    <row r="265" spans="1:13" ht="12.75" customHeight="1" x14ac:dyDescent="0.25">
      <c r="A265" s="281"/>
      <c r="B265" s="281"/>
      <c r="C265" s="281"/>
      <c r="D265" s="181"/>
      <c r="E265" s="371" t="s">
        <v>40</v>
      </c>
      <c r="F265" s="377" t="str">
        <f>"Index Close   "&amp;TEXT($H$3,"MMM")&amp;" "&amp;TEXT($H$3,"YYYY")</f>
        <v>Index Close   Aug 2017</v>
      </c>
      <c r="G265" s="371"/>
      <c r="H265" s="371"/>
      <c r="I265" s="379" t="s">
        <v>41</v>
      </c>
    </row>
    <row r="266" spans="1:13" ht="15.75" thickBot="1" x14ac:dyDescent="0.3">
      <c r="A266" s="330"/>
      <c r="B266" s="331"/>
      <c r="C266" s="331"/>
      <c r="D266" s="197"/>
      <c r="E266" s="372"/>
      <c r="F266" s="378"/>
      <c r="G266" s="372"/>
      <c r="H266" s="372"/>
      <c r="I266" s="380"/>
    </row>
    <row r="267" spans="1:13" ht="15" x14ac:dyDescent="0.25">
      <c r="A267" s="332" t="s">
        <v>39</v>
      </c>
      <c r="B267" s="332"/>
      <c r="C267" s="332"/>
      <c r="D267" s="332"/>
      <c r="E267" s="332"/>
      <c r="F267" s="332"/>
      <c r="G267" s="332"/>
      <c r="H267" s="332"/>
      <c r="I267" s="332"/>
    </row>
    <row r="268" spans="1:13" ht="14.25" x14ac:dyDescent="0.2">
      <c r="A268" s="248" t="s">
        <v>42</v>
      </c>
      <c r="B268" s="248"/>
      <c r="C268" s="184"/>
      <c r="D268" s="184"/>
      <c r="E268" s="248" t="s">
        <v>43</v>
      </c>
      <c r="F268" s="184">
        <f>IFERROR(VLOOKUP(E268,Data!$G$23:$H$196,2,FALSE),0)</f>
        <v>56522.113845200001</v>
      </c>
      <c r="G268" s="286">
        <f>IF(IFERROR(VLOOKUP(E268,Data!$O$23:$P$196,2,FALSE),0)=0,0,(F268-IFERROR(VLOOKUP(E268,Data!$O$23:$P$196,2,FALSE),0))/ABS(IFERROR(VLOOKUP(E268,Data!$O$23:$P$196,2,FALSE),0)))</f>
        <v>2.3813962134334107E-2</v>
      </c>
      <c r="H268" s="184">
        <f>VLOOKUP(E268,Data!$B$23:$E$273,3,FALSE)</f>
        <v>56655.884673820001</v>
      </c>
      <c r="I268" s="333">
        <f>VLOOKUP(E268,Data!$B$23:$E$273,2,FALSE)</f>
        <v>42972</v>
      </c>
    </row>
    <row r="269" spans="1:13" ht="14.25" x14ac:dyDescent="0.2">
      <c r="A269" s="248" t="s">
        <v>44</v>
      </c>
      <c r="B269" s="248"/>
      <c r="C269" s="184"/>
      <c r="D269" s="184"/>
      <c r="E269" s="248" t="s">
        <v>45</v>
      </c>
      <c r="F269" s="184">
        <f>IFERROR(VLOOKUP(E269,Data!$G$23:$H$196,2,FALSE),0)</f>
        <v>76713.244597779994</v>
      </c>
      <c r="G269" s="286">
        <f>IF(IFERROR(VLOOKUP(E269,Data!$O$23:$P$196,2,FALSE),0)=0,0,(F269-IFERROR(VLOOKUP(E269,Data!$O$23:$P$196,2,FALSE),0))/ABS(IFERROR(VLOOKUP(E269,Data!$O$23:$P$196,2,FALSE),0)))</f>
        <v>4.4589598879682148E-2</v>
      </c>
      <c r="H269" s="184">
        <f>VLOOKUP(E269,Data!$B$23:$E$273,3,FALSE)</f>
        <v>82603.124167989998</v>
      </c>
      <c r="I269" s="333">
        <f>VLOOKUP(E269,Data!$B$23:$E$273,2,FALSE)</f>
        <v>42594</v>
      </c>
      <c r="J269" s="157"/>
      <c r="M269" s="157"/>
    </row>
    <row r="270" spans="1:13" s="161" customFormat="1" ht="14.25" x14ac:dyDescent="0.2">
      <c r="A270" s="305" t="s">
        <v>46</v>
      </c>
      <c r="B270" s="305"/>
      <c r="C270" s="185"/>
      <c r="D270" s="185"/>
      <c r="E270" s="305" t="s">
        <v>47</v>
      </c>
      <c r="F270" s="185">
        <f>IFERROR(VLOOKUP(E270,Data!$G$23:$H$196,2,FALSE),0)</f>
        <v>59917.561333830003</v>
      </c>
      <c r="G270" s="334">
        <f>IF(IFERROR(VLOOKUP(E270,Data!$O$23:$P$196,2,FALSE),0)=0,0,(F270-IFERROR(VLOOKUP(E270,Data!$O$23:$P$196,2,FALSE),0))/ABS(IFERROR(VLOOKUP(E270,Data!$O$23:$P$196,2,FALSE),0)))</f>
        <v>1.9703787143473622E-2</v>
      </c>
      <c r="H270" s="185">
        <f>VLOOKUP(E270,Data!$B$23:$E$273,3,FALSE)</f>
        <v>65469.71245626</v>
      </c>
      <c r="I270" s="335">
        <f>VLOOKUP(E270,Data!$B$23:$E$273,2,FALSE)</f>
        <v>42814</v>
      </c>
      <c r="K270" s="175"/>
      <c r="L270" s="175"/>
    </row>
    <row r="271" spans="1:13" ht="14.25" x14ac:dyDescent="0.2">
      <c r="A271" s="248" t="s">
        <v>48</v>
      </c>
      <c r="B271" s="248"/>
      <c r="C271" s="184"/>
      <c r="D271" s="184"/>
      <c r="E271" s="248" t="s">
        <v>49</v>
      </c>
      <c r="F271" s="184">
        <f>IFERROR(VLOOKUP(E271,Data!$G$23:$H$196,2,FALSE),0)</f>
        <v>7508.0870176999997</v>
      </c>
      <c r="G271" s="286">
        <f>IF(IFERROR(VLOOKUP(E271,Data!$O$23:$P$196,2,FALSE),0)=0,0,(F271-IFERROR(VLOOKUP(E271,Data!$O$23:$P$196,2,FALSE),0))/ABS(IFERROR(VLOOKUP(E271,Data!$O$23:$P$196,2,FALSE),0)))</f>
        <v>1.4530801216412908E-3</v>
      </c>
      <c r="H271" s="184">
        <f>VLOOKUP(E271,Data!$B$23:$E$273,3,FALSE)</f>
        <v>8292.5284918300003</v>
      </c>
      <c r="I271" s="333">
        <f>VLOOKUP(E271,Data!$B$23:$E$273,2,FALSE)</f>
        <v>42783</v>
      </c>
      <c r="J271" s="157"/>
      <c r="M271" s="157"/>
    </row>
    <row r="272" spans="1:13" ht="14.25" x14ac:dyDescent="0.2">
      <c r="A272" s="248" t="s">
        <v>50</v>
      </c>
      <c r="B272" s="248"/>
      <c r="C272" s="184"/>
      <c r="D272" s="184"/>
      <c r="E272" s="248" t="s">
        <v>51</v>
      </c>
      <c r="F272" s="184">
        <f>IFERROR(VLOOKUP(E272,Data!$G$23:$H$196,2,FALSE),0)</f>
        <v>28554.14433005</v>
      </c>
      <c r="G272" s="286">
        <f>IF(IFERROR(VLOOKUP(E272,Data!$O$23:$P$196,2,FALSE),0)=0,0,(F272-IFERROR(VLOOKUP(E272,Data!$O$23:$P$196,2,FALSE),0))/ABS(IFERROR(VLOOKUP(E272,Data!$O$23:$P$196,2,FALSE),0)))</f>
        <v>2.4958361964641164E-2</v>
      </c>
      <c r="H272" s="184">
        <f>VLOOKUP(E272,Data!$B$23:$E$273,3,FALSE)</f>
        <v>28567.939084289999</v>
      </c>
      <c r="I272" s="333">
        <f>VLOOKUP(E272,Data!$B$23:$E$273,2,FALSE)</f>
        <v>42972</v>
      </c>
      <c r="J272" s="157"/>
      <c r="M272" s="157"/>
    </row>
    <row r="273" spans="1:13" ht="14.25" x14ac:dyDescent="0.2">
      <c r="A273" s="248" t="s">
        <v>52</v>
      </c>
      <c r="B273" s="248"/>
      <c r="C273" s="184"/>
      <c r="D273" s="184"/>
      <c r="E273" s="248" t="s">
        <v>53</v>
      </c>
      <c r="F273" s="184">
        <f>IFERROR(VLOOKUP(E273,Data!$G$23:$H$196,2,FALSE),0)</f>
        <v>12474.605410579999</v>
      </c>
      <c r="G273" s="286">
        <f>IF(IFERROR(VLOOKUP(E273,Data!$O$23:$P$196,2,FALSE),0)=0,0,(F273-IFERROR(VLOOKUP(E273,Data!$O$23:$P$196,2,FALSE),0))/ABS(IFERROR(VLOOKUP(E273,Data!$O$23:$P$196,2,FALSE),0)))</f>
        <v>2.1717238832733708E-2</v>
      </c>
      <c r="H273" s="184">
        <f>VLOOKUP(E273,Data!$B$23:$E$273,3,FALSE)</f>
        <v>12529.92449967</v>
      </c>
      <c r="I273" s="333">
        <f>VLOOKUP(E273,Data!$B$23:$E$273,2,FALSE)</f>
        <v>42972</v>
      </c>
      <c r="J273" s="157"/>
      <c r="M273" s="157"/>
    </row>
    <row r="274" spans="1:13" ht="14.25" x14ac:dyDescent="0.2">
      <c r="A274" s="248"/>
      <c r="B274" s="248"/>
      <c r="C274" s="184"/>
      <c r="D274" s="184"/>
      <c r="E274" s="248"/>
      <c r="F274" s="184"/>
      <c r="G274" s="184"/>
      <c r="H274" s="184"/>
      <c r="I274" s="333"/>
    </row>
    <row r="275" spans="1:13" ht="15" x14ac:dyDescent="0.25">
      <c r="A275" s="332" t="s">
        <v>54</v>
      </c>
      <c r="B275" s="332"/>
      <c r="C275" s="332"/>
      <c r="D275" s="332"/>
      <c r="E275" s="332"/>
      <c r="F275" s="332"/>
      <c r="G275" s="332"/>
      <c r="H275" s="332"/>
      <c r="I275" s="332"/>
    </row>
    <row r="276" spans="1:13" ht="14.25" x14ac:dyDescent="0.2">
      <c r="A276" s="248" t="s">
        <v>55</v>
      </c>
      <c r="B276" s="248"/>
      <c r="C276" s="184"/>
      <c r="D276" s="184"/>
      <c r="E276" s="248" t="s">
        <v>56</v>
      </c>
      <c r="F276" s="184">
        <f>IFERROR(VLOOKUP(E276,Data!$G$23:$H$196,2,FALSE),0)</f>
        <v>49997.269851260004</v>
      </c>
      <c r="G276" s="286">
        <f>IF(IFERROR(VLOOKUP(E276,Data!$O$23:$P$196,2,FALSE),0)=0,0,(F276-IFERROR(VLOOKUP(E276,Data!$O$23:$P$196,2,FALSE),0))/ABS(IFERROR(VLOOKUP(E276,Data!$O$23:$P$196,2,FALSE),0)))</f>
        <v>2.3001106930601825E-2</v>
      </c>
      <c r="H276" s="184">
        <f>VLOOKUP(E276,Data!$B$23:$E$273,3,FALSE)</f>
        <v>50175.32536409</v>
      </c>
      <c r="I276" s="333">
        <f>VLOOKUP(E276,Data!$B$23:$E$273,2,FALSE)</f>
        <v>42972</v>
      </c>
    </row>
    <row r="277" spans="1:13" ht="14.25" x14ac:dyDescent="0.2">
      <c r="A277" s="248" t="s">
        <v>57</v>
      </c>
      <c r="B277" s="248"/>
      <c r="C277" s="184"/>
      <c r="D277" s="184"/>
      <c r="E277" s="248" t="s">
        <v>58</v>
      </c>
      <c r="F277" s="184">
        <f>IFERROR(VLOOKUP(E277,Data!$G$23:$H$196,2,FALSE),0)</f>
        <v>26217.084497079999</v>
      </c>
      <c r="G277" s="286">
        <f>IF(IFERROR(VLOOKUP(E277,Data!$O$23:$P$196,2,FALSE),0)=0,0,(F277-IFERROR(VLOOKUP(E277,Data!$O$23:$P$196,2,FALSE),0))/ABS(IFERROR(VLOOKUP(E277,Data!$O$23:$P$196,2,FALSE),0)))</f>
        <v>2.4599773408056098E-2</v>
      </c>
      <c r="H277" s="184">
        <f>VLOOKUP(E277,Data!$B$23:$E$273,3,FALSE)</f>
        <v>26240.287589439999</v>
      </c>
      <c r="I277" s="333">
        <f>VLOOKUP(E277,Data!$B$23:$E$273,2,FALSE)</f>
        <v>42975</v>
      </c>
      <c r="J277" s="157"/>
      <c r="M277" s="157"/>
    </row>
    <row r="278" spans="1:13" ht="14.25" x14ac:dyDescent="0.2">
      <c r="A278" s="248" t="s">
        <v>59</v>
      </c>
      <c r="B278" s="248"/>
      <c r="C278" s="184"/>
      <c r="D278" s="184"/>
      <c r="E278" s="248" t="s">
        <v>60</v>
      </c>
      <c r="F278" s="184">
        <f>IFERROR(VLOOKUP(E278,Data!$G$23:$H$196,2,FALSE),0)</f>
        <v>11198.96757549</v>
      </c>
      <c r="G278" s="286">
        <f>IF(IFERROR(VLOOKUP(E278,Data!$O$23:$P$196,2,FALSE),0)=0,0,(F278-IFERROR(VLOOKUP(E278,Data!$O$23:$P$196,2,FALSE),0))/ABS(IFERROR(VLOOKUP(E278,Data!$O$23:$P$196,2,FALSE),0)))</f>
        <v>2.0820357700633903E-2</v>
      </c>
      <c r="H278" s="184">
        <f>VLOOKUP(E278,Data!$B$23:$E$273,3,FALSE)</f>
        <v>11273.33627779</v>
      </c>
      <c r="I278" s="333">
        <f>VLOOKUP(E278,Data!$B$23:$E$273,2,FALSE)</f>
        <v>42972</v>
      </c>
      <c r="J278" s="157"/>
      <c r="M278" s="157"/>
    </row>
    <row r="279" spans="1:13" ht="14.25" x14ac:dyDescent="0.2">
      <c r="A279" s="248" t="s">
        <v>185</v>
      </c>
      <c r="B279" s="248"/>
      <c r="C279" s="184"/>
      <c r="D279" s="184"/>
      <c r="E279" s="248" t="s">
        <v>61</v>
      </c>
      <c r="F279" s="184">
        <f>IFERROR(VLOOKUP(E279,Data!$G$23:$H$196,2,FALSE),0)</f>
        <v>35773.836190399998</v>
      </c>
      <c r="G279" s="286">
        <f>IF(IFERROR(VLOOKUP(E279,Data!$O$23:$P$196,2,FALSE),0)=0,0,(F279-IFERROR(VLOOKUP(E279,Data!$O$23:$P$196,2,FALSE),0))/ABS(IFERROR(VLOOKUP(E279,Data!$O$23:$P$196,2,FALSE),0)))</f>
        <v>3.8696149537334509E-2</v>
      </c>
      <c r="H279" s="184">
        <f>VLOOKUP(E279,Data!$B$23:$E$273,3,FALSE)</f>
        <v>77308.45</v>
      </c>
      <c r="I279" s="333">
        <f>VLOOKUP(E279,Data!$B$23:$E$273,2,FALSE)</f>
        <v>39590</v>
      </c>
      <c r="J279" s="157"/>
      <c r="M279" s="157"/>
    </row>
    <row r="280" spans="1:13" ht="14.25" x14ac:dyDescent="0.2">
      <c r="A280" s="248" t="s">
        <v>62</v>
      </c>
      <c r="B280" s="248"/>
      <c r="C280" s="184"/>
      <c r="D280" s="184"/>
      <c r="E280" s="248" t="s">
        <v>63</v>
      </c>
      <c r="F280" s="184">
        <f>IFERROR(VLOOKUP(E280,Data!$G$23:$H$196,2,FALSE),0)</f>
        <v>1434.81479623</v>
      </c>
      <c r="G280" s="286">
        <f>IF(IFERROR(VLOOKUP(E280,Data!$O$23:$P$196,2,FALSE),0)=0,0,(F280-IFERROR(VLOOKUP(E280,Data!$O$23:$P$196,2,FALSE),0))/ABS(IFERROR(VLOOKUP(E280,Data!$O$23:$P$196,2,FALSE),0)))</f>
        <v>8.2577788689303516E-2</v>
      </c>
      <c r="H280" s="184">
        <f>VLOOKUP(E280,Data!$B$23:$E$273,3,FALSE)</f>
        <v>3456.48</v>
      </c>
      <c r="I280" s="333">
        <f>VLOOKUP(E280,Data!$B$23:$E$273,2,FALSE)</f>
        <v>37515</v>
      </c>
      <c r="J280" s="157"/>
      <c r="M280" s="157"/>
    </row>
    <row r="281" spans="1:13" ht="14.25" x14ac:dyDescent="0.2">
      <c r="A281" s="248" t="s">
        <v>64</v>
      </c>
      <c r="B281" s="248"/>
      <c r="C281" s="184"/>
      <c r="D281" s="184"/>
      <c r="E281" s="248" t="s">
        <v>65</v>
      </c>
      <c r="F281" s="184">
        <f>IFERROR(VLOOKUP(E281,Data!$G$23:$H$196,2,FALSE),0)</f>
        <v>76137.670788620002</v>
      </c>
      <c r="G281" s="286">
        <f>IF(IFERROR(VLOOKUP(E281,Data!$O$23:$P$196,2,FALSE),0)=0,0,(F281-IFERROR(VLOOKUP(E281,Data!$O$23:$P$196,2,FALSE),0))/ABS(IFERROR(VLOOKUP(E281,Data!$O$23:$P$196,2,FALSE),0)))</f>
        <v>1.736016107834194E-2</v>
      </c>
      <c r="H281" s="184">
        <f>VLOOKUP(E281,Data!$B$23:$E$273,3,FALSE)</f>
        <v>76918.317275559995</v>
      </c>
      <c r="I281" s="333">
        <f>VLOOKUP(E281,Data!$B$23:$E$273,2,FALSE)</f>
        <v>42971</v>
      </c>
      <c r="J281" s="157"/>
      <c r="M281" s="157"/>
    </row>
    <row r="282" spans="1:13" ht="14.25" x14ac:dyDescent="0.2">
      <c r="A282" s="248" t="s">
        <v>66</v>
      </c>
      <c r="B282" s="248"/>
      <c r="C282" s="184"/>
      <c r="D282" s="184"/>
      <c r="E282" s="248" t="s">
        <v>67</v>
      </c>
      <c r="F282" s="184">
        <f>IFERROR(VLOOKUP(E282,Data!$G$23:$H$196,2,FALSE),0)</f>
        <v>15699.36139667</v>
      </c>
      <c r="G282" s="286">
        <f>IF(IFERROR(VLOOKUP(E282,Data!$O$23:$P$196,2,FALSE),0)=0,0,(F282-IFERROR(VLOOKUP(E282,Data!$O$23:$P$196,2,FALSE),0))/ABS(IFERROR(VLOOKUP(E282,Data!$O$23:$P$196,2,FALSE),0)))</f>
        <v>2.9308478759959743E-2</v>
      </c>
      <c r="H282" s="184">
        <f>VLOOKUP(E282,Data!$B$23:$E$273,3,FALSE)</f>
        <v>17911.36431723</v>
      </c>
      <c r="I282" s="333">
        <f>VLOOKUP(E282,Data!$B$23:$E$273,2,FALSE)</f>
        <v>42118</v>
      </c>
      <c r="J282" s="157"/>
      <c r="M282" s="157"/>
    </row>
    <row r="283" spans="1:13" ht="14.25" x14ac:dyDescent="0.2">
      <c r="A283" s="248" t="s">
        <v>68</v>
      </c>
      <c r="B283" s="248"/>
      <c r="C283" s="184"/>
      <c r="D283" s="184"/>
      <c r="E283" s="248" t="s">
        <v>69</v>
      </c>
      <c r="F283" s="184">
        <f>IFERROR(VLOOKUP(E283,Data!$G$23:$H$196,2,FALSE),0)</f>
        <v>79071.687177700005</v>
      </c>
      <c r="G283" s="286">
        <f>IF(IFERROR(VLOOKUP(E283,Data!$O$23:$P$196,2,FALSE),0)=0,0,(F283-IFERROR(VLOOKUP(E283,Data!$O$23:$P$196,2,FALSE),0))/ABS(IFERROR(VLOOKUP(E283,Data!$O$23:$P$196,2,FALSE),0)))</f>
        <v>1.9341357900088139E-2</v>
      </c>
      <c r="H283" s="184">
        <f>VLOOKUP(E283,Data!$B$23:$E$273,3,FALSE)</f>
        <v>79876.819681349996</v>
      </c>
      <c r="I283" s="333">
        <f>VLOOKUP(E283,Data!$B$23:$E$273,2,FALSE)</f>
        <v>42972</v>
      </c>
      <c r="J283" s="157"/>
      <c r="M283" s="157"/>
    </row>
    <row r="284" spans="1:13" ht="14.25" x14ac:dyDescent="0.2">
      <c r="A284" s="248"/>
      <c r="B284" s="248"/>
      <c r="C284" s="184"/>
      <c r="D284" s="184"/>
      <c r="E284" s="248"/>
      <c r="F284" s="184"/>
      <c r="G284" s="184"/>
      <c r="H284" s="184"/>
      <c r="I284" s="333"/>
    </row>
    <row r="285" spans="1:13" ht="15" x14ac:dyDescent="0.25">
      <c r="A285" s="332" t="s">
        <v>70</v>
      </c>
      <c r="B285" s="332"/>
      <c r="C285" s="332"/>
      <c r="D285" s="332"/>
      <c r="E285" s="332"/>
      <c r="F285" s="332"/>
      <c r="G285" s="332"/>
      <c r="H285" s="332"/>
      <c r="I285" s="332"/>
    </row>
    <row r="286" spans="1:13" s="161" customFormat="1" ht="14.25" x14ac:dyDescent="0.2">
      <c r="A286" s="305" t="s">
        <v>71</v>
      </c>
      <c r="B286" s="305"/>
      <c r="C286" s="185"/>
      <c r="D286" s="185"/>
      <c r="E286" s="305" t="s">
        <v>72</v>
      </c>
      <c r="F286" s="185">
        <f>IFERROR(VLOOKUP(E286,Data!$G$23:$H$196,2,FALSE),0)</f>
        <v>0</v>
      </c>
      <c r="G286" s="334">
        <f>IF(IFERROR(VLOOKUP(E286,Data!$O$23:$P$196,2,FALSE),0)=0,0,(F286-IFERROR(VLOOKUP(E286,Data!$O$23:$P$196,2,FALSE),0))/ABS(IFERROR(VLOOKUP(E286,Data!$O$23:$P$196,2,FALSE),0)))</f>
        <v>0</v>
      </c>
      <c r="H286" s="185">
        <f>VLOOKUP(E286,Data!$B$23:$E$273,3,FALSE)</f>
        <v>24943.07</v>
      </c>
      <c r="I286" s="335">
        <f>VLOOKUP(E286,Data!$B$23:$E$273,2,FALSE)</f>
        <v>39381</v>
      </c>
      <c r="K286" s="175"/>
      <c r="L286" s="175"/>
    </row>
    <row r="287" spans="1:13" ht="14.25" x14ac:dyDescent="0.2">
      <c r="A287" s="248" t="s">
        <v>73</v>
      </c>
      <c r="B287" s="248"/>
      <c r="C287" s="184"/>
      <c r="D287" s="184"/>
      <c r="E287" s="248" t="s">
        <v>74</v>
      </c>
      <c r="F287" s="184">
        <f>IFERROR(VLOOKUP(E287,Data!$G$23:$H$196,2,FALSE),0)</f>
        <v>25296.994578760001</v>
      </c>
      <c r="G287" s="286">
        <f>IF(IFERROR(VLOOKUP(E287,Data!$O$23:$P$196,2,FALSE),0)=0,0,(F287-IFERROR(VLOOKUP(E287,Data!$O$23:$P$196,2,FALSE),0))/ABS(IFERROR(VLOOKUP(E287,Data!$O$23:$P$196,2,FALSE),0)))</f>
        <v>4.4343457028858141E-2</v>
      </c>
      <c r="H287" s="184">
        <f>VLOOKUP(E287,Data!$B$23:$E$273,3,FALSE)</f>
        <v>42763.39</v>
      </c>
      <c r="I287" s="333">
        <f>VLOOKUP(E287,Data!$B$23:$E$273,2,FALSE)</f>
        <v>39590</v>
      </c>
    </row>
    <row r="288" spans="1:13" ht="14.25" x14ac:dyDescent="0.2">
      <c r="A288" s="248" t="s">
        <v>75</v>
      </c>
      <c r="B288" s="248"/>
      <c r="C288" s="184"/>
      <c r="D288" s="184"/>
      <c r="E288" s="248" t="s">
        <v>76</v>
      </c>
      <c r="F288" s="184">
        <f>IFERROR(VLOOKUP(E288,Data!$G$23:$H$196,2,FALSE),0)</f>
        <v>48395.076502479998</v>
      </c>
      <c r="G288" s="286">
        <f>IF(IFERROR(VLOOKUP(E288,Data!$O$23:$P$196,2,FALSE),0)=0,0,(F288-IFERROR(VLOOKUP(E288,Data!$O$23:$P$196,2,FALSE),0))/ABS(IFERROR(VLOOKUP(E288,Data!$O$23:$P$196,2,FALSE),0)))</f>
        <v>4.5180396459852092E-2</v>
      </c>
      <c r="H288" s="184">
        <f>VLOOKUP(E288,Data!$B$23:$E$273,3,FALSE)</f>
        <v>49802.0548605</v>
      </c>
      <c r="I288" s="333">
        <f>VLOOKUP(E288,Data!$B$23:$E$273,2,FALSE)</f>
        <v>42594</v>
      </c>
    </row>
    <row r="289" spans="1:9" ht="14.25" x14ac:dyDescent="0.2">
      <c r="A289" s="248" t="s">
        <v>77</v>
      </c>
      <c r="B289" s="248"/>
      <c r="C289" s="184"/>
      <c r="D289" s="184"/>
      <c r="E289" s="248" t="s">
        <v>78</v>
      </c>
      <c r="F289" s="184">
        <f>IFERROR(VLOOKUP(E289,Data!$G$23:$H$196,2,FALSE),0)</f>
        <v>77428.187102070005</v>
      </c>
      <c r="G289" s="286">
        <f>IF(IFERROR(VLOOKUP(E289,Data!$O$23:$P$196,2,FALSE),0)=0,0,(F289-IFERROR(VLOOKUP(E289,Data!$O$23:$P$196,2,FALSE),0))/ABS(IFERROR(VLOOKUP(E289,Data!$O$23:$P$196,2,FALSE),0)))</f>
        <v>3.5289205296659583E-3</v>
      </c>
      <c r="H289" s="184">
        <f>VLOOKUP(E289,Data!$B$23:$E$273,3,FALSE)</f>
        <v>82900.72771716</v>
      </c>
      <c r="I289" s="333">
        <f>VLOOKUP(E289,Data!$B$23:$E$273,2,FALSE)</f>
        <v>42520</v>
      </c>
    </row>
    <row r="290" spans="1:9" ht="14.25" x14ac:dyDescent="0.2">
      <c r="A290" s="248" t="s">
        <v>79</v>
      </c>
      <c r="B290" s="248"/>
      <c r="C290" s="184"/>
      <c r="D290" s="184"/>
      <c r="E290" s="248" t="s">
        <v>80</v>
      </c>
      <c r="F290" s="184">
        <f>IFERROR(VLOOKUP(E290,Data!$G$23:$H$196,2,FALSE),0)</f>
        <v>22102.838314709999</v>
      </c>
      <c r="G290" s="286">
        <f>IF(IFERROR(VLOOKUP(E290,Data!$O$23:$P$196,2,FALSE),0)=0,0,(F290-IFERROR(VLOOKUP(E290,Data!$O$23:$P$196,2,FALSE),0))/ABS(IFERROR(VLOOKUP(E290,Data!$O$23:$P$196,2,FALSE),0)))</f>
        <v>1.2409324826754784E-2</v>
      </c>
      <c r="H290" s="184">
        <f>VLOOKUP(E290,Data!$B$23:$E$273,3,FALSE)</f>
        <v>35813.949999999997</v>
      </c>
      <c r="I290" s="333">
        <f>VLOOKUP(E290,Data!$B$23:$E$273,2,FALSE)</f>
        <v>39381</v>
      </c>
    </row>
    <row r="291" spans="1:9" ht="14.25" x14ac:dyDescent="0.2">
      <c r="A291" s="248" t="s">
        <v>81</v>
      </c>
      <c r="B291" s="248"/>
      <c r="C291" s="184"/>
      <c r="D291" s="184"/>
      <c r="E291" s="248" t="s">
        <v>82</v>
      </c>
      <c r="F291" s="184">
        <f>IFERROR(VLOOKUP(E291,Data!$G$23:$H$196,2,FALSE),0)</f>
        <v>42605.413105489999</v>
      </c>
      <c r="G291" s="286">
        <f>IF(IFERROR(VLOOKUP(E291,Data!$O$23:$P$196,2,FALSE),0)=0,0,(F291-IFERROR(VLOOKUP(E291,Data!$O$23:$P$196,2,FALSE),0))/ABS(IFERROR(VLOOKUP(E291,Data!$O$23:$P$196,2,FALSE),0)))</f>
        <v>1.9480975803503376E-2</v>
      </c>
      <c r="H291" s="184">
        <f>VLOOKUP(E291,Data!$B$23:$E$273,3,FALSE)</f>
        <v>46982.462386940002</v>
      </c>
      <c r="I291" s="333">
        <f>VLOOKUP(E291,Data!$B$23:$E$273,2,FALSE)</f>
        <v>42117</v>
      </c>
    </row>
    <row r="292" spans="1:9" ht="14.25" x14ac:dyDescent="0.2">
      <c r="A292" s="248" t="s">
        <v>83</v>
      </c>
      <c r="B292" s="248"/>
      <c r="C292" s="184"/>
      <c r="D292" s="184"/>
      <c r="E292" s="248" t="s">
        <v>84</v>
      </c>
      <c r="F292" s="184">
        <f>IFERROR(VLOOKUP(E292,Data!$G$23:$H$196,2,FALSE),0)</f>
        <v>49238.238182250003</v>
      </c>
      <c r="G292" s="286">
        <f>IF(IFERROR(VLOOKUP(E292,Data!$O$23:$P$196,2,FALSE),0)=0,0,(F292-IFERROR(VLOOKUP(E292,Data!$O$23:$P$196,2,FALSE),0))/ABS(IFERROR(VLOOKUP(E292,Data!$O$23:$P$196,2,FALSE),0)))</f>
        <v>1.2352825759867295E-2</v>
      </c>
      <c r="H292" s="184">
        <f>VLOOKUP(E292,Data!$B$23:$E$273,3,FALSE)</f>
        <v>71088.506129760004</v>
      </c>
      <c r="I292" s="333">
        <f>VLOOKUP(E292,Data!$B$23:$E$273,2,FALSE)</f>
        <v>42222</v>
      </c>
    </row>
    <row r="293" spans="1:9" ht="14.25" x14ac:dyDescent="0.2">
      <c r="A293" s="248" t="s">
        <v>85</v>
      </c>
      <c r="B293" s="248"/>
      <c r="C293" s="184"/>
      <c r="D293" s="184"/>
      <c r="E293" s="248" t="s">
        <v>86</v>
      </c>
      <c r="F293" s="184">
        <f>IFERROR(VLOOKUP(E293,Data!$G$23:$H$196,2,FALSE),0)</f>
        <v>7435.0345254100002</v>
      </c>
      <c r="G293" s="286">
        <f>IF(IFERROR(VLOOKUP(E293,Data!$O$23:$P$196,2,FALSE),0)=0,0,(F293-IFERROR(VLOOKUP(E293,Data!$O$23:$P$196,2,FALSE),0))/ABS(IFERROR(VLOOKUP(E293,Data!$O$23:$P$196,2,FALSE),0)))</f>
        <v>6.3757693024796613E-2</v>
      </c>
      <c r="H293" s="184">
        <f>VLOOKUP(E293,Data!$B$23:$E$273,3,FALSE)</f>
        <v>65291.38</v>
      </c>
      <c r="I293" s="333">
        <f>VLOOKUP(E293,Data!$B$23:$E$273,2,FALSE)</f>
        <v>39381</v>
      </c>
    </row>
    <row r="294" spans="1:9" ht="14.25" x14ac:dyDescent="0.2">
      <c r="A294" s="248" t="s">
        <v>87</v>
      </c>
      <c r="B294" s="248"/>
      <c r="C294" s="184"/>
      <c r="D294" s="184"/>
      <c r="E294" s="248" t="s">
        <v>88</v>
      </c>
      <c r="F294" s="184">
        <f>IFERROR(VLOOKUP(E294,Data!$G$23:$H$196,2,FALSE),0)</f>
        <v>7547.4470531999996</v>
      </c>
      <c r="G294" s="286">
        <f>IF(IFERROR(VLOOKUP(E294,Data!$O$23:$P$196,2,FALSE),0)=0,0,(F294-IFERROR(VLOOKUP(E294,Data!$O$23:$P$196,2,FALSE),0))/ABS(IFERROR(VLOOKUP(E294,Data!$O$23:$P$196,2,FALSE),0)))</f>
        <v>2.5282242082320047E-2</v>
      </c>
      <c r="H294" s="184">
        <f>VLOOKUP(E294,Data!$B$23:$E$273,3,FALSE)</f>
        <v>95446.135778840006</v>
      </c>
      <c r="I294" s="333">
        <f>VLOOKUP(E294,Data!$B$23:$E$273,2,FALSE)</f>
        <v>41893</v>
      </c>
    </row>
    <row r="295" spans="1:9" ht="14.25" x14ac:dyDescent="0.2">
      <c r="A295" s="248"/>
      <c r="B295" s="248"/>
      <c r="C295" s="184"/>
      <c r="D295" s="184"/>
      <c r="E295" s="248"/>
      <c r="F295" s="184"/>
      <c r="G295" s="184"/>
      <c r="H295" s="184"/>
      <c r="I295" s="333"/>
    </row>
    <row r="296" spans="1:9" ht="15" x14ac:dyDescent="0.25">
      <c r="A296" s="332" t="s">
        <v>89</v>
      </c>
      <c r="B296" s="332"/>
      <c r="C296" s="332"/>
      <c r="D296" s="332"/>
      <c r="E296" s="332"/>
      <c r="F296" s="332"/>
      <c r="G296" s="332"/>
      <c r="H296" s="332"/>
      <c r="I296" s="332"/>
    </row>
    <row r="297" spans="1:9" ht="14.25" x14ac:dyDescent="0.2">
      <c r="A297" s="248" t="s">
        <v>90</v>
      </c>
      <c r="B297" s="248"/>
      <c r="C297" s="184"/>
      <c r="D297" s="184"/>
      <c r="E297" s="248" t="s">
        <v>91</v>
      </c>
      <c r="F297" s="184">
        <f>IFERROR(VLOOKUP(E297,Data!$G$23:$H$196,2,FALSE),0)</f>
        <v>0</v>
      </c>
      <c r="G297" s="286">
        <f>IF(IFERROR(VLOOKUP(E297,Data!$O$23:$P$196,2,FALSE),0)=0,0,(F297-IFERROR(VLOOKUP(E297,Data!$O$23:$P$196,2,FALSE),0))/ABS(IFERROR(VLOOKUP(E297,Data!$O$23:$P$196,2,FALSE),0)))</f>
        <v>0</v>
      </c>
      <c r="H297" s="184">
        <f>VLOOKUP(E297,Data!$B$23:$E$273,3,FALSE)</f>
        <v>22461.45680964</v>
      </c>
      <c r="I297" s="333">
        <f>VLOOKUP(E297,Data!$B$23:$E$273,2,FALSE)</f>
        <v>41849</v>
      </c>
    </row>
    <row r="298" spans="1:9" ht="14.25" x14ac:dyDescent="0.2">
      <c r="A298" s="248" t="s">
        <v>92</v>
      </c>
      <c r="B298" s="248"/>
      <c r="C298" s="184"/>
      <c r="D298" s="184"/>
      <c r="E298" s="248" t="s">
        <v>93</v>
      </c>
      <c r="F298" s="184">
        <f>IFERROR(VLOOKUP(E298,Data!$G$23:$H$196,2,FALSE),0)</f>
        <v>3584.0809128800001</v>
      </c>
      <c r="G298" s="286">
        <f>IF(IFERROR(VLOOKUP(E298,Data!$O$23:$P$196,2,FALSE),0)=0,0,(F298-IFERROR(VLOOKUP(E298,Data!$O$23:$P$196,2,FALSE),0))/ABS(IFERROR(VLOOKUP(E298,Data!$O$23:$P$196,2,FALSE),0)))</f>
        <v>3.6168926663980659E-2</v>
      </c>
      <c r="H298" s="184">
        <f>VLOOKUP(E298,Data!$B$23:$E$273,3,FALSE)</f>
        <v>4599.9677435399999</v>
      </c>
      <c r="I298" s="333">
        <f>VLOOKUP(E298,Data!$B$23:$E$273,2,FALSE)</f>
        <v>41849</v>
      </c>
    </row>
    <row r="299" spans="1:9" ht="14.25" x14ac:dyDescent="0.2">
      <c r="A299" s="248" t="s">
        <v>189</v>
      </c>
      <c r="B299" s="248"/>
      <c r="C299" s="184"/>
      <c r="D299" s="184"/>
      <c r="E299" s="248" t="s">
        <v>190</v>
      </c>
      <c r="F299" s="184">
        <f>IFERROR(VLOOKUP(E299,Data!$G$23:$H$196,2,FALSE),0)</f>
        <v>899.16334211000003</v>
      </c>
      <c r="G299" s="286">
        <f>IF(IFERROR(VLOOKUP(E299,Data!$O$23:$P$196,2,FALSE),0)=0,0,(F299-IFERROR(VLOOKUP(E299,Data!$O$23:$P$196,2,FALSE),0))/ABS(IFERROR(VLOOKUP(E299,Data!$O$23:$P$196,2,FALSE),0)))</f>
        <v>-1.6041922911613389E-2</v>
      </c>
      <c r="H299" s="184">
        <f>VLOOKUP(E299,Data!$B$23:$E$273,3,FALSE)</f>
        <v>1035.8389392900001</v>
      </c>
      <c r="I299" s="333">
        <f>VLOOKUP(E299,Data!$B$23:$E$273,2,FALSE)</f>
        <v>42303</v>
      </c>
    </row>
    <row r="300" spans="1:9" ht="14.25" x14ac:dyDescent="0.2">
      <c r="A300" s="248" t="s">
        <v>94</v>
      </c>
      <c r="B300" s="248"/>
      <c r="C300" s="184"/>
      <c r="D300" s="184"/>
      <c r="E300" s="248" t="s">
        <v>95</v>
      </c>
      <c r="F300" s="184">
        <f>IFERROR(VLOOKUP(E300,Data!$G$23:$H$196,2,FALSE),0)</f>
        <v>653.30403851999995</v>
      </c>
      <c r="G300" s="286">
        <f>IF(IFERROR(VLOOKUP(E300,Data!$O$23:$P$196,2,FALSE),0)=0,0,(F300-IFERROR(VLOOKUP(E300,Data!$O$23:$P$196,2,FALSE),0))/ABS(IFERROR(VLOOKUP(E300,Data!$O$23:$P$196,2,FALSE),0)))</f>
        <v>5.4664751973357087E-3</v>
      </c>
      <c r="H300" s="184">
        <f>VLOOKUP(E300,Data!$B$23:$E$273,3,FALSE)</f>
        <v>678.08424324999999</v>
      </c>
      <c r="I300" s="333">
        <f>VLOOKUP(E300,Data!$B$23:$E$273,2,FALSE)</f>
        <v>42578</v>
      </c>
    </row>
    <row r="301" spans="1:9" ht="14.25" x14ac:dyDescent="0.2">
      <c r="A301" s="248" t="s">
        <v>96</v>
      </c>
      <c r="B301" s="248"/>
      <c r="C301" s="184"/>
      <c r="D301" s="184"/>
      <c r="E301" s="248" t="s">
        <v>97</v>
      </c>
      <c r="F301" s="184">
        <f>IFERROR(VLOOKUP(E301,Data!$G$23:$H$196,2,FALSE),0)</f>
        <v>525.92576029999998</v>
      </c>
      <c r="G301" s="286">
        <f>IF(IFERROR(VLOOKUP(E301,Data!$O$23:$P$196,2,FALSE),0)=0,0,(F301-IFERROR(VLOOKUP(E301,Data!$O$23:$P$196,2,FALSE),0))/ABS(IFERROR(VLOOKUP(E301,Data!$O$23:$P$196,2,FALSE),0)))</f>
        <v>-6.5196574505125907E-3</v>
      </c>
      <c r="H301" s="184">
        <f>VLOOKUP(E301,Data!$B$23:$E$273,3,FALSE)</f>
        <v>597.8558587</v>
      </c>
      <c r="I301" s="333">
        <f>VLOOKUP(E301,Data!$B$23:$E$273,2,FALSE)</f>
        <v>42305</v>
      </c>
    </row>
    <row r="302" spans="1:9" ht="14.25" x14ac:dyDescent="0.2">
      <c r="A302" s="248" t="s">
        <v>98</v>
      </c>
      <c r="B302" s="248"/>
      <c r="C302" s="184"/>
      <c r="D302" s="184"/>
      <c r="E302" s="248" t="s">
        <v>99</v>
      </c>
      <c r="F302" s="184">
        <f>IFERROR(VLOOKUP(E302,Data!$G$23:$H$196,2,FALSE),0)</f>
        <v>20184.429523030001</v>
      </c>
      <c r="G302" s="286">
        <f>IF(IFERROR(VLOOKUP(E302,Data!$O$23:$P$196,2,FALSE),0)=0,0,(F302-IFERROR(VLOOKUP(E302,Data!$O$23:$P$196,2,FALSE),0))/ABS(IFERROR(VLOOKUP(E302,Data!$O$23:$P$196,2,FALSE),0)))</f>
        <v>4.4343457029160392E-2</v>
      </c>
      <c r="H302" s="184">
        <f>VLOOKUP(E302,Data!$B$23:$E$273,3,FALSE)</f>
        <v>42495.61</v>
      </c>
      <c r="I302" s="333">
        <f>VLOOKUP(E302,Data!$B$23:$E$273,2,FALSE)</f>
        <v>39590</v>
      </c>
    </row>
    <row r="303" spans="1:9" ht="14.25" x14ac:dyDescent="0.2">
      <c r="A303" s="248" t="s">
        <v>100</v>
      </c>
      <c r="B303" s="248"/>
      <c r="C303" s="184"/>
      <c r="D303" s="184"/>
      <c r="E303" s="248" t="s">
        <v>101</v>
      </c>
      <c r="F303" s="184">
        <f>IFERROR(VLOOKUP(E303,Data!$G$23:$H$196,2,FALSE),0)</f>
        <v>375.39718231000001</v>
      </c>
      <c r="G303" s="286">
        <f>IF(IFERROR(VLOOKUP(E303,Data!$O$23:$P$196,2,FALSE),0)=0,0,(F303-IFERROR(VLOOKUP(E303,Data!$O$23:$P$196,2,FALSE),0))/ABS(IFERROR(VLOOKUP(E303,Data!$O$23:$P$196,2,FALSE),0)))</f>
        <v>2.9426758895508144E-2</v>
      </c>
      <c r="H303" s="184">
        <f>VLOOKUP(E303,Data!$B$23:$E$273,3,FALSE)</f>
        <v>431.46959335999998</v>
      </c>
      <c r="I303" s="333">
        <f>VLOOKUP(E303,Data!$B$23:$E$273,2,FALSE)</f>
        <v>42129</v>
      </c>
    </row>
    <row r="304" spans="1:9" ht="14.25" x14ac:dyDescent="0.2">
      <c r="A304" s="248" t="s">
        <v>102</v>
      </c>
      <c r="B304" s="248"/>
      <c r="C304" s="184"/>
      <c r="D304" s="184"/>
      <c r="E304" s="248" t="s">
        <v>103</v>
      </c>
      <c r="F304" s="184">
        <f>IFERROR(VLOOKUP(E304,Data!$G$23:$H$196,2,FALSE),0)</f>
        <v>661.50069415999997</v>
      </c>
      <c r="G304" s="286">
        <f>IF(IFERROR(VLOOKUP(E304,Data!$O$23:$P$196,2,FALSE),0)=0,0,(F304-IFERROR(VLOOKUP(E304,Data!$O$23:$P$196,2,FALSE),0))/ABS(IFERROR(VLOOKUP(E304,Data!$O$23:$P$196,2,FALSE),0)))</f>
        <v>2.1051622191859048E-2</v>
      </c>
      <c r="H304" s="184">
        <f>VLOOKUP(E304,Data!$B$23:$E$273,3,FALSE)</f>
        <v>668.9655262</v>
      </c>
      <c r="I304" s="333">
        <f>VLOOKUP(E304,Data!$B$23:$E$273,2,FALSE)</f>
        <v>42972</v>
      </c>
    </row>
    <row r="305" spans="1:9" ht="14.25" x14ac:dyDescent="0.2">
      <c r="A305" s="248"/>
      <c r="B305" s="248"/>
      <c r="C305" s="184"/>
      <c r="D305" s="184"/>
      <c r="E305" s="248"/>
      <c r="F305" s="184"/>
      <c r="G305" s="184"/>
      <c r="H305" s="184"/>
      <c r="I305" s="333"/>
    </row>
    <row r="306" spans="1:9" ht="15" x14ac:dyDescent="0.25">
      <c r="A306" s="332" t="s">
        <v>104</v>
      </c>
      <c r="B306" s="332"/>
      <c r="C306" s="332"/>
      <c r="D306" s="332"/>
      <c r="E306" s="332"/>
      <c r="F306" s="332"/>
      <c r="G306" s="332"/>
      <c r="H306" s="332"/>
      <c r="I306" s="332"/>
    </row>
    <row r="307" spans="1:9" ht="14.25" x14ac:dyDescent="0.2">
      <c r="A307" s="248" t="s">
        <v>105</v>
      </c>
      <c r="B307" s="248"/>
      <c r="C307" s="184"/>
      <c r="D307" s="184"/>
      <c r="E307" s="248" t="s">
        <v>106</v>
      </c>
      <c r="F307" s="184">
        <f>IFERROR(VLOOKUP(E307,Data!$G$23:$H$196,2,FALSE),0)</f>
        <v>20.77701566</v>
      </c>
      <c r="G307" s="286">
        <f>IF(IFERROR(VLOOKUP(E307,Data!$O$23:$P$196,2,FALSE),0)=0,0,(F307-IFERROR(VLOOKUP(E307,Data!$O$23:$P$196,2,FALSE),0))/ABS(IFERROR(VLOOKUP(E307,Data!$O$23:$P$196,2,FALSE),0)))</f>
        <v>9.6679388481076087E-2</v>
      </c>
      <c r="H307" s="184">
        <f>VLOOKUP(E307,Data!$B$23:$E$273,3,FALSE)</f>
        <v>146.47999999999999</v>
      </c>
      <c r="I307" s="333">
        <f>VLOOKUP(E307,Data!$B$23:$E$273,2,FALSE)</f>
        <v>39587</v>
      </c>
    </row>
    <row r="308" spans="1:9" ht="14.25" x14ac:dyDescent="0.2">
      <c r="A308" s="248" t="s">
        <v>107</v>
      </c>
      <c r="B308" s="248"/>
      <c r="C308" s="184"/>
      <c r="D308" s="184"/>
      <c r="E308" s="248" t="s">
        <v>108</v>
      </c>
      <c r="F308" s="184">
        <f>IFERROR(VLOOKUP(E308,Data!$G$23:$H$196,2,FALSE),0)</f>
        <v>7975.34409375</v>
      </c>
      <c r="G308" s="286">
        <f>IF(IFERROR(VLOOKUP(E308,Data!$O$23:$P$196,2,FALSE),0)=0,0,(F308-IFERROR(VLOOKUP(E308,Data!$O$23:$P$196,2,FALSE),0))/ABS(IFERROR(VLOOKUP(E308,Data!$O$23:$P$196,2,FALSE),0)))</f>
        <v>5.1867413147430735E-2</v>
      </c>
      <c r="H308" s="184">
        <f>VLOOKUP(E308,Data!$B$23:$E$273,3,FALSE)</f>
        <v>12608.67</v>
      </c>
      <c r="I308" s="333">
        <f>VLOOKUP(E308,Data!$B$23:$E$273,2,FALSE)</f>
        <v>39590</v>
      </c>
    </row>
    <row r="309" spans="1:9" ht="14.25" x14ac:dyDescent="0.2">
      <c r="A309" s="248"/>
      <c r="B309" s="248"/>
      <c r="C309" s="184"/>
      <c r="D309" s="184"/>
      <c r="E309" s="248"/>
      <c r="F309" s="184"/>
      <c r="G309" s="184"/>
      <c r="H309" s="184"/>
      <c r="I309" s="333"/>
    </row>
    <row r="310" spans="1:9" ht="15" x14ac:dyDescent="0.25">
      <c r="A310" s="332" t="s">
        <v>109</v>
      </c>
      <c r="B310" s="332"/>
      <c r="C310" s="332"/>
      <c r="D310" s="332"/>
      <c r="E310" s="332"/>
      <c r="F310" s="332"/>
      <c r="G310" s="332"/>
      <c r="H310" s="332"/>
      <c r="I310" s="332"/>
    </row>
    <row r="311" spans="1:9" ht="14.25" x14ac:dyDescent="0.2">
      <c r="A311" s="248" t="s">
        <v>110</v>
      </c>
      <c r="B311" s="248"/>
      <c r="C311" s="184"/>
      <c r="D311" s="184"/>
      <c r="E311" s="248" t="s">
        <v>111</v>
      </c>
      <c r="F311" s="184">
        <f>IFERROR(VLOOKUP(E311,Data!$G$23:$H$196,2,FALSE),0)</f>
        <v>0</v>
      </c>
      <c r="G311" s="286">
        <f>IF(IFERROR(VLOOKUP(E311,Data!$O$23:$P$196,2,FALSE),0)=0,0,(F311-IFERROR(VLOOKUP(E311,Data!$O$23:$P$196,2,FALSE),0))/ABS(IFERROR(VLOOKUP(E311,Data!$O$23:$P$196,2,FALSE),0)))</f>
        <v>0</v>
      </c>
      <c r="H311" s="184">
        <f>VLOOKUP(E311,Data!$B$23:$E$273,3,FALSE)</f>
        <v>1703.8449540300001</v>
      </c>
      <c r="I311" s="333">
        <f>VLOOKUP(E311,Data!$B$23:$E$273,2,FALSE)</f>
        <v>42346</v>
      </c>
    </row>
    <row r="312" spans="1:9" ht="14.25" x14ac:dyDescent="0.2">
      <c r="A312" s="248" t="s">
        <v>112</v>
      </c>
      <c r="B312" s="248"/>
      <c r="C312" s="184"/>
      <c r="D312" s="184"/>
      <c r="E312" s="248" t="s">
        <v>113</v>
      </c>
      <c r="F312" s="184">
        <f>IFERROR(VLOOKUP(E312,Data!$G$23:$H$196,2,FALSE),0)</f>
        <v>0</v>
      </c>
      <c r="G312" s="286">
        <f>IF(IFERROR(VLOOKUP(E312,Data!$O$23:$P$196,2,FALSE),0)=0,0,(F312-IFERROR(VLOOKUP(E312,Data!$O$23:$P$196,2,FALSE),0))/ABS(IFERROR(VLOOKUP(E312,Data!$O$23:$P$196,2,FALSE),0)))</f>
        <v>0</v>
      </c>
      <c r="H312" s="184">
        <f>VLOOKUP(E312,Data!$B$23:$E$273,3,FALSE)</f>
        <v>641.64</v>
      </c>
      <c r="I312" s="333">
        <f>VLOOKUP(E312,Data!$B$23:$E$273,2,FALSE)</f>
        <v>38723</v>
      </c>
    </row>
    <row r="313" spans="1:9" ht="14.25" x14ac:dyDescent="0.2">
      <c r="A313" s="248" t="s">
        <v>114</v>
      </c>
      <c r="B313" s="248"/>
      <c r="C313" s="184"/>
      <c r="D313" s="184"/>
      <c r="E313" s="248" t="s">
        <v>115</v>
      </c>
      <c r="F313" s="184">
        <f>IFERROR(VLOOKUP(E313,Data!$G$23:$H$196,2,FALSE),0)</f>
        <v>1165.0699531600001</v>
      </c>
      <c r="G313" s="286">
        <f>IF(IFERROR(VLOOKUP(E313,Data!$O$23:$P$196,2,FALSE),0)=0,0,(F313-IFERROR(VLOOKUP(E313,Data!$O$23:$P$196,2,FALSE),0))/ABS(IFERROR(VLOOKUP(E313,Data!$O$23:$P$196,2,FALSE),0)))</f>
        <v>-4.9089881901564582E-2</v>
      </c>
      <c r="H313" s="184">
        <f>VLOOKUP(E313,Data!$B$23:$E$273,3,FALSE)</f>
        <v>5041.9399999999996</v>
      </c>
      <c r="I313" s="333">
        <f>VLOOKUP(E313,Data!$B$23:$E$273,2,FALSE)</f>
        <v>39400</v>
      </c>
    </row>
    <row r="314" spans="1:9" ht="15" thickBot="1" x14ac:dyDescent="0.25">
      <c r="A314" s="289"/>
      <c r="B314" s="289"/>
      <c r="C314" s="182"/>
      <c r="D314" s="182"/>
      <c r="E314" s="182"/>
      <c r="F314" s="336"/>
      <c r="G314" s="289"/>
      <c r="H314" s="289"/>
      <c r="I314" s="289"/>
    </row>
    <row r="315" spans="1:9" ht="13.5" thickTop="1" x14ac:dyDescent="0.2">
      <c r="A315" s="365" t="s">
        <v>532</v>
      </c>
      <c r="D315" s="2"/>
      <c r="E315" s="2"/>
      <c r="F315" s="12"/>
    </row>
    <row r="316" spans="1:9" x14ac:dyDescent="0.2">
      <c r="A316" s="59" t="s">
        <v>116</v>
      </c>
      <c r="D316" s="2"/>
      <c r="E316" s="2"/>
      <c r="F316" s="12"/>
    </row>
    <row r="334" spans="11:12" s="247" customFormat="1" x14ac:dyDescent="0.2">
      <c r="K334" s="262"/>
      <c r="L334" s="262"/>
    </row>
    <row r="336" spans="11:12" s="247" customFormat="1" x14ac:dyDescent="0.2">
      <c r="K336" s="262"/>
      <c r="L336" s="262"/>
    </row>
    <row r="346" spans="1:9" ht="12.75" customHeight="1" x14ac:dyDescent="0.2">
      <c r="E346" s="125"/>
      <c r="F346" s="125"/>
      <c r="G346" s="125"/>
      <c r="H346" s="125"/>
      <c r="I346" s="125"/>
    </row>
    <row r="347" spans="1:9" ht="12.75" customHeight="1" x14ac:dyDescent="0.2">
      <c r="A347" s="107" t="str">
        <f>"Market Profile - "&amp; TEXT($H$3,"MMM")&amp;" "&amp;TEXT($H$3,"YYYY")</f>
        <v>Market Profile - Aug 2017</v>
      </c>
      <c r="E347" s="367" t="s">
        <v>204</v>
      </c>
      <c r="F347" s="367"/>
      <c r="G347" s="367"/>
      <c r="H347" s="367"/>
      <c r="I347" s="125"/>
    </row>
    <row r="348" spans="1:9" ht="13.5" thickBot="1" x14ac:dyDescent="0.25">
      <c r="A348" s="116"/>
      <c r="B348" s="116"/>
      <c r="C348" s="116"/>
      <c r="D348" s="116"/>
      <c r="E348" s="368"/>
      <c r="F348" s="368"/>
      <c r="G348" s="368"/>
      <c r="H348" s="368"/>
      <c r="I348" s="116"/>
    </row>
    <row r="349" spans="1:9" ht="15" x14ac:dyDescent="0.25">
      <c r="A349" s="281"/>
      <c r="B349" s="337"/>
      <c r="C349" s="281"/>
      <c r="D349" s="387" t="str">
        <f>TEXT(DATE(2000,TEXT(H3,"M")-1,1),"mmm")&amp; " "&amp; TEXT(H3,"YYYY")</f>
        <v>Jul 2017</v>
      </c>
      <c r="E349" s="387"/>
      <c r="F349" s="280" t="s">
        <v>27</v>
      </c>
      <c r="G349" s="310"/>
      <c r="H349" s="281"/>
      <c r="I349" s="280" t="s">
        <v>27</v>
      </c>
    </row>
    <row r="350" spans="1:9" ht="15" x14ac:dyDescent="0.25">
      <c r="A350" s="281"/>
      <c r="B350" s="337"/>
      <c r="C350" s="281"/>
      <c r="D350" s="388"/>
      <c r="E350" s="388"/>
      <c r="F350" s="280" t="s">
        <v>38</v>
      </c>
      <c r="G350" s="310"/>
      <c r="H350" s="281"/>
      <c r="I350" s="280" t="s">
        <v>147</v>
      </c>
    </row>
    <row r="351" spans="1:9" ht="15.75" thickBot="1" x14ac:dyDescent="0.3">
      <c r="A351" s="295"/>
      <c r="B351" s="338"/>
      <c r="C351" s="338" t="str">
        <f>TEXT($H$3,"MMM")&amp;" "&amp;TEXT($H$3,"YYYY")</f>
        <v>Aug 2017</v>
      </c>
      <c r="D351" s="389"/>
      <c r="E351" s="389"/>
      <c r="F351" s="284" t="s">
        <v>1</v>
      </c>
      <c r="G351" s="330"/>
      <c r="H351" s="338" t="str">
        <f>TEXT($H$3,"MMM")&amp;" "&amp;TEXT($H$3,"YYYY")-1</f>
        <v>Aug 2016</v>
      </c>
      <c r="I351" s="284" t="s">
        <v>28</v>
      </c>
    </row>
    <row r="352" spans="1:9" ht="15" x14ac:dyDescent="0.25">
      <c r="A352" s="332" t="s">
        <v>117</v>
      </c>
      <c r="B352" s="332"/>
      <c r="C352" s="332"/>
      <c r="D352" s="332"/>
      <c r="E352" s="332"/>
      <c r="F352" s="332"/>
      <c r="G352" s="332"/>
      <c r="H352" s="332"/>
      <c r="I352" s="332"/>
    </row>
    <row r="353" spans="1:9" ht="14.25" x14ac:dyDescent="0.2">
      <c r="A353" s="339" t="s">
        <v>14</v>
      </c>
      <c r="B353" s="248"/>
      <c r="C353" s="248"/>
      <c r="D353" s="381"/>
      <c r="E353" s="381"/>
      <c r="F353" s="248"/>
      <c r="G353" s="248"/>
      <c r="H353" s="248"/>
      <c r="I353" s="248"/>
    </row>
    <row r="354" spans="1:9" ht="14.25" x14ac:dyDescent="0.2">
      <c r="A354" s="248" t="s">
        <v>446</v>
      </c>
      <c r="B354" s="249"/>
      <c r="C354" s="249">
        <f>SUMIFS(Data!$V$2:$V$14,Data!$S$2:$S$14,MarketProfile!A354,Data!$X$2:$X$14,"1")</f>
        <v>273032</v>
      </c>
      <c r="D354" s="381">
        <f>SUMIFS(Data!$V$30:$V$42,Data!$S$30:$S$42,MarketProfile!A354,Data!$X$30:$X$42,"1")</f>
        <v>262406</v>
      </c>
      <c r="E354" s="381"/>
      <c r="F354" s="286">
        <f>IFERROR(IF(OR(AND(D354="",C354=""),AND(D354=0,C354=0)),"",
IF(OR(D354="",D354=0),1,
IF(OR(D354&lt;&gt;"",D354&lt;&gt;0),(C354-D354)/ABS(D354)))),-1)</f>
        <v>4.0494500887937011E-2</v>
      </c>
      <c r="G354" s="381">
        <f>SUMIFS(Data!$V$60:$V$72,Data!$S$60:$S$72,MarketProfile!A354,Data!$X$60:$X$72,"1")</f>
        <v>264580</v>
      </c>
      <c r="H354" s="381"/>
      <c r="I354" s="286">
        <f t="shared" ref="I354:I367" si="22">IFERROR(IF(OR(AND(G354="",C354=""),AND(G354=0,C354=0)),"",
IF(OR(G354="",G354=0),1,
IF(OR(G354&lt;&gt;"",G354&lt;&gt;0),(C354-G354)/ABS(G354)))),-1)</f>
        <v>3.1944969385441079E-2</v>
      </c>
    </row>
    <row r="355" spans="1:9" ht="14.25" x14ac:dyDescent="0.2">
      <c r="A355" s="248" t="s">
        <v>447</v>
      </c>
      <c r="B355" s="249"/>
      <c r="C355" s="249">
        <f>SUMIFS(Data!$V$2:$V$14,Data!$S$2:$S$14,MarketProfile!A355,Data!$X$2:$X$14,"1")</f>
        <v>3978</v>
      </c>
      <c r="D355" s="381">
        <f>SUMIFS(Data!$V$30:$V$42,Data!$S$30:$S$42,MarketProfile!A355,Data!$X$30:$X$42,"1")</f>
        <v>3817</v>
      </c>
      <c r="E355" s="381"/>
      <c r="F355" s="286">
        <f t="shared" ref="F355:F361" si="23">IFERROR(IF(OR(AND(D355="",C355=""),AND(D355=0,C355=0)),"",
IF(OR(D355="",D355=0),1,
IF(OR(D355&lt;&gt;"",D355&lt;&gt;0),(C355-D355)/ABS(D355)))),-1)</f>
        <v>4.2179722294996072E-2</v>
      </c>
      <c r="G355" s="381">
        <f>SUMIFS(Data!$V$60:$V$72,Data!$S$60:$S$72,MarketProfile!A355,Data!$X$60:$X$72,"1")</f>
        <v>5165</v>
      </c>
      <c r="H355" s="381"/>
      <c r="I355" s="286">
        <f t="shared" si="22"/>
        <v>-0.2298160696999032</v>
      </c>
    </row>
    <row r="356" spans="1:9" ht="14.25" x14ac:dyDescent="0.2">
      <c r="A356" s="248" t="s">
        <v>448</v>
      </c>
      <c r="B356" s="249"/>
      <c r="C356" s="249">
        <f>SUMIFS(Data!$V$2:$V$14,Data!$S$2:$S$14,MarketProfile!A356,Data!$X$2:$X$14,"1")</f>
        <v>3721</v>
      </c>
      <c r="D356" s="381">
        <f>SUMIFS(Data!$V$30:$V$42,Data!$S$30:$S$42,MarketProfile!A356,Data!$X$30:$X$42,"1")</f>
        <v>3557</v>
      </c>
      <c r="E356" s="381"/>
      <c r="F356" s="286">
        <f t="shared" si="23"/>
        <v>4.6106269328085467E-2</v>
      </c>
      <c r="G356" s="381">
        <f>SUMIFS(Data!$V$60:$V$72,Data!$S$60:$S$72,MarketProfile!A356,Data!$X$60:$X$72,"1")</f>
        <v>4908</v>
      </c>
      <c r="H356" s="381"/>
      <c r="I356" s="286">
        <f t="shared" si="22"/>
        <v>-0.24185004074979624</v>
      </c>
    </row>
    <row r="357" spans="1:9" ht="14.25" x14ac:dyDescent="0.2">
      <c r="A357" s="248" t="s">
        <v>182</v>
      </c>
      <c r="B357" s="249"/>
      <c r="C357" s="249">
        <f>SUMIFS(Data!$V$2:$V$14,Data!$S$2:$S$14,MarketProfile!A357,Data!$X$2:$X$14,"1")</f>
        <v>234</v>
      </c>
      <c r="D357" s="381">
        <f>SUMIFS(Data!$V$30:$V$42,Data!$S$30:$S$42,MarketProfile!A357,Data!$X$30:$X$42,"1")</f>
        <v>209</v>
      </c>
      <c r="E357" s="381"/>
      <c r="F357" s="286">
        <f t="shared" si="23"/>
        <v>0.11961722488038277</v>
      </c>
      <c r="G357" s="381">
        <f>SUMIFS(Data!$V$60:$V$72,Data!$S$60:$S$72,MarketProfile!A357,Data!$X$60:$X$72,"1")</f>
        <v>191</v>
      </c>
      <c r="H357" s="381"/>
      <c r="I357" s="286">
        <f t="shared" si="22"/>
        <v>0.22513089005235601</v>
      </c>
    </row>
    <row r="358" spans="1:9" ht="14.25" x14ac:dyDescent="0.2">
      <c r="A358" s="248" t="s">
        <v>449</v>
      </c>
      <c r="B358" s="249"/>
      <c r="C358" s="249">
        <f>SUMIFS(Data!$V$2:$V$14,Data!$S$2:$S$14,MarketProfile!A358,Data!$X$2:$X$14,"1")</f>
        <v>183</v>
      </c>
      <c r="D358" s="381">
        <f>SUMIFS(Data!$V$30:$V$42,Data!$S$30:$S$42,MarketProfile!A358,Data!$X$30:$X$42,"1")</f>
        <v>81</v>
      </c>
      <c r="E358" s="381"/>
      <c r="F358" s="286">
        <f t="shared" si="23"/>
        <v>1.2592592592592593</v>
      </c>
      <c r="G358" s="381">
        <f>SUMIFS(Data!$V$60:$V$72,Data!$S$60:$S$72,MarketProfile!A358,Data!$X$60:$X$72,"1")</f>
        <v>167</v>
      </c>
      <c r="H358" s="381"/>
      <c r="I358" s="286">
        <f t="shared" si="22"/>
        <v>9.580838323353294E-2</v>
      </c>
    </row>
    <row r="359" spans="1:9" ht="14.25" x14ac:dyDescent="0.2">
      <c r="A359" s="248" t="s">
        <v>450</v>
      </c>
      <c r="B359" s="249"/>
      <c r="C359" s="249">
        <f>SUMIFS(Data!$V$2:$V$14,Data!$S$2:$S$14,MarketProfile!A359,Data!$X$2:$X$14,"1")</f>
        <v>161</v>
      </c>
      <c r="D359" s="381">
        <f>SUMIFS(Data!$V$30:$V$42,Data!$S$30:$S$42,MarketProfile!A359,Data!$X$30:$X$42,"1")</f>
        <v>77</v>
      </c>
      <c r="E359" s="381"/>
      <c r="F359" s="286">
        <f t="shared" si="23"/>
        <v>1.0909090909090908</v>
      </c>
      <c r="G359" s="381">
        <f>SUMIFS(Data!$V$60:$V$72,Data!$S$60:$S$72,MarketProfile!A359,Data!$X$60:$X$72,"1")</f>
        <v>153</v>
      </c>
      <c r="H359" s="381"/>
      <c r="I359" s="286">
        <f t="shared" si="22"/>
        <v>5.2287581699346407E-2</v>
      </c>
    </row>
    <row r="360" spans="1:9" ht="14.25" x14ac:dyDescent="0.2">
      <c r="A360" s="248" t="s">
        <v>451</v>
      </c>
      <c r="B360" s="249"/>
      <c r="C360" s="249">
        <f>SUMIFS(Data!$V$2:$V$14,Data!$S$2:$S$14,MarketProfile!A360,Data!$X$2:$X$14,"1")</f>
        <v>185</v>
      </c>
      <c r="D360" s="381">
        <f>SUMIFS(Data!$V$30:$V$42,Data!$S$30:$S$42,MarketProfile!A360,Data!$X$30:$X$42,"1")</f>
        <v>144</v>
      </c>
      <c r="E360" s="381"/>
      <c r="F360" s="286">
        <f t="shared" si="23"/>
        <v>0.28472222222222221</v>
      </c>
      <c r="G360" s="381">
        <f>SUMIFS(Data!$V$60:$V$72,Data!$S$60:$S$72,MarketProfile!A360,Data!$X$60:$X$72,"1")</f>
        <v>186</v>
      </c>
      <c r="H360" s="381"/>
      <c r="I360" s="286">
        <f t="shared" si="22"/>
        <v>-5.3763440860215058E-3</v>
      </c>
    </row>
    <row r="361" spans="1:9" ht="15" x14ac:dyDescent="0.25">
      <c r="A361" s="288" t="s">
        <v>133</v>
      </c>
      <c r="B361" s="250"/>
      <c r="C361" s="250">
        <f>SUM(C354:C360)</f>
        <v>281494</v>
      </c>
      <c r="D361" s="373">
        <f>SUM(D354:E360)</f>
        <v>270291</v>
      </c>
      <c r="E361" s="373"/>
      <c r="F361" s="326">
        <f t="shared" si="23"/>
        <v>4.1447920944463562E-2</v>
      </c>
      <c r="G361" s="373">
        <f>SUM(G354:H360)</f>
        <v>275350</v>
      </c>
      <c r="H361" s="373">
        <v>228310</v>
      </c>
      <c r="I361" s="326">
        <f t="shared" si="22"/>
        <v>2.2313419284546939E-2</v>
      </c>
    </row>
    <row r="362" spans="1:9" ht="14.25" x14ac:dyDescent="0.2">
      <c r="A362" s="248"/>
      <c r="B362" s="249"/>
      <c r="C362" s="249"/>
      <c r="D362" s="381"/>
      <c r="E362" s="381"/>
      <c r="F362" s="286"/>
      <c r="G362" s="248"/>
      <c r="H362" s="249"/>
      <c r="I362" s="286" t="str">
        <f t="shared" si="22"/>
        <v/>
      </c>
    </row>
    <row r="363" spans="1:9" ht="15" x14ac:dyDescent="0.25">
      <c r="A363" s="339" t="s">
        <v>206</v>
      </c>
      <c r="B363" s="250"/>
      <c r="C363" s="250"/>
      <c r="D363" s="381"/>
      <c r="E363" s="381"/>
      <c r="F363" s="286"/>
      <c r="G363" s="248"/>
      <c r="H363" s="250"/>
      <c r="I363" s="326" t="str">
        <f t="shared" si="22"/>
        <v/>
      </c>
    </row>
    <row r="364" spans="1:9" ht="14.25" x14ac:dyDescent="0.2">
      <c r="A364" s="248" t="s">
        <v>446</v>
      </c>
      <c r="B364" s="249"/>
      <c r="C364" s="249">
        <f>SUMIFS(Data!$V$2:$V$14,Data!$S$2:$S$14,MarketProfile!A364,Data!$X$2:$X$14,"0")</f>
        <v>790</v>
      </c>
      <c r="D364" s="381">
        <f>SUMIFS(Data!$V$30:$V$42,Data!$S$30:$S$42,MarketProfile!A364,Data!$X$30:$X$42,"0")</f>
        <v>567</v>
      </c>
      <c r="E364" s="381"/>
      <c r="F364" s="286">
        <f t="shared" ref="F364:F368" si="24">IFERROR(IF(OR(AND(D364="",C364=""),AND(D364=0,C364=0)),"",
IF(OR(D364="",D364=0),1,
IF(OR(D364&lt;&gt;"",D364&lt;&gt;0),(C364-D364)/ABS(D364)))),-1)</f>
        <v>0.39329805996472661</v>
      </c>
      <c r="G364" s="381">
        <f>SUMIFS(Data!$V$60:$V$72,Data!$S$60:$S$72,MarketProfile!A364,Data!$X$60:$X$72,"0")</f>
        <v>1576</v>
      </c>
      <c r="H364" s="381"/>
      <c r="I364" s="286">
        <f t="shared" si="22"/>
        <v>-0.4987309644670051</v>
      </c>
    </row>
    <row r="365" spans="1:9" ht="14.25" x14ac:dyDescent="0.2">
      <c r="A365" s="248" t="s">
        <v>447</v>
      </c>
      <c r="B365" s="249"/>
      <c r="C365" s="249">
        <f>SUMIFS(Data!$V$2:$V$14,Data!$S$2:$S$14,MarketProfile!A365,Data!$X$2:$X$14,"0")</f>
        <v>404</v>
      </c>
      <c r="D365" s="381">
        <f>SUMIFS(Data!$V$30:$V$42,Data!$S$30:$S$42,MarketProfile!A365,Data!$X$30:$X$42,"0")</f>
        <v>370</v>
      </c>
      <c r="E365" s="381"/>
      <c r="F365" s="286">
        <f t="shared" si="24"/>
        <v>9.1891891891891897E-2</v>
      </c>
      <c r="G365" s="381">
        <f>SUMIFS(Data!$V$60:$V$72,Data!$S$60:$S$72,MarketProfile!A365,Data!$X$60:$X$72,"0")</f>
        <v>339</v>
      </c>
      <c r="H365" s="381"/>
      <c r="I365" s="286">
        <f t="shared" si="22"/>
        <v>0.19174041297935104</v>
      </c>
    </row>
    <row r="366" spans="1:9" ht="14.25" x14ac:dyDescent="0.2">
      <c r="A366" s="248" t="s">
        <v>451</v>
      </c>
      <c r="B366" s="249"/>
      <c r="C366" s="249">
        <f>SUMIFS(Data!$V$2:$V$14,Data!$S$2:$S$14,MarketProfile!A366,Data!$X$2:$X$14,"0")</f>
        <v>66</v>
      </c>
      <c r="D366" s="381">
        <f>SUMIFS(Data!$V$30:$V$42,Data!$S$30:$S$42,MarketProfile!A366,Data!$X$30:$X$42,"0")</f>
        <v>50</v>
      </c>
      <c r="E366" s="381"/>
      <c r="F366" s="286">
        <f t="shared" si="24"/>
        <v>0.32</v>
      </c>
      <c r="G366" s="381">
        <f>SUMIFS(Data!$V$60:$V$72,Data!$S$60:$S$72,MarketProfile!A366,Data!$X$60:$X$72,"0")</f>
        <v>116</v>
      </c>
      <c r="H366" s="381"/>
      <c r="I366" s="286">
        <f t="shared" si="22"/>
        <v>-0.43103448275862066</v>
      </c>
    </row>
    <row r="367" spans="1:9" ht="14.25" x14ac:dyDescent="0.2">
      <c r="A367" s="248" t="s">
        <v>448</v>
      </c>
      <c r="B367" s="249"/>
      <c r="C367" s="249">
        <f>SUMIFS(Data!$V$2:$V$14,Data!$S$2:$S$14,MarketProfile!A367,Data!$X$2:$X$14,"0")</f>
        <v>0</v>
      </c>
      <c r="D367" s="381">
        <f>SUMIFS(Data!$V$30:$V$42,Data!$S$30:$S$42,MarketProfile!A367,Data!$X$30:$X$42,"0")</f>
        <v>0</v>
      </c>
      <c r="E367" s="381"/>
      <c r="F367" s="286" t="str">
        <f t="shared" si="24"/>
        <v/>
      </c>
      <c r="G367" s="381">
        <f>SUMIFS(Data!$V$60:$V$72,Data!$S$60:$S$72,MarketProfile!A367,Data!$X$60:$X$72,"0")</f>
        <v>0</v>
      </c>
      <c r="H367" s="381"/>
      <c r="I367" s="286" t="str">
        <f t="shared" si="22"/>
        <v/>
      </c>
    </row>
    <row r="368" spans="1:9" ht="15" x14ac:dyDescent="0.25">
      <c r="A368" s="288" t="s">
        <v>133</v>
      </c>
      <c r="B368" s="250"/>
      <c r="C368" s="250">
        <f>SUM(C364:C367)</f>
        <v>1260</v>
      </c>
      <c r="D368" s="373">
        <f t="shared" ref="D368:E368" si="25">SUM(D364:D367)</f>
        <v>987</v>
      </c>
      <c r="E368" s="373">
        <f t="shared" si="25"/>
        <v>0</v>
      </c>
      <c r="F368" s="326">
        <f t="shared" si="24"/>
        <v>0.27659574468085107</v>
      </c>
      <c r="G368" s="373">
        <f>SUM(G364:H367)</f>
        <v>2031</v>
      </c>
      <c r="H368" s="373">
        <v>1646</v>
      </c>
      <c r="I368" s="326">
        <f>IFERROR(IF(OR(AND(G368="",C368=""),AND(G368=0,C368=0)),"",
IF(OR(G368="",G368=0),1,
IF(OR(G368&lt;&gt;"",G368&lt;&gt;0),(C368-G368)/ABS(G368)))),-1)</f>
        <v>-0.37961595273264404</v>
      </c>
    </row>
    <row r="369" spans="1:9" ht="14.25" x14ac:dyDescent="0.2">
      <c r="A369" s="248"/>
      <c r="B369" s="249"/>
      <c r="C369" s="249"/>
      <c r="D369" s="248"/>
      <c r="E369" s="249"/>
      <c r="F369" s="286"/>
      <c r="G369" s="248"/>
      <c r="H369" s="249"/>
      <c r="I369" s="286"/>
    </row>
    <row r="370" spans="1:9" ht="15" x14ac:dyDescent="0.25">
      <c r="A370" s="332" t="s">
        <v>207</v>
      </c>
      <c r="B370" s="332"/>
      <c r="C370" s="332"/>
      <c r="D370" s="332"/>
      <c r="E370" s="332"/>
      <c r="F370" s="340"/>
      <c r="G370" s="332"/>
      <c r="H370" s="332"/>
      <c r="I370" s="340"/>
    </row>
    <row r="371" spans="1:9" ht="14.25" x14ac:dyDescent="0.2">
      <c r="A371" s="339" t="s">
        <v>14</v>
      </c>
      <c r="B371" s="248"/>
      <c r="C371" s="248"/>
      <c r="D371" s="248"/>
      <c r="E371" s="248"/>
      <c r="F371" s="286"/>
      <c r="G371" s="248"/>
      <c r="H371" s="248"/>
      <c r="I371" s="286"/>
    </row>
    <row r="372" spans="1:9" ht="14.25" x14ac:dyDescent="0.2">
      <c r="A372" s="248" t="s">
        <v>446</v>
      </c>
      <c r="B372" s="249"/>
      <c r="C372" s="249">
        <f>SUMIFS(Data!$U$2:$U$14,Data!$S$2:$S$14,MarketProfile!A372,Data!$X$2:$X$14,"1")</f>
        <v>1193945</v>
      </c>
      <c r="D372" s="381">
        <f>SUMIFS(Data!$U$30:$U$42,Data!$S$30:$S$42,MarketProfile!A372,Data!$X$30:$X$42,"1")</f>
        <v>946679</v>
      </c>
      <c r="E372" s="381"/>
      <c r="F372" s="286">
        <f t="shared" ref="F372:F379" si="26">IFERROR(IF(OR(AND(D372="",C372=""),AND(D372=0,C372=0)),"",
IF(OR(D372="",D372=0),1,
IF(OR(D372&lt;&gt;"",D372&lt;&gt;0),(C372-D372)/ABS(D372)))),-1)</f>
        <v>0.26119307600569991</v>
      </c>
      <c r="G372" s="381">
        <f>SUMIFS(Data!$U$60:$U$72,Data!$S$60:$S$72,MarketProfile!A372,Data!$X$60:$X$72,"1")</f>
        <v>1230249</v>
      </c>
      <c r="H372" s="381"/>
      <c r="I372" s="286">
        <f t="shared" ref="I372:I379" si="27">IFERROR(IF(OR(AND(G372="",C372=""),AND(G372=0,C372=0)),"",
IF(OR(G372="",G372=0),1,
IF(OR(G372&lt;&gt;"",G372&lt;&gt;0),(C372-G372)/ABS(G372)))),-1)</f>
        <v>-2.9509473285489359E-2</v>
      </c>
    </row>
    <row r="373" spans="1:9" ht="14.25" x14ac:dyDescent="0.2">
      <c r="A373" s="248" t="s">
        <v>447</v>
      </c>
      <c r="B373" s="249"/>
      <c r="C373" s="249">
        <f>SUMIFS(Data!$U$2:$U$14,Data!$S$2:$S$14,MarketProfile!A373,Data!$X$2:$X$14,"1")</f>
        <v>393492</v>
      </c>
      <c r="D373" s="381">
        <f>SUMIFS(Data!$U$30:$U$42,Data!$S$30:$S$42,MarketProfile!A373,Data!$X$30:$X$42,"1")</f>
        <v>331025</v>
      </c>
      <c r="E373" s="381"/>
      <c r="F373" s="286">
        <f t="shared" si="26"/>
        <v>0.18870780152556454</v>
      </c>
      <c r="G373" s="381">
        <f>SUMIFS(Data!$U$60:$U$72,Data!$S$60:$S$72,MarketProfile!A373,Data!$X$60:$X$72,"1")</f>
        <v>1049793</v>
      </c>
      <c r="H373" s="381"/>
      <c r="I373" s="286">
        <f t="shared" si="27"/>
        <v>-0.62517181958729007</v>
      </c>
    </row>
    <row r="374" spans="1:9" ht="14.25" x14ac:dyDescent="0.2">
      <c r="A374" s="248" t="s">
        <v>448</v>
      </c>
      <c r="B374" s="249"/>
      <c r="C374" s="249">
        <f>SUMIFS(Data!$U$2:$U$14,Data!$S$2:$S$14,MarketProfile!A374,Data!$X$2:$X$14,"1")</f>
        <v>313086</v>
      </c>
      <c r="D374" s="381">
        <f>SUMIFS(Data!$U$30:$U$42,Data!$S$30:$S$42,MarketProfile!A374,Data!$X$30:$X$42,"1")</f>
        <v>178329</v>
      </c>
      <c r="E374" s="381"/>
      <c r="F374" s="286">
        <f t="shared" si="26"/>
        <v>0.75566509092744305</v>
      </c>
      <c r="G374" s="381">
        <f>SUMIFS(Data!$U$60:$U$72,Data!$S$60:$S$72,MarketProfile!A374,Data!$X$60:$X$72,"1")</f>
        <v>458178</v>
      </c>
      <c r="H374" s="381"/>
      <c r="I374" s="286">
        <f t="shared" si="27"/>
        <v>-0.31667168654976885</v>
      </c>
    </row>
    <row r="375" spans="1:9" ht="14.25" x14ac:dyDescent="0.2">
      <c r="A375" s="248" t="s">
        <v>182</v>
      </c>
      <c r="B375" s="249"/>
      <c r="C375" s="249">
        <f>SUMIFS(Data!$U$2:$U$14,Data!$S$2:$S$14,MarketProfile!A375,Data!$X$2:$X$14,"1")</f>
        <v>674315</v>
      </c>
      <c r="D375" s="381">
        <f>SUMIFS(Data!$U$30:$U$42,Data!$S$30:$S$42,MarketProfile!A375,Data!$X$30:$X$42,"1")</f>
        <v>469584</v>
      </c>
      <c r="E375" s="381"/>
      <c r="F375" s="286">
        <f t="shared" si="26"/>
        <v>0.43598376435312958</v>
      </c>
      <c r="G375" s="381">
        <f>SUMIFS(Data!$U$60:$U$72,Data!$S$60:$S$72,MarketProfile!A375,Data!$X$60:$X$72,"1")</f>
        <v>256249</v>
      </c>
      <c r="H375" s="381"/>
      <c r="I375" s="286">
        <f t="shared" si="27"/>
        <v>1.6314834399353753</v>
      </c>
    </row>
    <row r="376" spans="1:9" ht="14.25" x14ac:dyDescent="0.2">
      <c r="A376" s="248" t="s">
        <v>449</v>
      </c>
      <c r="B376" s="249"/>
      <c r="C376" s="249">
        <f>SUMIFS(Data!$U$2:$U$14,Data!$S$2:$S$14,MarketProfile!A376,Data!$X$2:$X$14,"1")</f>
        <v>4472269</v>
      </c>
      <c r="D376" s="381">
        <f>SUMIFS(Data!$U$30:$U$42,Data!$S$30:$S$42,MarketProfile!A376,Data!$X$30:$X$42,"1")</f>
        <v>174598</v>
      </c>
      <c r="E376" s="381"/>
      <c r="F376" s="286">
        <f t="shared" si="26"/>
        <v>24.614663398206165</v>
      </c>
      <c r="G376" s="381">
        <f>SUMIFS(Data!$U$60:$U$72,Data!$S$60:$S$72,MarketProfile!A376,Data!$X$60:$X$72,"1")</f>
        <v>1495331</v>
      </c>
      <c r="H376" s="381"/>
      <c r="I376" s="286">
        <f t="shared" si="27"/>
        <v>1.9908220989199046</v>
      </c>
    </row>
    <row r="377" spans="1:9" ht="14.25" x14ac:dyDescent="0.2">
      <c r="A377" s="248" t="s">
        <v>450</v>
      </c>
      <c r="B377" s="249"/>
      <c r="C377" s="249">
        <f>SUMIFS(Data!$U$2:$U$14,Data!$S$2:$S$14,MarketProfile!A377,Data!$X$2:$X$14,"1")</f>
        <v>4230010</v>
      </c>
      <c r="D377" s="381">
        <f>SUMIFS(Data!$U$30:$U$42,Data!$S$30:$S$42,MarketProfile!A377,Data!$X$30:$X$42,"1")</f>
        <v>133980</v>
      </c>
      <c r="E377" s="381"/>
      <c r="F377" s="286">
        <f t="shared" si="26"/>
        <v>30.571951037468278</v>
      </c>
      <c r="G377" s="381">
        <f>SUMIFS(Data!$U$60:$U$72,Data!$S$60:$S$72,MarketProfile!A377,Data!$X$60:$X$72,"1")</f>
        <v>1348213</v>
      </c>
      <c r="H377" s="381"/>
      <c r="I377" s="286">
        <f t="shared" si="27"/>
        <v>2.1374938529742704</v>
      </c>
    </row>
    <row r="378" spans="1:9" ht="14.25" x14ac:dyDescent="0.2">
      <c r="A378" s="248" t="s">
        <v>451</v>
      </c>
      <c r="B378" s="249"/>
      <c r="C378" s="249">
        <f>SUMIFS(Data!$U$2:$U$14,Data!$S$2:$S$14,MarketProfile!A378,Data!$X$2:$X$14,"1")</f>
        <v>58318</v>
      </c>
      <c r="D378" s="381">
        <f>SUMIFS(Data!$U$30:$U$42,Data!$S$30:$S$42,MarketProfile!A378,Data!$X$30:$X$42,"1")</f>
        <v>30652</v>
      </c>
      <c r="E378" s="381"/>
      <c r="F378" s="286">
        <f t="shared" si="26"/>
        <v>0.90258384444734441</v>
      </c>
      <c r="G378" s="381">
        <f>SUMIFS(Data!$U$60:$U$72,Data!$S$60:$S$72,MarketProfile!A378,Data!$X$60:$X$72,"1")</f>
        <v>110287</v>
      </c>
      <c r="H378" s="381"/>
      <c r="I378" s="286">
        <f t="shared" si="27"/>
        <v>-0.47121600913978984</v>
      </c>
    </row>
    <row r="379" spans="1:9" ht="15" x14ac:dyDescent="0.25">
      <c r="A379" s="288" t="s">
        <v>133</v>
      </c>
      <c r="B379" s="250"/>
      <c r="C379" s="250">
        <f>SUM(C372:C378)</f>
        <v>11335435</v>
      </c>
      <c r="D379" s="373">
        <f>SUM(D372:E378)</f>
        <v>2264847</v>
      </c>
      <c r="E379" s="373"/>
      <c r="F379" s="326">
        <f t="shared" si="26"/>
        <v>4.0049451464050332</v>
      </c>
      <c r="G379" s="373">
        <f>SUM(G372:H378)</f>
        <v>5948300</v>
      </c>
      <c r="H379" s="373">
        <v>17193059</v>
      </c>
      <c r="I379" s="326">
        <f t="shared" si="27"/>
        <v>0.90565960022191216</v>
      </c>
    </row>
    <row r="380" spans="1:9" ht="14.25" x14ac:dyDescent="0.2">
      <c r="A380" s="248"/>
      <c r="B380" s="249"/>
      <c r="C380" s="249"/>
      <c r="D380" s="248"/>
      <c r="E380" s="249"/>
      <c r="F380" s="286"/>
      <c r="G380" s="248"/>
      <c r="H380" s="249"/>
      <c r="I380" s="286"/>
    </row>
    <row r="381" spans="1:9" ht="15" x14ac:dyDescent="0.25">
      <c r="A381" s="339" t="s">
        <v>206</v>
      </c>
      <c r="B381" s="250"/>
      <c r="C381" s="250"/>
      <c r="D381" s="248"/>
      <c r="E381" s="250"/>
      <c r="F381" s="286"/>
      <c r="G381" s="248"/>
      <c r="H381" s="250"/>
      <c r="I381" s="286"/>
    </row>
    <row r="382" spans="1:9" ht="14.25" x14ac:dyDescent="0.2">
      <c r="A382" s="248" t="s">
        <v>446</v>
      </c>
      <c r="B382" s="249"/>
      <c r="C382" s="249">
        <f>SUMIFS(Data!$U$2:$U$14,Data!$S$2:$S$14,MarketProfile!A382,Data!$X$2:$X$14,"0")</f>
        <v>432407</v>
      </c>
      <c r="D382" s="381">
        <f>SUMIFS(Data!$U$30:$U$42,Data!$S$30:$S$42,MarketProfile!A382,Data!$X$30:$X$42,"0")</f>
        <v>296873</v>
      </c>
      <c r="E382" s="381"/>
      <c r="F382" s="286">
        <f t="shared" ref="F382:F386" si="28">IFERROR(IF(OR(AND(D382="",C382=""),AND(D382=0,C382=0)),"",
IF(OR(D382="",D382=0),1,
IF(OR(D382&lt;&gt;"",D382&lt;&gt;0),(C382-D382)/ABS(D382)))),-1)</f>
        <v>0.45653865457619924</v>
      </c>
      <c r="G382" s="381">
        <f>SUMIFS(Data!$U$60:$U$72,Data!$S$60:$S$72,MarketProfile!A382,Data!$X$60:$X$72,"0")</f>
        <v>264955</v>
      </c>
      <c r="H382" s="381"/>
      <c r="I382" s="286">
        <f t="shared" ref="I382:I386" si="29">IFERROR(IF(OR(AND(G382="",C382=""),AND(G382=0,C382=0)),"",
IF(OR(G382="",G382=0),1,
IF(OR(G382&lt;&gt;"",G382&lt;&gt;0),(C382-G382)/ABS(G382)))),-1)</f>
        <v>0.63200166065935726</v>
      </c>
    </row>
    <row r="383" spans="1:9" ht="14.25" x14ac:dyDescent="0.2">
      <c r="A383" s="248" t="s">
        <v>447</v>
      </c>
      <c r="B383" s="249"/>
      <c r="C383" s="249">
        <f>SUMIFS(Data!$U$2:$U$14,Data!$S$2:$S$14,MarketProfile!A383,Data!$X$2:$X$14,"0")</f>
        <v>1081236</v>
      </c>
      <c r="D383" s="381">
        <f>SUMIFS(Data!$U$30:$U$42,Data!$S$30:$S$42,MarketProfile!A383,Data!$X$30:$X$42,"0")</f>
        <v>330964</v>
      </c>
      <c r="E383" s="381"/>
      <c r="F383" s="286">
        <f t="shared" si="28"/>
        <v>2.2669293337039678</v>
      </c>
      <c r="G383" s="381">
        <f>SUMIFS(Data!$U$60:$U$72,Data!$S$60:$S$72,MarketProfile!A383,Data!$X$60:$X$72,"0")</f>
        <v>457325</v>
      </c>
      <c r="H383" s="381"/>
      <c r="I383" s="286">
        <f t="shared" si="29"/>
        <v>1.3642617394631826</v>
      </c>
    </row>
    <row r="384" spans="1:9" ht="14.25" x14ac:dyDescent="0.2">
      <c r="A384" s="248" t="s">
        <v>451</v>
      </c>
      <c r="B384" s="249"/>
      <c r="C384" s="249">
        <f>SUMIFS(Data!$U$2:$U$14,Data!$S$2:$S$14,MarketProfile!A384,Data!$X$2:$X$14,"0")</f>
        <v>100397</v>
      </c>
      <c r="D384" s="381">
        <f>SUMIFS(Data!$U$30:$U$42,Data!$S$30:$S$42,MarketProfile!A384,Data!$X$30:$X$42,"0")</f>
        <v>89707</v>
      </c>
      <c r="E384" s="381"/>
      <c r="F384" s="286">
        <f t="shared" si="28"/>
        <v>0.11916572842699009</v>
      </c>
      <c r="G384" s="381">
        <f>SUMIFS(Data!$U$60:$U$72,Data!$S$60:$S$72,MarketProfile!A384,Data!$X$60:$X$72,"0")</f>
        <v>669146</v>
      </c>
      <c r="H384" s="381"/>
      <c r="I384" s="286">
        <f t="shared" si="29"/>
        <v>-0.84996248950154374</v>
      </c>
    </row>
    <row r="385" spans="1:9" ht="14.25" x14ac:dyDescent="0.2">
      <c r="A385" s="248" t="s">
        <v>448</v>
      </c>
      <c r="B385" s="249"/>
      <c r="C385" s="249">
        <f>SUMIFS(Data!$U$2:$U$14,Data!$S$2:$S$14,MarketProfile!A385,Data!$X$2:$X$14,"0")</f>
        <v>0</v>
      </c>
      <c r="D385" s="381">
        <f>SUMIFS(Data!$U$30:$U$42,Data!$S$30:$S$42,MarketProfile!A385,Data!$X$30:$X$42,"0")</f>
        <v>0</v>
      </c>
      <c r="E385" s="381"/>
      <c r="F385" s="286" t="str">
        <f t="shared" si="28"/>
        <v/>
      </c>
      <c r="G385" s="381">
        <f>SUMIFS(Data!$U$60:$U$72,Data!$S$60:$S$72,MarketProfile!A385,Data!$X$60:$X$72,"0")</f>
        <v>0</v>
      </c>
      <c r="H385" s="381"/>
      <c r="I385" s="286" t="str">
        <f t="shared" si="29"/>
        <v/>
      </c>
    </row>
    <row r="386" spans="1:9" ht="15" x14ac:dyDescent="0.25">
      <c r="A386" s="288" t="s">
        <v>133</v>
      </c>
      <c r="B386" s="250"/>
      <c r="C386" s="250">
        <f>SUM(C382:C385)</f>
        <v>1614040</v>
      </c>
      <c r="D386" s="373">
        <f>SUM(D382:E385)</f>
        <v>717544</v>
      </c>
      <c r="E386" s="373">
        <f>SUM(E382:E385)</f>
        <v>0</v>
      </c>
      <c r="F386" s="326">
        <f t="shared" si="28"/>
        <v>1.2493951590425116</v>
      </c>
      <c r="G386" s="373">
        <f>SUM(G382:H385)</f>
        <v>1391426</v>
      </c>
      <c r="H386" s="373">
        <v>677531</v>
      </c>
      <c r="I386" s="326">
        <f t="shared" si="29"/>
        <v>0.15998982338981735</v>
      </c>
    </row>
    <row r="387" spans="1:9" ht="14.25" x14ac:dyDescent="0.2">
      <c r="A387" s="248"/>
      <c r="B387" s="249"/>
      <c r="C387" s="249"/>
      <c r="D387" s="248"/>
      <c r="E387" s="249"/>
      <c r="F387" s="286"/>
      <c r="G387" s="248"/>
      <c r="H387" s="249"/>
      <c r="I387" s="286"/>
    </row>
    <row r="388" spans="1:9" ht="15" x14ac:dyDescent="0.25">
      <c r="A388" s="332" t="s">
        <v>208</v>
      </c>
      <c r="B388" s="332"/>
      <c r="C388" s="332"/>
      <c r="D388" s="332"/>
      <c r="E388" s="332"/>
      <c r="F388" s="340"/>
      <c r="G388" s="332"/>
      <c r="H388" s="332"/>
      <c r="I388" s="340"/>
    </row>
    <row r="389" spans="1:9" ht="14.25" x14ac:dyDescent="0.2">
      <c r="A389" s="339" t="s">
        <v>14</v>
      </c>
      <c r="B389" s="248"/>
      <c r="C389" s="248"/>
      <c r="D389" s="248"/>
      <c r="E389" s="248"/>
      <c r="F389" s="286"/>
      <c r="G389" s="248"/>
      <c r="H389" s="248"/>
      <c r="I389" s="286"/>
    </row>
    <row r="390" spans="1:9" ht="14.25" x14ac:dyDescent="0.2">
      <c r="A390" s="248" t="s">
        <v>446</v>
      </c>
      <c r="B390" s="249"/>
      <c r="C390" s="249">
        <f>SUMIFS(Data!$T$2:$T$14,Data!$S$2:$S$14,MarketProfile!A390,Data!$X$2:$X$14,"1")/1000</f>
        <v>361778092.37957823</v>
      </c>
      <c r="D390" s="381">
        <f>SUMIFS(Data!$T$30:$T$42,Data!$S$30:$S$42,MarketProfile!A390,Data!$X$30:$X$42,"1")/1000</f>
        <v>306518015.64089608</v>
      </c>
      <c r="E390" s="381"/>
      <c r="F390" s="286">
        <f t="shared" ref="F390:F397" si="30">IFERROR(IF(OR(AND(D390="",C390=""),AND(D390=0,C390=0)),"",
IF(OR(D390="",D390=0),1,
IF(OR(D390&lt;&gt;"",D390&lt;&gt;0),(C390-D390)/ABS(D390)))),-1)</f>
        <v>0.18028329141808938</v>
      </c>
      <c r="G390" s="381">
        <f>SUMIFS(Data!$T$60:$T$72,Data!$S$60:$S$72,MarketProfile!A390,Data!$X$60:$X$72,"1")/1000</f>
        <v>387741854.91922253</v>
      </c>
      <c r="H390" s="381"/>
      <c r="I390" s="286">
        <f t="shared" ref="I390:I397" si="31">IFERROR(IF(OR(AND(G390="",C390=""),AND(G390=0,C390=0)),"",
IF(OR(G390="",G390=0),1,
IF(OR(G390&lt;&gt;"",G390&lt;&gt;0),(C390-G390)/ABS(G390)))),-1)</f>
        <v>-6.6961464722587863E-2</v>
      </c>
    </row>
    <row r="391" spans="1:9" ht="14.25" x14ac:dyDescent="0.2">
      <c r="A391" s="248" t="s">
        <v>447</v>
      </c>
      <c r="B391" s="249"/>
      <c r="C391" s="249">
        <f>SUMIFS(Data!$T$2:$T$14,Data!$S$2:$S$14,MarketProfile!A391,Data!$X$2:$X$14,"1")/1000</f>
        <v>8247404.9706969997</v>
      </c>
      <c r="D391" s="381">
        <f>SUMIFS(Data!$T$30:$T$42,Data!$S$30:$S$42,MarketProfile!A391,Data!$X$30:$X$42,"1")/1000</f>
        <v>7156685.8582600001</v>
      </c>
      <c r="E391" s="381"/>
      <c r="F391" s="286">
        <f t="shared" si="30"/>
        <v>0.15240561539782121</v>
      </c>
      <c r="G391" s="381">
        <f>SUMIFS(Data!$T$60:$T$72,Data!$S$60:$S$72,MarketProfile!A391,Data!$X$60:$X$72,"1")/1000</f>
        <v>10656359.76926</v>
      </c>
      <c r="H391" s="381"/>
      <c r="I391" s="286">
        <f t="shared" si="31"/>
        <v>-0.22605794574541505</v>
      </c>
    </row>
    <row r="392" spans="1:9" ht="14.25" x14ac:dyDescent="0.2">
      <c r="A392" s="248" t="s">
        <v>448</v>
      </c>
      <c r="B392" s="249"/>
      <c r="C392" s="249">
        <f>SUMIFS(Data!$T$2:$T$14,Data!$S$2:$S$14,MarketProfile!A392,Data!$X$2:$X$14,"1")/1000</f>
        <v>0</v>
      </c>
      <c r="D392" s="381">
        <f>SUMIFS(Data!$T$30:$T$42,Data!$S$30:$S$42,MarketProfile!A392,Data!$X$30:$X$42,"1")/1000</f>
        <v>47069.447999999997</v>
      </c>
      <c r="E392" s="381"/>
      <c r="F392" s="286">
        <f t="shared" si="30"/>
        <v>-1</v>
      </c>
      <c r="G392" s="381">
        <f>SUMIFS(Data!$T$60:$T$72,Data!$S$60:$S$72,MarketProfile!A392,Data!$X$60:$X$72,"1")/1000</f>
        <v>1752239.6494</v>
      </c>
      <c r="H392" s="381"/>
      <c r="I392" s="286">
        <f t="shared" si="31"/>
        <v>-1</v>
      </c>
    </row>
    <row r="393" spans="1:9" ht="14.25" x14ac:dyDescent="0.2">
      <c r="A393" s="248" t="s">
        <v>182</v>
      </c>
      <c r="B393" s="249"/>
      <c r="C393" s="249">
        <f>SUMIFS(Data!$T$2:$T$14,Data!$S$2:$S$14,MarketProfile!A393,Data!$X$2:$X$14,"1")/1000</f>
        <v>35216.710005999994</v>
      </c>
      <c r="D393" s="381">
        <f>SUMIFS(Data!$T$30:$T$42,Data!$S$30:$S$42,MarketProfile!A393,Data!$X$30:$X$42,"1")/1000</f>
        <v>42141.361876000003</v>
      </c>
      <c r="E393" s="381"/>
      <c r="F393" s="286">
        <f t="shared" si="30"/>
        <v>-0.16431960339524951</v>
      </c>
      <c r="G393" s="381">
        <f>SUMIFS(Data!$T$60:$T$72,Data!$S$60:$S$72,MarketProfile!A393,Data!$X$60:$X$72,"1")/1000</f>
        <v>48430.471189000004</v>
      </c>
      <c r="H393" s="381"/>
      <c r="I393" s="286">
        <f t="shared" si="31"/>
        <v>-0.27283982291713171</v>
      </c>
    </row>
    <row r="394" spans="1:9" ht="14.25" x14ac:dyDescent="0.2">
      <c r="A394" s="248" t="s">
        <v>449</v>
      </c>
      <c r="B394" s="249"/>
      <c r="C394" s="249">
        <f>SUMIFS(Data!$T$2:$T$14,Data!$S$2:$S$14,MarketProfile!A394,Data!$X$2:$X$14,"1")/1000</f>
        <v>1007432.552701</v>
      </c>
      <c r="D394" s="381">
        <f>SUMIFS(Data!$T$30:$T$42,Data!$S$30:$S$42,MarketProfile!A394,Data!$X$30:$X$42,"1")/1000</f>
        <v>102025.26225100001</v>
      </c>
      <c r="E394" s="381"/>
      <c r="F394" s="286">
        <f t="shared" si="30"/>
        <v>8.8743441621599519</v>
      </c>
      <c r="G394" s="381">
        <f>SUMIFS(Data!$T$60:$T$72,Data!$S$60:$S$72,MarketProfile!A394,Data!$X$60:$X$72,"1")/1000</f>
        <v>474092.51295499998</v>
      </c>
      <c r="H394" s="381"/>
      <c r="I394" s="286">
        <f t="shared" si="31"/>
        <v>1.1249703911620803</v>
      </c>
    </row>
    <row r="395" spans="1:9" ht="14.25" x14ac:dyDescent="0.2">
      <c r="A395" s="248" t="s">
        <v>450</v>
      </c>
      <c r="B395" s="249"/>
      <c r="C395" s="249">
        <f>SUMIFS(Data!$T$2:$T$14,Data!$S$2:$S$14,MarketProfile!A395,Data!$X$2:$X$14,"1")/1000</f>
        <v>0</v>
      </c>
      <c r="D395" s="381">
        <f>SUMIFS(Data!$T$30:$T$42,Data!$S$30:$S$42,MarketProfile!A395,Data!$X$30:$X$42,"1")/1000</f>
        <v>0</v>
      </c>
      <c r="E395" s="381"/>
      <c r="F395" s="286" t="str">
        <f t="shared" si="30"/>
        <v/>
      </c>
      <c r="G395" s="381">
        <f>SUMIFS(Data!$T$60:$T$72,Data!$S$60:$S$72,MarketProfile!A395,Data!$X$60:$X$72,"1")/1000</f>
        <v>57.417499999999997</v>
      </c>
      <c r="H395" s="381"/>
      <c r="I395" s="286">
        <f t="shared" si="31"/>
        <v>-1</v>
      </c>
    </row>
    <row r="396" spans="1:9" ht="14.25" x14ac:dyDescent="0.2">
      <c r="A396" s="248" t="s">
        <v>451</v>
      </c>
      <c r="B396" s="249"/>
      <c r="C396" s="249">
        <f>SUMIFS(Data!$T$2:$T$14,Data!$S$2:$S$14,MarketProfile!A396,Data!$X$2:$X$14,"1")/1000</f>
        <v>1934446.6457100001</v>
      </c>
      <c r="D396" s="381">
        <f>SUMIFS(Data!$T$30:$T$42,Data!$S$30:$S$42,MarketProfile!A396,Data!$X$30:$X$42,"1")/1000</f>
        <v>2241752.5077470001</v>
      </c>
      <c r="E396" s="381"/>
      <c r="F396" s="286">
        <f t="shared" si="30"/>
        <v>-0.13708286752218143</v>
      </c>
      <c r="G396" s="381">
        <f>SUMIFS(Data!$T$60:$T$72,Data!$S$60:$S$72,MarketProfile!A396,Data!$X$60:$X$72,"1")/1000</f>
        <v>1617149.0853649999</v>
      </c>
      <c r="H396" s="381"/>
      <c r="I396" s="286">
        <f t="shared" si="31"/>
        <v>0.19620798305889295</v>
      </c>
    </row>
    <row r="397" spans="1:9" ht="15" x14ac:dyDescent="0.25">
      <c r="A397" s="288" t="s">
        <v>133</v>
      </c>
      <c r="B397" s="250"/>
      <c r="C397" s="250">
        <f>SUM(C390:C396)</f>
        <v>373002593.2586922</v>
      </c>
      <c r="D397" s="373">
        <f>SUM(D390:E396)</f>
        <v>316107690.0790301</v>
      </c>
      <c r="E397" s="373">
        <f>SUM(E390:E396)</f>
        <v>0</v>
      </c>
      <c r="F397" s="326">
        <f t="shared" si="30"/>
        <v>0.17998582434181784</v>
      </c>
      <c r="G397" s="373">
        <f>SUM(G390:H396)</f>
        <v>402290183.82489157</v>
      </c>
      <c r="H397" s="373">
        <v>320543973</v>
      </c>
      <c r="I397" s="326">
        <f t="shared" si="31"/>
        <v>-7.2802150645931832E-2</v>
      </c>
    </row>
    <row r="398" spans="1:9" ht="14.25" x14ac:dyDescent="0.2">
      <c r="A398" s="248"/>
      <c r="B398" s="249"/>
      <c r="C398" s="249"/>
      <c r="D398" s="248"/>
      <c r="E398" s="249"/>
      <c r="F398" s="286"/>
      <c r="G398" s="248"/>
      <c r="H398" s="249"/>
      <c r="I398" s="286"/>
    </row>
    <row r="399" spans="1:9" ht="15" x14ac:dyDescent="0.25">
      <c r="A399" s="339" t="s">
        <v>206</v>
      </c>
      <c r="B399" s="250"/>
      <c r="C399" s="250"/>
      <c r="D399" s="248"/>
      <c r="E399" s="250"/>
      <c r="F399" s="286"/>
      <c r="G399" s="248"/>
      <c r="H399" s="250"/>
      <c r="I399" s="286"/>
    </row>
    <row r="400" spans="1:9" ht="14.25" x14ac:dyDescent="0.2">
      <c r="A400" s="248" t="s">
        <v>446</v>
      </c>
      <c r="B400" s="249"/>
      <c r="C400" s="249">
        <f>SUMIFS(Data!$T$2:$T$14,Data!$S$2:$S$14,MarketProfile!A400,Data!$X$2:$X$14,"0")/1000</f>
        <v>2661039.01009</v>
      </c>
      <c r="D400" s="381">
        <f>SUMIFS(Data!$T$30:$T$42,Data!$S$30:$S$42,MarketProfile!A400,Data!$X$30:$X$42,"0")/1000</f>
        <v>1272165.2339699999</v>
      </c>
      <c r="E400" s="381"/>
      <c r="F400" s="286">
        <f t="shared" ref="F400:F404" si="32">IFERROR(IF(OR(AND(D400="",C400=""),AND(D400=0,C400=0)),"",
IF(OR(D400="",D400=0),1,
IF(OR(D400&lt;&gt;"",D400&lt;&gt;0),(C400-D400)/ABS(D400)))),-1)</f>
        <v>1.091740081424637</v>
      </c>
      <c r="G400" s="381">
        <f>SUMIFS(Data!$T$60:$T$72,Data!$S$60:$S$72,MarketProfile!A400,Data!$X$60:$X$72,"0")/1000</f>
        <v>3449602.4797700001</v>
      </c>
      <c r="H400" s="381"/>
      <c r="I400" s="286">
        <f t="shared" ref="I400:I404" si="33">IFERROR(IF(OR(AND(G400="",C400=""),AND(G400=0,C400=0)),"",
IF(OR(G400="",G400=0),1,
IF(OR(G400&lt;&gt;"",G400&lt;&gt;0),(C400-G400)/ABS(G400)))),-1)</f>
        <v>-0.22859546115950644</v>
      </c>
    </row>
    <row r="401" spans="1:9" ht="14.25" x14ac:dyDescent="0.2">
      <c r="A401" s="248" t="s">
        <v>447</v>
      </c>
      <c r="B401" s="249"/>
      <c r="C401" s="249">
        <f>SUMIFS(Data!$T$2:$T$14,Data!$S$2:$S$14,MarketProfile!A401,Data!$X$2:$X$14,"0")/1000</f>
        <v>559450.82501999999</v>
      </c>
      <c r="D401" s="381">
        <f>SUMIFS(Data!$T$30:$T$42,Data!$S$30:$S$42,MarketProfile!A401,Data!$X$30:$X$42,"0")/1000</f>
        <v>299868.32483999996</v>
      </c>
      <c r="E401" s="381"/>
      <c r="F401" s="286">
        <f t="shared" si="32"/>
        <v>0.86565495144745563</v>
      </c>
      <c r="G401" s="381">
        <f>SUMIFS(Data!$T$60:$T$72,Data!$S$60:$S$72,MarketProfile!A401,Data!$X$60:$X$72,"0")/1000</f>
        <v>162531.31940000001</v>
      </c>
      <c r="H401" s="381"/>
      <c r="I401" s="286">
        <f t="shared" si="33"/>
        <v>2.4421108933666846</v>
      </c>
    </row>
    <row r="402" spans="1:9" ht="14.25" x14ac:dyDescent="0.2">
      <c r="A402" s="248" t="s">
        <v>451</v>
      </c>
      <c r="B402" s="249"/>
      <c r="C402" s="249">
        <f>SUMIFS(Data!$T$2:$T$14,Data!$S$2:$S$14,MarketProfile!A402,Data!$X$2:$X$14,"0")/1000</f>
        <v>77544.983939999991</v>
      </c>
      <c r="D402" s="381">
        <f>SUMIFS(Data!$T$30:$T$42,Data!$S$30:$S$42,MarketProfile!A402,Data!$X$30:$X$42,"0")/1000</f>
        <v>70331.477280000006</v>
      </c>
      <c r="E402" s="381"/>
      <c r="F402" s="286">
        <f t="shared" si="32"/>
        <v>0.10256441267800971</v>
      </c>
      <c r="G402" s="381">
        <f>SUMIFS(Data!$T$60:$T$72,Data!$S$60:$S$72,MarketProfile!A402,Data!$X$60:$X$72,"0")/1000</f>
        <v>409401.93994999997</v>
      </c>
      <c r="H402" s="381"/>
      <c r="I402" s="286">
        <f t="shared" si="33"/>
        <v>-0.81058960309403871</v>
      </c>
    </row>
    <row r="403" spans="1:9" ht="14.25" x14ac:dyDescent="0.2">
      <c r="A403" s="248" t="s">
        <v>448</v>
      </c>
      <c r="B403" s="249"/>
      <c r="C403" s="249">
        <f>SUMIFS(Data!$T$2:$T$14,Data!$S$2:$S$14,MarketProfile!A403,Data!$X$2:$X$14,"0")/1000</f>
        <v>0</v>
      </c>
      <c r="D403" s="381">
        <f>SUMIFS(Data!$T$30:$T$42,Data!$S$30:$S$42,MarketProfile!A403,Data!$X$30:$X$42,"0")/1000</f>
        <v>0</v>
      </c>
      <c r="E403" s="381"/>
      <c r="F403" s="286" t="str">
        <f t="shared" si="32"/>
        <v/>
      </c>
      <c r="G403" s="381">
        <f>SUMIFS(Data!$T$60:$T$72,Data!$S$60:$S$72,MarketProfile!A403,Data!$X$60:$X$72,"0")/1000</f>
        <v>0</v>
      </c>
      <c r="H403" s="381"/>
      <c r="I403" s="286" t="str">
        <f t="shared" si="33"/>
        <v/>
      </c>
    </row>
    <row r="404" spans="1:9" ht="15" x14ac:dyDescent="0.25">
      <c r="A404" s="288" t="s">
        <v>133</v>
      </c>
      <c r="B404" s="250"/>
      <c r="C404" s="250">
        <f>SUM(C400:C403)</f>
        <v>3298034.81905</v>
      </c>
      <c r="D404" s="373">
        <f>SUM(D400:E403)</f>
        <v>1642365.0360899998</v>
      </c>
      <c r="E404" s="373">
        <f>SUM(E400:E403)</f>
        <v>0</v>
      </c>
      <c r="F404" s="326">
        <f t="shared" si="32"/>
        <v>1.0081009681633719</v>
      </c>
      <c r="G404" s="373">
        <f>SUM(G400:H403)</f>
        <v>4021535.73912</v>
      </c>
      <c r="H404" s="373">
        <v>1436842</v>
      </c>
      <c r="I404" s="326">
        <f t="shared" si="33"/>
        <v>-0.17990662448478398</v>
      </c>
    </row>
    <row r="405" spans="1:9" ht="14.25" x14ac:dyDescent="0.2">
      <c r="A405" s="248"/>
      <c r="B405" s="249"/>
      <c r="C405" s="249"/>
      <c r="D405" s="248"/>
      <c r="E405" s="249"/>
      <c r="F405" s="286"/>
      <c r="G405" s="248"/>
      <c r="H405" s="249"/>
      <c r="I405" s="286"/>
    </row>
    <row r="406" spans="1:9" ht="15" x14ac:dyDescent="0.25">
      <c r="A406" s="332" t="s">
        <v>144</v>
      </c>
      <c r="B406" s="332"/>
      <c r="C406" s="332"/>
      <c r="D406" s="332"/>
      <c r="E406" s="332"/>
      <c r="F406" s="340"/>
      <c r="G406" s="332"/>
      <c r="H406" s="332"/>
      <c r="I406" s="340"/>
    </row>
    <row r="407" spans="1:9" ht="14.25" x14ac:dyDescent="0.2">
      <c r="A407" s="339" t="s">
        <v>14</v>
      </c>
      <c r="B407" s="248"/>
      <c r="C407" s="248"/>
      <c r="D407" s="248"/>
      <c r="E407" s="248"/>
      <c r="F407" s="286"/>
      <c r="G407" s="248"/>
      <c r="H407" s="248"/>
      <c r="I407" s="286"/>
    </row>
    <row r="408" spans="1:9" ht="14.25" x14ac:dyDescent="0.2">
      <c r="A408" s="248" t="s">
        <v>446</v>
      </c>
      <c r="B408" s="127"/>
      <c r="C408" s="127">
        <f>SUMIFS(Data!$W$15:$W$27,Data!$S$15:$S$27,MarketProfile!A408,Data!$X$15:$X$27,"1")</f>
        <v>828932</v>
      </c>
      <c r="D408" s="381">
        <f>SUMIFS(Data!$W$45:$W$57,Data!$S$45:$S$57,MarketProfile!A408,Data!$X$45:$X$57,"1")</f>
        <v>666947</v>
      </c>
      <c r="E408" s="381"/>
      <c r="F408" s="286">
        <f t="shared" ref="F408:F414" si="34">IFERROR(IF(OR(AND(D408="",C408=""),AND(D408=0,C408=0)),"",
IF(OR(D408="",D408=0),1,
IF(OR(D408&lt;&gt;"",D408&lt;&gt;0),(C408-D408)/ABS(D408)))),-1)</f>
        <v>0.2428753709065338</v>
      </c>
      <c r="G408" s="381">
        <f>SUMIFS(Data!$W$75:$W$87,Data!$S$75:$S$87,MarketProfile!A408,Data!$X$75:$X$87,"1")</f>
        <v>905154</v>
      </c>
      <c r="H408" s="381"/>
      <c r="I408" s="286">
        <f t="shared" ref="I408:I414" si="35">IFERROR(IF(OR(AND(G408="",C408=""),AND(G408=0,C408=0)),"",
IF(OR(G408="",G408=0),1,
IF(OR(G408&lt;&gt;"",G408&lt;&gt;0),(C408-G408)/ABS(G408)))),-1)</f>
        <v>-8.4208874953875246E-2</v>
      </c>
    </row>
    <row r="409" spans="1:9" ht="14.25" x14ac:dyDescent="0.2">
      <c r="A409" s="248" t="s">
        <v>447</v>
      </c>
      <c r="B409" s="127"/>
      <c r="C409" s="127">
        <f>SUMIFS(Data!$W$15:$W$27,Data!$S$15:$S$27,MarketProfile!A409,Data!$X$15:$X$27,"1")</f>
        <v>1306483</v>
      </c>
      <c r="D409" s="381">
        <f>SUMIFS(Data!$W$45:$W$57,Data!$S$45:$S$57,MarketProfile!A409,Data!$X$45:$X$57,"1")</f>
        <v>1244581</v>
      </c>
      <c r="E409" s="381"/>
      <c r="F409" s="286">
        <f t="shared" si="34"/>
        <v>4.9737220799610474E-2</v>
      </c>
      <c r="G409" s="381">
        <f>SUMIFS(Data!$W$75:$W$87,Data!$S$75:$S$87,MarketProfile!A409,Data!$X$75:$X$87,"1")</f>
        <v>933320</v>
      </c>
      <c r="H409" s="381"/>
      <c r="I409" s="286">
        <f t="shared" si="35"/>
        <v>0.399823211760168</v>
      </c>
    </row>
    <row r="410" spans="1:9" ht="14.25" x14ac:dyDescent="0.2">
      <c r="A410" s="248" t="s">
        <v>448</v>
      </c>
      <c r="B410" s="127"/>
      <c r="C410" s="127">
        <f>SUMIFS(Data!$W$15:$W$27,Data!$S$15:$S$27,MarketProfile!A410,Data!$X$15:$X$27,"1")</f>
        <v>961654</v>
      </c>
      <c r="D410" s="381">
        <f>SUMIFS(Data!$W$45:$W$57,Data!$S$45:$S$57,MarketProfile!A410,Data!$X$45:$X$57,"1")</f>
        <v>874404</v>
      </c>
      <c r="E410" s="381"/>
      <c r="F410" s="286">
        <f t="shared" si="34"/>
        <v>9.9782251682288742E-2</v>
      </c>
      <c r="G410" s="381">
        <f>SUMIFS(Data!$W$75:$W$87,Data!$S$75:$S$87,MarketProfile!A410,Data!$X$75:$X$87,"1")</f>
        <v>698238</v>
      </c>
      <c r="H410" s="381"/>
      <c r="I410" s="286">
        <f t="shared" si="35"/>
        <v>0.37725818417215906</v>
      </c>
    </row>
    <row r="411" spans="1:9" ht="14.25" x14ac:dyDescent="0.2">
      <c r="A411" s="248" t="s">
        <v>182</v>
      </c>
      <c r="B411" s="127"/>
      <c r="C411" s="127">
        <f>SUMIFS(Data!$W$15:$W$27,Data!$S$15:$S$27,MarketProfile!A411,Data!$X$15:$X$27,"1")</f>
        <v>1880974</v>
      </c>
      <c r="D411" s="381">
        <f>SUMIFS(Data!$W$45:$W$57,Data!$S$45:$S$57,MarketProfile!A411,Data!$X$45:$X$57,"1")</f>
        <v>2087844</v>
      </c>
      <c r="E411" s="381"/>
      <c r="F411" s="286">
        <f t="shared" si="34"/>
        <v>-9.9083073256431037E-2</v>
      </c>
      <c r="G411" s="381">
        <f>SUMIFS(Data!$W$75:$W$87,Data!$S$75:$S$87,MarketProfile!A411,Data!$X$75:$X$87,"1")</f>
        <v>1364436</v>
      </c>
      <c r="H411" s="381"/>
      <c r="I411" s="286">
        <f t="shared" si="35"/>
        <v>0.37857253839681743</v>
      </c>
    </row>
    <row r="412" spans="1:9" ht="14.25" x14ac:dyDescent="0.2">
      <c r="A412" s="248" t="s">
        <v>449</v>
      </c>
      <c r="B412" s="127"/>
      <c r="C412" s="127">
        <f>SUMIFS(Data!$W$15:$W$27,Data!$S$15:$S$27,MarketProfile!A412,Data!$X$15:$X$27,"1")</f>
        <v>12407363</v>
      </c>
      <c r="D412" s="381">
        <f>SUMIFS(Data!$W$45:$W$57,Data!$S$45:$S$57,MarketProfile!A412,Data!$X$45:$X$57,"1")</f>
        <v>14035216</v>
      </c>
      <c r="E412" s="381"/>
      <c r="F412" s="286">
        <f t="shared" si="34"/>
        <v>-0.11598346616111929</v>
      </c>
      <c r="G412" s="381">
        <f>SUMIFS(Data!$W$75:$W$87,Data!$S$75:$S$87,MarketProfile!A412,Data!$X$75:$X$87,"1")</f>
        <v>19182615</v>
      </c>
      <c r="H412" s="381"/>
      <c r="I412" s="286">
        <f t="shared" si="35"/>
        <v>-0.35319751764814128</v>
      </c>
    </row>
    <row r="413" spans="1:9" ht="14.25" x14ac:dyDescent="0.2">
      <c r="A413" s="248" t="s">
        <v>450</v>
      </c>
      <c r="B413" s="127"/>
      <c r="C413" s="127">
        <f>SUMIFS(Data!$W$15:$W$27,Data!$S$15:$S$27,MarketProfile!A413,Data!$X$15:$X$27,"1")</f>
        <v>11899416</v>
      </c>
      <c r="D413" s="381">
        <f>SUMIFS(Data!$W$45:$W$57,Data!$S$45:$S$57,MarketProfile!A413,Data!$X$45:$X$57,"1")</f>
        <v>13536615</v>
      </c>
      <c r="E413" s="381"/>
      <c r="F413" s="286">
        <f t="shared" si="34"/>
        <v>-0.12094596765882756</v>
      </c>
      <c r="G413" s="381">
        <f>SUMIFS(Data!$W$75:$W$87,Data!$S$75:$S$87,MarketProfile!A413,Data!$X$75:$X$87,"1")</f>
        <v>18716086</v>
      </c>
      <c r="H413" s="381"/>
      <c r="I413" s="286">
        <f t="shared" si="35"/>
        <v>-0.36421450510539438</v>
      </c>
    </row>
    <row r="414" spans="1:9" ht="14.25" x14ac:dyDescent="0.2">
      <c r="A414" s="248" t="s">
        <v>451</v>
      </c>
      <c r="B414" s="127"/>
      <c r="C414" s="127">
        <f>SUMIFS(Data!$W$15:$W$27,Data!$S$15:$S$27,MarketProfile!A414,Data!$X$15:$X$27,"1")</f>
        <v>301241</v>
      </c>
      <c r="D414" s="381">
        <f>SUMIFS(Data!$W$45:$W$57,Data!$S$45:$S$57,MarketProfile!A414,Data!$X$45:$X$57,"1")</f>
        <v>303759</v>
      </c>
      <c r="E414" s="381"/>
      <c r="F414" s="286">
        <f t="shared" si="34"/>
        <v>-8.2894663203394794E-3</v>
      </c>
      <c r="G414" s="381">
        <f>SUMIFS(Data!$W$75:$W$87,Data!$S$75:$S$87,MarketProfile!A414,Data!$X$75:$X$87,"1")</f>
        <v>759767</v>
      </c>
      <c r="H414" s="381"/>
      <c r="I414" s="286">
        <f t="shared" si="35"/>
        <v>-0.60350870727473027</v>
      </c>
    </row>
    <row r="415" spans="1:9" ht="14.25" x14ac:dyDescent="0.2">
      <c r="A415" s="248"/>
      <c r="B415" s="127"/>
      <c r="C415" s="127"/>
      <c r="D415" s="248"/>
      <c r="E415" s="127"/>
      <c r="F415" s="286"/>
      <c r="G415" s="248"/>
      <c r="H415" s="249"/>
      <c r="I415" s="286"/>
    </row>
    <row r="416" spans="1:9" ht="14.25" x14ac:dyDescent="0.2">
      <c r="A416" s="339" t="s">
        <v>15</v>
      </c>
      <c r="B416" s="249"/>
      <c r="C416" s="127"/>
      <c r="D416" s="248"/>
      <c r="E416" s="249"/>
      <c r="F416" s="286"/>
      <c r="G416" s="248"/>
      <c r="H416" s="249"/>
      <c r="I416" s="286"/>
    </row>
    <row r="417" spans="1:12" ht="14.25" x14ac:dyDescent="0.2">
      <c r="A417" s="248" t="s">
        <v>446</v>
      </c>
      <c r="B417" s="127"/>
      <c r="C417" s="127">
        <f>SUMIFS(Data!$W$15:$W$27,Data!$S$15:$S$27,MarketProfile!A417,Data!$X$15:$X$27,"0")</f>
        <v>1068544</v>
      </c>
      <c r="D417" s="381">
        <f>SUMIFS(Data!$W$45:$W$57,Data!$S$45:$S$57,MarketProfile!A417,Data!$X$45:$X$57,"0")</f>
        <v>926852</v>
      </c>
      <c r="E417" s="381"/>
      <c r="F417" s="286">
        <f t="shared" ref="F417:F419" si="36">IFERROR(IF(OR(AND(D417="",C417=""),AND(D417=0,C417=0)),"",
IF(OR(D417="",D417=0),1,
IF(OR(D417&lt;&gt;"",D417&lt;&gt;0),(C417-D417)/ABS(D417)))),-1)</f>
        <v>0.15287446107900721</v>
      </c>
      <c r="G417" s="381">
        <f>SUMIFS(Data!$W$75:$W$87,Data!$S$75:$S$87,MarketProfile!A417,Data!$X$75:$X$87,"0")</f>
        <v>818839</v>
      </c>
      <c r="H417" s="381"/>
      <c r="I417" s="286">
        <f t="shared" ref="I417:I419" si="37">IFERROR(IF(OR(AND(G417="",C417=""),AND(G417=0,C417=0)),"",
IF(OR(G417="",G417=0),1,
IF(OR(G417&lt;&gt;"",G417&lt;&gt;0),(C417-G417)/ABS(G417)))),-1)</f>
        <v>0.30495005733727876</v>
      </c>
    </row>
    <row r="418" spans="1:12" ht="14.25" x14ac:dyDescent="0.2">
      <c r="A418" s="248" t="s">
        <v>447</v>
      </c>
      <c r="B418" s="127"/>
      <c r="C418" s="127">
        <f>SUMIFS(Data!$W$15:$W$27,Data!$S$15:$S$27,MarketProfile!A418,Data!$X$15:$X$27,"0")</f>
        <v>2518229</v>
      </c>
      <c r="D418" s="381">
        <f>SUMIFS(Data!$W$45:$W$57,Data!$S$45:$S$57,MarketProfile!A418,Data!$X$45:$X$57,"0")</f>
        <v>2240696</v>
      </c>
      <c r="E418" s="381"/>
      <c r="F418" s="286">
        <f t="shared" si="36"/>
        <v>0.12386017558829936</v>
      </c>
      <c r="G418" s="381">
        <f>SUMIFS(Data!$W$75:$W$87,Data!$S$75:$S$87,MarketProfile!A418,Data!$X$75:$X$87,"0")</f>
        <v>1712600</v>
      </c>
      <c r="H418" s="381"/>
      <c r="I418" s="286">
        <f t="shared" si="37"/>
        <v>0.47041282260889877</v>
      </c>
    </row>
    <row r="419" spans="1:12" ht="14.25" x14ac:dyDescent="0.2">
      <c r="A419" s="248" t="s">
        <v>451</v>
      </c>
      <c r="B419" s="127"/>
      <c r="C419" s="127">
        <f>SUMIFS(Data!$W$15:$W$27,Data!$S$15:$S$27,MarketProfile!A419,Data!$X$15:$X$27,"0")</f>
        <v>222915</v>
      </c>
      <c r="D419" s="381">
        <f>SUMIFS(Data!$W$45:$W$57,Data!$S$45:$S$57,MarketProfile!A419,Data!$X$45:$X$57,"0")</f>
        <v>277130</v>
      </c>
      <c r="E419" s="381"/>
      <c r="F419" s="286">
        <f t="shared" si="36"/>
        <v>-0.19563020964890124</v>
      </c>
      <c r="G419" s="381">
        <f>SUMIFS(Data!$W$75:$W$87,Data!$S$75:$S$87,MarketProfile!A419,Data!$X$75:$X$87,"0")</f>
        <v>486042</v>
      </c>
      <c r="H419" s="381"/>
      <c r="I419" s="286">
        <f t="shared" si="37"/>
        <v>-0.54136679546212052</v>
      </c>
    </row>
    <row r="420" spans="1:12" ht="15" thickBot="1" x14ac:dyDescent="0.25">
      <c r="A420" s="289" t="s">
        <v>448</v>
      </c>
      <c r="B420" s="289"/>
      <c r="C420" s="128">
        <f>SUMIFS(Data!$W$15:$W$27,Data!$S$15:$S$27,MarketProfile!A420,Data!$X$15:$X$27,"0")</f>
        <v>0</v>
      </c>
      <c r="D420" s="289"/>
      <c r="E420" s="289"/>
      <c r="F420" s="291"/>
      <c r="G420" s="289"/>
      <c r="H420" s="289"/>
      <c r="I420" s="291"/>
    </row>
    <row r="421" spans="1:12" s="247" customFormat="1" ht="15" thickTop="1" x14ac:dyDescent="0.2">
      <c r="A421" s="183"/>
      <c r="B421" s="183"/>
      <c r="C421" s="207"/>
      <c r="D421" s="183"/>
      <c r="E421" s="183"/>
      <c r="F421" s="204"/>
      <c r="G421" s="183"/>
      <c r="H421" s="183"/>
      <c r="I421" s="204"/>
      <c r="K421" s="262"/>
      <c r="L421" s="262"/>
    </row>
    <row r="422" spans="1:12" ht="14.25" x14ac:dyDescent="0.2">
      <c r="A422" s="248"/>
      <c r="B422" s="248"/>
      <c r="C422" s="248"/>
      <c r="D422" s="248"/>
      <c r="E422" s="248"/>
      <c r="F422" s="248"/>
      <c r="G422" s="248"/>
      <c r="H422" s="248"/>
      <c r="I422" s="248"/>
    </row>
    <row r="423" spans="1:12" ht="14.25" x14ac:dyDescent="0.2">
      <c r="A423" s="248"/>
      <c r="B423" s="248"/>
      <c r="C423" s="248"/>
      <c r="D423" s="248"/>
      <c r="E423" s="248"/>
      <c r="F423" s="248"/>
      <c r="G423" s="248"/>
      <c r="H423" s="248"/>
      <c r="I423" s="248"/>
    </row>
    <row r="424" spans="1:12" ht="14.25" x14ac:dyDescent="0.2">
      <c r="A424" s="248"/>
      <c r="B424" s="248"/>
      <c r="C424" s="248"/>
      <c r="D424" s="248"/>
      <c r="E424" s="248"/>
      <c r="F424" s="248"/>
      <c r="G424" s="248"/>
      <c r="H424" s="248"/>
      <c r="I424" s="248"/>
    </row>
    <row r="425" spans="1:12" ht="14.25" x14ac:dyDescent="0.2">
      <c r="A425" s="248"/>
      <c r="B425" s="248"/>
      <c r="C425" s="248"/>
      <c r="D425" s="248"/>
      <c r="E425" s="248"/>
      <c r="F425" s="248"/>
      <c r="G425" s="248"/>
      <c r="H425" s="248"/>
      <c r="I425" s="248"/>
    </row>
    <row r="426" spans="1:12" ht="14.25" x14ac:dyDescent="0.2">
      <c r="A426" s="248"/>
      <c r="B426" s="248"/>
      <c r="C426" s="248"/>
      <c r="D426" s="248"/>
      <c r="E426" s="248"/>
      <c r="F426" s="248"/>
      <c r="G426" s="248"/>
      <c r="H426" s="248"/>
      <c r="I426" s="248"/>
    </row>
    <row r="427" spans="1:12" s="247" customFormat="1" ht="4.5" customHeight="1" x14ac:dyDescent="0.2">
      <c r="A427" s="248"/>
      <c r="B427" s="248"/>
      <c r="C427" s="248"/>
      <c r="D427" s="248"/>
      <c r="E427" s="248"/>
      <c r="F427" s="248"/>
      <c r="G427" s="248"/>
      <c r="H427" s="248"/>
      <c r="I427" s="248"/>
      <c r="K427" s="262"/>
      <c r="L427" s="262"/>
    </row>
    <row r="428" spans="1:12" ht="14.25" x14ac:dyDescent="0.2">
      <c r="B428" s="248"/>
      <c r="C428" s="248"/>
      <c r="D428" s="248"/>
      <c r="E428" s="248"/>
      <c r="F428" s="248"/>
      <c r="G428" s="248"/>
      <c r="H428" s="248"/>
      <c r="I428" s="248"/>
    </row>
    <row r="429" spans="1:12" ht="8.25" customHeight="1" x14ac:dyDescent="0.2">
      <c r="A429" s="369" t="str">
        <f>"Market Profile - "&amp; TEXT($H$3,"MMM")&amp;" "&amp;TEXT($H$3,"YYYY")</f>
        <v>Market Profile - Aug 2017</v>
      </c>
      <c r="B429" s="248"/>
      <c r="C429" s="248"/>
      <c r="D429" s="248"/>
      <c r="E429" s="374" t="s">
        <v>205</v>
      </c>
      <c r="F429" s="374"/>
      <c r="G429" s="374"/>
      <c r="H429" s="374"/>
      <c r="I429" s="374"/>
    </row>
    <row r="430" spans="1:12" ht="10.5" customHeight="1" thickBot="1" x14ac:dyDescent="0.25">
      <c r="A430" s="370"/>
      <c r="B430" s="278"/>
      <c r="C430" s="278"/>
      <c r="D430" s="278"/>
      <c r="E430" s="375"/>
      <c r="F430" s="375"/>
      <c r="G430" s="375"/>
      <c r="H430" s="375"/>
      <c r="I430" s="375"/>
    </row>
    <row r="431" spans="1:12" ht="38.25" customHeight="1" thickBot="1" x14ac:dyDescent="0.3">
      <c r="A431" s="330"/>
      <c r="B431" s="330"/>
      <c r="C431" s="341" t="str">
        <f>TEXT($H$3,"MMM")&amp;" "&amp;TEXT($H$3,"YYYY")</f>
        <v>Aug 2017</v>
      </c>
      <c r="D431" s="330"/>
      <c r="E431" s="341" t="str">
        <f>TEXT(DATE(2000,TEXT(H3,"M")-1,1),"mmm")&amp; " "&amp; TEXT(H3,"YYYY")</f>
        <v>Jul 2017</v>
      </c>
      <c r="F431" s="180" t="s">
        <v>193</v>
      </c>
      <c r="G431" s="330"/>
      <c r="H431" s="342" t="str">
        <f>TEXT($H$3,"MMM")&amp;" "&amp;TEXT($H$3,"YYYY")-1</f>
        <v>Aug 2016</v>
      </c>
      <c r="I431" s="342" t="s">
        <v>194</v>
      </c>
    </row>
    <row r="432" spans="1:12" ht="15" x14ac:dyDescent="0.25">
      <c r="A432" s="332" t="s">
        <v>117</v>
      </c>
      <c r="B432" s="332"/>
      <c r="C432" s="332"/>
      <c r="D432" s="332"/>
      <c r="E432" s="332"/>
      <c r="F432" s="332"/>
      <c r="G432" s="332"/>
      <c r="H432" s="332"/>
      <c r="I432" s="343"/>
    </row>
    <row r="433" spans="1:10" x14ac:dyDescent="0.2">
      <c r="A433" s="139" t="s">
        <v>14</v>
      </c>
      <c r="B433" s="247"/>
      <c r="C433" s="247"/>
      <c r="D433" s="247"/>
      <c r="E433" s="247"/>
      <c r="F433" s="140"/>
      <c r="G433" s="247"/>
      <c r="H433" s="247"/>
      <c r="I433" s="179"/>
    </row>
    <row r="434" spans="1:10" x14ac:dyDescent="0.2">
      <c r="A434" s="247" t="s">
        <v>461</v>
      </c>
      <c r="B434" s="247"/>
      <c r="C434" s="3">
        <f>SUMIFS(Data!$AC:$AC,Data!$Z:$Z,MarketProfile!A434,Data!$AE:$AE,"1")</f>
        <v>1126</v>
      </c>
      <c r="D434" s="390">
        <f>SUMIFS(Data!$AQ:$AQ,Data!$AN:$AN,MarketProfile!A434,Data!$AS:$AS,"1")</f>
        <v>1586</v>
      </c>
      <c r="E434" s="390"/>
      <c r="F434" s="179">
        <f>IFERROR(IF(OR(AND(D434="",C434=""),AND(D434=0,C434=0)),"",
IF(OR(D434="",D434=0),1,
IF(OR(D434&lt;&gt;"",D434&lt;&gt;0),(C434-D434)/ABS(D434)))),-1)</f>
        <v>-0.2900378310214376</v>
      </c>
      <c r="G434" s="390">
        <f>SUMIFS(Data!$BE:$BE,Data!$BB:$BB,MarketProfile!A434,Data!BG:BG,"1")</f>
        <v>814</v>
      </c>
      <c r="H434" s="390"/>
      <c r="I434" s="179">
        <f t="shared" ref="I434:I441" si="38">IFERROR(IF(OR(AND(G434="",C434=""),AND(G434=0,C434=0)),"",
IF(OR(G434="",G434=0),1,
IF(OR(G434&lt;&gt;"",G434&lt;&gt;0),(C434-G434)/ABS(G434)))),-1)</f>
        <v>0.3832923832923833</v>
      </c>
      <c r="J434" s="158"/>
    </row>
    <row r="435" spans="1:10" x14ac:dyDescent="0.2">
      <c r="A435" s="247" t="s">
        <v>184</v>
      </c>
      <c r="B435" s="247"/>
      <c r="C435" s="3">
        <f>SUMIFS(Data!$AC:$AC,Data!$Z:$Z,MarketProfile!A435,Data!$AE:$AE,"1")</f>
        <v>2340</v>
      </c>
      <c r="D435" s="390">
        <f>SUMIFS(Data!$AQ:$AQ,Data!$AN:$AN,MarketProfile!A435,Data!$AS:$AS,"1")</f>
        <v>2723</v>
      </c>
      <c r="E435" s="390"/>
      <c r="F435" s="179">
        <f t="shared" ref="F435:F442" si="39">IFERROR(IF(OR(AND(D435="",C435=""),AND(D435=0,C435=0)),"",
IF(OR(D435="",D435=0),1,
IF(OR(D435&lt;&gt;"",D435&lt;&gt;0),(C435-D435)/ABS(D435)))),-1)</f>
        <v>-0.14065369078222548</v>
      </c>
      <c r="G435" s="390">
        <f>SUMIFS(Data!$BE:$BE,Data!$BB:$BB,MarketProfile!A435,Data!BG:BG,"1")</f>
        <v>1332</v>
      </c>
      <c r="H435" s="390"/>
      <c r="I435" s="179">
        <f t="shared" si="38"/>
        <v>0.7567567567567568</v>
      </c>
      <c r="J435" s="158"/>
    </row>
    <row r="436" spans="1:10" x14ac:dyDescent="0.2">
      <c r="A436" s="247" t="s">
        <v>462</v>
      </c>
      <c r="B436" s="247"/>
      <c r="C436" s="3">
        <f>SUMIFS(Data!$AC:$AC,Data!$Z:$Z,MarketProfile!A436,Data!$AE:$AE,"1")</f>
        <v>6046</v>
      </c>
      <c r="D436" s="390">
        <f>SUMIFS(Data!$AQ:$AQ,Data!$AN:$AN,MarketProfile!A436,Data!$AS:$AS,"1")</f>
        <v>8945</v>
      </c>
      <c r="E436" s="390"/>
      <c r="F436" s="179">
        <f t="shared" si="39"/>
        <v>-0.32409167132476246</v>
      </c>
      <c r="G436" s="390">
        <f>SUMIFS(Data!$BE:$BE,Data!$BB:$BB,MarketProfile!A436,Data!BG:BG,"1")</f>
        <v>7572</v>
      </c>
      <c r="H436" s="390"/>
      <c r="I436" s="179">
        <f t="shared" si="38"/>
        <v>-0.20153195985208663</v>
      </c>
      <c r="J436" s="158"/>
    </row>
    <row r="437" spans="1:10" x14ac:dyDescent="0.2">
      <c r="A437" s="247" t="s">
        <v>140</v>
      </c>
      <c r="B437" s="247"/>
      <c r="C437" s="3">
        <f>SUMIFS(Data!$AC:$AC,Data!$Z:$Z,MarketProfile!A437,Data!$AE:$AE,"1")</f>
        <v>25</v>
      </c>
      <c r="D437" s="390">
        <f>SUMIFS(Data!$AQ:$AQ,Data!$AN:$AN,MarketProfile!A437,Data!$AS:$AS,"1")</f>
        <v>21</v>
      </c>
      <c r="E437" s="390"/>
      <c r="F437" s="179">
        <f t="shared" si="39"/>
        <v>0.19047619047619047</v>
      </c>
      <c r="G437" s="390">
        <f>SUMIFS(Data!$BE:$BE,Data!$BB:$BB,MarketProfile!A437,Data!BG:BG,"1")</f>
        <v>24</v>
      </c>
      <c r="H437" s="390"/>
      <c r="I437" s="179">
        <f t="shared" si="38"/>
        <v>4.1666666666666664E-2</v>
      </c>
      <c r="J437" s="158"/>
    </row>
    <row r="438" spans="1:10" x14ac:dyDescent="0.2">
      <c r="A438" s="247" t="s">
        <v>463</v>
      </c>
      <c r="B438" s="247"/>
      <c r="C438" s="3">
        <f>SUMIFS(Data!$AC:$AC,Data!$Z:$Z,MarketProfile!A438,Data!$AE:$AE,"1")</f>
        <v>2578</v>
      </c>
      <c r="D438" s="390">
        <f>SUMIFS(Data!$AQ:$AQ,Data!$AN:$AN,MarketProfile!A438,Data!$AS:$AS,"1")</f>
        <v>3160</v>
      </c>
      <c r="E438" s="390"/>
      <c r="F438" s="179">
        <f t="shared" si="39"/>
        <v>-0.18417721518987343</v>
      </c>
      <c r="G438" s="390">
        <f>SUMIFS(Data!$BE:$BE,Data!$BB:$BB,MarketProfile!A438,Data!BG:BG,"1")</f>
        <v>2483</v>
      </c>
      <c r="H438" s="390"/>
      <c r="I438" s="179">
        <f t="shared" si="38"/>
        <v>3.8260169150221505E-2</v>
      </c>
      <c r="J438" s="158"/>
    </row>
    <row r="439" spans="1:10" x14ac:dyDescent="0.2">
      <c r="A439" s="247" t="s">
        <v>464</v>
      </c>
      <c r="B439" s="247"/>
      <c r="C439" s="3">
        <f>SUMIFS(Data!$AC:$AC,Data!$Z:$Z,MarketProfile!A439,Data!$AE:$AE,"1")</f>
        <v>11878</v>
      </c>
      <c r="D439" s="390">
        <f>SUMIFS(Data!$AQ:$AQ,Data!$AN:$AN,MarketProfile!A439,Data!$AS:$AS,"1")</f>
        <v>15861</v>
      </c>
      <c r="E439" s="390"/>
      <c r="F439" s="179">
        <f t="shared" si="39"/>
        <v>-0.25111909715654751</v>
      </c>
      <c r="G439" s="390">
        <f>SUMIFS(Data!$BE:$BE,Data!$BB:$BB,MarketProfile!A439,Data!BG:BG,"1")</f>
        <v>14422</v>
      </c>
      <c r="H439" s="390"/>
      <c r="I439" s="179">
        <f t="shared" si="38"/>
        <v>-0.17639717098876717</v>
      </c>
      <c r="J439" s="158"/>
    </row>
    <row r="440" spans="1:10" x14ac:dyDescent="0.2">
      <c r="A440" s="247" t="s">
        <v>465</v>
      </c>
      <c r="B440" s="247"/>
      <c r="C440" s="3">
        <f>SUMIFS(Data!$AC:$AC,Data!$Z:$Z,MarketProfile!A440,Data!$AE:$AE,"1")</f>
        <v>49</v>
      </c>
      <c r="D440" s="390">
        <f>SUMIFS(Data!$AQ:$AQ,Data!$AN:$AN,MarketProfile!A440,Data!$AS:$AS,"1")</f>
        <v>9</v>
      </c>
      <c r="E440" s="390"/>
      <c r="F440" s="179">
        <f t="shared" si="39"/>
        <v>4.4444444444444446</v>
      </c>
      <c r="G440" s="390">
        <f>SUMIFS(Data!$BE:$BE,Data!$BB:$BB,MarketProfile!A440,Data!BG:BG,"1")</f>
        <v>20</v>
      </c>
      <c r="H440" s="390"/>
      <c r="I440" s="179">
        <f t="shared" si="38"/>
        <v>1.45</v>
      </c>
      <c r="J440" s="158"/>
    </row>
    <row r="441" spans="1:10" x14ac:dyDescent="0.2">
      <c r="A441" s="247" t="s">
        <v>141</v>
      </c>
      <c r="B441" s="247"/>
      <c r="C441" s="3">
        <f>SUMIFS(Data!$AC:$AC,Data!$Z:$Z,MarketProfile!A441,Data!$AE:$AE,"1")</f>
        <v>3</v>
      </c>
      <c r="D441" s="390">
        <f>SUMIFS(Data!$AQ:$AQ,Data!$AN:$AN,MarketProfile!A441,Data!$AS:$AS,"1")</f>
        <v>7</v>
      </c>
      <c r="E441" s="390"/>
      <c r="F441" s="179">
        <f t="shared" si="39"/>
        <v>-0.5714285714285714</v>
      </c>
      <c r="G441" s="390">
        <f>SUMIFS(Data!$BE:$BE,Data!$BB:$BB,MarketProfile!A441,Data!BG:BG,"1")</f>
        <v>46</v>
      </c>
      <c r="H441" s="390"/>
      <c r="I441" s="179">
        <f t="shared" si="38"/>
        <v>-0.93478260869565222</v>
      </c>
      <c r="J441" s="158"/>
    </row>
    <row r="442" spans="1:10" x14ac:dyDescent="0.2">
      <c r="A442" s="246" t="s">
        <v>187</v>
      </c>
      <c r="B442" s="247"/>
      <c r="C442" s="4">
        <f>SUM(C434:C441)</f>
        <v>24045</v>
      </c>
      <c r="D442" s="391">
        <f>SUM(D434:E441)</f>
        <v>32312</v>
      </c>
      <c r="E442" s="391">
        <f>SUM(E434:E441)</f>
        <v>0</v>
      </c>
      <c r="F442" s="166">
        <f t="shared" si="39"/>
        <v>-0.25584922010398614</v>
      </c>
      <c r="G442" s="391">
        <f>SUM(G434:H441)</f>
        <v>26713</v>
      </c>
      <c r="H442" s="391">
        <f>SUM(H434:H441)</f>
        <v>0</v>
      </c>
      <c r="I442" s="166">
        <f>IFERROR(IF(OR(AND(G442="",C442=""),AND(G442=0,C442=0)),"",
IF(OR(G442="",G442=0),1,
IF(OR(G442&lt;&gt;"",G442&lt;&gt;0),(C442-G442)/ABS(G442)))),-1)</f>
        <v>-9.9876464642683335E-2</v>
      </c>
      <c r="J442" s="158"/>
    </row>
    <row r="443" spans="1:10" x14ac:dyDescent="0.2">
      <c r="A443" s="139" t="s">
        <v>15</v>
      </c>
      <c r="B443" s="247"/>
      <c r="C443" s="3"/>
      <c r="D443" s="247"/>
      <c r="E443" s="247"/>
      <c r="F443" s="179"/>
      <c r="G443" s="247"/>
      <c r="H443" s="247"/>
      <c r="I443" s="179" t="s">
        <v>191</v>
      </c>
    </row>
    <row r="444" spans="1:10" x14ac:dyDescent="0.2">
      <c r="A444" s="247" t="s">
        <v>461</v>
      </c>
      <c r="B444" s="247"/>
      <c r="C444" s="3">
        <f>SUMIFS(Data!$AC:$AC,Data!$Z:$Z,MarketProfile!A444,Data!$AE:$AE,"0")</f>
        <v>0</v>
      </c>
      <c r="D444" s="390">
        <f>SUMIFS(Data!$AQ:$AQ,Data!$AN:$AN,MarketProfile!A444,Data!$AS:$AS,"0")</f>
        <v>0</v>
      </c>
      <c r="E444" s="390"/>
      <c r="F444" s="179" t="str">
        <f t="shared" ref="F444:F452" si="40">IFERROR(IF(OR(AND(D444="",C444=""),AND(D444=0,C444=0)),"",
IF(OR(D444="",D444=0),1,
IF(OR(D444&lt;&gt;"",D444&lt;&gt;0),(C444-D444)/ABS(D444)))),-1)</f>
        <v/>
      </c>
      <c r="G444" s="390">
        <f>SUMIFS(Data!$BE:$BE,Data!$BB:$BB,MarketProfile!A444,Data!BG:BG,"0")</f>
        <v>14</v>
      </c>
      <c r="H444" s="390"/>
      <c r="I444" s="179">
        <f t="shared" ref="I444:I452" si="41">IFERROR(IF(OR(AND(G444="",C444=""),AND(G444=0,C444=0)),"",
IF(OR(G444="",G444=0),1,
IF(OR(G444&lt;&gt;"",G444&lt;&gt;0),(C444-G444)/ABS(G444)))),-1)</f>
        <v>-1</v>
      </c>
    </row>
    <row r="445" spans="1:10" x14ac:dyDescent="0.2">
      <c r="A445" s="247" t="s">
        <v>184</v>
      </c>
      <c r="B445" s="247"/>
      <c r="C445" s="3">
        <f>SUMIFS(Data!$AC:$AC,Data!$Z:$Z,MarketProfile!A445,Data!$AE:$AE,"0")</f>
        <v>72</v>
      </c>
      <c r="D445" s="390">
        <f>SUMIFS(Data!$AQ:$AQ,Data!$AN:$AN,MarketProfile!A445,Data!$AS:$AS,"0")</f>
        <v>72</v>
      </c>
      <c r="E445" s="390"/>
      <c r="F445" s="179">
        <f t="shared" si="40"/>
        <v>0</v>
      </c>
      <c r="G445" s="390">
        <f>SUMIFS(Data!$BE:$BE,Data!$BB:$BB,MarketProfile!A445,Data!BG:BG,"0")</f>
        <v>147</v>
      </c>
      <c r="H445" s="390"/>
      <c r="I445" s="179">
        <f t="shared" si="41"/>
        <v>-0.51020408163265307</v>
      </c>
    </row>
    <row r="446" spans="1:10" x14ac:dyDescent="0.2">
      <c r="A446" s="247" t="s">
        <v>462</v>
      </c>
      <c r="B446" s="247"/>
      <c r="C446" s="3">
        <f>SUMIFS(Data!$AC:$AC,Data!$Z:$Z,MarketProfile!A446,Data!$AE:$AE,"0")</f>
        <v>311</v>
      </c>
      <c r="D446" s="390">
        <f>SUMIFS(Data!$AQ:$AQ,Data!$AN:$AN,MarketProfile!A446,Data!$AS:$AS,"0")</f>
        <v>399</v>
      </c>
      <c r="E446" s="390"/>
      <c r="F446" s="179">
        <f t="shared" si="40"/>
        <v>-0.22055137844611528</v>
      </c>
      <c r="G446" s="390">
        <f>SUMIFS(Data!$BE:$BE,Data!$BB:$BB,MarketProfile!A446,Data!BG:BG,"0")</f>
        <v>589</v>
      </c>
      <c r="H446" s="390"/>
      <c r="I446" s="179">
        <f t="shared" si="41"/>
        <v>-0.47198641765704585</v>
      </c>
    </row>
    <row r="447" spans="1:10" x14ac:dyDescent="0.2">
      <c r="A447" s="247" t="s">
        <v>140</v>
      </c>
      <c r="B447" s="247"/>
      <c r="C447" s="3">
        <f>SUMIFS(Data!$AC:$AC,Data!$Z:$Z,MarketProfile!A447,Data!$AE:$AE,"0")</f>
        <v>0</v>
      </c>
      <c r="D447" s="390">
        <f>SUMIFS(Data!$AQ:$AQ,Data!$AN:$AN,MarketProfile!A447,Data!$AS:$AS,"0")</f>
        <v>0</v>
      </c>
      <c r="E447" s="390"/>
      <c r="F447" s="179" t="str">
        <f t="shared" si="40"/>
        <v/>
      </c>
      <c r="G447" s="390">
        <f>SUMIFS(Data!$BE:$BE,Data!$BB:$BB,MarketProfile!A447,Data!BG:BG,"0")</f>
        <v>0</v>
      </c>
      <c r="H447" s="390"/>
      <c r="I447" s="179" t="str">
        <f t="shared" si="41"/>
        <v/>
      </c>
    </row>
    <row r="448" spans="1:10" x14ac:dyDescent="0.2">
      <c r="A448" s="247" t="s">
        <v>463</v>
      </c>
      <c r="B448" s="247"/>
      <c r="C448" s="3">
        <f>SUMIFS(Data!$AC:$AC,Data!$Z:$Z,MarketProfile!A448,Data!$AE:$AE,"0")</f>
        <v>123</v>
      </c>
      <c r="D448" s="390">
        <f>SUMIFS(Data!$AQ:$AQ,Data!$AN:$AN,MarketProfile!A448,Data!$AS:$AS,"0")</f>
        <v>159</v>
      </c>
      <c r="E448" s="390"/>
      <c r="F448" s="179">
        <f t="shared" si="40"/>
        <v>-0.22641509433962265</v>
      </c>
      <c r="G448" s="390">
        <f>SUMIFS(Data!$BE:$BE,Data!$BB:$BB,MarketProfile!A448,Data!BG:BG,"0")</f>
        <v>107</v>
      </c>
      <c r="H448" s="390"/>
      <c r="I448" s="179">
        <f t="shared" si="41"/>
        <v>0.14953271028037382</v>
      </c>
    </row>
    <row r="449" spans="1:9" x14ac:dyDescent="0.2">
      <c r="A449" s="247" t="s">
        <v>464</v>
      </c>
      <c r="B449" s="247"/>
      <c r="C449" s="3">
        <f>SUMIFS(Data!$AC:$AC,Data!$Z:$Z,MarketProfile!A449,Data!$AE:$AE,"0")</f>
        <v>1374</v>
      </c>
      <c r="D449" s="390">
        <f>SUMIFS(Data!$AQ:$AQ,Data!$AN:$AN,MarketProfile!A449,Data!$AS:$AS,"0")</f>
        <v>1369</v>
      </c>
      <c r="E449" s="390"/>
      <c r="F449" s="179">
        <f t="shared" si="40"/>
        <v>3.6523009495982471E-3</v>
      </c>
      <c r="G449" s="390">
        <f>SUMIFS(Data!$BE:$BE,Data!$BB:$BB,MarketProfile!A449,Data!BG:BG,"0")</f>
        <v>3260</v>
      </c>
      <c r="H449" s="390"/>
      <c r="I449" s="179">
        <f t="shared" si="41"/>
        <v>-0.57852760736196318</v>
      </c>
    </row>
    <row r="450" spans="1:9" x14ac:dyDescent="0.2">
      <c r="A450" s="247" t="s">
        <v>465</v>
      </c>
      <c r="B450" s="247"/>
      <c r="C450" s="3">
        <f>SUMIFS(Data!$AC:$AC,Data!$Z:$Z,MarketProfile!A450,Data!$AE:$AE,"0")</f>
        <v>0</v>
      </c>
      <c r="D450" s="390">
        <f>SUMIFS(Data!$AQ:$AQ,Data!$AN:$AN,MarketProfile!A450,Data!$AS:$AS,"0")</f>
        <v>0</v>
      </c>
      <c r="E450" s="390"/>
      <c r="F450" s="179" t="str">
        <f t="shared" si="40"/>
        <v/>
      </c>
      <c r="G450" s="390">
        <f>SUMIFS(Data!$BE:$BE,Data!$BB:$BB,MarketProfile!A450,Data!BG:BG,"0")</f>
        <v>1</v>
      </c>
      <c r="H450" s="390"/>
      <c r="I450" s="179">
        <f t="shared" si="41"/>
        <v>-1</v>
      </c>
    </row>
    <row r="451" spans="1:9" x14ac:dyDescent="0.2">
      <c r="A451" s="247" t="s">
        <v>141</v>
      </c>
      <c r="B451" s="247"/>
      <c r="C451" s="3">
        <f>SUMIFS(Data!$AC:$AC,Data!$Z:$Z,MarketProfile!A451,Data!$AE:$AE,"0")</f>
        <v>0</v>
      </c>
      <c r="D451" s="390">
        <f>SUMIFS(Data!$AQ:$AQ,Data!$AN:$AN,MarketProfile!A451,Data!$AS:$AS,"0")</f>
        <v>0</v>
      </c>
      <c r="E451" s="390"/>
      <c r="F451" s="179" t="str">
        <f t="shared" si="40"/>
        <v/>
      </c>
      <c r="G451" s="390">
        <f>SUMIFS(Data!$BE:$BE,Data!$BB:$BB,MarketProfile!A451,Data!BG:BG,"0")</f>
        <v>0</v>
      </c>
      <c r="H451" s="390"/>
      <c r="I451" s="179" t="str">
        <f t="shared" si="41"/>
        <v/>
      </c>
    </row>
    <row r="452" spans="1:9" x14ac:dyDescent="0.2">
      <c r="A452" s="246" t="s">
        <v>188</v>
      </c>
      <c r="B452" s="247"/>
      <c r="C452" s="4">
        <f>SUM(C444:C451)</f>
        <v>1880</v>
      </c>
      <c r="D452" s="391">
        <f>SUM(D444:E451)</f>
        <v>1999</v>
      </c>
      <c r="E452" s="391">
        <f>SUM(E444:E451)</f>
        <v>0</v>
      </c>
      <c r="F452" s="166">
        <f t="shared" si="40"/>
        <v>-5.9529764882441223E-2</v>
      </c>
      <c r="G452" s="391">
        <f>SUM(G444:H451)</f>
        <v>4118</v>
      </c>
      <c r="H452" s="391">
        <f>SUM(H444:H451)</f>
        <v>0</v>
      </c>
      <c r="I452" s="166">
        <f t="shared" si="41"/>
        <v>-0.54346770276833412</v>
      </c>
    </row>
    <row r="453" spans="1:9" x14ac:dyDescent="0.2">
      <c r="A453" s="137" t="s">
        <v>132</v>
      </c>
      <c r="B453" s="137"/>
      <c r="C453" s="168"/>
      <c r="D453" s="137"/>
      <c r="E453" s="137"/>
      <c r="F453" s="137" t="s">
        <v>191</v>
      </c>
      <c r="G453" s="137"/>
      <c r="H453" s="138"/>
      <c r="I453" s="169" t="s">
        <v>191</v>
      </c>
    </row>
    <row r="454" spans="1:9" x14ac:dyDescent="0.2">
      <c r="A454" s="139" t="s">
        <v>14</v>
      </c>
      <c r="B454" s="247"/>
      <c r="C454" s="3"/>
      <c r="D454" s="247"/>
      <c r="E454" s="247"/>
      <c r="F454" s="140"/>
      <c r="G454" s="247"/>
      <c r="H454" s="247"/>
      <c r="I454" s="179"/>
    </row>
    <row r="455" spans="1:9" x14ac:dyDescent="0.2">
      <c r="A455" s="247" t="s">
        <v>461</v>
      </c>
      <c r="B455" s="247"/>
      <c r="C455" s="3">
        <f>SUMIFS(Data!$AB:$AB,Data!$Z:$Z,MarketProfile!A455,Data!$AE:$AE,"1")</f>
        <v>17068</v>
      </c>
      <c r="D455" s="390">
        <f>SUMIFS(Data!$AP:$AP,Data!$AN:$AN,MarketProfile!A455,Data!$AS:$AS,"1")</f>
        <v>16934</v>
      </c>
      <c r="E455" s="390"/>
      <c r="F455" s="179">
        <f t="shared" ref="F455:F463" si="42">IFERROR(IF(OR(AND(D455="",C455=""),AND(D455=0,C455=0)),"",
IF(OR(D455="",D455=0),1,
IF(OR(D455&lt;&gt;"",D455&lt;&gt;0),(C455-D455)/ABS(D455)))),-1)</f>
        <v>7.9130742884138423E-3</v>
      </c>
      <c r="G455" s="390">
        <f>SUMIFS(Data!$BD:$BD,Data!$BB:$BB,MarketProfile!A455,Data!BG:BG,"1")</f>
        <v>9311</v>
      </c>
      <c r="H455" s="390"/>
      <c r="I455" s="179">
        <f t="shared" ref="I455:I463" si="43">IFERROR(IF(OR(AND(G455="",C455=""),AND(G455=0,C455=0)),"",
IF(OR(G455="",G455=0),1,
IF(OR(G455&lt;&gt;"",G455&lt;&gt;0),(C455-G455)/ABS(G455)))),-1)</f>
        <v>0.83310063365911291</v>
      </c>
    </row>
    <row r="456" spans="1:9" x14ac:dyDescent="0.2">
      <c r="A456" s="247" t="s">
        <v>184</v>
      </c>
      <c r="B456" s="247"/>
      <c r="C456" s="3">
        <f>SUMIFS(Data!$AB:$AB,Data!$Z:$Z,MarketProfile!A456,Data!$AE:$AE,"1")</f>
        <v>31305</v>
      </c>
      <c r="D456" s="390">
        <f>SUMIFS(Data!$AP:$AP,Data!$AN:$AN,MarketProfile!A456,Data!$AS:$AS,"1")</f>
        <v>22821</v>
      </c>
      <c r="E456" s="390"/>
      <c r="F456" s="179">
        <f t="shared" si="42"/>
        <v>0.37176285000657289</v>
      </c>
      <c r="G456" s="390">
        <f>SUMIFS(Data!$BD:$BD,Data!$BB:$BB,MarketProfile!A456,Data!BG:BG,"1")</f>
        <v>18199</v>
      </c>
      <c r="H456" s="390"/>
      <c r="I456" s="179">
        <f t="shared" si="43"/>
        <v>0.72014945876147041</v>
      </c>
    </row>
    <row r="457" spans="1:9" x14ac:dyDescent="0.2">
      <c r="A457" s="247" t="s">
        <v>462</v>
      </c>
      <c r="B457" s="247"/>
      <c r="C457" s="3">
        <f>SUMIFS(Data!$AB:$AB,Data!$Z:$Z,MarketProfile!A457,Data!$AE:$AE,"1")</f>
        <v>54154</v>
      </c>
      <c r="D457" s="390">
        <f>SUMIFS(Data!$AP:$AP,Data!$AN:$AN,MarketProfile!A457,Data!$AS:$AS,"1")</f>
        <v>76658</v>
      </c>
      <c r="E457" s="390"/>
      <c r="F457" s="179">
        <f t="shared" si="42"/>
        <v>-0.29356362023533095</v>
      </c>
      <c r="G457" s="390">
        <f>SUMIFS(Data!$BD:$BD,Data!$BB:$BB,MarketProfile!A457,Data!BG:BG,"1")</f>
        <v>50356</v>
      </c>
      <c r="H457" s="390"/>
      <c r="I457" s="179">
        <f t="shared" si="43"/>
        <v>7.5422988323139248E-2</v>
      </c>
    </row>
    <row r="458" spans="1:9" x14ac:dyDescent="0.2">
      <c r="A458" s="247" t="s">
        <v>140</v>
      </c>
      <c r="B458" s="247"/>
      <c r="C458" s="3">
        <f>SUMIFS(Data!$AB:$AB,Data!$Z:$Z,MarketProfile!A458,Data!$AE:$AE,"1")</f>
        <v>2174</v>
      </c>
      <c r="D458" s="390">
        <f>SUMIFS(Data!$AP:$AP,Data!$AN:$AN,MarketProfile!A458,Data!$AS:$AS,"1")</f>
        <v>550</v>
      </c>
      <c r="E458" s="390"/>
      <c r="F458" s="179">
        <f t="shared" si="42"/>
        <v>2.9527272727272726</v>
      </c>
      <c r="G458" s="390">
        <f>SUMIFS(Data!$BD:$BD,Data!$BB:$BB,MarketProfile!A458,Data!BG:BG,"1")</f>
        <v>1587</v>
      </c>
      <c r="H458" s="390"/>
      <c r="I458" s="179">
        <f t="shared" si="43"/>
        <v>0.36988027725267802</v>
      </c>
    </row>
    <row r="459" spans="1:9" x14ac:dyDescent="0.2">
      <c r="A459" s="247" t="s">
        <v>463</v>
      </c>
      <c r="B459" s="247"/>
      <c r="C459" s="3">
        <f>SUMIFS(Data!$AB:$AB,Data!$Z:$Z,MarketProfile!A459,Data!$AE:$AE,"1")</f>
        <v>31994</v>
      </c>
      <c r="D459" s="390">
        <f>SUMIFS(Data!$AP:$AP,Data!$AN:$AN,MarketProfile!A459,Data!$AS:$AS,"1")</f>
        <v>25161</v>
      </c>
      <c r="E459" s="390"/>
      <c r="F459" s="179">
        <f t="shared" si="42"/>
        <v>0.27157108223043597</v>
      </c>
      <c r="G459" s="390">
        <f>SUMIFS(Data!$BD:$BD,Data!$BB:$BB,MarketProfile!A459,Data!BG:BG,"1")</f>
        <v>22044</v>
      </c>
      <c r="H459" s="390"/>
      <c r="I459" s="179">
        <f t="shared" si="43"/>
        <v>0.45136998729813099</v>
      </c>
    </row>
    <row r="460" spans="1:9" x14ac:dyDescent="0.2">
      <c r="A460" s="247" t="s">
        <v>464</v>
      </c>
      <c r="B460" s="247"/>
      <c r="C460" s="3">
        <f>SUMIFS(Data!$AB:$AB,Data!$Z:$Z,MarketProfile!A460,Data!$AE:$AE,"1")</f>
        <v>87779</v>
      </c>
      <c r="D460" s="390">
        <f>SUMIFS(Data!$AP:$AP,Data!$AN:$AN,MarketProfile!A460,Data!$AS:$AS,"1")</f>
        <v>102056</v>
      </c>
      <c r="E460" s="390"/>
      <c r="F460" s="179">
        <f t="shared" si="42"/>
        <v>-0.13989378380496981</v>
      </c>
      <c r="G460" s="390">
        <f>SUMIFS(Data!$BD:$BD,Data!$BB:$BB,MarketProfile!A460,Data!BG:BG,"1")</f>
        <v>91840</v>
      </c>
      <c r="H460" s="390"/>
      <c r="I460" s="179">
        <f t="shared" si="43"/>
        <v>-4.4218205574912892E-2</v>
      </c>
    </row>
    <row r="461" spans="1:9" x14ac:dyDescent="0.2">
      <c r="A461" s="247" t="s">
        <v>465</v>
      </c>
      <c r="B461" s="247"/>
      <c r="C461" s="3">
        <f>SUMIFS(Data!$AB:$AB,Data!$Z:$Z,MarketProfile!A461,Data!$AE:$AE,"1")</f>
        <v>536</v>
      </c>
      <c r="D461" s="390">
        <f>SUMIFS(Data!$AP:$AP,Data!$AN:$AN,MarketProfile!A461,Data!$AS:$AS,"1")</f>
        <v>10</v>
      </c>
      <c r="E461" s="390"/>
      <c r="F461" s="179">
        <f t="shared" si="42"/>
        <v>52.6</v>
      </c>
      <c r="G461" s="390">
        <f>SUMIFS(Data!$BD:$BD,Data!$BB:$BB,MarketProfile!A461,Data!BG:BG,"1")</f>
        <v>318</v>
      </c>
      <c r="H461" s="390"/>
      <c r="I461" s="179">
        <f t="shared" si="43"/>
        <v>0.68553459119496851</v>
      </c>
    </row>
    <row r="462" spans="1:9" x14ac:dyDescent="0.2">
      <c r="A462" s="247" t="s">
        <v>141</v>
      </c>
      <c r="B462" s="247"/>
      <c r="C462" s="3">
        <f>SUMIFS(Data!$AB:$AB,Data!$Z:$Z,MarketProfile!A462,Data!$AE:$AE,"1")</f>
        <v>3</v>
      </c>
      <c r="D462" s="390">
        <f>SUMIFS(Data!$AP:$AP,Data!$AN:$AN,MarketProfile!A462,Data!$AS:$AS,"1")</f>
        <v>28</v>
      </c>
      <c r="E462" s="390"/>
      <c r="F462" s="179">
        <f t="shared" si="42"/>
        <v>-0.8928571428571429</v>
      </c>
      <c r="G462" s="390">
        <f>SUMIFS(Data!$BD:$BD,Data!$BB:$BB,MarketProfile!A462,Data!BG:BG,"1")</f>
        <v>957</v>
      </c>
      <c r="H462" s="390"/>
      <c r="I462" s="179">
        <f t="shared" si="43"/>
        <v>-0.99686520376175547</v>
      </c>
    </row>
    <row r="463" spans="1:9" x14ac:dyDescent="0.2">
      <c r="A463" s="246" t="s">
        <v>187</v>
      </c>
      <c r="B463" s="247"/>
      <c r="C463" s="4">
        <f>SUM(C455:C462)</f>
        <v>225013</v>
      </c>
      <c r="D463" s="391">
        <f>SUM(D455:E462)</f>
        <v>244218</v>
      </c>
      <c r="E463" s="391">
        <f>SUM(E455:E462)</f>
        <v>0</v>
      </c>
      <c r="F463" s="166">
        <f t="shared" si="42"/>
        <v>-7.8638757175965732E-2</v>
      </c>
      <c r="G463" s="391">
        <f>SUM(G455:H462)</f>
        <v>194612</v>
      </c>
      <c r="H463" s="391">
        <f>SUM(H455:H462)</f>
        <v>0</v>
      </c>
      <c r="I463" s="166">
        <f t="shared" si="43"/>
        <v>0.15621338869134482</v>
      </c>
    </row>
    <row r="464" spans="1:9" x14ac:dyDescent="0.2">
      <c r="A464" s="139" t="s">
        <v>15</v>
      </c>
      <c r="B464" s="247"/>
      <c r="C464" s="3"/>
      <c r="D464" s="247"/>
      <c r="E464" s="247"/>
      <c r="F464" s="179"/>
      <c r="G464" s="247"/>
      <c r="H464" s="247"/>
      <c r="I464" s="179"/>
    </row>
    <row r="465" spans="1:9" x14ac:dyDescent="0.2">
      <c r="A465" s="247" t="s">
        <v>461</v>
      </c>
      <c r="B465" s="247"/>
      <c r="C465" s="3">
        <f>SUMIFS(Data!$AB:$AB,Data!$Z:$Z,MarketProfile!A465,Data!$AE:$AE,"0")</f>
        <v>0</v>
      </c>
      <c r="D465" s="390">
        <f>SUMIFS(Data!$AP:$AP,Data!$AN:$AN,MarketProfile!A465,Data!$AS:$AS,"0")</f>
        <v>0</v>
      </c>
      <c r="E465" s="390"/>
      <c r="F465" s="179" t="str">
        <f t="shared" ref="F465:F473" si="44">IFERROR(IF(OR(AND(D465="",C465=""),AND(D465=0,C465=0)),"",
IF(OR(D465="",D465=0),1,
IF(OR(D465&lt;&gt;"",D465&lt;&gt;0),(C465-D465)/ABS(D465)))),-1)</f>
        <v/>
      </c>
      <c r="G465" s="390">
        <f>SUMIFS(Data!$BD:$BD,Data!$BB:$BB,MarketProfile!A465,Data!BG:BG,"0")</f>
        <v>182</v>
      </c>
      <c r="H465" s="390"/>
      <c r="I465" s="179">
        <f t="shared" ref="I465:I473" si="45">IFERROR(IF(OR(AND(G465="",C465=""),AND(G465=0,C465=0)),"",
IF(OR(G465="",G465=0),1,
IF(OR(G465&lt;&gt;"",G465&lt;&gt;0),(C465-G465)/ABS(G465)))),-1)</f>
        <v>-1</v>
      </c>
    </row>
    <row r="466" spans="1:9" x14ac:dyDescent="0.2">
      <c r="A466" s="247" t="s">
        <v>184</v>
      </c>
      <c r="B466" s="247"/>
      <c r="C466" s="3">
        <f>SUMIFS(Data!$AB:$AB,Data!$Z:$Z,MarketProfile!A466,Data!$AE:$AE,"0")</f>
        <v>1383</v>
      </c>
      <c r="D466" s="390">
        <f>SUMIFS(Data!$AP:$AP,Data!$AN:$AN,MarketProfile!A466,Data!$AS:$AS,"0")</f>
        <v>1516</v>
      </c>
      <c r="E466" s="390"/>
      <c r="F466" s="179">
        <f t="shared" si="44"/>
        <v>-8.7730870712401057E-2</v>
      </c>
      <c r="G466" s="390">
        <f>SUMIFS(Data!$BD:$BD,Data!$BB:$BB,MarketProfile!A466,Data!BG:BG,"0")</f>
        <v>837</v>
      </c>
      <c r="H466" s="390"/>
      <c r="I466" s="179">
        <f t="shared" si="45"/>
        <v>0.6523297491039427</v>
      </c>
    </row>
    <row r="467" spans="1:9" x14ac:dyDescent="0.2">
      <c r="A467" s="247" t="s">
        <v>462</v>
      </c>
      <c r="B467" s="247"/>
      <c r="C467" s="3">
        <f>SUMIFS(Data!$AB:$AB,Data!$Z:$Z,MarketProfile!A467,Data!$AE:$AE,"0")</f>
        <v>4309</v>
      </c>
      <c r="D467" s="390">
        <f>SUMIFS(Data!$AP:$AP,Data!$AN:$AN,MarketProfile!A467,Data!$AS:$AS,"0")</f>
        <v>2863</v>
      </c>
      <c r="E467" s="390"/>
      <c r="F467" s="179">
        <f t="shared" si="44"/>
        <v>0.50506461753405518</v>
      </c>
      <c r="G467" s="390">
        <f>SUMIFS(Data!$BD:$BD,Data!$BB:$BB,MarketProfile!A467,Data!BG:BG,"0")</f>
        <v>5557</v>
      </c>
      <c r="H467" s="390"/>
      <c r="I467" s="179">
        <f t="shared" si="45"/>
        <v>-0.22458160878171676</v>
      </c>
    </row>
    <row r="468" spans="1:9" x14ac:dyDescent="0.2">
      <c r="A468" s="247" t="s">
        <v>140</v>
      </c>
      <c r="B468" s="247"/>
      <c r="C468" s="3">
        <f>SUMIFS(Data!$AB:$AB,Data!$Z:$Z,MarketProfile!A468,Data!$AE:$AE,"0")</f>
        <v>0</v>
      </c>
      <c r="D468" s="390">
        <f>SUMIFS(Data!$AP:$AP,Data!$AN:$AN,MarketProfile!A468,Data!$AS:$AS,"0")</f>
        <v>0</v>
      </c>
      <c r="E468" s="390"/>
      <c r="F468" s="179" t="str">
        <f t="shared" si="44"/>
        <v/>
      </c>
      <c r="G468" s="390">
        <f>SUMIFS(Data!$BD:$BD,Data!$BB:$BB,MarketProfile!A468,Data!BG:BG,"0")</f>
        <v>0</v>
      </c>
      <c r="H468" s="390"/>
      <c r="I468" s="179" t="str">
        <f t="shared" si="45"/>
        <v/>
      </c>
    </row>
    <row r="469" spans="1:9" x14ac:dyDescent="0.2">
      <c r="A469" s="247" t="s">
        <v>463</v>
      </c>
      <c r="B469" s="247"/>
      <c r="C469" s="3">
        <f>SUMIFS(Data!$AB:$AB,Data!$Z:$Z,MarketProfile!A469,Data!$AE:$AE,"0")</f>
        <v>4165</v>
      </c>
      <c r="D469" s="390">
        <f>SUMIFS(Data!$AP:$AP,Data!$AN:$AN,MarketProfile!A469,Data!$AS:$AS,"0")</f>
        <v>3109</v>
      </c>
      <c r="E469" s="390"/>
      <c r="F469" s="179">
        <f t="shared" si="44"/>
        <v>0.33965905435831456</v>
      </c>
      <c r="G469" s="390">
        <f>SUMIFS(Data!$BD:$BD,Data!$BB:$BB,MarketProfile!A469,Data!BG:BG,"0")</f>
        <v>1697</v>
      </c>
      <c r="H469" s="390"/>
      <c r="I469" s="179">
        <f t="shared" si="45"/>
        <v>1.4543311726576311</v>
      </c>
    </row>
    <row r="470" spans="1:9" x14ac:dyDescent="0.2">
      <c r="A470" s="247" t="s">
        <v>464</v>
      </c>
      <c r="B470" s="247"/>
      <c r="C470" s="3">
        <f>SUMIFS(Data!$AB:$AB,Data!$Z:$Z,MarketProfile!A470,Data!$AE:$AE,"0")</f>
        <v>13315</v>
      </c>
      <c r="D470" s="390">
        <f>SUMIFS(Data!$AP:$AP,Data!$AN:$AN,MarketProfile!A470,Data!$AS:$AS,"0")</f>
        <v>12317</v>
      </c>
      <c r="E470" s="390"/>
      <c r="F470" s="179">
        <f t="shared" si="44"/>
        <v>8.1026223918161888E-2</v>
      </c>
      <c r="G470" s="390">
        <f>SUMIFS(Data!$BD:$BD,Data!$BB:$BB,MarketProfile!A470,Data!BG:BG,"0")</f>
        <v>25307</v>
      </c>
      <c r="H470" s="390"/>
      <c r="I470" s="179">
        <f t="shared" si="45"/>
        <v>-0.47386098707867391</v>
      </c>
    </row>
    <row r="471" spans="1:9" x14ac:dyDescent="0.2">
      <c r="A471" s="247" t="s">
        <v>465</v>
      </c>
      <c r="B471" s="247"/>
      <c r="C471" s="3">
        <f>SUMIFS(Data!$AB:$AB,Data!$Z:$Z,MarketProfile!A471,Data!$AE:$AE,"0")</f>
        <v>0</v>
      </c>
      <c r="D471" s="390">
        <f>SUMIFS(Data!$AP:$AP,Data!$AN:$AN,MarketProfile!A471,Data!$AS:$AS,"0")</f>
        <v>0</v>
      </c>
      <c r="E471" s="390"/>
      <c r="F471" s="179" t="str">
        <f t="shared" si="44"/>
        <v/>
      </c>
      <c r="G471" s="390">
        <f>SUMIFS(Data!$BD:$BD,Data!$BB:$BB,MarketProfile!A471,Data!BG:BG,"0")</f>
        <v>10</v>
      </c>
      <c r="H471" s="390"/>
      <c r="I471" s="179">
        <f t="shared" si="45"/>
        <v>-1</v>
      </c>
    </row>
    <row r="472" spans="1:9" x14ac:dyDescent="0.2">
      <c r="A472" s="247" t="s">
        <v>141</v>
      </c>
      <c r="B472" s="247"/>
      <c r="C472" s="3">
        <f>SUMIFS(Data!$AB:$AB,Data!$Z:$Z,MarketProfile!A472,Data!$AE:$AE,"0")</f>
        <v>0</v>
      </c>
      <c r="D472" s="390">
        <f>SUMIFS(Data!$AP:$AP,Data!$AN:$AN,MarketProfile!A472,Data!$AS:$AS,"0")</f>
        <v>0</v>
      </c>
      <c r="E472" s="390"/>
      <c r="F472" s="179" t="str">
        <f t="shared" si="44"/>
        <v/>
      </c>
      <c r="G472" s="390">
        <f>SUMIFS(Data!$BD:$BD,Data!$BB:$BB,MarketProfile!A472,Data!BG:BG,"0")</f>
        <v>0</v>
      </c>
      <c r="H472" s="390"/>
      <c r="I472" s="179" t="str">
        <f t="shared" si="45"/>
        <v/>
      </c>
    </row>
    <row r="473" spans="1:9" x14ac:dyDescent="0.2">
      <c r="A473" s="246" t="s">
        <v>188</v>
      </c>
      <c r="B473" s="247"/>
      <c r="C473" s="4">
        <f>SUM(C465:C472)</f>
        <v>23172</v>
      </c>
      <c r="D473" s="391">
        <f>SUM(D465:E472)</f>
        <v>19805</v>
      </c>
      <c r="E473" s="391">
        <v>34213</v>
      </c>
      <c r="F473" s="166">
        <f t="shared" si="44"/>
        <v>0.17000757384498863</v>
      </c>
      <c r="G473" s="391">
        <f>SUM(G465:H472)</f>
        <v>33590</v>
      </c>
      <c r="H473" s="391">
        <f>SUM(H465:H472)</f>
        <v>0</v>
      </c>
      <c r="I473" s="166">
        <f t="shared" si="45"/>
        <v>-0.31015183090205417</v>
      </c>
    </row>
    <row r="474" spans="1:9" x14ac:dyDescent="0.2">
      <c r="A474" s="137" t="s">
        <v>195</v>
      </c>
      <c r="B474" s="137"/>
      <c r="C474" s="168"/>
      <c r="D474" s="137"/>
      <c r="E474" s="137"/>
      <c r="F474" s="137" t="s">
        <v>191</v>
      </c>
      <c r="G474" s="137"/>
      <c r="H474" s="137"/>
      <c r="I474" s="169" t="s">
        <v>191</v>
      </c>
    </row>
    <row r="475" spans="1:9" x14ac:dyDescent="0.2">
      <c r="A475" s="139" t="s">
        <v>14</v>
      </c>
      <c r="B475" s="247"/>
      <c r="C475" s="3"/>
      <c r="D475" s="247"/>
      <c r="E475" s="247"/>
      <c r="F475" s="140"/>
      <c r="G475" s="247"/>
      <c r="H475" s="247"/>
      <c r="I475" s="179"/>
    </row>
    <row r="476" spans="1:9" x14ac:dyDescent="0.2">
      <c r="A476" s="247" t="s">
        <v>461</v>
      </c>
      <c r="B476" s="247"/>
      <c r="C476" s="3">
        <f>SUMIFS(Data!$AA:$AA,Data!$Z:$Z,MarketProfile!A476,Data!$AE:$AE,"1")/1000</f>
        <v>3409461.4939699997</v>
      </c>
      <c r="D476" s="390">
        <f>SUMIFS(Data!$AO:$AO,Data!$AN:$AN,MarketProfile!A476,Data!$AS:$AS,"1")/1000</f>
        <v>3611331.5150100002</v>
      </c>
      <c r="E476" s="390"/>
      <c r="F476" s="179">
        <f t="shared" ref="F476:F484" si="46">IFERROR(IF(OR(AND(D476="",C476=""),AND(D476=0,C476=0)),"",
IF(OR(D476="",D476=0),1,
IF(OR(D476&lt;&gt;"",D476&lt;&gt;0),(C476-D476)/ABS(D476)))),-1)</f>
        <v>-5.589905557021161E-2</v>
      </c>
      <c r="G476" s="390">
        <f>SUMIFS(Data!$BC:$BC,Data!$BB:$BB,MarketProfile!A476,Data!BG:BG,"1")/1000</f>
        <v>1735815.2429500001</v>
      </c>
      <c r="H476" s="390"/>
      <c r="I476" s="179">
        <f t="shared" ref="I476:I484" si="47">IFERROR(IF(OR(AND(G476="",C476=""),AND(G476=0,C476=0)),"",
IF(OR(G476="",G476=0),1,
IF(OR(G476&lt;&gt;"",G476&lt;&gt;0),(C476-G476)/ABS(G476)))),-1)</f>
        <v>0.96418455697834238</v>
      </c>
    </row>
    <row r="477" spans="1:9" x14ac:dyDescent="0.2">
      <c r="A477" s="247" t="s">
        <v>184</v>
      </c>
      <c r="B477" s="247"/>
      <c r="C477" s="3">
        <f>SUMIFS(Data!$AA:$AA,Data!$Z:$Z,MarketProfile!A477,Data!$AE:$AE,"1")/1000</f>
        <v>7385630.5273549994</v>
      </c>
      <c r="D477" s="390">
        <f>SUMIFS(Data!$AO:$AO,Data!$AN:$AN,MarketProfile!A477,Data!$AS:$AS,"1")/1000</f>
        <v>5579882.8476850009</v>
      </c>
      <c r="E477" s="390"/>
      <c r="F477" s="179">
        <f t="shared" si="46"/>
        <v>0.32361748964302589</v>
      </c>
      <c r="G477" s="390">
        <f>SUMIFS(Data!$BC:$BC,Data!$BB:$BB,MarketProfile!A477,Data!BG:BG,"1")/1000</f>
        <v>5877901.072505</v>
      </c>
      <c r="H477" s="390"/>
      <c r="I477" s="179">
        <f t="shared" si="47"/>
        <v>0.2565081372163085</v>
      </c>
    </row>
    <row r="478" spans="1:9" x14ac:dyDescent="0.2">
      <c r="A478" s="247" t="s">
        <v>462</v>
      </c>
      <c r="B478" s="247"/>
      <c r="C478" s="3">
        <f>SUMIFS(Data!$AA:$AA,Data!$Z:$Z,MarketProfile!A478,Data!$AE:$AE,"1")/1000</f>
        <v>10863374.468429999</v>
      </c>
      <c r="D478" s="390">
        <f>SUMIFS(Data!$AO:$AO,Data!$AN:$AN,MarketProfile!A478,Data!$AS:$AS,"1")/1000</f>
        <v>15443167.788770001</v>
      </c>
      <c r="E478" s="390"/>
      <c r="F478" s="179">
        <f t="shared" si="46"/>
        <v>-0.29655789427285423</v>
      </c>
      <c r="G478" s="390">
        <f>SUMIFS(Data!$BC:$BC,Data!$BB:$BB,MarketProfile!A478,Data!BG:BG,"1")/1000</f>
        <v>15813792.118889999</v>
      </c>
      <c r="H478" s="390"/>
      <c r="I478" s="179">
        <f t="shared" si="47"/>
        <v>-0.31304431051338993</v>
      </c>
    </row>
    <row r="479" spans="1:9" x14ac:dyDescent="0.2">
      <c r="A479" s="247" t="s">
        <v>140</v>
      </c>
      <c r="B479" s="247"/>
      <c r="C479" s="3">
        <f>SUMIFS(Data!$AA:$AA,Data!$Z:$Z,MarketProfile!A479,Data!$AE:$AE,"1")/1000</f>
        <v>377047.78669500002</v>
      </c>
      <c r="D479" s="390">
        <f>SUMIFS(Data!$AO:$AO,Data!$AN:$AN,MarketProfile!A479,Data!$AS:$AS,"1")/1000</f>
        <v>89534.079938999988</v>
      </c>
      <c r="E479" s="390"/>
      <c r="F479" s="179">
        <f t="shared" si="46"/>
        <v>3.2112208775907964</v>
      </c>
      <c r="G479" s="390">
        <f>SUMIFS(Data!$BC:$BC,Data!$BB:$BB,MarketProfile!A479,Data!BG:BG,"1")/1000</f>
        <v>289143.01999900001</v>
      </c>
      <c r="H479" s="390"/>
      <c r="I479" s="179">
        <f t="shared" si="47"/>
        <v>0.30401829065873359</v>
      </c>
    </row>
    <row r="480" spans="1:9" x14ac:dyDescent="0.2">
      <c r="A480" s="247" t="s">
        <v>463</v>
      </c>
      <c r="B480" s="247"/>
      <c r="C480" s="3">
        <f>SUMIFS(Data!$AA:$AA,Data!$Z:$Z,MarketProfile!A480,Data!$AE:$AE,"1")/1000</f>
        <v>7722790.2186650001</v>
      </c>
      <c r="D480" s="390">
        <f>SUMIFS(Data!$AO:$AO,Data!$AN:$AN,MarketProfile!A480,Data!$AS:$AS,"1")/1000</f>
        <v>6146609.9015699998</v>
      </c>
      <c r="E480" s="390"/>
      <c r="F480" s="179">
        <f t="shared" si="46"/>
        <v>0.25643083623907936</v>
      </c>
      <c r="G480" s="390">
        <f>SUMIFS(Data!$BC:$BC,Data!$BB:$BB,MarketProfile!A480,Data!BG:BG,"1")/1000</f>
        <v>6666938.6043950003</v>
      </c>
      <c r="H480" s="390"/>
      <c r="I480" s="179">
        <f t="shared" si="47"/>
        <v>0.158371282071498</v>
      </c>
    </row>
    <row r="481" spans="1:9" x14ac:dyDescent="0.2">
      <c r="A481" s="247" t="s">
        <v>464</v>
      </c>
      <c r="B481" s="247"/>
      <c r="C481" s="3">
        <f>SUMIFS(Data!$AA:$AA,Data!$Z:$Z,MarketProfile!A481,Data!$AE:$AE,"1")/1000</f>
        <v>16633149.560999991</v>
      </c>
      <c r="D481" s="390">
        <f>SUMIFS(Data!$AO:$AO,Data!$AN:$AN,MarketProfile!A481,Data!$AS:$AS,"1")/1000</f>
        <v>19546766.026339989</v>
      </c>
      <c r="E481" s="390"/>
      <c r="F481" s="179">
        <f t="shared" si="46"/>
        <v>-0.14905874769329064</v>
      </c>
      <c r="G481" s="390">
        <f>SUMIFS(Data!$BC:$BC,Data!$BB:$BB,MarketProfile!A481,Data!BG:BG,"1")/1000</f>
        <v>37598419.920220003</v>
      </c>
      <c r="H481" s="390"/>
      <c r="I481" s="179">
        <f t="shared" si="47"/>
        <v>-0.55761041032325742</v>
      </c>
    </row>
    <row r="482" spans="1:9" x14ac:dyDescent="0.2">
      <c r="A482" s="247" t="s">
        <v>465</v>
      </c>
      <c r="B482" s="247"/>
      <c r="C482" s="3">
        <f>SUMIFS(Data!$AA:$AA,Data!$Z:$Z,MarketProfile!A482,Data!$AE:$AE,"1")/1000</f>
        <v>71440.519972000009</v>
      </c>
      <c r="D482" s="390">
        <f>SUMIFS(Data!$AO:$AO,Data!$AN:$AN,MarketProfile!A482,Data!$AS:$AS,"1")/1000</f>
        <v>1224.23</v>
      </c>
      <c r="E482" s="390"/>
      <c r="F482" s="179">
        <f t="shared" si="46"/>
        <v>57.355472396526807</v>
      </c>
      <c r="G482" s="390">
        <f>SUMIFS(Data!$BC:$BC,Data!$BB:$BB,MarketProfile!A482,Data!BG:BG,"1")/1000</f>
        <v>48418.642088000001</v>
      </c>
      <c r="H482" s="390"/>
      <c r="I482" s="179">
        <f t="shared" si="47"/>
        <v>0.47547549644531883</v>
      </c>
    </row>
    <row r="483" spans="1:9" x14ac:dyDescent="0.2">
      <c r="A483" s="247" t="s">
        <v>141</v>
      </c>
      <c r="B483" s="247"/>
      <c r="C483" s="3">
        <f>SUMIFS(Data!$AA:$AA,Data!$Z:$Z,MarketProfile!A483,Data!$AE:$AE,"1")/1000</f>
        <v>191.42</v>
      </c>
      <c r="D483" s="390">
        <f>SUMIFS(Data!$AO:$AO,Data!$AN:$AN,MarketProfile!A483,Data!$AS:$AS,"1")/1000</f>
        <v>1780.92</v>
      </c>
      <c r="E483" s="390"/>
      <c r="F483" s="179">
        <f t="shared" si="46"/>
        <v>-0.89251622756777393</v>
      </c>
      <c r="G483" s="390">
        <f>SUMIFS(Data!$BC:$BC,Data!$BB:$BB,MarketProfile!A483,Data!BG:BG,"1")/1000</f>
        <v>61549.596279999998</v>
      </c>
      <c r="H483" s="390"/>
      <c r="I483" s="179">
        <f t="shared" si="47"/>
        <v>-0.99688998772422166</v>
      </c>
    </row>
    <row r="484" spans="1:9" x14ac:dyDescent="0.2">
      <c r="A484" s="246" t="s">
        <v>187</v>
      </c>
      <c r="B484" s="247"/>
      <c r="C484" s="4">
        <f>SUM(C476:C483)</f>
        <v>46463085.996086985</v>
      </c>
      <c r="D484" s="391">
        <f>SUM(D476:E483)</f>
        <v>50420297.30931399</v>
      </c>
      <c r="E484" s="391">
        <f>SUM(E476:E483)</f>
        <v>0</v>
      </c>
      <c r="F484" s="166">
        <f t="shared" si="46"/>
        <v>-7.8484489866266646E-2</v>
      </c>
      <c r="G484" s="391">
        <f>SUM(G476:H483)</f>
        <v>68091978.217326984</v>
      </c>
      <c r="H484" s="391">
        <f>SUM(H476:H483)</f>
        <v>0</v>
      </c>
      <c r="I484" s="166">
        <f t="shared" si="47"/>
        <v>-0.31764229484136525</v>
      </c>
    </row>
    <row r="485" spans="1:9" x14ac:dyDescent="0.2">
      <c r="A485" s="139" t="s">
        <v>15</v>
      </c>
      <c r="B485" s="247"/>
      <c r="C485" s="3"/>
      <c r="D485" s="247"/>
      <c r="E485" s="141"/>
      <c r="F485" s="179" t="s">
        <v>191</v>
      </c>
      <c r="G485" s="247"/>
      <c r="H485" s="141"/>
      <c r="I485" s="179"/>
    </row>
    <row r="486" spans="1:9" x14ac:dyDescent="0.2">
      <c r="A486" s="247" t="s">
        <v>461</v>
      </c>
      <c r="B486" s="247"/>
      <c r="C486" s="3">
        <f>SUMIFS(Data!$AA:$AA,Data!$Z:$Z,MarketProfile!A486,Data!$AE:$AE,"0")/1000</f>
        <v>0</v>
      </c>
      <c r="D486" s="390">
        <f>SUMIFS(Data!$AO:$AO,Data!$AN:$AN,MarketProfile!A486,Data!$AS:$AS,"0")/1000</f>
        <v>0</v>
      </c>
      <c r="E486" s="390"/>
      <c r="F486" s="179" t="str">
        <f t="shared" ref="F486:F494" si="48">IFERROR(IF(OR(AND(D486="",C486=""),AND(D486=0,C486=0)),"",
IF(OR(D486="",D486=0),1,
IF(OR(D486&lt;&gt;"",D486&lt;&gt;0),(C486-D486)/ABS(D486)))),-1)</f>
        <v/>
      </c>
      <c r="G486" s="390">
        <f>SUMIFS(Data!$BC:$BC,Data!$BB:$BB,MarketProfile!A486,Data!BG:BG,"0")/1000</f>
        <v>909.46</v>
      </c>
      <c r="H486" s="390"/>
      <c r="I486" s="179">
        <f t="shared" ref="I486:I494" si="49">IFERROR(IF(OR(AND(G486="",C486=""),AND(G486=0,C486=0)),"",
IF(OR(G486="",G486=0),1,
IF(OR(G486&lt;&gt;"",G486&lt;&gt;0),(C486-G486)/ABS(G486)))),-1)</f>
        <v>-1</v>
      </c>
    </row>
    <row r="487" spans="1:9" x14ac:dyDescent="0.2">
      <c r="A487" s="247" t="s">
        <v>184</v>
      </c>
      <c r="B487" s="247"/>
      <c r="C487" s="3">
        <f>SUMIFS(Data!$AA:$AA,Data!$Z:$Z,MarketProfile!A487,Data!$AE:$AE,"0")/1000</f>
        <v>15163.1402</v>
      </c>
      <c r="D487" s="390">
        <f>SUMIFS(Data!$AO:$AO,Data!$AN:$AN,MarketProfile!A487,Data!$AS:$AS,"0")/1000</f>
        <v>17888.674159999999</v>
      </c>
      <c r="E487" s="390"/>
      <c r="F487" s="179">
        <f t="shared" si="48"/>
        <v>-0.15236087010262805</v>
      </c>
      <c r="G487" s="390">
        <f>SUMIFS(Data!$BC:$BC,Data!$BB:$BB,MarketProfile!A487,Data!BG:BG,"0")/1000</f>
        <v>8912.82</v>
      </c>
      <c r="H487" s="390"/>
      <c r="I487" s="179">
        <f t="shared" si="49"/>
        <v>0.70127302021133608</v>
      </c>
    </row>
    <row r="488" spans="1:9" x14ac:dyDescent="0.2">
      <c r="A488" s="247" t="s">
        <v>462</v>
      </c>
      <c r="B488" s="247"/>
      <c r="C488" s="3">
        <f>SUMIFS(Data!$AA:$AA,Data!$Z:$Z,MarketProfile!A488,Data!$AE:$AE,"0")/1000</f>
        <v>45298.972430000002</v>
      </c>
      <c r="D488" s="390">
        <f>SUMIFS(Data!$AO:$AO,Data!$AN:$AN,MarketProfile!A488,Data!$AS:$AS,"0")/1000</f>
        <v>29036.158950000001</v>
      </c>
      <c r="E488" s="390"/>
      <c r="F488" s="179">
        <f t="shared" si="48"/>
        <v>0.56008831980856755</v>
      </c>
      <c r="G488" s="390">
        <f>SUMIFS(Data!$BC:$BC,Data!$BB:$BB,MarketProfile!A488,Data!BG:BG,"0")/1000</f>
        <v>71171.69154</v>
      </c>
      <c r="H488" s="390"/>
      <c r="I488" s="179">
        <f t="shared" si="49"/>
        <v>-0.36352542071392219</v>
      </c>
    </row>
    <row r="489" spans="1:9" x14ac:dyDescent="0.2">
      <c r="A489" s="247" t="s">
        <v>140</v>
      </c>
      <c r="B489" s="247"/>
      <c r="C489" s="3">
        <f>SUMIFS(Data!$AA:$AA,Data!$Z:$Z,MarketProfile!A489,Data!$AE:$AE,"0")/1000</f>
        <v>0</v>
      </c>
      <c r="D489" s="390">
        <f>SUMIFS(Data!$AO:$AO,Data!$AN:$AN,MarketProfile!A489,Data!$AS:$AS,"0")/1000</f>
        <v>0</v>
      </c>
      <c r="E489" s="390"/>
      <c r="F489" s="179" t="str">
        <f t="shared" si="48"/>
        <v/>
      </c>
      <c r="G489" s="390">
        <f>SUMIFS(Data!$BC:$BC,Data!$BB:$BB,MarketProfile!A489,Data!BG:BG,"0")/1000</f>
        <v>0</v>
      </c>
      <c r="H489" s="390"/>
      <c r="I489" s="179" t="str">
        <f t="shared" si="49"/>
        <v/>
      </c>
    </row>
    <row r="490" spans="1:9" x14ac:dyDescent="0.2">
      <c r="A490" s="247" t="s">
        <v>463</v>
      </c>
      <c r="B490" s="247"/>
      <c r="C490" s="3">
        <f>SUMIFS(Data!$AA:$AA,Data!$Z:$Z,MarketProfile!A490,Data!$AE:$AE,"0")/1000</f>
        <v>41218.993799999997</v>
      </c>
      <c r="D490" s="390">
        <f>SUMIFS(Data!$AO:$AO,Data!$AN:$AN,MarketProfile!A490,Data!$AS:$AS,"0")/1000</f>
        <v>27958.23486</v>
      </c>
      <c r="E490" s="390"/>
      <c r="F490" s="179">
        <f t="shared" si="48"/>
        <v>0.47430601418161189</v>
      </c>
      <c r="G490" s="390">
        <f>SUMIFS(Data!$BC:$BC,Data!$BB:$BB,MarketProfile!A490,Data!BG:BG,"0")/1000</f>
        <v>32401.594940000003</v>
      </c>
      <c r="H490" s="390"/>
      <c r="I490" s="179">
        <f t="shared" si="49"/>
        <v>0.27212854417591809</v>
      </c>
    </row>
    <row r="491" spans="1:9" x14ac:dyDescent="0.2">
      <c r="A491" s="247" t="s">
        <v>464</v>
      </c>
      <c r="B491" s="247"/>
      <c r="C491" s="3">
        <f>SUMIFS(Data!$AA:$AA,Data!$Z:$Z,MarketProfile!A491,Data!$AE:$AE,"0")/1000</f>
        <v>143005.79746999999</v>
      </c>
      <c r="D491" s="390">
        <f>SUMIFS(Data!$AO:$AO,Data!$AN:$AN,MarketProfile!A491,Data!$AS:$AS,"0")/1000</f>
        <v>141253.52212000001</v>
      </c>
      <c r="E491" s="390"/>
      <c r="F491" s="179">
        <f>IFERROR(IF(OR(AND(D491="",C491=""),AND(D491=0,C491=0)),"",
IF(OR(D491="",D491=0),1,
IF(OR(D491&lt;&gt;"",D491&lt;&gt;0),(C491-D491)/ABS(D491)))),-1)</f>
        <v>1.2405179875878494E-2</v>
      </c>
      <c r="G491" s="390">
        <f>SUMIFS(Data!$BC:$BC,Data!$BB:$BB,MarketProfile!A491,Data!BG:BG,"0")/1000</f>
        <v>976541.64040000003</v>
      </c>
      <c r="H491" s="390"/>
      <c r="I491" s="179">
        <f t="shared" si="49"/>
        <v>-0.8535589353758396</v>
      </c>
    </row>
    <row r="492" spans="1:9" x14ac:dyDescent="0.2">
      <c r="A492" s="247" t="s">
        <v>465</v>
      </c>
      <c r="B492" s="247"/>
      <c r="C492" s="3">
        <f>SUMIFS(Data!$AA:$AA,Data!$Z:$Z,MarketProfile!A492,Data!$AE:$AE,"0")/1000</f>
        <v>0</v>
      </c>
      <c r="D492" s="390">
        <f>SUMIFS(Data!$AO:$AO,Data!$AN:$AN,MarketProfile!A492,Data!$AS:$AS,"0")/1000</f>
        <v>0</v>
      </c>
      <c r="E492" s="390"/>
      <c r="F492" s="179" t="str">
        <f t="shared" si="48"/>
        <v/>
      </c>
      <c r="G492" s="390">
        <f>SUMIFS(Data!$BC:$BC,Data!$BB:$BB,MarketProfile!A492,Data!BG:BG,"0")/1000</f>
        <v>10.7</v>
      </c>
      <c r="H492" s="390"/>
      <c r="I492" s="179">
        <f t="shared" si="49"/>
        <v>-1</v>
      </c>
    </row>
    <row r="493" spans="1:9" x14ac:dyDescent="0.2">
      <c r="A493" s="247" t="s">
        <v>141</v>
      </c>
      <c r="B493" s="247"/>
      <c r="C493" s="3">
        <f>SUMIFS(Data!$AA:$AA,Data!$Z:$Z,MarketProfile!A493,Data!$AE:$AE,"0")/1000</f>
        <v>0</v>
      </c>
      <c r="D493" s="390">
        <f>SUMIFS(Data!$AO:$AO,Data!$AN:$AN,MarketProfile!A493,Data!$AS:$AS,"0")/1000</f>
        <v>0</v>
      </c>
      <c r="E493" s="390"/>
      <c r="F493" s="179" t="str">
        <f t="shared" si="48"/>
        <v/>
      </c>
      <c r="G493" s="390">
        <f>SUMIFS(Data!$BC:$BC,Data!$BB:$BB,MarketProfile!A493,Data!BG:BG,"0")/1000</f>
        <v>0</v>
      </c>
      <c r="H493" s="390"/>
      <c r="I493" s="179" t="str">
        <f t="shared" si="49"/>
        <v/>
      </c>
    </row>
    <row r="494" spans="1:9" x14ac:dyDescent="0.2">
      <c r="A494" s="246" t="s">
        <v>188</v>
      </c>
      <c r="B494" s="247"/>
      <c r="C494" s="4">
        <f>SUM(C486:C493)</f>
        <v>244686.90389999998</v>
      </c>
      <c r="D494" s="391">
        <f>SUM(D486:E493)</f>
        <v>216136.59009000001</v>
      </c>
      <c r="E494" s="391">
        <f>SUM(E486:E493)</f>
        <v>0</v>
      </c>
      <c r="F494" s="166">
        <f t="shared" si="48"/>
        <v>0.13209384768266916</v>
      </c>
      <c r="G494" s="391">
        <f>SUM(G486:H493)</f>
        <v>1089947.9068799999</v>
      </c>
      <c r="H494" s="391">
        <f>SUM(H486:H493)</f>
        <v>0</v>
      </c>
      <c r="I494" s="166">
        <f t="shared" si="49"/>
        <v>-0.77550587293623807</v>
      </c>
    </row>
    <row r="495" spans="1:9" x14ac:dyDescent="0.2">
      <c r="A495" s="137" t="s">
        <v>138</v>
      </c>
      <c r="B495" s="137"/>
      <c r="C495" s="168"/>
      <c r="D495" s="137"/>
      <c r="E495" s="137"/>
      <c r="F495" s="137" t="s">
        <v>191</v>
      </c>
      <c r="G495" s="137"/>
      <c r="H495" s="137"/>
      <c r="I495" s="167" t="s">
        <v>191</v>
      </c>
    </row>
    <row r="496" spans="1:9" x14ac:dyDescent="0.2">
      <c r="A496" s="139" t="s">
        <v>14</v>
      </c>
      <c r="B496" s="247"/>
      <c r="C496" s="3"/>
      <c r="D496" s="247"/>
      <c r="E496" s="247"/>
      <c r="F496" s="247"/>
      <c r="G496" s="247"/>
      <c r="H496" s="247"/>
      <c r="I496" s="179"/>
    </row>
    <row r="497" spans="1:9" x14ac:dyDescent="0.2">
      <c r="A497" s="247" t="s">
        <v>461</v>
      </c>
      <c r="B497" s="247"/>
      <c r="C497" s="3">
        <f>SUMIFS(Data!$AK:$AK,Data!$AG:$AG,MarketProfile!A497,Data!$AL:$AL,"1")</f>
        <v>18311</v>
      </c>
      <c r="D497" s="390">
        <f>SUMIFS(Data!$AY:$AY,Data!$AU:$AU,MarketProfile!A497,Data!$AZ:$AZ,"1")</f>
        <v>18298</v>
      </c>
      <c r="E497" s="390"/>
      <c r="F497" s="179">
        <f t="shared" ref="F497:F512" si="50">IFERROR(IF(OR(AND(D497="",C497=""),AND(D497=0,C497=0)),"",
IF(OR(D497="",D497=0),1,
IF(OR(D497&lt;&gt;"",D497&lt;&gt;0),(C497-D497)/ABS(D497)))),-1)</f>
        <v>7.1046015958028204E-4</v>
      </c>
      <c r="G497" s="390">
        <f>SUMIFS(Data!$BL:$BL,Data!$BH:$BH,MarketProfile!A497,Data!$BM:$BM,"1")</f>
        <v>3142</v>
      </c>
      <c r="H497" s="390"/>
      <c r="I497" s="179">
        <f t="shared" ref="I497:I504" si="51">IFERROR(IF(OR(AND(G497="",C497=""),AND(G497=0,C497=0)),"",
IF(OR(G497="",G497=0),1,
IF(OR(G497&lt;&gt;"",G497&lt;&gt;0),(C497-G497)/ABS(G497)))),-1)</f>
        <v>4.8278166772756208</v>
      </c>
    </row>
    <row r="498" spans="1:9" x14ac:dyDescent="0.2">
      <c r="A498" s="247" t="s">
        <v>184</v>
      </c>
      <c r="B498" s="247"/>
      <c r="C498" s="3">
        <f>SUMIFS(Data!$AK:$AK,Data!$AG:$AG,MarketProfile!A498,Data!$AL:$AL,"1")</f>
        <v>14731</v>
      </c>
      <c r="D498" s="390">
        <f>SUMIFS(Data!$AY:$AY,Data!$AU:$AU,MarketProfile!A498,Data!$AZ:$AZ,"1")</f>
        <v>15644</v>
      </c>
      <c r="E498" s="390"/>
      <c r="F498" s="179">
        <f t="shared" si="50"/>
        <v>-5.8361032983891586E-2</v>
      </c>
      <c r="G498" s="390">
        <f>SUMIFS(Data!$BL:$BL,Data!$BH:$BH,MarketProfile!A498,Data!$BM:$BM,"1")</f>
        <v>8342</v>
      </c>
      <c r="H498" s="390"/>
      <c r="I498" s="179">
        <f t="shared" si="51"/>
        <v>0.76588348117957328</v>
      </c>
    </row>
    <row r="499" spans="1:9" x14ac:dyDescent="0.2">
      <c r="A499" s="247" t="s">
        <v>462</v>
      </c>
      <c r="B499" s="247"/>
      <c r="C499" s="3">
        <f>SUMIFS(Data!$AK:$AK,Data!$AG:$AG,MarketProfile!A499,Data!$AL:$AL,"1")</f>
        <v>29568</v>
      </c>
      <c r="D499" s="390">
        <f>SUMIFS(Data!$AY:$AY,Data!$AU:$AU,MarketProfile!A499,Data!$AZ:$AZ,"1")</f>
        <v>29420</v>
      </c>
      <c r="E499" s="390"/>
      <c r="F499" s="179">
        <f t="shared" si="50"/>
        <v>5.030591434398368E-3</v>
      </c>
      <c r="G499" s="390">
        <f>SUMIFS(Data!$BL:$BL,Data!$BH:$BH,MarketProfile!A499,Data!$BM:$BM,"1")</f>
        <v>18714</v>
      </c>
      <c r="H499" s="390"/>
      <c r="I499" s="179">
        <f t="shared" si="51"/>
        <v>0.57999358768836162</v>
      </c>
    </row>
    <row r="500" spans="1:9" x14ac:dyDescent="0.2">
      <c r="A500" s="247" t="s">
        <v>140</v>
      </c>
      <c r="B500" s="247"/>
      <c r="C500" s="3">
        <f>SUMIFS(Data!$AK:$AK,Data!$AG:$AG,MarketProfile!A500,Data!$AL:$AL,"1")</f>
        <v>1310</v>
      </c>
      <c r="D500" s="390">
        <f>SUMIFS(Data!$AY:$AY,Data!$AU:$AU,MarketProfile!A500,Data!$AZ:$AZ,"1")</f>
        <v>491</v>
      </c>
      <c r="E500" s="390"/>
      <c r="F500" s="179">
        <f t="shared" si="50"/>
        <v>1.6680244399185336</v>
      </c>
      <c r="G500" s="390">
        <f>SUMIFS(Data!$BL:$BL,Data!$BH:$BH,MarketProfile!A500,Data!$BM:$BM,"1")</f>
        <v>459</v>
      </c>
      <c r="H500" s="390"/>
      <c r="I500" s="179">
        <f t="shared" si="51"/>
        <v>1.8540305010893245</v>
      </c>
    </row>
    <row r="501" spans="1:9" x14ac:dyDescent="0.2">
      <c r="A501" s="247" t="s">
        <v>463</v>
      </c>
      <c r="B501" s="247"/>
      <c r="C501" s="3">
        <f>SUMIFS(Data!$AK:$AK,Data!$AG:$AG,MarketProfile!A501,Data!$AL:$AL,"1")</f>
        <v>11789</v>
      </c>
      <c r="D501" s="390">
        <f>SUMIFS(Data!$AY:$AY,Data!$AU:$AU,MarketProfile!A501,Data!$AZ:$AZ,"1")</f>
        <v>13066</v>
      </c>
      <c r="E501" s="390"/>
      <c r="F501" s="179">
        <f t="shared" si="50"/>
        <v>-9.7734578294810956E-2</v>
      </c>
      <c r="G501" s="390">
        <f>SUMIFS(Data!$BL:$BL,Data!$BH:$BH,MarketProfile!A501,Data!$BM:$BM,"1")</f>
        <v>7297</v>
      </c>
      <c r="H501" s="390"/>
      <c r="I501" s="179">
        <f t="shared" si="51"/>
        <v>0.6155954501850075</v>
      </c>
    </row>
    <row r="502" spans="1:9" x14ac:dyDescent="0.2">
      <c r="A502" s="247" t="s">
        <v>464</v>
      </c>
      <c r="B502" s="247"/>
      <c r="C502" s="3">
        <f>SUMIFS(Data!$AK:$AK,Data!$AG:$AG,MarketProfile!A502,Data!$AL:$AL,"1")</f>
        <v>39391</v>
      </c>
      <c r="D502" s="390">
        <f>SUMIFS(Data!$AY:$AY,Data!$AU:$AU,MarketProfile!A502,Data!$AZ:$AZ,"1")</f>
        <v>37183</v>
      </c>
      <c r="E502" s="390"/>
      <c r="F502" s="179">
        <f t="shared" si="50"/>
        <v>5.93819756340263E-2</v>
      </c>
      <c r="G502" s="390">
        <f>SUMIFS(Data!$BL:$BL,Data!$BH:$BH,MarketProfile!A502,Data!$BM:$BM,"1")</f>
        <v>22822</v>
      </c>
      <c r="H502" s="390"/>
      <c r="I502" s="179">
        <f t="shared" si="51"/>
        <v>0.72600999036017877</v>
      </c>
    </row>
    <row r="503" spans="1:9" x14ac:dyDescent="0.2">
      <c r="A503" s="247" t="s">
        <v>465</v>
      </c>
      <c r="B503" s="247"/>
      <c r="C503" s="3">
        <f>SUMIFS(Data!$AK:$AK,Data!$AG:$AG,MarketProfile!A503,Data!$AL:$AL,"1")</f>
        <v>507</v>
      </c>
      <c r="D503" s="390">
        <f>SUMIFS(Data!$AY:$AY,Data!$AU:$AU,MarketProfile!A503,Data!$AZ:$AZ,"1")</f>
        <v>45</v>
      </c>
      <c r="E503" s="390"/>
      <c r="F503" s="179">
        <f t="shared" si="50"/>
        <v>10.266666666666667</v>
      </c>
      <c r="G503" s="390">
        <f>SUMIFS(Data!$BL:$BL,Data!$BH:$BH,MarketProfile!A503,Data!$BM:$BM,"1")</f>
        <v>187</v>
      </c>
      <c r="H503" s="390"/>
      <c r="I503" s="179">
        <f t="shared" si="51"/>
        <v>1.7112299465240641</v>
      </c>
    </row>
    <row r="504" spans="1:9" x14ac:dyDescent="0.2">
      <c r="A504" s="247" t="s">
        <v>141</v>
      </c>
      <c r="B504" s="247"/>
      <c r="C504" s="3">
        <f>SUMIFS(Data!$AK:$AK,Data!$AG:$AG,MarketProfile!A504,Data!$AL:$AL,"1")</f>
        <v>957</v>
      </c>
      <c r="D504" s="390">
        <f>SUMIFS(Data!$AY:$AY,Data!$AU:$AU,MarketProfile!A504,Data!$AZ:$AZ,"1")</f>
        <v>960</v>
      </c>
      <c r="E504" s="390"/>
      <c r="F504" s="179">
        <f t="shared" si="50"/>
        <v>-3.1250000000000002E-3</v>
      </c>
      <c r="G504" s="390">
        <f>SUMIFS(Data!$BL:$BL,Data!$BH:$BH,MarketProfile!A504,Data!$BM:$BM,"1")</f>
        <v>49</v>
      </c>
      <c r="H504" s="390"/>
      <c r="I504" s="179">
        <f t="shared" si="51"/>
        <v>18.530612244897959</v>
      </c>
    </row>
    <row r="505" spans="1:9" x14ac:dyDescent="0.2">
      <c r="A505" s="139" t="s">
        <v>15</v>
      </c>
      <c r="B505" s="247"/>
      <c r="C505" s="3"/>
      <c r="D505" s="247"/>
      <c r="E505" s="3"/>
      <c r="F505" s="179"/>
      <c r="G505" s="247"/>
      <c r="H505" s="3"/>
      <c r="I505" s="179"/>
    </row>
    <row r="506" spans="1:9" x14ac:dyDescent="0.2">
      <c r="A506" s="247" t="s">
        <v>461</v>
      </c>
      <c r="B506" s="247"/>
      <c r="C506" s="3">
        <f>SUMIFS(Data!$AK:$AK,Data!$AG:$AG,MarketProfile!A506,Data!$AL:$AL,"0")</f>
        <v>0</v>
      </c>
      <c r="D506" s="390">
        <f>SUMIFS(Data!$AY:$AY,Data!$AU:$AU,MarketProfile!A506,Data!$AZ:$AZ,"0")</f>
        <v>0</v>
      </c>
      <c r="E506" s="390"/>
      <c r="F506" s="179" t="str">
        <f t="shared" si="50"/>
        <v/>
      </c>
      <c r="G506" s="390">
        <f>SUMIFS(Data!$BL:$BL,Data!$BH:$BH,MarketProfile!A506,Data!$BM:$BM,"0")</f>
        <v>281</v>
      </c>
      <c r="H506" s="390"/>
      <c r="I506" s="179">
        <f t="shared" ref="I506:I513" si="52">IFERROR(IF(OR(AND(G506="",C506=""),AND(G506=0,C506=0)),"",
IF(OR(G506="",G506=0),1,
IF(OR(G506&lt;&gt;"",G506&lt;&gt;0),(C506-G506)/ABS(G506)))),-1)</f>
        <v>-1</v>
      </c>
    </row>
    <row r="507" spans="1:9" x14ac:dyDescent="0.2">
      <c r="A507" s="247" t="s">
        <v>184</v>
      </c>
      <c r="B507" s="247"/>
      <c r="C507" s="3">
        <f>SUMIFS(Data!$AK:$AK,Data!$AG:$AG,MarketProfile!A507,Data!$AL:$AL,"0")</f>
        <v>2414</v>
      </c>
      <c r="D507" s="390">
        <f>SUMIFS(Data!$AY:$AY,Data!$AU:$AU,MarketProfile!A507,Data!$AZ:$AZ,"0")</f>
        <v>2245</v>
      </c>
      <c r="E507" s="390"/>
      <c r="F507" s="179">
        <f t="shared" si="50"/>
        <v>7.5278396436525619E-2</v>
      </c>
      <c r="G507" s="390">
        <f>SUMIFS(Data!$BL:$BL,Data!$BH:$BH,MarketProfile!A507,Data!$BM:$BM,"0")</f>
        <v>1667</v>
      </c>
      <c r="H507" s="390"/>
      <c r="I507" s="179">
        <f t="shared" si="52"/>
        <v>0.4481103779244151</v>
      </c>
    </row>
    <row r="508" spans="1:9" x14ac:dyDescent="0.2">
      <c r="A508" s="247" t="s">
        <v>462</v>
      </c>
      <c r="B508" s="247"/>
      <c r="C508" s="3">
        <f>SUMIFS(Data!$AK:$AK,Data!$AG:$AG,MarketProfile!A508,Data!$AL:$AL,"0")</f>
        <v>7891</v>
      </c>
      <c r="D508" s="390">
        <f>SUMIFS(Data!$AY:$AY,Data!$AU:$AU,MarketProfile!A508,Data!$AZ:$AZ,"0")</f>
        <v>5419</v>
      </c>
      <c r="E508" s="390"/>
      <c r="F508" s="179">
        <f t="shared" si="50"/>
        <v>0.45617272559512823</v>
      </c>
      <c r="G508" s="390">
        <f>SUMIFS(Data!$BL:$BL,Data!$BH:$BH,MarketProfile!A508,Data!$BM:$BM,"0")</f>
        <v>13551</v>
      </c>
      <c r="H508" s="390"/>
      <c r="I508" s="179">
        <f t="shared" si="52"/>
        <v>-0.41768135192974687</v>
      </c>
    </row>
    <row r="509" spans="1:9" x14ac:dyDescent="0.2">
      <c r="A509" s="247" t="s">
        <v>140</v>
      </c>
      <c r="B509" s="247"/>
      <c r="C509" s="3">
        <f>SUMIFS(Data!$AK:$AK,Data!$AG:$AG,MarketProfile!A509,Data!$AL:$AL,"0")</f>
        <v>0</v>
      </c>
      <c r="D509" s="390">
        <f>SUMIFS(Data!$AY:$AY,Data!$AU:$AU,MarketProfile!A509,Data!$AZ:$AZ,"0")</f>
        <v>0</v>
      </c>
      <c r="E509" s="390"/>
      <c r="F509" s="179" t="str">
        <f t="shared" si="50"/>
        <v/>
      </c>
      <c r="G509" s="390">
        <f>SUMIFS(Data!$BL:$BL,Data!$BH:$BH,MarketProfile!A509,Data!$BM:$BM,"0")</f>
        <v>0</v>
      </c>
      <c r="H509" s="390"/>
      <c r="I509" s="179" t="str">
        <f t="shared" si="52"/>
        <v/>
      </c>
    </row>
    <row r="510" spans="1:9" x14ac:dyDescent="0.2">
      <c r="A510" s="247" t="s">
        <v>463</v>
      </c>
      <c r="B510" s="247"/>
      <c r="C510" s="3">
        <f>SUMIFS(Data!$AK:$AK,Data!$AG:$AG,MarketProfile!A510,Data!$AL:$AL,"0")</f>
        <v>4388</v>
      </c>
      <c r="D510" s="390">
        <f>SUMIFS(Data!$AY:$AY,Data!$AU:$AU,MarketProfile!A510,Data!$AZ:$AZ,"0")</f>
        <v>4327</v>
      </c>
      <c r="E510" s="390"/>
      <c r="F510" s="179">
        <f t="shared" si="50"/>
        <v>1.4097527155072799E-2</v>
      </c>
      <c r="G510" s="390">
        <f>SUMIFS(Data!$BL:$BL,Data!$BH:$BH,MarketProfile!A510,Data!$BM:$BM,"0")</f>
        <v>2800</v>
      </c>
      <c r="H510" s="390"/>
      <c r="I510" s="179">
        <f t="shared" si="52"/>
        <v>0.56714285714285717</v>
      </c>
    </row>
    <row r="511" spans="1:9" x14ac:dyDescent="0.2">
      <c r="A511" s="247" t="s">
        <v>464</v>
      </c>
      <c r="B511" s="247"/>
      <c r="C511" s="3">
        <f>SUMIFS(Data!$AK:$AK,Data!$AG:$AG,MarketProfile!A511,Data!$AL:$AL,"0")</f>
        <v>27299</v>
      </c>
      <c r="D511" s="390">
        <f>SUMIFS(Data!$AY:$AY,Data!$AU:$AU,MarketProfile!A511,Data!$AZ:$AZ,"0")</f>
        <v>21715</v>
      </c>
      <c r="E511" s="390"/>
      <c r="F511" s="179">
        <f t="shared" si="50"/>
        <v>0.25714943587381994</v>
      </c>
      <c r="G511" s="390">
        <f>SUMIFS(Data!$BL:$BL,Data!$BH:$BH,MarketProfile!A511,Data!$BM:$BM,"0")</f>
        <v>31035</v>
      </c>
      <c r="H511" s="390"/>
      <c r="I511" s="179">
        <f t="shared" si="52"/>
        <v>-0.1203802158852908</v>
      </c>
    </row>
    <row r="512" spans="1:9" x14ac:dyDescent="0.2">
      <c r="A512" s="247" t="s">
        <v>465</v>
      </c>
      <c r="B512" s="247"/>
      <c r="C512" s="3">
        <f>SUMIFS(Data!$AK:$AK,Data!$AG:$AG,MarketProfile!A512,Data!$AL:$AL,"0")</f>
        <v>30</v>
      </c>
      <c r="D512" s="390">
        <f>SUMIFS(Data!$AY:$AY,Data!$AU:$AU,MarketProfile!A512,Data!$AZ:$AZ,"0")</f>
        <v>30</v>
      </c>
      <c r="E512" s="390"/>
      <c r="F512" s="179">
        <f t="shared" si="50"/>
        <v>0</v>
      </c>
      <c r="G512" s="390">
        <f>SUMIFS(Data!$BL:$BL,Data!$BH:$BH,MarketProfile!A512,Data!$BM:$BM,"0")</f>
        <v>30</v>
      </c>
      <c r="H512" s="390"/>
      <c r="I512" s="179">
        <f t="shared" si="52"/>
        <v>0</v>
      </c>
    </row>
    <row r="513" spans="1:9" x14ac:dyDescent="0.2">
      <c r="A513" s="247" t="s">
        <v>141</v>
      </c>
      <c r="B513" s="247"/>
      <c r="C513" s="3">
        <f>SUMIFS(Data!$AK:$AK,Data!$AG:$AG,MarketProfile!A513,Data!$AL:$AL,"0")</f>
        <v>0</v>
      </c>
      <c r="D513" s="390">
        <f>SUMIFS(Data!$AY:$AY,Data!$AU:$AU,MarketProfile!A513,Data!$AZ:$AZ,"0")</f>
        <v>0</v>
      </c>
      <c r="E513" s="390"/>
      <c r="F513" s="179" t="str">
        <f t="shared" ref="F513" si="53">IFERROR(IF(OR(AND(C513="",D513=""),AND(C513=0,D513=0)),"",
IF(OR(C513="",C513=0),1,
IF(OR(C513&lt;&gt;"",C513&lt;&gt;0),(D513-C513)/ABS(C513)))),-1)</f>
        <v/>
      </c>
      <c r="G513" s="390">
        <f>SUMIFS(Data!$BL:$BL,Data!$BH:$BH,MarketProfile!A513,Data!$BM:$BM,"0")</f>
        <v>0</v>
      </c>
      <c r="H513" s="390"/>
      <c r="I513" s="179" t="str">
        <f t="shared" si="52"/>
        <v/>
      </c>
    </row>
    <row r="514" spans="1:9" x14ac:dyDescent="0.2">
      <c r="A514" s="247"/>
      <c r="B514" s="247"/>
      <c r="C514" s="247"/>
      <c r="D514" s="247"/>
      <c r="E514" s="247"/>
      <c r="F514" s="247"/>
      <c r="G514" s="247"/>
      <c r="H514" s="247"/>
      <c r="I514" s="247"/>
    </row>
  </sheetData>
  <mergeCells count="265">
    <mergeCell ref="F178:H179"/>
    <mergeCell ref="G511:H511"/>
    <mergeCell ref="G512:H512"/>
    <mergeCell ref="G513:H513"/>
    <mergeCell ref="G506:H506"/>
    <mergeCell ref="G507:H507"/>
    <mergeCell ref="G508:H508"/>
    <mergeCell ref="G509:H509"/>
    <mergeCell ref="G510:H510"/>
    <mergeCell ref="G500:H500"/>
    <mergeCell ref="G501:H501"/>
    <mergeCell ref="G502:H502"/>
    <mergeCell ref="G503:H503"/>
    <mergeCell ref="G504:H504"/>
    <mergeCell ref="G493:H493"/>
    <mergeCell ref="G494:H494"/>
    <mergeCell ref="G497:H497"/>
    <mergeCell ref="G498:H498"/>
    <mergeCell ref="G499:H499"/>
    <mergeCell ref="G488:H488"/>
    <mergeCell ref="G489:H489"/>
    <mergeCell ref="G490:H490"/>
    <mergeCell ref="G491:H491"/>
    <mergeCell ref="G492:H492"/>
    <mergeCell ref="G482:H482"/>
    <mergeCell ref="G483:H483"/>
    <mergeCell ref="G484:H484"/>
    <mergeCell ref="G486:H486"/>
    <mergeCell ref="G487:H487"/>
    <mergeCell ref="G477:H477"/>
    <mergeCell ref="G478:H478"/>
    <mergeCell ref="G479:H479"/>
    <mergeCell ref="G480:H480"/>
    <mergeCell ref="G481:H481"/>
    <mergeCell ref="G470:H470"/>
    <mergeCell ref="G471:H471"/>
    <mergeCell ref="G472:H472"/>
    <mergeCell ref="G473:H473"/>
    <mergeCell ref="G476:H476"/>
    <mergeCell ref="G465:H465"/>
    <mergeCell ref="G466:H466"/>
    <mergeCell ref="G467:H467"/>
    <mergeCell ref="G468:H468"/>
    <mergeCell ref="G469:H469"/>
    <mergeCell ref="G460:H460"/>
    <mergeCell ref="G461:H461"/>
    <mergeCell ref="G462:H462"/>
    <mergeCell ref="G463:H463"/>
    <mergeCell ref="G452:H452"/>
    <mergeCell ref="G455:H455"/>
    <mergeCell ref="G456:H456"/>
    <mergeCell ref="G457:H457"/>
    <mergeCell ref="G458:H458"/>
    <mergeCell ref="G448:H448"/>
    <mergeCell ref="G449:H449"/>
    <mergeCell ref="G450:H450"/>
    <mergeCell ref="G451:H451"/>
    <mergeCell ref="D510:E510"/>
    <mergeCell ref="D511:E511"/>
    <mergeCell ref="D512:E512"/>
    <mergeCell ref="D513:E513"/>
    <mergeCell ref="D482:E482"/>
    <mergeCell ref="D483:E483"/>
    <mergeCell ref="D484:E484"/>
    <mergeCell ref="D486:E486"/>
    <mergeCell ref="D476:E476"/>
    <mergeCell ref="D477:E477"/>
    <mergeCell ref="D478:E478"/>
    <mergeCell ref="D479:E479"/>
    <mergeCell ref="D480:E480"/>
    <mergeCell ref="D469:E469"/>
    <mergeCell ref="D470:E470"/>
    <mergeCell ref="D471:E471"/>
    <mergeCell ref="D472:E472"/>
    <mergeCell ref="D473:E473"/>
    <mergeCell ref="D463:E463"/>
    <mergeCell ref="G459:H459"/>
    <mergeCell ref="G435:H435"/>
    <mergeCell ref="G436:H436"/>
    <mergeCell ref="G437:H437"/>
    <mergeCell ref="G438:H438"/>
    <mergeCell ref="G439:H439"/>
    <mergeCell ref="G440:H440"/>
    <mergeCell ref="G441:H441"/>
    <mergeCell ref="G442:H442"/>
    <mergeCell ref="G447:H447"/>
    <mergeCell ref="G444:H444"/>
    <mergeCell ref="G445:H445"/>
    <mergeCell ref="G446:H446"/>
    <mergeCell ref="D504:E504"/>
    <mergeCell ref="D506:E506"/>
    <mergeCell ref="D507:E507"/>
    <mergeCell ref="D508:E508"/>
    <mergeCell ref="D509:E509"/>
    <mergeCell ref="D499:E499"/>
    <mergeCell ref="D500:E500"/>
    <mergeCell ref="D501:E501"/>
    <mergeCell ref="D502:E502"/>
    <mergeCell ref="D503:E503"/>
    <mergeCell ref="D492:E492"/>
    <mergeCell ref="D493:E493"/>
    <mergeCell ref="D494:E494"/>
    <mergeCell ref="D497:E497"/>
    <mergeCell ref="D498:E498"/>
    <mergeCell ref="D487:E487"/>
    <mergeCell ref="D488:E488"/>
    <mergeCell ref="D489:E489"/>
    <mergeCell ref="D490:E490"/>
    <mergeCell ref="D491:E491"/>
    <mergeCell ref="D481:E481"/>
    <mergeCell ref="D465:E465"/>
    <mergeCell ref="D466:E466"/>
    <mergeCell ref="D467:E467"/>
    <mergeCell ref="D468:E468"/>
    <mergeCell ref="D458:E458"/>
    <mergeCell ref="D459:E459"/>
    <mergeCell ref="D460:E460"/>
    <mergeCell ref="D461:E461"/>
    <mergeCell ref="D462:E462"/>
    <mergeCell ref="D451:E451"/>
    <mergeCell ref="D452:E452"/>
    <mergeCell ref="D455:E455"/>
    <mergeCell ref="D456:E456"/>
    <mergeCell ref="D457:E457"/>
    <mergeCell ref="D446:E446"/>
    <mergeCell ref="D447:E447"/>
    <mergeCell ref="D448:E448"/>
    <mergeCell ref="D449:E449"/>
    <mergeCell ref="D450:E450"/>
    <mergeCell ref="D440:E440"/>
    <mergeCell ref="D441:E441"/>
    <mergeCell ref="D442:E442"/>
    <mergeCell ref="D444:E444"/>
    <mergeCell ref="D445:E445"/>
    <mergeCell ref="D435:E435"/>
    <mergeCell ref="D436:E436"/>
    <mergeCell ref="D437:E437"/>
    <mergeCell ref="D438:E438"/>
    <mergeCell ref="D439:E439"/>
    <mergeCell ref="G414:H414"/>
    <mergeCell ref="G417:H417"/>
    <mergeCell ref="G418:H418"/>
    <mergeCell ref="G419:H419"/>
    <mergeCell ref="D434:E434"/>
    <mergeCell ref="G409:H409"/>
    <mergeCell ref="G410:H410"/>
    <mergeCell ref="G411:H411"/>
    <mergeCell ref="G412:H412"/>
    <mergeCell ref="G413:H413"/>
    <mergeCell ref="D418:E418"/>
    <mergeCell ref="D419:E419"/>
    <mergeCell ref="D417:E417"/>
    <mergeCell ref="G434:H434"/>
    <mergeCell ref="D411:E411"/>
    <mergeCell ref="D412:E412"/>
    <mergeCell ref="D413:E413"/>
    <mergeCell ref="D414:E414"/>
    <mergeCell ref="G402:H402"/>
    <mergeCell ref="G403:H403"/>
    <mergeCell ref="G404:H404"/>
    <mergeCell ref="G408:H408"/>
    <mergeCell ref="G394:H394"/>
    <mergeCell ref="G395:H395"/>
    <mergeCell ref="G396:H396"/>
    <mergeCell ref="G397:H397"/>
    <mergeCell ref="G400:H400"/>
    <mergeCell ref="G401:H401"/>
    <mergeCell ref="G354:H354"/>
    <mergeCell ref="G355:H355"/>
    <mergeCell ref="G356:H356"/>
    <mergeCell ref="G357:H357"/>
    <mergeCell ref="G358:H358"/>
    <mergeCell ref="G374:H374"/>
    <mergeCell ref="G375:H375"/>
    <mergeCell ref="G376:H376"/>
    <mergeCell ref="G377:H377"/>
    <mergeCell ref="G366:H366"/>
    <mergeCell ref="G367:H367"/>
    <mergeCell ref="G368:H368"/>
    <mergeCell ref="G372:H372"/>
    <mergeCell ref="G373:H373"/>
    <mergeCell ref="G365:H365"/>
    <mergeCell ref="G378:H378"/>
    <mergeCell ref="G386:H386"/>
    <mergeCell ref="G390:H390"/>
    <mergeCell ref="G391:H391"/>
    <mergeCell ref="G392:H392"/>
    <mergeCell ref="G393:H393"/>
    <mergeCell ref="G379:H379"/>
    <mergeCell ref="G382:H382"/>
    <mergeCell ref="G383:H383"/>
    <mergeCell ref="G384:H384"/>
    <mergeCell ref="G385:H385"/>
    <mergeCell ref="D404:E404"/>
    <mergeCell ref="D408:E408"/>
    <mergeCell ref="D409:E409"/>
    <mergeCell ref="D410:E410"/>
    <mergeCell ref="D349:E351"/>
    <mergeCell ref="D353:E353"/>
    <mergeCell ref="D375:E375"/>
    <mergeCell ref="D376:E376"/>
    <mergeCell ref="D377:E377"/>
    <mergeCell ref="D378:E378"/>
    <mergeCell ref="D390:E390"/>
    <mergeCell ref="D367:E367"/>
    <mergeCell ref="D368:E368"/>
    <mergeCell ref="D372:E372"/>
    <mergeCell ref="D373:E373"/>
    <mergeCell ref="D374:E374"/>
    <mergeCell ref="D382:E382"/>
    <mergeCell ref="D383:E383"/>
    <mergeCell ref="D384:E384"/>
    <mergeCell ref="D385:E385"/>
    <mergeCell ref="D386:E386"/>
    <mergeCell ref="D396:E396"/>
    <mergeCell ref="D397:E397"/>
    <mergeCell ref="D400:E400"/>
    <mergeCell ref="D403:E403"/>
    <mergeCell ref="F149:H150"/>
    <mergeCell ref="G160:H160"/>
    <mergeCell ref="G8:I9"/>
    <mergeCell ref="A13:A15"/>
    <mergeCell ref="G162:H162"/>
    <mergeCell ref="G163:H163"/>
    <mergeCell ref="G164:H164"/>
    <mergeCell ref="D160:E160"/>
    <mergeCell ref="D162:E162"/>
    <mergeCell ref="D163:E163"/>
    <mergeCell ref="D164:E164"/>
    <mergeCell ref="F95:H96"/>
    <mergeCell ref="D401:E401"/>
    <mergeCell ref="D402:E402"/>
    <mergeCell ref="D391:E391"/>
    <mergeCell ref="D392:E392"/>
    <mergeCell ref="D393:E393"/>
    <mergeCell ref="D394:E394"/>
    <mergeCell ref="D395:E395"/>
    <mergeCell ref="G359:H359"/>
    <mergeCell ref="G360:H360"/>
    <mergeCell ref="G361:H361"/>
    <mergeCell ref="G364:H364"/>
    <mergeCell ref="E262:H263"/>
    <mergeCell ref="E347:H348"/>
    <mergeCell ref="A429:A430"/>
    <mergeCell ref="G264:G266"/>
    <mergeCell ref="D379:E379"/>
    <mergeCell ref="E429:I430"/>
    <mergeCell ref="F182:I182"/>
    <mergeCell ref="E265:E266"/>
    <mergeCell ref="F265:F266"/>
    <mergeCell ref="I265:I266"/>
    <mergeCell ref="H264:H266"/>
    <mergeCell ref="D354:E354"/>
    <mergeCell ref="D355:E355"/>
    <mergeCell ref="D356:E356"/>
    <mergeCell ref="D357:E357"/>
    <mergeCell ref="D358:E358"/>
    <mergeCell ref="D362:E362"/>
    <mergeCell ref="D363:E363"/>
    <mergeCell ref="D364:E364"/>
    <mergeCell ref="D365:E365"/>
    <mergeCell ref="D366:E366"/>
    <mergeCell ref="D359:E359"/>
    <mergeCell ref="D360:E360"/>
    <mergeCell ref="D361:E361"/>
  </mergeCell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Page &amp;P</oddFooter>
  </headerFooter>
  <rowBreaks count="5" manualBreakCount="5">
    <brk id="86" max="16383" man="1"/>
    <brk id="169" max="16383" man="1"/>
    <brk id="253" max="16383" man="1"/>
    <brk id="339" max="16383" man="1"/>
    <brk id="421" max="16383" man="1"/>
  </rowBreaks>
  <ignoredErrors>
    <ignoredError sqref="E1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N286"/>
  <sheetViews>
    <sheetView topLeftCell="BU1" zoomScaleNormal="100" workbookViewId="0">
      <selection activeCell="DL14" sqref="DL14"/>
    </sheetView>
  </sheetViews>
  <sheetFormatPr defaultColWidth="9.140625" defaultRowHeight="12.75" x14ac:dyDescent="0.2"/>
  <cols>
    <col min="1" max="1" width="23.140625" style="147" customWidth="1"/>
    <col min="2" max="2" width="22.42578125" style="10" customWidth="1"/>
    <col min="3" max="3" width="17" style="10" bestFit="1" customWidth="1"/>
    <col min="4" max="4" width="18.85546875" style="10" customWidth="1"/>
    <col min="5" max="5" width="16.140625" style="10" customWidth="1"/>
    <col min="6" max="6" width="16" style="10" bestFit="1" customWidth="1"/>
    <col min="7" max="7" width="12.42578125" style="10" bestFit="1" customWidth="1"/>
    <col min="8" max="8" width="12.5703125" style="10" bestFit="1" customWidth="1"/>
    <col min="9" max="9" width="34.42578125" style="10" bestFit="1" customWidth="1"/>
    <col min="10" max="10" width="11.85546875" style="136" customWidth="1"/>
    <col min="11" max="12" width="9.140625" style="10"/>
    <col min="13" max="13" width="15.7109375" style="2" bestFit="1" customWidth="1"/>
    <col min="14" max="14" width="23.5703125" style="10" customWidth="1"/>
    <col min="15" max="15" width="17.42578125" style="10" bestFit="1" customWidth="1"/>
    <col min="16" max="16" width="14.140625" style="10" bestFit="1" customWidth="1"/>
    <col min="17" max="17" width="25.5703125" style="10" bestFit="1" customWidth="1"/>
    <col min="18" max="18" width="28.42578125" style="10" customWidth="1"/>
    <col min="19" max="19" width="25" style="10" bestFit="1" customWidth="1"/>
    <col min="20" max="20" width="14.42578125" style="10" bestFit="1" customWidth="1"/>
    <col min="21" max="21" width="16.140625" style="10" bestFit="1" customWidth="1"/>
    <col min="22" max="22" width="13.28515625" style="10" bestFit="1" customWidth="1"/>
    <col min="23" max="23" width="16.7109375" style="10" bestFit="1" customWidth="1"/>
    <col min="24" max="24" width="14.85546875" style="10" bestFit="1" customWidth="1"/>
    <col min="25" max="25" width="23.140625" style="10" customWidth="1"/>
    <col min="26" max="27" width="9.140625" style="10" customWidth="1"/>
    <col min="28" max="28" width="13.85546875" style="10" customWidth="1"/>
    <col min="29" max="30" width="9.140625" style="10" customWidth="1"/>
    <col min="31" max="31" width="17.140625" style="10" customWidth="1"/>
    <col min="32" max="32" width="30.5703125" style="157" customWidth="1"/>
    <col min="33" max="38" width="11.5703125" style="157" customWidth="1"/>
    <col min="39" max="39" width="25.7109375" style="10" customWidth="1"/>
    <col min="40" max="45" width="9.140625" style="10" customWidth="1"/>
    <col min="46" max="46" width="31.42578125" style="10" customWidth="1"/>
    <col min="47" max="52" width="9.140625" style="10" customWidth="1"/>
    <col min="53" max="53" width="27.5703125" style="10" customWidth="1"/>
    <col min="54" max="54" width="9.140625" style="10" customWidth="1"/>
    <col min="55" max="58" width="15" style="10" customWidth="1"/>
    <col min="59" max="59" width="9.140625" style="10" customWidth="1"/>
    <col min="60" max="60" width="19.140625" style="10" customWidth="1"/>
    <col min="61" max="65" width="9.140625" style="10"/>
    <col min="66" max="66" width="14" style="10" bestFit="1" customWidth="1"/>
    <col min="67" max="67" width="44.85546875" style="10" customWidth="1"/>
    <col min="68" max="68" width="13.5703125" style="10" bestFit="1" customWidth="1"/>
    <col min="69" max="69" width="15.28515625" style="10" bestFit="1" customWidth="1"/>
    <col min="70" max="70" width="12.28515625" style="10" bestFit="1" customWidth="1"/>
    <col min="71" max="71" width="27.85546875" style="10" customWidth="1"/>
    <col min="72" max="80" width="12.28515625" style="10" customWidth="1"/>
    <col min="81" max="81" width="24.42578125" style="10" customWidth="1"/>
    <col min="82" max="82" width="39.5703125" style="10" customWidth="1"/>
    <col min="83" max="83" width="18" style="10" bestFit="1" customWidth="1"/>
    <col min="84" max="84" width="19.85546875" style="10" customWidth="1"/>
    <col min="85" max="86" width="9.140625" style="10"/>
    <col min="87" max="87" width="14.7109375" style="10" customWidth="1"/>
    <col min="88" max="89" width="9.140625" style="10"/>
    <col min="90" max="90" width="22.42578125" style="10" customWidth="1"/>
    <col min="91" max="91" width="12.28515625" style="10" customWidth="1"/>
    <col min="92" max="92" width="12.140625" style="10" customWidth="1"/>
    <col min="93" max="95" width="9.140625" style="10"/>
    <col min="96" max="96" width="18.7109375" style="10" bestFit="1" customWidth="1"/>
    <col min="97" max="97" width="12.5703125" style="10" customWidth="1"/>
    <col min="98" max="108" width="7.85546875" style="10" customWidth="1"/>
    <col min="109" max="109" width="9.140625" style="10"/>
    <col min="110" max="110" width="19.5703125" style="10" bestFit="1" customWidth="1"/>
    <col min="111" max="111" width="22.42578125" style="10" bestFit="1" customWidth="1"/>
    <col min="112" max="112" width="13.7109375" style="10" bestFit="1" customWidth="1"/>
    <col min="113" max="113" width="18.5703125" style="10" bestFit="1" customWidth="1"/>
    <col min="114" max="114" width="22.42578125" style="10" bestFit="1" customWidth="1"/>
    <col min="115" max="115" width="13.7109375" style="10" bestFit="1" customWidth="1"/>
    <col min="116" max="116" width="28.28515625" style="10" bestFit="1" customWidth="1"/>
    <col min="117" max="117" width="22.42578125" style="10" bestFit="1" customWidth="1"/>
    <col min="118" max="118" width="13.7109375" style="10" bestFit="1" customWidth="1"/>
    <col min="119" max="16384" width="9.140625" style="10"/>
  </cols>
  <sheetData>
    <row r="1" spans="1:118" x14ac:dyDescent="0.2">
      <c r="A1" s="148" t="s">
        <v>210</v>
      </c>
      <c r="B1" s="188" t="s">
        <v>536</v>
      </c>
      <c r="C1" s="188" t="s">
        <v>537</v>
      </c>
      <c r="D1" s="188" t="s">
        <v>538</v>
      </c>
      <c r="E1" s="153" t="s">
        <v>217</v>
      </c>
      <c r="F1" s="211" t="s">
        <v>538</v>
      </c>
      <c r="G1" s="211" t="s">
        <v>536</v>
      </c>
      <c r="H1" s="211" t="s">
        <v>537</v>
      </c>
      <c r="I1" s="153" t="s">
        <v>218</v>
      </c>
      <c r="J1" s="153" t="s">
        <v>220</v>
      </c>
      <c r="K1" s="235" t="s">
        <v>539</v>
      </c>
      <c r="L1" s="235" t="s">
        <v>540</v>
      </c>
      <c r="M1" s="237" t="s">
        <v>537</v>
      </c>
      <c r="N1" s="153" t="s">
        <v>223</v>
      </c>
      <c r="O1" s="242" t="s">
        <v>524</v>
      </c>
      <c r="P1" s="242" t="s">
        <v>525</v>
      </c>
      <c r="Q1" s="242" t="s">
        <v>526</v>
      </c>
      <c r="R1" s="153" t="s">
        <v>452</v>
      </c>
      <c r="S1" s="254" t="s">
        <v>560</v>
      </c>
      <c r="T1" s="257" t="s">
        <v>561</v>
      </c>
      <c r="U1" s="257" t="s">
        <v>562</v>
      </c>
      <c r="V1" s="257" t="s">
        <v>563</v>
      </c>
      <c r="W1" s="257" t="s">
        <v>564</v>
      </c>
      <c r="X1" s="257" t="s">
        <v>565</v>
      </c>
      <c r="Y1" s="252" t="s">
        <v>458</v>
      </c>
      <c r="Z1" s="254" t="s">
        <v>521</v>
      </c>
      <c r="AA1" s="254" t="s">
        <v>561</v>
      </c>
      <c r="AB1" s="254" t="s">
        <v>562</v>
      </c>
      <c r="AC1" s="254" t="s">
        <v>563</v>
      </c>
      <c r="AD1" s="254" t="s">
        <v>564</v>
      </c>
      <c r="AE1" s="254" t="s">
        <v>565</v>
      </c>
      <c r="AF1" s="252" t="s">
        <v>466</v>
      </c>
      <c r="AG1" s="254" t="s">
        <v>521</v>
      </c>
      <c r="AH1" s="254" t="s">
        <v>561</v>
      </c>
      <c r="AI1" s="254" t="s">
        <v>562</v>
      </c>
      <c r="AJ1" s="254" t="s">
        <v>563</v>
      </c>
      <c r="AK1" s="254" t="s">
        <v>564</v>
      </c>
      <c r="AL1" s="254" t="s">
        <v>565</v>
      </c>
      <c r="AM1" s="252" t="s">
        <v>460</v>
      </c>
      <c r="AN1" s="254" t="s">
        <v>521</v>
      </c>
      <c r="AO1" s="254" t="s">
        <v>561</v>
      </c>
      <c r="AP1" s="254" t="s">
        <v>562</v>
      </c>
      <c r="AQ1" s="254" t="s">
        <v>563</v>
      </c>
      <c r="AR1" s="254" t="s">
        <v>564</v>
      </c>
      <c r="AS1" s="254" t="s">
        <v>565</v>
      </c>
      <c r="AT1" s="252" t="s">
        <v>467</v>
      </c>
      <c r="AU1" s="254" t="s">
        <v>521</v>
      </c>
      <c r="AV1" s="254" t="s">
        <v>561</v>
      </c>
      <c r="AW1" s="254" t="s">
        <v>562</v>
      </c>
      <c r="AX1" s="254" t="s">
        <v>563</v>
      </c>
      <c r="AY1" s="254" t="s">
        <v>564</v>
      </c>
      <c r="AZ1" s="254" t="s">
        <v>565</v>
      </c>
      <c r="BA1" s="252" t="s">
        <v>459</v>
      </c>
      <c r="BB1" s="254" t="s">
        <v>521</v>
      </c>
      <c r="BC1" s="254" t="s">
        <v>561</v>
      </c>
      <c r="BD1" s="254" t="s">
        <v>562</v>
      </c>
      <c r="BE1" s="254" t="s">
        <v>563</v>
      </c>
      <c r="BF1" s="254" t="s">
        <v>564</v>
      </c>
      <c r="BG1" s="254" t="s">
        <v>565</v>
      </c>
      <c r="BH1" s="252" t="s">
        <v>521</v>
      </c>
      <c r="BI1" s="254" t="s">
        <v>561</v>
      </c>
      <c r="BJ1" s="254" t="s">
        <v>562</v>
      </c>
      <c r="BK1" s="254" t="s">
        <v>563</v>
      </c>
      <c r="BL1" s="254" t="s">
        <v>564</v>
      </c>
      <c r="BM1" s="254" t="s">
        <v>565</v>
      </c>
      <c r="BN1" s="254"/>
      <c r="BO1" s="252" t="s">
        <v>468</v>
      </c>
      <c r="BP1" s="264" t="s">
        <v>561</v>
      </c>
      <c r="BQ1" s="264" t="s">
        <v>562</v>
      </c>
      <c r="BR1" s="264" t="s">
        <v>563</v>
      </c>
      <c r="BS1" s="261" t="s">
        <v>501</v>
      </c>
      <c r="BT1" s="266" t="s">
        <v>621</v>
      </c>
      <c r="BU1" s="266" t="s">
        <v>622</v>
      </c>
      <c r="BV1" s="266" t="s">
        <v>623</v>
      </c>
      <c r="BW1" s="266" t="s">
        <v>624</v>
      </c>
      <c r="BX1" s="266" t="s">
        <v>625</v>
      </c>
      <c r="BY1" s="266" t="s">
        <v>626</v>
      </c>
      <c r="BZ1" s="266" t="s">
        <v>627</v>
      </c>
      <c r="CA1" s="266" t="s">
        <v>628</v>
      </c>
      <c r="CB1" s="266" t="s">
        <v>629</v>
      </c>
      <c r="CC1" s="267" t="s">
        <v>502</v>
      </c>
      <c r="CD1" s="268" t="s">
        <v>634</v>
      </c>
      <c r="CE1" s="268" t="s">
        <v>635</v>
      </c>
      <c r="CF1" s="267" t="s">
        <v>507</v>
      </c>
      <c r="CG1" s="266" t="s">
        <v>6</v>
      </c>
      <c r="CH1" s="266" t="s">
        <v>636</v>
      </c>
      <c r="CI1" s="267" t="s">
        <v>509</v>
      </c>
      <c r="CJ1" s="247" t="s">
        <v>117</v>
      </c>
      <c r="CK1" s="247">
        <v>24411</v>
      </c>
      <c r="CL1" s="267" t="s">
        <v>512</v>
      </c>
      <c r="CM1" s="247" t="s">
        <v>117</v>
      </c>
      <c r="CN1" s="247">
        <v>14976</v>
      </c>
      <c r="CO1" s="267" t="s">
        <v>515</v>
      </c>
      <c r="CP1" s="247" t="s">
        <v>117</v>
      </c>
      <c r="CQ1" s="247">
        <v>577</v>
      </c>
      <c r="CR1" s="267" t="s">
        <v>518</v>
      </c>
      <c r="CS1" s="276" t="s">
        <v>640</v>
      </c>
      <c r="CT1" s="275" t="s">
        <v>641</v>
      </c>
      <c r="CU1" s="275" t="s">
        <v>642</v>
      </c>
      <c r="CV1" s="275" t="s">
        <v>643</v>
      </c>
      <c r="CW1" s="275" t="s">
        <v>644</v>
      </c>
      <c r="CX1" s="275" t="s">
        <v>645</v>
      </c>
      <c r="CY1" s="275" t="s">
        <v>646</v>
      </c>
      <c r="CZ1" s="275" t="s">
        <v>647</v>
      </c>
      <c r="DA1" s="275" t="s">
        <v>648</v>
      </c>
      <c r="DB1" s="275" t="s">
        <v>649</v>
      </c>
      <c r="DC1" s="275" t="s">
        <v>650</v>
      </c>
      <c r="DD1" s="275" t="s">
        <v>651</v>
      </c>
      <c r="DF1" s="356" t="s">
        <v>529</v>
      </c>
      <c r="DG1" s="347" t="s">
        <v>661</v>
      </c>
      <c r="DH1" s="347" t="s">
        <v>662</v>
      </c>
      <c r="DI1" s="356" t="s">
        <v>530</v>
      </c>
      <c r="DJ1" s="354" t="s">
        <v>661</v>
      </c>
      <c r="DK1" s="354" t="s">
        <v>662</v>
      </c>
      <c r="DL1" s="356" t="s">
        <v>531</v>
      </c>
      <c r="DM1" s="349" t="s">
        <v>661</v>
      </c>
      <c r="DN1" s="349" t="s">
        <v>662</v>
      </c>
    </row>
    <row r="2" spans="1:118" x14ac:dyDescent="0.2">
      <c r="B2" s="188">
        <v>6436532686</v>
      </c>
      <c r="C2" s="188">
        <v>446373154731.48065</v>
      </c>
      <c r="D2" s="188">
        <v>5487839</v>
      </c>
      <c r="E2" s="209"/>
      <c r="F2" s="211">
        <v>3087</v>
      </c>
      <c r="G2" s="211">
        <v>561599543</v>
      </c>
      <c r="H2" s="211">
        <v>31302940148.235622</v>
      </c>
      <c r="J2" s="152" t="str">
        <f>K2&amp;L2</f>
        <v>ABuy</v>
      </c>
      <c r="K2" s="234" t="s">
        <v>541</v>
      </c>
      <c r="L2" s="234" t="s">
        <v>542</v>
      </c>
      <c r="M2" s="238">
        <v>200861217710.23972</v>
      </c>
      <c r="O2" s="241">
        <v>77365548918.100006</v>
      </c>
      <c r="P2" s="241">
        <v>-78830454210.800003</v>
      </c>
      <c r="Q2" s="241">
        <v>-1464905292.7</v>
      </c>
      <c r="S2" s="253" t="s">
        <v>446</v>
      </c>
      <c r="T2" s="258">
        <v>361778092379.57825</v>
      </c>
      <c r="U2" s="258">
        <v>1193945</v>
      </c>
      <c r="V2" s="258">
        <v>273032</v>
      </c>
      <c r="W2" s="258">
        <v>828932</v>
      </c>
      <c r="X2" s="258">
        <v>1</v>
      </c>
      <c r="Y2" s="245"/>
      <c r="Z2" s="253" t="s">
        <v>567</v>
      </c>
      <c r="AA2" s="253">
        <v>0</v>
      </c>
      <c r="AB2" s="253">
        <v>0</v>
      </c>
      <c r="AC2" s="253">
        <v>0</v>
      </c>
      <c r="AD2" s="253">
        <v>0</v>
      </c>
      <c r="AE2" s="253">
        <v>0</v>
      </c>
      <c r="AF2" s="253"/>
      <c r="AG2" s="253" t="s">
        <v>567</v>
      </c>
      <c r="AH2" s="253">
        <v>0</v>
      </c>
      <c r="AI2" s="253">
        <v>0</v>
      </c>
      <c r="AJ2" s="253">
        <v>0</v>
      </c>
      <c r="AK2" s="253">
        <v>0</v>
      </c>
      <c r="AL2" s="253">
        <v>0</v>
      </c>
      <c r="AM2" s="245"/>
      <c r="AN2" s="253" t="s">
        <v>610</v>
      </c>
      <c r="AO2" s="253">
        <v>0</v>
      </c>
      <c r="AP2" s="253">
        <v>0</v>
      </c>
      <c r="AQ2" s="253">
        <v>0</v>
      </c>
      <c r="AR2" s="253">
        <v>0</v>
      </c>
      <c r="AS2" s="253">
        <v>1</v>
      </c>
      <c r="AT2" s="245"/>
      <c r="AU2" s="253" t="s">
        <v>567</v>
      </c>
      <c r="AV2" s="253">
        <v>0</v>
      </c>
      <c r="AW2" s="253">
        <v>0</v>
      </c>
      <c r="AX2" s="253">
        <v>0</v>
      </c>
      <c r="AY2" s="253">
        <v>0</v>
      </c>
      <c r="AZ2" s="253">
        <v>0</v>
      </c>
      <c r="BA2" s="245"/>
      <c r="BB2" s="253" t="s">
        <v>567</v>
      </c>
      <c r="BC2" s="253">
        <v>0</v>
      </c>
      <c r="BD2" s="253">
        <v>0</v>
      </c>
      <c r="BE2" s="253">
        <v>0</v>
      </c>
      <c r="BF2" s="253">
        <v>0</v>
      </c>
      <c r="BG2" s="253">
        <v>0</v>
      </c>
      <c r="BH2" s="247" t="s">
        <v>567</v>
      </c>
      <c r="BI2" s="253">
        <v>0</v>
      </c>
      <c r="BJ2" s="253">
        <v>0</v>
      </c>
      <c r="BK2" s="253">
        <v>0</v>
      </c>
      <c r="BL2" s="253">
        <v>0</v>
      </c>
      <c r="BM2" s="253">
        <v>0</v>
      </c>
      <c r="BN2" s="253"/>
      <c r="BO2" s="245"/>
      <c r="BP2" s="263">
        <v>3661665800574.4126</v>
      </c>
      <c r="BQ2" s="263">
        <v>184450185</v>
      </c>
      <c r="BR2" s="263">
        <v>2141542</v>
      </c>
      <c r="BS2" s="245"/>
      <c r="BT2" s="265" t="s">
        <v>139</v>
      </c>
      <c r="BU2" s="265">
        <v>52</v>
      </c>
      <c r="BV2" s="265">
        <v>0</v>
      </c>
      <c r="BW2" s="265">
        <v>6</v>
      </c>
      <c r="BX2" s="265">
        <v>0</v>
      </c>
      <c r="BY2" s="265">
        <v>0</v>
      </c>
      <c r="BZ2" s="265">
        <v>46</v>
      </c>
      <c r="CA2" s="265">
        <v>40</v>
      </c>
      <c r="CB2" s="265">
        <v>12</v>
      </c>
      <c r="CC2" s="245"/>
      <c r="CD2" s="269">
        <v>803</v>
      </c>
      <c r="CE2" s="269">
        <v>15084224390679.16</v>
      </c>
      <c r="CF2" s="245"/>
      <c r="CG2" s="265">
        <v>2017</v>
      </c>
      <c r="CH2" s="265">
        <v>22</v>
      </c>
      <c r="CI2" s="245"/>
      <c r="CJ2" s="247" t="s">
        <v>638</v>
      </c>
      <c r="CK2" s="247">
        <v>653467844663</v>
      </c>
      <c r="CL2" s="247"/>
      <c r="CM2" s="247" t="s">
        <v>638</v>
      </c>
      <c r="CN2" s="247">
        <v>1742551295541</v>
      </c>
      <c r="CO2" s="247"/>
      <c r="CP2" s="247" t="s">
        <v>638</v>
      </c>
      <c r="CQ2" s="247">
        <v>39354739382</v>
      </c>
      <c r="CR2" s="245"/>
      <c r="CS2" s="277">
        <v>2017</v>
      </c>
      <c r="CT2" s="275">
        <v>44</v>
      </c>
      <c r="CU2" s="275" t="s">
        <v>652</v>
      </c>
      <c r="CV2" s="275">
        <v>0</v>
      </c>
      <c r="CW2" s="275">
        <v>25643113870</v>
      </c>
      <c r="CX2" s="275">
        <v>2765</v>
      </c>
      <c r="CY2" s="275">
        <v>0</v>
      </c>
      <c r="CZ2" s="275">
        <v>113679401914</v>
      </c>
      <c r="DA2" s="275">
        <v>1512</v>
      </c>
      <c r="DB2" s="275">
        <v>0</v>
      </c>
      <c r="DC2" s="275">
        <v>88036288044</v>
      </c>
      <c r="DD2" s="275">
        <v>1253</v>
      </c>
      <c r="DG2" s="348" t="s">
        <v>663</v>
      </c>
      <c r="DH2" s="346">
        <v>7870296933.2700005</v>
      </c>
      <c r="DJ2" s="352" t="s">
        <v>663</v>
      </c>
      <c r="DK2" s="350">
        <v>14852329556.58</v>
      </c>
      <c r="DM2" s="351" t="s">
        <v>663</v>
      </c>
      <c r="DN2" s="353">
        <v>9802920551.5900002</v>
      </c>
    </row>
    <row r="3" spans="1:118" x14ac:dyDescent="0.2">
      <c r="B3" s="188"/>
      <c r="C3" s="188"/>
      <c r="D3" s="188"/>
      <c r="E3" s="209"/>
      <c r="F3" s="209"/>
      <c r="G3" s="209"/>
      <c r="H3" s="209"/>
      <c r="J3" s="152" t="str">
        <f t="shared" ref="J3:J5" si="0">K3&amp;L3</f>
        <v>PBuy</v>
      </c>
      <c r="K3" s="234" t="s">
        <v>543</v>
      </c>
      <c r="L3" s="234" t="s">
        <v>542</v>
      </c>
      <c r="M3" s="238">
        <v>245511937021.24091</v>
      </c>
      <c r="N3" s="136"/>
      <c r="O3" s="239"/>
      <c r="P3" s="239"/>
      <c r="Q3" s="239"/>
      <c r="S3" s="253" t="s">
        <v>451</v>
      </c>
      <c r="T3" s="258">
        <v>77544983.939999998</v>
      </c>
      <c r="U3" s="258">
        <v>100397</v>
      </c>
      <c r="V3" s="258">
        <v>66</v>
      </c>
      <c r="W3" s="258">
        <v>222915</v>
      </c>
      <c r="X3" s="258">
        <v>0</v>
      </c>
      <c r="Y3" s="245"/>
      <c r="Z3" s="253" t="s">
        <v>568</v>
      </c>
      <c r="AA3" s="253">
        <v>0</v>
      </c>
      <c r="AB3" s="253">
        <v>0</v>
      </c>
      <c r="AC3" s="253">
        <v>0</v>
      </c>
      <c r="AD3" s="253">
        <v>0</v>
      </c>
      <c r="AE3" s="253">
        <v>0</v>
      </c>
      <c r="AF3" s="253"/>
      <c r="AG3" s="253" t="s">
        <v>568</v>
      </c>
      <c r="AH3" s="253">
        <v>0</v>
      </c>
      <c r="AI3" s="253">
        <v>0</v>
      </c>
      <c r="AJ3" s="253">
        <v>0</v>
      </c>
      <c r="AK3" s="253">
        <v>0</v>
      </c>
      <c r="AL3" s="253">
        <v>0</v>
      </c>
      <c r="AM3" s="245"/>
      <c r="AN3" s="253" t="s">
        <v>567</v>
      </c>
      <c r="AO3" s="253">
        <v>0</v>
      </c>
      <c r="AP3" s="253">
        <v>0</v>
      </c>
      <c r="AQ3" s="253">
        <v>0</v>
      </c>
      <c r="AR3" s="253">
        <v>0</v>
      </c>
      <c r="AS3" s="253">
        <v>0</v>
      </c>
      <c r="AT3" s="245"/>
      <c r="AU3" s="253" t="s">
        <v>568</v>
      </c>
      <c r="AV3" s="253">
        <v>0</v>
      </c>
      <c r="AW3" s="253">
        <v>0</v>
      </c>
      <c r="AX3" s="253">
        <v>0</v>
      </c>
      <c r="AY3" s="253">
        <v>0</v>
      </c>
      <c r="AZ3" s="253">
        <v>0</v>
      </c>
      <c r="BA3" s="245"/>
      <c r="BB3" s="253" t="s">
        <v>568</v>
      </c>
      <c r="BC3" s="253">
        <v>909460</v>
      </c>
      <c r="BD3" s="253">
        <v>182</v>
      </c>
      <c r="BE3" s="253">
        <v>14</v>
      </c>
      <c r="BF3" s="253">
        <v>5646</v>
      </c>
      <c r="BG3" s="253">
        <v>0</v>
      </c>
      <c r="BH3" s="247" t="s">
        <v>568</v>
      </c>
      <c r="BI3" s="253">
        <v>143760</v>
      </c>
      <c r="BJ3" s="253">
        <v>30</v>
      </c>
      <c r="BK3" s="253">
        <v>2</v>
      </c>
      <c r="BL3" s="253">
        <v>281</v>
      </c>
      <c r="BM3" s="253">
        <v>0</v>
      </c>
      <c r="BN3" s="253"/>
      <c r="BO3" s="245"/>
      <c r="BP3" s="245"/>
      <c r="BQ3" s="245"/>
      <c r="BR3" s="245"/>
      <c r="BS3" s="245"/>
      <c r="BT3" s="265" t="s">
        <v>630</v>
      </c>
      <c r="BU3" s="265">
        <v>2</v>
      </c>
      <c r="BV3" s="265">
        <v>0</v>
      </c>
      <c r="BW3" s="265">
        <v>0</v>
      </c>
      <c r="BX3" s="265">
        <v>0</v>
      </c>
      <c r="BY3" s="265">
        <v>0</v>
      </c>
      <c r="BZ3" s="265">
        <v>2</v>
      </c>
      <c r="CA3" s="265">
        <v>2</v>
      </c>
      <c r="CB3" s="265">
        <v>0</v>
      </c>
      <c r="CC3" s="245"/>
      <c r="CD3" s="245"/>
      <c r="CE3" s="245"/>
      <c r="CF3" s="245"/>
      <c r="CG3" s="265">
        <v>2016</v>
      </c>
      <c r="CH3" s="265">
        <v>21</v>
      </c>
      <c r="CI3" s="245"/>
      <c r="CJ3" s="247" t="s">
        <v>639</v>
      </c>
      <c r="CK3" s="247">
        <v>674140013021.78857</v>
      </c>
      <c r="CL3" s="247"/>
      <c r="CM3" s="247" t="s">
        <v>639</v>
      </c>
      <c r="CN3" s="247">
        <v>1688683087452.3191</v>
      </c>
      <c r="CO3" s="247"/>
      <c r="CP3" s="247" t="s">
        <v>639</v>
      </c>
      <c r="CQ3" s="247">
        <v>9079838106.8199997</v>
      </c>
      <c r="CR3" s="245"/>
      <c r="CS3" s="277">
        <v>2017</v>
      </c>
      <c r="CT3" s="275">
        <v>3</v>
      </c>
      <c r="CU3" s="275" t="s">
        <v>653</v>
      </c>
      <c r="CV3" s="275">
        <v>294276509.67000002</v>
      </c>
      <c r="CW3" s="275">
        <v>299810000</v>
      </c>
      <c r="CX3" s="275">
        <v>3</v>
      </c>
      <c r="CY3" s="275">
        <v>294888623.24000001</v>
      </c>
      <c r="CZ3" s="275">
        <v>300110000</v>
      </c>
      <c r="DA3" s="275">
        <v>2</v>
      </c>
      <c r="DB3" s="275">
        <v>612113.56999999995</v>
      </c>
      <c r="DC3" s="275">
        <v>300000</v>
      </c>
      <c r="DD3" s="275">
        <v>1</v>
      </c>
      <c r="DG3" s="348" t="s">
        <v>664</v>
      </c>
      <c r="DH3" s="346">
        <v>6286571585.3599997</v>
      </c>
      <c r="DJ3" s="352" t="s">
        <v>664</v>
      </c>
      <c r="DK3" s="350">
        <v>13988128300.879999</v>
      </c>
      <c r="DM3" s="351" t="s">
        <v>664</v>
      </c>
      <c r="DN3" s="353">
        <v>21497003677.02</v>
      </c>
    </row>
    <row r="4" spans="1:118" x14ac:dyDescent="0.2">
      <c r="A4" s="148" t="s">
        <v>211</v>
      </c>
      <c r="B4" s="188" t="s">
        <v>536</v>
      </c>
      <c r="C4" s="188" t="s">
        <v>537</v>
      </c>
      <c r="D4" s="188" t="s">
        <v>538</v>
      </c>
      <c r="E4" s="209"/>
      <c r="F4" s="211" t="s">
        <v>538</v>
      </c>
      <c r="G4" s="211" t="s">
        <v>536</v>
      </c>
      <c r="H4" s="211" t="s">
        <v>537</v>
      </c>
      <c r="J4" s="152" t="str">
        <f t="shared" si="0"/>
        <v>ASell</v>
      </c>
      <c r="K4" s="234" t="s">
        <v>541</v>
      </c>
      <c r="L4" s="234" t="s">
        <v>544</v>
      </c>
      <c r="M4" s="238">
        <v>217616551506.70145</v>
      </c>
      <c r="N4" s="153" t="s">
        <v>224</v>
      </c>
      <c r="O4" s="242" t="s">
        <v>524</v>
      </c>
      <c r="P4" s="242" t="s">
        <v>525</v>
      </c>
      <c r="Q4" s="242" t="s">
        <v>526</v>
      </c>
      <c r="S4" s="253" t="s">
        <v>446</v>
      </c>
      <c r="T4" s="258">
        <v>2661039010.0900002</v>
      </c>
      <c r="U4" s="258">
        <v>432407</v>
      </c>
      <c r="V4" s="258">
        <v>790</v>
      </c>
      <c r="W4" s="258">
        <v>1068544</v>
      </c>
      <c r="X4" s="258">
        <v>0</v>
      </c>
      <c r="Y4" s="245"/>
      <c r="Z4" s="253" t="s">
        <v>569</v>
      </c>
      <c r="AA4" s="253">
        <v>15163140.199999999</v>
      </c>
      <c r="AB4" s="253">
        <v>1383</v>
      </c>
      <c r="AC4" s="253">
        <v>72</v>
      </c>
      <c r="AD4" s="253">
        <v>53083</v>
      </c>
      <c r="AE4" s="253">
        <v>0</v>
      </c>
      <c r="AF4" s="253"/>
      <c r="AG4" s="253" t="s">
        <v>569</v>
      </c>
      <c r="AH4" s="253">
        <v>76278</v>
      </c>
      <c r="AI4" s="253">
        <v>6</v>
      </c>
      <c r="AJ4" s="253">
        <v>4</v>
      </c>
      <c r="AK4" s="253">
        <v>2414</v>
      </c>
      <c r="AL4" s="253">
        <v>0</v>
      </c>
      <c r="AM4" s="245"/>
      <c r="AN4" s="253" t="s">
        <v>568</v>
      </c>
      <c r="AO4" s="253">
        <v>0</v>
      </c>
      <c r="AP4" s="253">
        <v>0</v>
      </c>
      <c r="AQ4" s="253">
        <v>0</v>
      </c>
      <c r="AR4" s="253">
        <v>0</v>
      </c>
      <c r="AS4" s="253">
        <v>0</v>
      </c>
      <c r="AT4" s="245"/>
      <c r="AU4" s="253" t="s">
        <v>569</v>
      </c>
      <c r="AV4" s="253">
        <v>1544382.7</v>
      </c>
      <c r="AW4" s="253">
        <v>133</v>
      </c>
      <c r="AX4" s="253">
        <v>6</v>
      </c>
      <c r="AY4" s="253">
        <v>2245</v>
      </c>
      <c r="AZ4" s="253">
        <v>0</v>
      </c>
      <c r="BA4" s="245"/>
      <c r="BB4" s="253" t="s">
        <v>614</v>
      </c>
      <c r="BC4" s="253">
        <v>0</v>
      </c>
      <c r="BD4" s="253">
        <v>0</v>
      </c>
      <c r="BE4" s="253">
        <v>0</v>
      </c>
      <c r="BF4" s="253">
        <v>0</v>
      </c>
      <c r="BG4" s="253">
        <v>1</v>
      </c>
      <c r="BH4" s="247" t="s">
        <v>614</v>
      </c>
      <c r="BI4" s="253">
        <v>0</v>
      </c>
      <c r="BJ4" s="253">
        <v>0</v>
      </c>
      <c r="BK4" s="253">
        <v>0</v>
      </c>
      <c r="BL4" s="253">
        <v>0</v>
      </c>
      <c r="BM4" s="253">
        <v>1</v>
      </c>
      <c r="BN4" s="253"/>
      <c r="BO4" s="252" t="s">
        <v>469</v>
      </c>
      <c r="BP4" s="264" t="s">
        <v>561</v>
      </c>
      <c r="BQ4" s="264" t="s">
        <v>562</v>
      </c>
      <c r="BR4" s="264" t="s">
        <v>563</v>
      </c>
      <c r="BS4" s="245"/>
      <c r="BT4" s="265" t="s">
        <v>631</v>
      </c>
      <c r="BU4" s="265">
        <v>1</v>
      </c>
      <c r="BV4" s="265">
        <v>0</v>
      </c>
      <c r="BW4" s="265">
        <v>0</v>
      </c>
      <c r="BX4" s="265">
        <v>0</v>
      </c>
      <c r="BY4" s="265">
        <v>0</v>
      </c>
      <c r="BZ4" s="265">
        <v>1</v>
      </c>
      <c r="CA4" s="265">
        <v>1</v>
      </c>
      <c r="CB4" s="265">
        <v>0</v>
      </c>
      <c r="CC4" s="267" t="s">
        <v>503</v>
      </c>
      <c r="CD4" s="270" t="s">
        <v>634</v>
      </c>
      <c r="CE4" s="270" t="s">
        <v>635</v>
      </c>
      <c r="CF4" s="245"/>
      <c r="CG4" s="245"/>
      <c r="CH4" s="245"/>
      <c r="CI4" s="245"/>
      <c r="CJ4" s="245"/>
      <c r="CK4" s="245"/>
      <c r="CL4" s="247"/>
      <c r="CM4" s="247"/>
      <c r="CN4" s="247"/>
      <c r="CO4" s="247"/>
      <c r="CP4" s="247"/>
      <c r="CQ4" s="247"/>
      <c r="CR4" s="245"/>
      <c r="CS4" s="277">
        <v>2017</v>
      </c>
      <c r="CT4" s="275">
        <v>24</v>
      </c>
      <c r="CU4" s="275" t="s">
        <v>654</v>
      </c>
      <c r="CV4" s="275">
        <v>-7387119870.770175</v>
      </c>
      <c r="CW4" s="275">
        <v>14481657429</v>
      </c>
      <c r="CX4" s="275">
        <v>5426</v>
      </c>
      <c r="CY4" s="275">
        <v>316414878139.56995</v>
      </c>
      <c r="CZ4" s="275">
        <v>332792405000</v>
      </c>
      <c r="DA4" s="275">
        <v>3763</v>
      </c>
      <c r="DB4" s="275">
        <v>323801998010.34009</v>
      </c>
      <c r="DC4" s="275">
        <v>318310747571</v>
      </c>
      <c r="DD4" s="275">
        <v>1663</v>
      </c>
      <c r="DG4" s="348" t="s">
        <v>665</v>
      </c>
      <c r="DH4" s="346">
        <v>1670527521.45</v>
      </c>
      <c r="DJ4" s="352" t="s">
        <v>665</v>
      </c>
      <c r="DK4" s="350">
        <v>9381051652.5200005</v>
      </c>
      <c r="DM4" s="351" t="s">
        <v>665</v>
      </c>
      <c r="DN4" s="353">
        <v>6056599829.3500004</v>
      </c>
    </row>
    <row r="5" spans="1:118" x14ac:dyDescent="0.2">
      <c r="B5" s="188">
        <v>51484685566</v>
      </c>
      <c r="C5" s="188">
        <v>3414620266866.8579</v>
      </c>
      <c r="D5" s="194">
        <v>45956500</v>
      </c>
      <c r="E5" s="209"/>
      <c r="F5" s="211">
        <v>23436</v>
      </c>
      <c r="G5" s="211">
        <v>4463621725</v>
      </c>
      <c r="H5" s="225">
        <v>218290633294.31305</v>
      </c>
      <c r="J5" s="152" t="str">
        <f t="shared" si="0"/>
        <v>PSell</v>
      </c>
      <c r="K5" s="234" t="s">
        <v>543</v>
      </c>
      <c r="L5" s="234" t="s">
        <v>544</v>
      </c>
      <c r="M5" s="238">
        <v>228756603224.77917</v>
      </c>
      <c r="N5" s="136"/>
      <c r="O5" s="241">
        <v>584550603121.78003</v>
      </c>
      <c r="P5" s="241">
        <v>-649267129937.75</v>
      </c>
      <c r="Q5" s="241">
        <v>-64716526815.970001</v>
      </c>
      <c r="S5" s="253" t="s">
        <v>447</v>
      </c>
      <c r="T5" s="258">
        <v>8247404970.6969995</v>
      </c>
      <c r="U5" s="258">
        <v>393492</v>
      </c>
      <c r="V5" s="258">
        <v>3978</v>
      </c>
      <c r="W5" s="258">
        <v>1306483</v>
      </c>
      <c r="X5" s="258">
        <v>1</v>
      </c>
      <c r="Y5" s="245"/>
      <c r="Z5" s="253" t="s">
        <v>570</v>
      </c>
      <c r="AA5" s="253">
        <v>94159940.230000004</v>
      </c>
      <c r="AB5" s="253">
        <v>1372</v>
      </c>
      <c r="AC5" s="253">
        <v>34</v>
      </c>
      <c r="AD5" s="253">
        <v>4234</v>
      </c>
      <c r="AE5" s="253">
        <v>1</v>
      </c>
      <c r="AF5" s="253"/>
      <c r="AG5" s="253" t="s">
        <v>570</v>
      </c>
      <c r="AH5" s="253">
        <v>0</v>
      </c>
      <c r="AI5" s="253">
        <v>0</v>
      </c>
      <c r="AJ5" s="253">
        <v>0</v>
      </c>
      <c r="AK5" s="253">
        <v>329</v>
      </c>
      <c r="AL5" s="253">
        <v>1</v>
      </c>
      <c r="AM5" s="245"/>
      <c r="AN5" s="253" t="s">
        <v>569</v>
      </c>
      <c r="AO5" s="253">
        <v>17888674.16</v>
      </c>
      <c r="AP5" s="253">
        <v>1516</v>
      </c>
      <c r="AQ5" s="253">
        <v>72</v>
      </c>
      <c r="AR5" s="253">
        <v>32263</v>
      </c>
      <c r="AS5" s="253">
        <v>0</v>
      </c>
      <c r="AT5" s="245"/>
      <c r="AU5" s="253" t="s">
        <v>570</v>
      </c>
      <c r="AV5" s="253">
        <v>0</v>
      </c>
      <c r="AW5" s="253">
        <v>0</v>
      </c>
      <c r="AX5" s="253">
        <v>0</v>
      </c>
      <c r="AY5" s="253">
        <v>35</v>
      </c>
      <c r="AZ5" s="253">
        <v>1</v>
      </c>
      <c r="BA5" s="245"/>
      <c r="BB5" s="253" t="s">
        <v>569</v>
      </c>
      <c r="BC5" s="253">
        <v>8912820</v>
      </c>
      <c r="BD5" s="253">
        <v>837</v>
      </c>
      <c r="BE5" s="253">
        <v>147</v>
      </c>
      <c r="BF5" s="253">
        <v>38406</v>
      </c>
      <c r="BG5" s="253">
        <v>0</v>
      </c>
      <c r="BH5" s="247" t="s">
        <v>569</v>
      </c>
      <c r="BI5" s="253">
        <v>0</v>
      </c>
      <c r="BJ5" s="253">
        <v>0</v>
      </c>
      <c r="BK5" s="253">
        <v>0</v>
      </c>
      <c r="BL5" s="253">
        <v>1667</v>
      </c>
      <c r="BM5" s="253">
        <v>0</v>
      </c>
      <c r="BN5" s="253"/>
      <c r="BO5" s="245"/>
      <c r="BP5" s="263">
        <v>28023621297.610001</v>
      </c>
      <c r="BQ5" s="263">
        <v>12948093</v>
      </c>
      <c r="BR5" s="263">
        <v>17648</v>
      </c>
      <c r="BS5" s="245"/>
      <c r="BT5" s="265" t="s">
        <v>632</v>
      </c>
      <c r="BU5" s="265">
        <v>316</v>
      </c>
      <c r="BV5" s="265">
        <v>0</v>
      </c>
      <c r="BW5" s="265">
        <v>7</v>
      </c>
      <c r="BX5" s="265">
        <v>0</v>
      </c>
      <c r="BY5" s="265">
        <v>0</v>
      </c>
      <c r="BZ5" s="265">
        <v>309</v>
      </c>
      <c r="CA5" s="265">
        <v>257</v>
      </c>
      <c r="CB5" s="265">
        <v>59</v>
      </c>
      <c r="CC5" s="245"/>
      <c r="CD5" s="271">
        <v>812</v>
      </c>
      <c r="CE5" s="271">
        <v>15316332589984.533</v>
      </c>
      <c r="CF5" s="267" t="s">
        <v>508</v>
      </c>
      <c r="CG5" s="266" t="s">
        <v>6</v>
      </c>
      <c r="CH5" s="266" t="s">
        <v>636</v>
      </c>
      <c r="CI5" s="245"/>
      <c r="CJ5" s="245"/>
      <c r="CK5" s="247"/>
      <c r="CL5" s="247"/>
      <c r="CM5" s="247"/>
      <c r="CN5" s="247"/>
      <c r="CO5" s="247"/>
      <c r="CP5" s="247"/>
      <c r="CQ5" s="247"/>
      <c r="CR5" s="245"/>
      <c r="CS5" s="277">
        <v>2017</v>
      </c>
      <c r="CT5" s="275">
        <v>24</v>
      </c>
      <c r="CU5" s="275" t="s">
        <v>655</v>
      </c>
      <c r="CV5" s="275">
        <v>2892693917.8798056</v>
      </c>
      <c r="CW5" s="275">
        <v>-18474657429</v>
      </c>
      <c r="CX5" s="275">
        <v>5360</v>
      </c>
      <c r="CY5" s="275">
        <v>315099670778.84003</v>
      </c>
      <c r="CZ5" s="275">
        <v>309762747571</v>
      </c>
      <c r="DA5" s="275">
        <v>1636</v>
      </c>
      <c r="DB5" s="275">
        <v>312206976860.96008</v>
      </c>
      <c r="DC5" s="275">
        <v>328237405000</v>
      </c>
      <c r="DD5" s="275">
        <v>3724</v>
      </c>
      <c r="DG5" s="348" t="s">
        <v>666</v>
      </c>
      <c r="DH5" s="346">
        <v>14187455.029999999</v>
      </c>
      <c r="DJ5" s="352" t="s">
        <v>666</v>
      </c>
      <c r="DK5" s="350">
        <v>647859341.92999995</v>
      </c>
      <c r="DM5" s="351" t="s">
        <v>666</v>
      </c>
      <c r="DN5" s="353">
        <v>1465541704.4000001</v>
      </c>
    </row>
    <row r="6" spans="1:118" x14ac:dyDescent="0.2">
      <c r="B6" s="188"/>
      <c r="C6" s="188"/>
      <c r="D6" s="188"/>
      <c r="E6" s="209"/>
      <c r="F6" s="209"/>
      <c r="G6" s="209"/>
      <c r="H6" s="209"/>
      <c r="J6" s="152"/>
      <c r="K6" s="231"/>
      <c r="L6" s="229"/>
      <c r="M6" s="228"/>
      <c r="O6" s="239"/>
      <c r="P6" s="239"/>
      <c r="Q6" s="239"/>
      <c r="S6" s="253" t="s">
        <v>449</v>
      </c>
      <c r="T6" s="258">
        <v>1007432552.701</v>
      </c>
      <c r="U6" s="258">
        <v>4472269</v>
      </c>
      <c r="V6" s="258">
        <v>183</v>
      </c>
      <c r="W6" s="258">
        <v>12407363</v>
      </c>
      <c r="X6" s="258">
        <v>1</v>
      </c>
      <c r="Y6" s="245"/>
      <c r="Z6" s="253" t="s">
        <v>571</v>
      </c>
      <c r="AA6" s="253">
        <v>44825994.799999997</v>
      </c>
      <c r="AB6" s="253">
        <v>1620</v>
      </c>
      <c r="AC6" s="253">
        <v>4</v>
      </c>
      <c r="AD6" s="253">
        <v>34423</v>
      </c>
      <c r="AE6" s="253">
        <v>1</v>
      </c>
      <c r="AF6" s="253"/>
      <c r="AG6" s="253" t="s">
        <v>571</v>
      </c>
      <c r="AH6" s="253">
        <v>0</v>
      </c>
      <c r="AI6" s="253">
        <v>0</v>
      </c>
      <c r="AJ6" s="253">
        <v>0</v>
      </c>
      <c r="AK6" s="253">
        <v>1638</v>
      </c>
      <c r="AL6" s="253">
        <v>1</v>
      </c>
      <c r="AM6" s="245"/>
      <c r="AN6" s="253" t="s">
        <v>570</v>
      </c>
      <c r="AO6" s="253">
        <v>104024415.56</v>
      </c>
      <c r="AP6" s="253">
        <v>1612</v>
      </c>
      <c r="AQ6" s="253">
        <v>23</v>
      </c>
      <c r="AR6" s="253">
        <v>3326</v>
      </c>
      <c r="AS6" s="253">
        <v>1</v>
      </c>
      <c r="AT6" s="245"/>
      <c r="AU6" s="253" t="s">
        <v>571</v>
      </c>
      <c r="AV6" s="253">
        <v>0</v>
      </c>
      <c r="AW6" s="253">
        <v>0</v>
      </c>
      <c r="AX6" s="253">
        <v>0</v>
      </c>
      <c r="AY6" s="253">
        <v>34</v>
      </c>
      <c r="AZ6" s="253">
        <v>1</v>
      </c>
      <c r="BA6" s="245"/>
      <c r="BB6" s="253" t="s">
        <v>570</v>
      </c>
      <c r="BC6" s="253">
        <v>200243675.63999999</v>
      </c>
      <c r="BD6" s="253">
        <v>2902</v>
      </c>
      <c r="BE6" s="253">
        <v>77</v>
      </c>
      <c r="BF6" s="253">
        <v>14398</v>
      </c>
      <c r="BG6" s="253">
        <v>1</v>
      </c>
      <c r="BH6" s="247" t="s">
        <v>570</v>
      </c>
      <c r="BI6" s="253">
        <v>66920932.640000001</v>
      </c>
      <c r="BJ6" s="253">
        <v>956</v>
      </c>
      <c r="BK6" s="253">
        <v>16</v>
      </c>
      <c r="BL6" s="253">
        <v>1669</v>
      </c>
      <c r="BM6" s="253">
        <v>1</v>
      </c>
      <c r="BN6" s="253"/>
      <c r="BO6" s="247"/>
      <c r="BP6" s="263"/>
      <c r="BQ6" s="263"/>
      <c r="BR6" s="263"/>
      <c r="BS6" s="245"/>
      <c r="BT6" s="265" t="s">
        <v>633</v>
      </c>
      <c r="BU6" s="265">
        <v>1</v>
      </c>
      <c r="BV6" s="265">
        <v>0</v>
      </c>
      <c r="BW6" s="265">
        <v>0</v>
      </c>
      <c r="BX6" s="265">
        <v>0</v>
      </c>
      <c r="BY6" s="265">
        <v>0</v>
      </c>
      <c r="BZ6" s="265">
        <v>1</v>
      </c>
      <c r="CA6" s="265">
        <v>1</v>
      </c>
      <c r="CB6" s="265">
        <v>0</v>
      </c>
      <c r="CC6" s="245"/>
      <c r="CD6" s="245"/>
      <c r="CE6" s="245"/>
      <c r="CF6" s="245"/>
      <c r="CG6" s="265">
        <v>2017</v>
      </c>
      <c r="CH6" s="265">
        <v>166</v>
      </c>
      <c r="CI6" s="267" t="s">
        <v>510</v>
      </c>
      <c r="CJ6" s="247" t="s">
        <v>117</v>
      </c>
      <c r="CK6" s="247">
        <v>185942</v>
      </c>
      <c r="CL6" s="267" t="s">
        <v>513</v>
      </c>
      <c r="CM6" s="247" t="s">
        <v>117</v>
      </c>
      <c r="CN6" s="247">
        <v>103110</v>
      </c>
      <c r="CO6" s="267" t="s">
        <v>516</v>
      </c>
      <c r="CP6" s="247" t="s">
        <v>117</v>
      </c>
      <c r="CQ6" s="247">
        <v>4785</v>
      </c>
      <c r="CR6" s="245"/>
      <c r="CS6" s="277">
        <v>2017</v>
      </c>
      <c r="CT6" s="275">
        <v>430</v>
      </c>
      <c r="CU6" s="275" t="s">
        <v>656</v>
      </c>
      <c r="CV6" s="275">
        <v>-26999799270.97998</v>
      </c>
      <c r="CW6" s="275">
        <v>-25492473668</v>
      </c>
      <c r="CX6" s="275">
        <v>6120</v>
      </c>
      <c r="CY6" s="275">
        <v>64765973373.120041</v>
      </c>
      <c r="CZ6" s="275">
        <v>64124801794</v>
      </c>
      <c r="DA6" s="275">
        <v>3497</v>
      </c>
      <c r="DB6" s="275">
        <v>91765772644.099854</v>
      </c>
      <c r="DC6" s="275">
        <v>89617275462</v>
      </c>
      <c r="DD6" s="275">
        <v>2623</v>
      </c>
      <c r="DG6" s="348" t="s">
        <v>667</v>
      </c>
      <c r="DH6" s="346">
        <v>45355613.619999997</v>
      </c>
      <c r="DJ6" s="352" t="s">
        <v>667</v>
      </c>
      <c r="DK6" s="350">
        <v>5211477900.8400002</v>
      </c>
      <c r="DM6" s="351" t="s">
        <v>667</v>
      </c>
      <c r="DN6" s="353">
        <v>4871086731.0299997</v>
      </c>
    </row>
    <row r="7" spans="1:118" x14ac:dyDescent="0.2">
      <c r="A7" s="148" t="s">
        <v>212</v>
      </c>
      <c r="B7" s="188" t="s">
        <v>536</v>
      </c>
      <c r="C7" s="188" t="s">
        <v>537</v>
      </c>
      <c r="D7" s="188" t="s">
        <v>538</v>
      </c>
      <c r="E7" s="209"/>
      <c r="F7" s="211" t="s">
        <v>538</v>
      </c>
      <c r="G7" s="211" t="s">
        <v>536</v>
      </c>
      <c r="H7" s="211" t="s">
        <v>537</v>
      </c>
      <c r="I7" s="153" t="s">
        <v>219</v>
      </c>
      <c r="J7" s="148" t="s">
        <v>220</v>
      </c>
      <c r="K7" s="235" t="s">
        <v>539</v>
      </c>
      <c r="L7" s="235" t="s">
        <v>540</v>
      </c>
      <c r="M7" s="237" t="s">
        <v>537</v>
      </c>
      <c r="N7" s="153" t="s">
        <v>225</v>
      </c>
      <c r="O7" s="242" t="s">
        <v>524</v>
      </c>
      <c r="P7" s="242" t="s">
        <v>525</v>
      </c>
      <c r="Q7" s="242" t="s">
        <v>526</v>
      </c>
      <c r="S7" s="253" t="s">
        <v>182</v>
      </c>
      <c r="T7" s="258">
        <v>35216710.005999997</v>
      </c>
      <c r="U7" s="258">
        <v>674315</v>
      </c>
      <c r="V7" s="258">
        <v>234</v>
      </c>
      <c r="W7" s="258">
        <v>1880974</v>
      </c>
      <c r="X7" s="258">
        <v>1</v>
      </c>
      <c r="Y7" s="245"/>
      <c r="Z7" s="253" t="s">
        <v>572</v>
      </c>
      <c r="AA7" s="253">
        <v>28321900.07</v>
      </c>
      <c r="AB7" s="253">
        <v>245</v>
      </c>
      <c r="AC7" s="253">
        <v>24</v>
      </c>
      <c r="AD7" s="253">
        <v>1706</v>
      </c>
      <c r="AE7" s="253">
        <v>1</v>
      </c>
      <c r="AF7" s="253"/>
      <c r="AG7" s="253" t="s">
        <v>572</v>
      </c>
      <c r="AH7" s="253">
        <v>0</v>
      </c>
      <c r="AI7" s="253">
        <v>0</v>
      </c>
      <c r="AJ7" s="253">
        <v>0</v>
      </c>
      <c r="AK7" s="253">
        <v>103</v>
      </c>
      <c r="AL7" s="253">
        <v>1</v>
      </c>
      <c r="AM7" s="245"/>
      <c r="AN7" s="253" t="s">
        <v>571</v>
      </c>
      <c r="AO7" s="253">
        <v>0</v>
      </c>
      <c r="AP7" s="253">
        <v>0</v>
      </c>
      <c r="AQ7" s="253">
        <v>0</v>
      </c>
      <c r="AR7" s="253">
        <v>714</v>
      </c>
      <c r="AS7" s="253">
        <v>1</v>
      </c>
      <c r="AT7" s="245"/>
      <c r="AU7" s="253" t="s">
        <v>572</v>
      </c>
      <c r="AV7" s="253">
        <v>576250</v>
      </c>
      <c r="AW7" s="253">
        <v>5</v>
      </c>
      <c r="AX7" s="253">
        <v>1</v>
      </c>
      <c r="AY7" s="253">
        <v>22</v>
      </c>
      <c r="AZ7" s="253">
        <v>1</v>
      </c>
      <c r="BA7" s="245"/>
      <c r="BB7" s="253" t="s">
        <v>571</v>
      </c>
      <c r="BC7" s="253">
        <v>78951833.75</v>
      </c>
      <c r="BD7" s="253">
        <v>2936</v>
      </c>
      <c r="BE7" s="253">
        <v>8</v>
      </c>
      <c r="BF7" s="253">
        <v>15372</v>
      </c>
      <c r="BG7" s="253">
        <v>1</v>
      </c>
      <c r="BH7" s="247" t="s">
        <v>571</v>
      </c>
      <c r="BI7" s="253">
        <v>0</v>
      </c>
      <c r="BJ7" s="253">
        <v>0</v>
      </c>
      <c r="BK7" s="253">
        <v>0</v>
      </c>
      <c r="BL7" s="253">
        <v>2912</v>
      </c>
      <c r="BM7" s="253">
        <v>1</v>
      </c>
      <c r="BN7" s="253"/>
      <c r="BO7" s="252" t="s">
        <v>471</v>
      </c>
      <c r="BP7" s="264" t="s">
        <v>561</v>
      </c>
      <c r="BQ7" s="264" t="s">
        <v>562</v>
      </c>
      <c r="BR7" s="264" t="s">
        <v>563</v>
      </c>
      <c r="BS7" s="247"/>
      <c r="BT7" s="265"/>
      <c r="BU7" s="265"/>
      <c r="BV7" s="265"/>
      <c r="BW7" s="265"/>
      <c r="BX7" s="265"/>
      <c r="BY7" s="265"/>
      <c r="BZ7" s="265"/>
      <c r="CA7" s="265"/>
      <c r="CB7" s="265"/>
      <c r="CC7" s="245"/>
      <c r="CD7" s="245"/>
      <c r="CE7" s="245"/>
      <c r="CF7" s="245"/>
      <c r="CG7" s="265">
        <v>2016</v>
      </c>
      <c r="CH7" s="265">
        <v>165</v>
      </c>
      <c r="CI7" s="245"/>
      <c r="CJ7" s="247" t="s">
        <v>638</v>
      </c>
      <c r="CK7" s="247">
        <v>4869700289004</v>
      </c>
      <c r="CL7" s="247"/>
      <c r="CM7" s="247" t="s">
        <v>638</v>
      </c>
      <c r="CN7" s="247">
        <v>12717473354511</v>
      </c>
      <c r="CO7" s="247"/>
      <c r="CP7" s="247" t="s">
        <v>638</v>
      </c>
      <c r="CQ7" s="247">
        <v>321874703443</v>
      </c>
      <c r="CR7" s="245"/>
      <c r="CS7" s="277">
        <v>2017</v>
      </c>
      <c r="CT7" s="275">
        <v>183</v>
      </c>
      <c r="CU7" s="275" t="s">
        <v>657</v>
      </c>
      <c r="CV7" s="275">
        <v>76800663148.900131</v>
      </c>
      <c r="CW7" s="275">
        <v>79429104991</v>
      </c>
      <c r="CX7" s="275">
        <v>22123</v>
      </c>
      <c r="CY7" s="275">
        <v>620130229309.92102</v>
      </c>
      <c r="CZ7" s="275">
        <v>598624537741</v>
      </c>
      <c r="DA7" s="275">
        <v>12017</v>
      </c>
      <c r="DB7" s="275">
        <v>543329566161.01947</v>
      </c>
      <c r="DC7" s="275">
        <v>519195432750</v>
      </c>
      <c r="DD7" s="275">
        <v>10106</v>
      </c>
      <c r="DG7" s="10" t="s">
        <v>668</v>
      </c>
      <c r="DH7" s="366">
        <v>1246285717.5999999</v>
      </c>
      <c r="DJ7" s="10" t="s">
        <v>668</v>
      </c>
      <c r="DK7" s="366">
        <v>27933846667.669998</v>
      </c>
      <c r="DM7" s="10" t="s">
        <v>668</v>
      </c>
      <c r="DN7" s="366">
        <v>8114967204.3800001</v>
      </c>
    </row>
    <row r="8" spans="1:118" x14ac:dyDescent="0.2">
      <c r="B8" s="188">
        <v>53153681021</v>
      </c>
      <c r="C8" s="188">
        <v>3981611228246.7456</v>
      </c>
      <c r="D8" s="194">
        <v>45825130</v>
      </c>
      <c r="E8" s="209"/>
      <c r="F8" s="211">
        <v>25388</v>
      </c>
      <c r="G8" s="211">
        <v>4352324343</v>
      </c>
      <c r="H8" s="225">
        <v>254414120970.40552</v>
      </c>
      <c r="J8" s="152" t="str">
        <f>K8&amp;L8</f>
        <v>ABuy</v>
      </c>
      <c r="K8" s="234" t="s">
        <v>541</v>
      </c>
      <c r="L8" s="234" t="s">
        <v>542</v>
      </c>
      <c r="M8" s="238">
        <v>157563922982.49734</v>
      </c>
      <c r="O8" s="244">
        <v>708515530989.89001</v>
      </c>
      <c r="P8" s="244">
        <v>-791207478382.95996</v>
      </c>
      <c r="Q8" s="241">
        <v>-82691947393.070007</v>
      </c>
      <c r="S8" s="253" t="s">
        <v>566</v>
      </c>
      <c r="T8" s="258">
        <v>0</v>
      </c>
      <c r="U8" s="258">
        <v>0</v>
      </c>
      <c r="V8" s="258">
        <v>0</v>
      </c>
      <c r="W8" s="258">
        <v>0</v>
      </c>
      <c r="X8" s="258">
        <v>1</v>
      </c>
      <c r="Y8" s="245"/>
      <c r="Z8" s="253" t="s">
        <v>573</v>
      </c>
      <c r="AA8" s="253">
        <v>0</v>
      </c>
      <c r="AB8" s="253">
        <v>0</v>
      </c>
      <c r="AC8" s="253">
        <v>0</v>
      </c>
      <c r="AD8" s="253">
        <v>0</v>
      </c>
      <c r="AE8" s="253">
        <v>0</v>
      </c>
      <c r="AF8" s="253"/>
      <c r="AG8" s="253" t="s">
        <v>573</v>
      </c>
      <c r="AH8" s="253">
        <v>0</v>
      </c>
      <c r="AI8" s="253">
        <v>0</v>
      </c>
      <c r="AJ8" s="253">
        <v>0</v>
      </c>
      <c r="AK8" s="253">
        <v>0</v>
      </c>
      <c r="AL8" s="253">
        <v>0</v>
      </c>
      <c r="AM8" s="245"/>
      <c r="AN8" s="253" t="s">
        <v>611</v>
      </c>
      <c r="AO8" s="253">
        <v>0</v>
      </c>
      <c r="AP8" s="253">
        <v>0</v>
      </c>
      <c r="AQ8" s="253">
        <v>0</v>
      </c>
      <c r="AR8" s="253">
        <v>0</v>
      </c>
      <c r="AS8" s="253">
        <v>1</v>
      </c>
      <c r="AT8" s="245"/>
      <c r="AU8" s="253" t="s">
        <v>573</v>
      </c>
      <c r="AV8" s="253">
        <v>0</v>
      </c>
      <c r="AW8" s="253">
        <v>0</v>
      </c>
      <c r="AX8" s="253">
        <v>0</v>
      </c>
      <c r="AY8" s="253">
        <v>0</v>
      </c>
      <c r="AZ8" s="253">
        <v>0</v>
      </c>
      <c r="BA8" s="245"/>
      <c r="BB8" s="253" t="s">
        <v>572</v>
      </c>
      <c r="BC8" s="253">
        <v>1846870</v>
      </c>
      <c r="BD8" s="253">
        <v>17</v>
      </c>
      <c r="BE8" s="253">
        <v>11</v>
      </c>
      <c r="BF8" s="253">
        <v>114</v>
      </c>
      <c r="BG8" s="253">
        <v>1</v>
      </c>
      <c r="BH8" s="247" t="s">
        <v>572</v>
      </c>
      <c r="BI8" s="253">
        <v>0</v>
      </c>
      <c r="BJ8" s="253">
        <v>0</v>
      </c>
      <c r="BK8" s="253">
        <v>0</v>
      </c>
      <c r="BL8" s="253">
        <v>0</v>
      </c>
      <c r="BM8" s="253">
        <v>1</v>
      </c>
      <c r="BN8" s="253"/>
      <c r="BO8" s="247"/>
      <c r="BP8" s="263">
        <v>4374174688086.9351</v>
      </c>
      <c r="BQ8" s="263">
        <v>259218200</v>
      </c>
      <c r="BR8" s="263">
        <v>2435565</v>
      </c>
      <c r="BS8" s="245"/>
      <c r="BT8" s="255"/>
      <c r="BU8" s="255"/>
      <c r="BV8" s="255"/>
      <c r="BW8" s="255"/>
      <c r="BX8" s="255"/>
      <c r="BY8" s="255"/>
      <c r="BZ8" s="255"/>
      <c r="CA8" s="255"/>
      <c r="CB8" s="255"/>
      <c r="CC8" s="267" t="s">
        <v>504</v>
      </c>
      <c r="CD8" s="266" t="s">
        <v>635</v>
      </c>
      <c r="CE8" s="266" t="s">
        <v>637</v>
      </c>
      <c r="CF8" s="245"/>
      <c r="CG8" s="245"/>
      <c r="CH8" s="245"/>
      <c r="CI8" s="245"/>
      <c r="CJ8" s="247" t="s">
        <v>639</v>
      </c>
      <c r="CK8" s="247">
        <v>5129643327818.9639</v>
      </c>
      <c r="CL8" s="247"/>
      <c r="CM8" s="247" t="s">
        <v>639</v>
      </c>
      <c r="CN8" s="247">
        <v>12421989229257.738</v>
      </c>
      <c r="CO8" s="247"/>
      <c r="CP8" s="247" t="s">
        <v>639</v>
      </c>
      <c r="CQ8" s="247">
        <v>91085934594.73999</v>
      </c>
      <c r="CR8" s="245"/>
      <c r="CS8" s="277">
        <v>2017</v>
      </c>
      <c r="CT8" s="275">
        <v>23</v>
      </c>
      <c r="CU8" s="275" t="s">
        <v>658</v>
      </c>
      <c r="CV8" s="275">
        <v>-7196265040.8100004</v>
      </c>
      <c r="CW8" s="275">
        <v>-7751754848</v>
      </c>
      <c r="CX8" s="275">
        <v>527</v>
      </c>
      <c r="CY8" s="275">
        <v>17507471149.010002</v>
      </c>
      <c r="CZ8" s="275">
        <v>18809877232</v>
      </c>
      <c r="DA8" s="275">
        <v>209</v>
      </c>
      <c r="DB8" s="275">
        <v>24703736189.819977</v>
      </c>
      <c r="DC8" s="275">
        <v>26561632080</v>
      </c>
      <c r="DD8" s="275">
        <v>318</v>
      </c>
    </row>
    <row r="9" spans="1:118" x14ac:dyDescent="0.2">
      <c r="B9" s="187"/>
      <c r="C9" s="187"/>
      <c r="D9" s="187"/>
      <c r="E9" s="209"/>
      <c r="F9" s="209"/>
      <c r="G9" s="209"/>
      <c r="H9" s="209"/>
      <c r="J9" s="152" t="str">
        <f t="shared" ref="J9:J11" si="1">K9&amp;L9</f>
        <v>PBuy</v>
      </c>
      <c r="K9" s="234" t="s">
        <v>543</v>
      </c>
      <c r="L9" s="234" t="s">
        <v>542</v>
      </c>
      <c r="M9" s="238">
        <v>208254161805.63449</v>
      </c>
      <c r="N9" s="19"/>
      <c r="O9" s="239"/>
      <c r="P9" s="239"/>
      <c r="Q9" s="239"/>
      <c r="S9" s="253" t="s">
        <v>451</v>
      </c>
      <c r="T9" s="258">
        <v>1934446645.71</v>
      </c>
      <c r="U9" s="258">
        <v>58318</v>
      </c>
      <c r="V9" s="258">
        <v>185</v>
      </c>
      <c r="W9" s="258">
        <v>301241</v>
      </c>
      <c r="X9" s="258">
        <v>1</v>
      </c>
      <c r="Y9" s="245"/>
      <c r="Z9" s="253" t="s">
        <v>574</v>
      </c>
      <c r="AA9" s="253">
        <v>242647480.03999999</v>
      </c>
      <c r="AB9" s="253">
        <v>517</v>
      </c>
      <c r="AC9" s="253">
        <v>50</v>
      </c>
      <c r="AD9" s="253">
        <v>11505</v>
      </c>
      <c r="AE9" s="253">
        <v>1</v>
      </c>
      <c r="AF9" s="253"/>
      <c r="AG9" s="253" t="s">
        <v>574</v>
      </c>
      <c r="AH9" s="253">
        <v>904000</v>
      </c>
      <c r="AI9" s="253">
        <v>2</v>
      </c>
      <c r="AJ9" s="253">
        <v>1</v>
      </c>
      <c r="AK9" s="253">
        <v>524</v>
      </c>
      <c r="AL9" s="253">
        <v>1</v>
      </c>
      <c r="AM9" s="245"/>
      <c r="AN9" s="253" t="s">
        <v>572</v>
      </c>
      <c r="AO9" s="253">
        <v>5916410</v>
      </c>
      <c r="AP9" s="253">
        <v>48</v>
      </c>
      <c r="AQ9" s="253">
        <v>7</v>
      </c>
      <c r="AR9" s="253">
        <v>238</v>
      </c>
      <c r="AS9" s="253">
        <v>1</v>
      </c>
      <c r="AT9" s="245"/>
      <c r="AU9" s="253" t="s">
        <v>574</v>
      </c>
      <c r="AV9" s="253">
        <v>4404500</v>
      </c>
      <c r="AW9" s="253">
        <v>9</v>
      </c>
      <c r="AX9" s="253">
        <v>2</v>
      </c>
      <c r="AY9" s="253">
        <v>524</v>
      </c>
      <c r="AZ9" s="253">
        <v>1</v>
      </c>
      <c r="BA9" s="245"/>
      <c r="BB9" s="253" t="s">
        <v>573</v>
      </c>
      <c r="BC9" s="253">
        <v>0</v>
      </c>
      <c r="BD9" s="253">
        <v>0</v>
      </c>
      <c r="BE9" s="253">
        <v>0</v>
      </c>
      <c r="BF9" s="253">
        <v>0</v>
      </c>
      <c r="BG9" s="253">
        <v>0</v>
      </c>
      <c r="BH9" s="247" t="s">
        <v>573</v>
      </c>
      <c r="BI9" s="253">
        <v>0</v>
      </c>
      <c r="BJ9" s="253">
        <v>0</v>
      </c>
      <c r="BK9" s="253">
        <v>0</v>
      </c>
      <c r="BL9" s="253">
        <v>0</v>
      </c>
      <c r="BM9" s="253">
        <v>0</v>
      </c>
      <c r="BN9" s="253"/>
      <c r="BO9" s="247"/>
      <c r="BP9" s="247"/>
      <c r="BQ9" s="247"/>
      <c r="BR9" s="247"/>
      <c r="BS9" s="256" t="s">
        <v>499</v>
      </c>
      <c r="BT9" s="266" t="s">
        <v>621</v>
      </c>
      <c r="BU9" s="266" t="s">
        <v>622</v>
      </c>
      <c r="BV9" s="266" t="s">
        <v>623</v>
      </c>
      <c r="BW9" s="266" t="s">
        <v>624</v>
      </c>
      <c r="BX9" s="266" t="s">
        <v>625</v>
      </c>
      <c r="BY9" s="266" t="s">
        <v>626</v>
      </c>
      <c r="BZ9" s="266" t="s">
        <v>627</v>
      </c>
      <c r="CA9" s="266" t="s">
        <v>628</v>
      </c>
      <c r="CB9" s="266" t="s">
        <v>629</v>
      </c>
      <c r="CC9" s="245"/>
      <c r="CD9" s="269">
        <v>326162881422220.69</v>
      </c>
      <c r="CE9" s="272">
        <v>436661869296.1543</v>
      </c>
      <c r="CF9" s="245"/>
      <c r="CG9" s="245"/>
      <c r="CH9" s="245"/>
      <c r="CI9" s="245"/>
      <c r="CJ9" s="245"/>
      <c r="CK9" s="245"/>
      <c r="CL9" s="247"/>
      <c r="CM9" s="247"/>
      <c r="CN9" s="247"/>
      <c r="CO9" s="247"/>
      <c r="CP9" s="247"/>
      <c r="CQ9" s="247"/>
      <c r="CR9" s="245"/>
      <c r="CS9" s="245"/>
      <c r="CT9" s="245"/>
      <c r="CU9" s="245"/>
      <c r="CV9" s="245"/>
      <c r="CW9" s="245"/>
      <c r="CX9" s="245"/>
      <c r="CY9" s="245"/>
      <c r="CZ9" s="245"/>
      <c r="DA9" s="245"/>
      <c r="DB9" s="245"/>
      <c r="DC9" s="245"/>
      <c r="DD9" s="245"/>
    </row>
    <row r="10" spans="1:118" x14ac:dyDescent="0.2">
      <c r="A10" s="148" t="s">
        <v>213</v>
      </c>
      <c r="B10" s="189"/>
      <c r="C10" s="189"/>
      <c r="D10" s="189"/>
      <c r="E10" s="221"/>
      <c r="F10" s="221"/>
      <c r="G10" s="221"/>
      <c r="H10" s="221"/>
      <c r="J10" s="152" t="str">
        <f t="shared" si="1"/>
        <v>ASell</v>
      </c>
      <c r="K10" s="234" t="s">
        <v>541</v>
      </c>
      <c r="L10" s="234" t="s">
        <v>544</v>
      </c>
      <c r="M10" s="238">
        <v>169276943914.07523</v>
      </c>
      <c r="N10" s="162" t="s">
        <v>213</v>
      </c>
      <c r="O10" s="243" t="s">
        <v>524</v>
      </c>
      <c r="P10" s="243" t="s">
        <v>525</v>
      </c>
      <c r="Q10" s="243" t="s">
        <v>526</v>
      </c>
      <c r="S10" s="253" t="s">
        <v>450</v>
      </c>
      <c r="T10" s="258">
        <v>0</v>
      </c>
      <c r="U10" s="258">
        <v>4230010</v>
      </c>
      <c r="V10" s="258">
        <v>161</v>
      </c>
      <c r="W10" s="258">
        <v>11899416</v>
      </c>
      <c r="X10" s="258">
        <v>1</v>
      </c>
      <c r="Y10" s="245"/>
      <c r="Z10" s="253" t="s">
        <v>575</v>
      </c>
      <c r="AA10" s="253">
        <v>54868119.75</v>
      </c>
      <c r="AB10" s="253">
        <v>543</v>
      </c>
      <c r="AC10" s="253">
        <v>5</v>
      </c>
      <c r="AD10" s="253">
        <v>6921</v>
      </c>
      <c r="AE10" s="253">
        <v>1</v>
      </c>
      <c r="AF10" s="253"/>
      <c r="AG10" s="253" t="s">
        <v>575</v>
      </c>
      <c r="AH10" s="253">
        <v>0</v>
      </c>
      <c r="AI10" s="253">
        <v>0</v>
      </c>
      <c r="AJ10" s="253">
        <v>0</v>
      </c>
      <c r="AK10" s="253">
        <v>333</v>
      </c>
      <c r="AL10" s="253">
        <v>1</v>
      </c>
      <c r="AM10" s="245"/>
      <c r="AN10" s="253" t="s">
        <v>573</v>
      </c>
      <c r="AO10" s="253">
        <v>0</v>
      </c>
      <c r="AP10" s="253">
        <v>0</v>
      </c>
      <c r="AQ10" s="253">
        <v>0</v>
      </c>
      <c r="AR10" s="253">
        <v>0</v>
      </c>
      <c r="AS10" s="253">
        <v>0</v>
      </c>
      <c r="AT10" s="245"/>
      <c r="AU10" s="253" t="s">
        <v>575</v>
      </c>
      <c r="AV10" s="253">
        <v>0</v>
      </c>
      <c r="AW10" s="253">
        <v>0</v>
      </c>
      <c r="AX10" s="253">
        <v>0</v>
      </c>
      <c r="AY10" s="253">
        <v>230</v>
      </c>
      <c r="AZ10" s="253">
        <v>1</v>
      </c>
      <c r="BA10" s="245"/>
      <c r="BB10" s="253" t="s">
        <v>574</v>
      </c>
      <c r="BC10" s="253">
        <v>270719480.38</v>
      </c>
      <c r="BD10" s="253">
        <v>533</v>
      </c>
      <c r="BE10" s="253">
        <v>59</v>
      </c>
      <c r="BF10" s="253">
        <v>3917</v>
      </c>
      <c r="BG10" s="253">
        <v>1</v>
      </c>
      <c r="BH10" s="247" t="s">
        <v>574</v>
      </c>
      <c r="BI10" s="253">
        <v>6084000</v>
      </c>
      <c r="BJ10" s="253">
        <v>12</v>
      </c>
      <c r="BK10" s="253">
        <v>2</v>
      </c>
      <c r="BL10" s="253">
        <v>235</v>
      </c>
      <c r="BM10" s="253">
        <v>1</v>
      </c>
      <c r="BN10" s="253"/>
      <c r="BO10" s="252" t="s">
        <v>472</v>
      </c>
      <c r="BP10" s="264" t="s">
        <v>561</v>
      </c>
      <c r="BQ10" s="264" t="s">
        <v>562</v>
      </c>
      <c r="BR10" s="264" t="s">
        <v>563</v>
      </c>
      <c r="BS10" s="245"/>
      <c r="BT10" s="265" t="s">
        <v>139</v>
      </c>
      <c r="BU10" s="265">
        <v>52</v>
      </c>
      <c r="BV10" s="265">
        <v>5</v>
      </c>
      <c r="BW10" s="265">
        <v>10</v>
      </c>
      <c r="BX10" s="265">
        <v>4</v>
      </c>
      <c r="BY10" s="265">
        <v>0</v>
      </c>
      <c r="BZ10" s="265">
        <v>43</v>
      </c>
      <c r="CA10" s="265">
        <v>40</v>
      </c>
      <c r="CB10" s="265">
        <v>12</v>
      </c>
      <c r="CC10" s="245"/>
      <c r="CD10" s="245"/>
      <c r="CE10" s="245"/>
      <c r="CF10" s="245"/>
      <c r="CG10" s="245"/>
      <c r="CH10" s="245"/>
      <c r="CI10" s="245"/>
      <c r="CJ10" s="245"/>
      <c r="CK10" s="247"/>
      <c r="CL10" s="247"/>
      <c r="CM10" s="247"/>
      <c r="CN10" s="247"/>
      <c r="CO10" s="247"/>
      <c r="CP10" s="247"/>
      <c r="CQ10" s="247"/>
      <c r="CR10" s="245"/>
      <c r="CS10" s="245"/>
      <c r="CT10" s="245"/>
      <c r="CU10" s="245"/>
      <c r="CV10" s="245"/>
      <c r="CW10" s="245"/>
      <c r="CX10" s="245"/>
      <c r="CY10" s="245"/>
      <c r="CZ10" s="245"/>
      <c r="DA10" s="245"/>
      <c r="DB10" s="245"/>
      <c r="DC10" s="245"/>
      <c r="DD10" s="245"/>
    </row>
    <row r="11" spans="1:118" x14ac:dyDescent="0.2">
      <c r="B11" s="189"/>
      <c r="C11" s="189"/>
      <c r="D11" s="189"/>
      <c r="E11" s="221"/>
      <c r="F11" s="221"/>
      <c r="G11" s="221"/>
      <c r="H11" s="221"/>
      <c r="J11" s="152" t="str">
        <f t="shared" si="1"/>
        <v>PSell</v>
      </c>
      <c r="K11" s="234" t="s">
        <v>543</v>
      </c>
      <c r="L11" s="234" t="s">
        <v>544</v>
      </c>
      <c r="M11" s="238">
        <v>196541140874.05664</v>
      </c>
      <c r="N11" s="156"/>
      <c r="O11" s="344">
        <v>969468452821</v>
      </c>
      <c r="P11" s="344">
        <v>-970485061219</v>
      </c>
      <c r="Q11" s="344">
        <v>-1016608398</v>
      </c>
      <c r="S11" s="253" t="s">
        <v>449</v>
      </c>
      <c r="T11" s="258">
        <v>0</v>
      </c>
      <c r="U11" s="258">
        <v>0</v>
      </c>
      <c r="V11" s="258">
        <v>0</v>
      </c>
      <c r="W11" s="258">
        <v>0</v>
      </c>
      <c r="X11" s="258">
        <v>0</v>
      </c>
      <c r="Y11" s="245"/>
      <c r="Z11" s="253" t="s">
        <v>576</v>
      </c>
      <c r="AA11" s="253">
        <v>0</v>
      </c>
      <c r="AB11" s="253">
        <v>0</v>
      </c>
      <c r="AC11" s="253">
        <v>0</v>
      </c>
      <c r="AD11" s="253">
        <v>0</v>
      </c>
      <c r="AE11" s="253">
        <v>0</v>
      </c>
      <c r="AF11" s="253"/>
      <c r="AG11" s="253" t="s">
        <v>576</v>
      </c>
      <c r="AH11" s="253">
        <v>0</v>
      </c>
      <c r="AI11" s="253">
        <v>0</v>
      </c>
      <c r="AJ11" s="253">
        <v>0</v>
      </c>
      <c r="AK11" s="253">
        <v>0</v>
      </c>
      <c r="AL11" s="253">
        <v>0</v>
      </c>
      <c r="AM11" s="245"/>
      <c r="AN11" s="253" t="s">
        <v>574</v>
      </c>
      <c r="AO11" s="253">
        <v>452320830.55000001</v>
      </c>
      <c r="AP11" s="253">
        <v>909</v>
      </c>
      <c r="AQ11" s="253">
        <v>90</v>
      </c>
      <c r="AR11" s="253">
        <v>8379</v>
      </c>
      <c r="AS11" s="253">
        <v>1</v>
      </c>
      <c r="AT11" s="245"/>
      <c r="AU11" s="253" t="s">
        <v>576</v>
      </c>
      <c r="AV11" s="253">
        <v>0</v>
      </c>
      <c r="AW11" s="253">
        <v>0</v>
      </c>
      <c r="AX11" s="253">
        <v>0</v>
      </c>
      <c r="AY11" s="253">
        <v>0</v>
      </c>
      <c r="AZ11" s="253">
        <v>0</v>
      </c>
      <c r="BA11" s="245"/>
      <c r="BB11" s="253" t="s">
        <v>575</v>
      </c>
      <c r="BC11" s="253">
        <v>19162374</v>
      </c>
      <c r="BD11" s="253">
        <v>264</v>
      </c>
      <c r="BE11" s="253">
        <v>2</v>
      </c>
      <c r="BF11" s="253">
        <v>660</v>
      </c>
      <c r="BG11" s="253">
        <v>1</v>
      </c>
      <c r="BH11" s="247" t="s">
        <v>575</v>
      </c>
      <c r="BI11" s="253">
        <v>0</v>
      </c>
      <c r="BJ11" s="253">
        <v>0</v>
      </c>
      <c r="BK11" s="253">
        <v>0</v>
      </c>
      <c r="BL11" s="253">
        <v>0</v>
      </c>
      <c r="BM11" s="253">
        <v>1</v>
      </c>
      <c r="BN11" s="253"/>
      <c r="BO11" s="247"/>
      <c r="BP11" s="263">
        <v>28207472434.889999</v>
      </c>
      <c r="BQ11" s="263">
        <v>9677353</v>
      </c>
      <c r="BR11" s="263">
        <v>13149</v>
      </c>
      <c r="BS11" s="245"/>
      <c r="BT11" s="265" t="s">
        <v>630</v>
      </c>
      <c r="BU11" s="265">
        <v>2</v>
      </c>
      <c r="BV11" s="265">
        <v>0</v>
      </c>
      <c r="BW11" s="265">
        <v>0</v>
      </c>
      <c r="BX11" s="265">
        <v>0</v>
      </c>
      <c r="BY11" s="265">
        <v>0</v>
      </c>
      <c r="BZ11" s="265">
        <v>2</v>
      </c>
      <c r="CA11" s="265">
        <v>2</v>
      </c>
      <c r="CB11" s="265">
        <v>0</v>
      </c>
      <c r="CC11" s="267" t="s">
        <v>505</v>
      </c>
      <c r="CD11" s="266" t="s">
        <v>635</v>
      </c>
      <c r="CE11" s="266" t="s">
        <v>637</v>
      </c>
      <c r="CF11" s="245"/>
      <c r="CG11" s="245"/>
      <c r="CH11" s="245"/>
      <c r="CI11" s="267" t="s">
        <v>511</v>
      </c>
      <c r="CJ11" s="247" t="s">
        <v>117</v>
      </c>
      <c r="CK11" s="247">
        <v>199181</v>
      </c>
      <c r="CL11" s="267" t="s">
        <v>514</v>
      </c>
      <c r="CM11" s="247" t="s">
        <v>117</v>
      </c>
      <c r="CN11" s="247">
        <v>118493</v>
      </c>
      <c r="CO11" s="267" t="s">
        <v>517</v>
      </c>
      <c r="CP11" s="247" t="s">
        <v>117</v>
      </c>
      <c r="CQ11" s="247">
        <v>4553</v>
      </c>
      <c r="CR11" s="245"/>
      <c r="CS11" s="245"/>
      <c r="CT11" s="245"/>
      <c r="CU11" s="245"/>
      <c r="CV11" s="245"/>
      <c r="CW11" s="245"/>
      <c r="CX11" s="245"/>
      <c r="CY11" s="245"/>
      <c r="CZ11" s="245"/>
      <c r="DA11" s="245"/>
      <c r="DB11" s="245"/>
      <c r="DC11" s="245"/>
      <c r="DD11" s="245"/>
    </row>
    <row r="12" spans="1:118" x14ac:dyDescent="0.2">
      <c r="B12" s="189"/>
      <c r="C12" s="189"/>
      <c r="D12" s="189"/>
      <c r="E12" s="221"/>
      <c r="F12" s="221"/>
      <c r="G12" s="221"/>
      <c r="H12" s="221"/>
      <c r="J12" s="152"/>
      <c r="K12" s="231"/>
      <c r="L12" s="230"/>
      <c r="M12" s="228"/>
      <c r="N12" s="156"/>
      <c r="O12" s="240"/>
      <c r="P12" s="240"/>
      <c r="Q12" s="240"/>
      <c r="S12" s="253" t="s">
        <v>447</v>
      </c>
      <c r="T12" s="258">
        <v>559450825.01999998</v>
      </c>
      <c r="U12" s="258">
        <v>1081236</v>
      </c>
      <c r="V12" s="258">
        <v>404</v>
      </c>
      <c r="W12" s="258">
        <v>2518229</v>
      </c>
      <c r="X12" s="258">
        <v>0</v>
      </c>
      <c r="Y12" s="245"/>
      <c r="Z12" s="253" t="s">
        <v>577</v>
      </c>
      <c r="AA12" s="253">
        <v>10863374468.43</v>
      </c>
      <c r="AB12" s="253">
        <v>54154</v>
      </c>
      <c r="AC12" s="253">
        <v>6046</v>
      </c>
      <c r="AD12" s="253">
        <v>672600</v>
      </c>
      <c r="AE12" s="253">
        <v>1</v>
      </c>
      <c r="AF12" s="253"/>
      <c r="AG12" s="253" t="s">
        <v>577</v>
      </c>
      <c r="AH12" s="253">
        <v>526115924.63</v>
      </c>
      <c r="AI12" s="253">
        <v>2663</v>
      </c>
      <c r="AJ12" s="253">
        <v>375</v>
      </c>
      <c r="AK12" s="253">
        <v>29568</v>
      </c>
      <c r="AL12" s="253">
        <v>1</v>
      </c>
      <c r="AM12" s="245"/>
      <c r="AN12" s="253" t="s">
        <v>575</v>
      </c>
      <c r="AO12" s="253">
        <v>9943495.75</v>
      </c>
      <c r="AP12" s="253">
        <v>109</v>
      </c>
      <c r="AQ12" s="253">
        <v>7</v>
      </c>
      <c r="AR12" s="253">
        <v>4699</v>
      </c>
      <c r="AS12" s="253">
        <v>1</v>
      </c>
      <c r="AT12" s="245"/>
      <c r="AU12" s="253" t="s">
        <v>577</v>
      </c>
      <c r="AV12" s="253">
        <v>302675358.79000002</v>
      </c>
      <c r="AW12" s="253">
        <v>1536</v>
      </c>
      <c r="AX12" s="253">
        <v>205</v>
      </c>
      <c r="AY12" s="253">
        <v>29420</v>
      </c>
      <c r="AZ12" s="253">
        <v>1</v>
      </c>
      <c r="BA12" s="245"/>
      <c r="BB12" s="253" t="s">
        <v>576</v>
      </c>
      <c r="BC12" s="253">
        <v>0</v>
      </c>
      <c r="BD12" s="253">
        <v>0</v>
      </c>
      <c r="BE12" s="253">
        <v>0</v>
      </c>
      <c r="BF12" s="253">
        <v>0</v>
      </c>
      <c r="BG12" s="253">
        <v>0</v>
      </c>
      <c r="BH12" s="247" t="s">
        <v>576</v>
      </c>
      <c r="BI12" s="253">
        <v>0</v>
      </c>
      <c r="BJ12" s="253">
        <v>0</v>
      </c>
      <c r="BK12" s="253">
        <v>0</v>
      </c>
      <c r="BL12" s="253">
        <v>0</v>
      </c>
      <c r="BM12" s="253">
        <v>0</v>
      </c>
      <c r="BN12" s="253"/>
      <c r="BO12" s="247"/>
      <c r="BP12" s="263"/>
      <c r="BQ12" s="263"/>
      <c r="BR12" s="263"/>
      <c r="BS12" s="245"/>
      <c r="BT12" s="265" t="s">
        <v>631</v>
      </c>
      <c r="BU12" s="265">
        <v>1</v>
      </c>
      <c r="BV12" s="265">
        <v>0</v>
      </c>
      <c r="BW12" s="265">
        <v>0</v>
      </c>
      <c r="BX12" s="265">
        <v>0</v>
      </c>
      <c r="BY12" s="265">
        <v>0</v>
      </c>
      <c r="BZ12" s="265">
        <v>1</v>
      </c>
      <c r="CA12" s="265">
        <v>1</v>
      </c>
      <c r="CB12" s="265">
        <v>0</v>
      </c>
      <c r="CC12" s="245"/>
      <c r="CD12" s="269">
        <v>2301655522326657.5</v>
      </c>
      <c r="CE12" s="272">
        <v>3360956744238.4751</v>
      </c>
      <c r="CF12" s="245"/>
      <c r="CG12" s="245"/>
      <c r="CH12" s="245"/>
      <c r="CI12" s="247"/>
      <c r="CJ12" s="247" t="s">
        <v>638</v>
      </c>
      <c r="CK12" s="247">
        <v>5162429522926</v>
      </c>
      <c r="CL12" s="247"/>
      <c r="CM12" s="247" t="s">
        <v>638</v>
      </c>
      <c r="CN12" s="247">
        <v>14229592207828</v>
      </c>
      <c r="CO12" s="247"/>
      <c r="CP12" s="247" t="s">
        <v>638</v>
      </c>
      <c r="CQ12" s="247">
        <v>514239110468</v>
      </c>
      <c r="CR12" s="245"/>
      <c r="CS12" s="245"/>
      <c r="CT12" s="245"/>
      <c r="CU12" s="245"/>
      <c r="CV12" s="245"/>
      <c r="CW12" s="245"/>
      <c r="CX12" s="245"/>
      <c r="CY12" s="245"/>
      <c r="CZ12" s="245"/>
      <c r="DA12" s="245"/>
      <c r="DB12" s="245"/>
      <c r="DC12" s="245"/>
      <c r="DD12" s="245"/>
    </row>
    <row r="13" spans="1:118" x14ac:dyDescent="0.2">
      <c r="A13" s="148" t="s">
        <v>214</v>
      </c>
      <c r="B13" s="189"/>
      <c r="C13" s="189"/>
      <c r="D13" s="189"/>
      <c r="E13" s="221"/>
      <c r="F13" s="221"/>
      <c r="G13" s="221"/>
      <c r="H13" s="221"/>
      <c r="I13" s="153" t="s">
        <v>221</v>
      </c>
      <c r="J13" s="148" t="s">
        <v>220</v>
      </c>
      <c r="K13" s="235" t="s">
        <v>539</v>
      </c>
      <c r="L13" s="235" t="s">
        <v>540</v>
      </c>
      <c r="M13" s="237" t="s">
        <v>537</v>
      </c>
      <c r="N13" s="162" t="s">
        <v>214</v>
      </c>
      <c r="O13" s="243" t="s">
        <v>524</v>
      </c>
      <c r="P13" s="243" t="s">
        <v>525</v>
      </c>
      <c r="Q13" s="243" t="s">
        <v>526</v>
      </c>
      <c r="S13" s="253" t="s">
        <v>448</v>
      </c>
      <c r="T13" s="258">
        <v>0</v>
      </c>
      <c r="U13" s="258">
        <v>313086</v>
      </c>
      <c r="V13" s="258">
        <v>3721</v>
      </c>
      <c r="W13" s="258">
        <v>961654</v>
      </c>
      <c r="X13" s="258">
        <v>1</v>
      </c>
      <c r="Y13" s="245"/>
      <c r="Z13" s="253" t="s">
        <v>578</v>
      </c>
      <c r="AA13" s="253">
        <v>0</v>
      </c>
      <c r="AB13" s="253">
        <v>0</v>
      </c>
      <c r="AC13" s="253">
        <v>0</v>
      </c>
      <c r="AD13" s="253">
        <v>0</v>
      </c>
      <c r="AE13" s="253">
        <v>1</v>
      </c>
      <c r="AF13" s="253"/>
      <c r="AG13" s="253" t="s">
        <v>578</v>
      </c>
      <c r="AH13" s="253">
        <v>0</v>
      </c>
      <c r="AI13" s="253">
        <v>0</v>
      </c>
      <c r="AJ13" s="253">
        <v>0</v>
      </c>
      <c r="AK13" s="253">
        <v>0</v>
      </c>
      <c r="AL13" s="253">
        <v>1</v>
      </c>
      <c r="AM13" s="245"/>
      <c r="AN13" s="253" t="s">
        <v>576</v>
      </c>
      <c r="AO13" s="253">
        <v>0</v>
      </c>
      <c r="AP13" s="253">
        <v>0</v>
      </c>
      <c r="AQ13" s="253">
        <v>0</v>
      </c>
      <c r="AR13" s="253">
        <v>0</v>
      </c>
      <c r="AS13" s="253">
        <v>0</v>
      </c>
      <c r="AT13" s="245"/>
      <c r="AU13" s="253" t="s">
        <v>578</v>
      </c>
      <c r="AV13" s="253">
        <v>0</v>
      </c>
      <c r="AW13" s="253">
        <v>0</v>
      </c>
      <c r="AX13" s="253">
        <v>0</v>
      </c>
      <c r="AY13" s="253">
        <v>0</v>
      </c>
      <c r="AZ13" s="253">
        <v>1</v>
      </c>
      <c r="BA13" s="245"/>
      <c r="BB13" s="253" t="s">
        <v>577</v>
      </c>
      <c r="BC13" s="253">
        <v>15813792118.889999</v>
      </c>
      <c r="BD13" s="253">
        <v>50356</v>
      </c>
      <c r="BE13" s="253">
        <v>7572</v>
      </c>
      <c r="BF13" s="253">
        <v>420485</v>
      </c>
      <c r="BG13" s="253">
        <v>1</v>
      </c>
      <c r="BH13" s="247" t="s">
        <v>577</v>
      </c>
      <c r="BI13" s="253">
        <v>886753468.25</v>
      </c>
      <c r="BJ13" s="253">
        <v>2827</v>
      </c>
      <c r="BK13" s="253">
        <v>282</v>
      </c>
      <c r="BL13" s="253">
        <v>18714</v>
      </c>
      <c r="BM13" s="253">
        <v>1</v>
      </c>
      <c r="BN13" s="253"/>
      <c r="BO13" s="252" t="s">
        <v>484</v>
      </c>
      <c r="BP13" s="264" t="s">
        <v>564</v>
      </c>
      <c r="BQ13" s="263"/>
      <c r="BR13" s="263"/>
      <c r="BS13" s="245"/>
      <c r="BT13" s="265" t="s">
        <v>632</v>
      </c>
      <c r="BU13" s="265">
        <v>316</v>
      </c>
      <c r="BV13" s="265">
        <v>6</v>
      </c>
      <c r="BW13" s="265">
        <v>19</v>
      </c>
      <c r="BX13" s="265">
        <v>0</v>
      </c>
      <c r="BY13" s="265">
        <v>4</v>
      </c>
      <c r="BZ13" s="265">
        <v>307</v>
      </c>
      <c r="CA13" s="265">
        <v>257</v>
      </c>
      <c r="CB13" s="265">
        <v>59</v>
      </c>
      <c r="CC13" s="245"/>
      <c r="CD13" s="245"/>
      <c r="CE13" s="245"/>
      <c r="CF13" s="245"/>
      <c r="CG13" s="245"/>
      <c r="CH13" s="245"/>
      <c r="CI13" s="247"/>
      <c r="CJ13" s="247" t="s">
        <v>639</v>
      </c>
      <c r="CK13" s="247">
        <v>5306696736283.9258</v>
      </c>
      <c r="CL13" s="247"/>
      <c r="CM13" s="247" t="s">
        <v>639</v>
      </c>
      <c r="CN13" s="247">
        <v>13858510028559.158</v>
      </c>
      <c r="CO13" s="247"/>
      <c r="CP13" s="247" t="s">
        <v>639</v>
      </c>
      <c r="CQ13" s="247">
        <v>268436206237.41</v>
      </c>
      <c r="CR13" s="245"/>
      <c r="CS13" s="245"/>
      <c r="CT13" s="245"/>
      <c r="CU13" s="245"/>
      <c r="CV13" s="245"/>
      <c r="CW13" s="245"/>
      <c r="CX13" s="245"/>
      <c r="CY13" s="245"/>
      <c r="CZ13" s="245"/>
      <c r="DA13" s="245"/>
      <c r="DB13" s="245"/>
      <c r="DC13" s="245"/>
      <c r="DD13" s="245"/>
    </row>
    <row r="14" spans="1:118" x14ac:dyDescent="0.2">
      <c r="B14" s="189"/>
      <c r="C14" s="189"/>
      <c r="D14" s="189"/>
      <c r="E14" s="221"/>
      <c r="F14" s="221"/>
      <c r="G14" s="221"/>
      <c r="H14" s="221"/>
      <c r="J14" s="152" t="str">
        <f>K14&amp;L14</f>
        <v>ABuy</v>
      </c>
      <c r="K14" s="234" t="s">
        <v>541</v>
      </c>
      <c r="L14" s="234" t="s">
        <v>542</v>
      </c>
      <c r="M14" s="238">
        <v>192129352812.52499</v>
      </c>
      <c r="N14" s="156"/>
      <c r="O14" s="344">
        <v>784579000000</v>
      </c>
      <c r="P14" s="344">
        <v>-771216000000</v>
      </c>
      <c r="Q14" s="344">
        <v>13363000000</v>
      </c>
      <c r="S14" s="245"/>
      <c r="T14" s="245"/>
      <c r="U14" s="245"/>
      <c r="V14" s="245"/>
      <c r="W14" s="245"/>
      <c r="X14" s="245"/>
      <c r="Y14" s="245"/>
      <c r="Z14" s="253" t="s">
        <v>579</v>
      </c>
      <c r="AA14" s="253">
        <v>0</v>
      </c>
      <c r="AB14" s="253">
        <v>0</v>
      </c>
      <c r="AC14" s="253">
        <v>0</v>
      </c>
      <c r="AD14" s="253">
        <v>0</v>
      </c>
      <c r="AE14" s="253">
        <v>0</v>
      </c>
      <c r="AF14" s="253"/>
      <c r="AG14" s="253" t="s">
        <v>579</v>
      </c>
      <c r="AH14" s="253">
        <v>0</v>
      </c>
      <c r="AI14" s="253">
        <v>0</v>
      </c>
      <c r="AJ14" s="253">
        <v>0</v>
      </c>
      <c r="AK14" s="253">
        <v>0</v>
      </c>
      <c r="AL14" s="253">
        <v>0</v>
      </c>
      <c r="AM14" s="245"/>
      <c r="AN14" s="253" t="s">
        <v>577</v>
      </c>
      <c r="AO14" s="253">
        <v>15443167788.77</v>
      </c>
      <c r="AP14" s="253">
        <v>76658</v>
      </c>
      <c r="AQ14" s="253">
        <v>8945</v>
      </c>
      <c r="AR14" s="253">
        <v>637526</v>
      </c>
      <c r="AS14" s="253">
        <v>1</v>
      </c>
      <c r="AT14" s="245"/>
      <c r="AU14" s="253" t="s">
        <v>579</v>
      </c>
      <c r="AV14" s="253">
        <v>0</v>
      </c>
      <c r="AW14" s="253">
        <v>0</v>
      </c>
      <c r="AX14" s="253">
        <v>0</v>
      </c>
      <c r="AY14" s="253">
        <v>0</v>
      </c>
      <c r="AZ14" s="253">
        <v>0</v>
      </c>
      <c r="BA14" s="245"/>
      <c r="BB14" s="253" t="s">
        <v>578</v>
      </c>
      <c r="BC14" s="253">
        <v>0</v>
      </c>
      <c r="BD14" s="253">
        <v>0</v>
      </c>
      <c r="BE14" s="253">
        <v>0</v>
      </c>
      <c r="BF14" s="253">
        <v>0</v>
      </c>
      <c r="BG14" s="253">
        <v>1</v>
      </c>
      <c r="BH14" s="247" t="s">
        <v>578</v>
      </c>
      <c r="BI14" s="253">
        <v>0</v>
      </c>
      <c r="BJ14" s="253">
        <v>0</v>
      </c>
      <c r="BK14" s="253">
        <v>0</v>
      </c>
      <c r="BL14" s="253">
        <v>0</v>
      </c>
      <c r="BM14" s="253">
        <v>1</v>
      </c>
      <c r="BN14" s="253"/>
      <c r="BO14" s="247"/>
      <c r="BP14" s="263">
        <v>42559616</v>
      </c>
      <c r="BQ14" s="263"/>
      <c r="BR14" s="263"/>
      <c r="BS14" s="245"/>
      <c r="BT14" s="265" t="s">
        <v>633</v>
      </c>
      <c r="BU14" s="265">
        <v>1</v>
      </c>
      <c r="BV14" s="265">
        <v>0</v>
      </c>
      <c r="BW14" s="265">
        <v>0</v>
      </c>
      <c r="BX14" s="265">
        <v>0</v>
      </c>
      <c r="BY14" s="265">
        <v>0</v>
      </c>
      <c r="BZ14" s="265">
        <v>1</v>
      </c>
      <c r="CA14" s="265">
        <v>1</v>
      </c>
      <c r="CB14" s="265">
        <v>0</v>
      </c>
      <c r="CC14" s="267" t="s">
        <v>506</v>
      </c>
      <c r="CD14" s="273" t="s">
        <v>635</v>
      </c>
      <c r="CE14" s="273" t="s">
        <v>637</v>
      </c>
      <c r="CF14" s="245"/>
      <c r="CG14" s="245"/>
      <c r="CH14" s="245"/>
      <c r="CI14" s="247"/>
      <c r="CJ14" s="245"/>
      <c r="CK14" s="245"/>
      <c r="CL14" s="247"/>
      <c r="CM14" s="245"/>
      <c r="CN14" s="245"/>
      <c r="CO14" s="245"/>
      <c r="CP14" s="245"/>
      <c r="CQ14" s="245"/>
      <c r="CR14" s="267" t="s">
        <v>519</v>
      </c>
      <c r="CS14" s="276" t="s">
        <v>659</v>
      </c>
      <c r="CT14" s="275" t="s">
        <v>641</v>
      </c>
      <c r="CU14" s="275" t="s">
        <v>642</v>
      </c>
      <c r="CV14" s="275" t="s">
        <v>643</v>
      </c>
      <c r="CW14" s="275" t="s">
        <v>644</v>
      </c>
      <c r="CX14" s="275" t="s">
        <v>645</v>
      </c>
      <c r="CY14" s="275" t="s">
        <v>646</v>
      </c>
      <c r="CZ14" s="275" t="s">
        <v>647</v>
      </c>
      <c r="DA14" s="275" t="s">
        <v>648</v>
      </c>
      <c r="DB14" s="275" t="s">
        <v>649</v>
      </c>
      <c r="DC14" s="275" t="s">
        <v>650</v>
      </c>
      <c r="DD14" s="275" t="s">
        <v>651</v>
      </c>
    </row>
    <row r="15" spans="1:118" x14ac:dyDescent="0.2">
      <c r="B15" s="189"/>
      <c r="C15" s="189"/>
      <c r="D15" s="189"/>
      <c r="E15" s="221"/>
      <c r="F15" s="222"/>
      <c r="G15" s="222"/>
      <c r="H15" s="221"/>
      <c r="J15" s="152" t="str">
        <f t="shared" ref="J15:J17" si="2">K15&amp;L15</f>
        <v>PBuy</v>
      </c>
      <c r="K15" s="234" t="s">
        <v>543</v>
      </c>
      <c r="L15" s="234" t="s">
        <v>542</v>
      </c>
      <c r="M15" s="238">
        <v>222940861770.72</v>
      </c>
      <c r="N15" s="156"/>
      <c r="O15" s="240"/>
      <c r="P15" s="240"/>
      <c r="Q15" s="240"/>
      <c r="R15" s="153" t="s">
        <v>453</v>
      </c>
      <c r="S15" s="254" t="s">
        <v>560</v>
      </c>
      <c r="T15" s="257" t="s">
        <v>561</v>
      </c>
      <c r="U15" s="257" t="s">
        <v>562</v>
      </c>
      <c r="V15" s="257" t="s">
        <v>563</v>
      </c>
      <c r="W15" s="257" t="s">
        <v>564</v>
      </c>
      <c r="X15" s="257" t="s">
        <v>565</v>
      </c>
      <c r="Y15" s="245"/>
      <c r="Z15" s="253" t="s">
        <v>580</v>
      </c>
      <c r="AA15" s="253">
        <v>0</v>
      </c>
      <c r="AB15" s="253">
        <v>0</v>
      </c>
      <c r="AC15" s="253">
        <v>0</v>
      </c>
      <c r="AD15" s="253">
        <v>0</v>
      </c>
      <c r="AE15" s="253">
        <v>0</v>
      </c>
      <c r="AF15" s="253"/>
      <c r="AG15" s="253" t="s">
        <v>580</v>
      </c>
      <c r="AH15" s="253">
        <v>0</v>
      </c>
      <c r="AI15" s="253">
        <v>0</v>
      </c>
      <c r="AJ15" s="253">
        <v>0</v>
      </c>
      <c r="AK15" s="253">
        <v>0</v>
      </c>
      <c r="AL15" s="253">
        <v>0</v>
      </c>
      <c r="AM15" s="245"/>
      <c r="AN15" s="253" t="s">
        <v>578</v>
      </c>
      <c r="AO15" s="253">
        <v>0</v>
      </c>
      <c r="AP15" s="253">
        <v>0</v>
      </c>
      <c r="AQ15" s="253">
        <v>0</v>
      </c>
      <c r="AR15" s="253">
        <v>0</v>
      </c>
      <c r="AS15" s="253">
        <v>1</v>
      </c>
      <c r="AT15" s="245"/>
      <c r="AU15" s="253" t="s">
        <v>580</v>
      </c>
      <c r="AV15" s="253">
        <v>0</v>
      </c>
      <c r="AW15" s="253">
        <v>0</v>
      </c>
      <c r="AX15" s="253">
        <v>0</v>
      </c>
      <c r="AY15" s="253">
        <v>0</v>
      </c>
      <c r="AZ15" s="253">
        <v>0</v>
      </c>
      <c r="BA15" s="245"/>
      <c r="BB15" s="253" t="s">
        <v>579</v>
      </c>
      <c r="BC15" s="253">
        <v>0</v>
      </c>
      <c r="BD15" s="253">
        <v>0</v>
      </c>
      <c r="BE15" s="253">
        <v>0</v>
      </c>
      <c r="BF15" s="253">
        <v>0</v>
      </c>
      <c r="BG15" s="253">
        <v>0</v>
      </c>
      <c r="BH15" s="247" t="s">
        <v>579</v>
      </c>
      <c r="BI15" s="253">
        <v>0</v>
      </c>
      <c r="BJ15" s="253">
        <v>0</v>
      </c>
      <c r="BK15" s="253">
        <v>0</v>
      </c>
      <c r="BL15" s="253">
        <v>0</v>
      </c>
      <c r="BM15" s="253">
        <v>0</v>
      </c>
      <c r="BN15" s="253"/>
      <c r="BO15" s="247"/>
      <c r="BP15" s="263"/>
      <c r="BQ15" s="263"/>
      <c r="BR15" s="263"/>
      <c r="BS15" s="247"/>
      <c r="BT15" s="265"/>
      <c r="BU15" s="265"/>
      <c r="BV15" s="265"/>
      <c r="BW15" s="265"/>
      <c r="BX15" s="265"/>
      <c r="BY15" s="265"/>
      <c r="BZ15" s="265"/>
      <c r="CA15" s="265"/>
      <c r="CB15" s="265"/>
      <c r="CC15" s="247"/>
      <c r="CD15" s="274">
        <v>2426413101055070.5</v>
      </c>
      <c r="CE15" s="274">
        <v>3916408143733.5317</v>
      </c>
      <c r="CF15" s="245"/>
      <c r="CG15" s="245"/>
      <c r="CH15" s="245"/>
      <c r="CI15" s="245"/>
      <c r="CJ15" s="245"/>
      <c r="CK15" s="245"/>
      <c r="CL15" s="245"/>
      <c r="CM15" s="245"/>
      <c r="CN15" s="245"/>
      <c r="CO15" s="245"/>
      <c r="CP15" s="245"/>
      <c r="CQ15" s="245"/>
      <c r="CR15" s="247"/>
      <c r="CS15" s="277" t="s">
        <v>660</v>
      </c>
      <c r="CT15" s="275">
        <v>21</v>
      </c>
      <c r="CU15" s="275" t="s">
        <v>652</v>
      </c>
      <c r="CV15" s="275">
        <v>0</v>
      </c>
      <c r="CW15" s="275">
        <v>3873924640</v>
      </c>
      <c r="CX15" s="275">
        <v>377</v>
      </c>
      <c r="CY15" s="275">
        <v>0</v>
      </c>
      <c r="CZ15" s="275">
        <v>14648048306</v>
      </c>
      <c r="DA15" s="275">
        <v>227</v>
      </c>
      <c r="DB15" s="275">
        <v>0</v>
      </c>
      <c r="DC15" s="275">
        <v>10774123666</v>
      </c>
      <c r="DD15" s="275">
        <v>150</v>
      </c>
    </row>
    <row r="16" spans="1:118" x14ac:dyDescent="0.2">
      <c r="A16" s="148" t="s">
        <v>215</v>
      </c>
      <c r="B16" s="189"/>
      <c r="C16" s="189"/>
      <c r="D16" s="189"/>
      <c r="E16" s="221"/>
      <c r="F16" s="222"/>
      <c r="G16" s="222"/>
      <c r="H16" s="221"/>
      <c r="J16" s="152" t="str">
        <f t="shared" si="2"/>
        <v>ASell</v>
      </c>
      <c r="K16" s="234" t="s">
        <v>541</v>
      </c>
      <c r="L16" s="234" t="s">
        <v>544</v>
      </c>
      <c r="M16" s="238">
        <v>207235537549.17999</v>
      </c>
      <c r="N16" s="162" t="s">
        <v>215</v>
      </c>
      <c r="O16" s="243" t="s">
        <v>524</v>
      </c>
      <c r="P16" s="243" t="s">
        <v>525</v>
      </c>
      <c r="Q16" s="243" t="s">
        <v>526</v>
      </c>
      <c r="S16" s="253" t="s">
        <v>449</v>
      </c>
      <c r="T16" s="258">
        <v>205558.236</v>
      </c>
      <c r="U16" s="258">
        <v>481</v>
      </c>
      <c r="V16" s="258">
        <v>1</v>
      </c>
      <c r="W16" s="258">
        <v>12407363</v>
      </c>
      <c r="X16" s="258">
        <v>1</v>
      </c>
      <c r="Y16" s="245"/>
      <c r="Z16" s="253" t="s">
        <v>581</v>
      </c>
      <c r="AA16" s="253">
        <v>0</v>
      </c>
      <c r="AB16" s="253">
        <v>0</v>
      </c>
      <c r="AC16" s="253">
        <v>0</v>
      </c>
      <c r="AD16" s="253">
        <v>0</v>
      </c>
      <c r="AE16" s="253">
        <v>0</v>
      </c>
      <c r="AF16" s="253"/>
      <c r="AG16" s="253" t="s">
        <v>581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45"/>
      <c r="AN16" s="253" t="s">
        <v>579</v>
      </c>
      <c r="AO16" s="253">
        <v>0</v>
      </c>
      <c r="AP16" s="253">
        <v>0</v>
      </c>
      <c r="AQ16" s="253">
        <v>0</v>
      </c>
      <c r="AR16" s="253">
        <v>0</v>
      </c>
      <c r="AS16" s="253">
        <v>0</v>
      </c>
      <c r="AT16" s="245"/>
      <c r="AU16" s="253" t="s">
        <v>581</v>
      </c>
      <c r="AV16" s="253">
        <v>0</v>
      </c>
      <c r="AW16" s="253">
        <v>0</v>
      </c>
      <c r="AX16" s="253">
        <v>0</v>
      </c>
      <c r="AY16" s="253">
        <v>0</v>
      </c>
      <c r="AZ16" s="253">
        <v>0</v>
      </c>
      <c r="BA16" s="245"/>
      <c r="BB16" s="253" t="s">
        <v>615</v>
      </c>
      <c r="BC16" s="253">
        <v>0</v>
      </c>
      <c r="BD16" s="253">
        <v>0</v>
      </c>
      <c r="BE16" s="253">
        <v>0</v>
      </c>
      <c r="BF16" s="253">
        <v>0</v>
      </c>
      <c r="BG16" s="253">
        <v>0</v>
      </c>
      <c r="BH16" s="247" t="s">
        <v>615</v>
      </c>
      <c r="BI16" s="253">
        <v>0</v>
      </c>
      <c r="BJ16" s="253">
        <v>0</v>
      </c>
      <c r="BK16" s="253">
        <v>0</v>
      </c>
      <c r="BL16" s="253">
        <v>0</v>
      </c>
      <c r="BM16" s="253">
        <v>0</v>
      </c>
      <c r="BN16" s="253"/>
      <c r="BO16" s="252" t="s">
        <v>485</v>
      </c>
      <c r="BP16" s="264" t="s">
        <v>564</v>
      </c>
      <c r="BQ16" s="263"/>
      <c r="BR16" s="263"/>
      <c r="BS16" s="245"/>
      <c r="BT16" s="245"/>
      <c r="BU16" s="245"/>
      <c r="BV16" s="245"/>
      <c r="BW16" s="245"/>
      <c r="BX16" s="245"/>
      <c r="BY16" s="245"/>
      <c r="BZ16" s="245"/>
      <c r="CA16" s="245"/>
      <c r="CB16" s="245"/>
      <c r="CC16" s="245"/>
      <c r="CD16" s="245"/>
      <c r="CE16" s="245"/>
      <c r="CF16" s="245"/>
      <c r="CG16" s="245"/>
      <c r="CH16" s="245"/>
      <c r="CI16" s="245"/>
      <c r="CJ16" s="245"/>
      <c r="CK16" s="245"/>
      <c r="CL16" s="245"/>
      <c r="CM16" s="245"/>
      <c r="CN16" s="245"/>
      <c r="CO16" s="245"/>
      <c r="CP16" s="245"/>
      <c r="CQ16" s="245"/>
      <c r="CR16" s="247"/>
      <c r="CS16" s="277" t="s">
        <v>660</v>
      </c>
      <c r="CT16" s="275">
        <v>1</v>
      </c>
      <c r="CU16" s="275" t="s">
        <v>653</v>
      </c>
      <c r="CV16" s="275">
        <v>-612113.56999999995</v>
      </c>
      <c r="CW16" s="275">
        <v>-300000</v>
      </c>
      <c r="CX16" s="275">
        <v>1</v>
      </c>
      <c r="CY16" s="275">
        <v>0</v>
      </c>
      <c r="CZ16" s="275">
        <v>0</v>
      </c>
      <c r="DA16" s="275">
        <v>0</v>
      </c>
      <c r="DB16" s="275">
        <v>612113.56999999995</v>
      </c>
      <c r="DC16" s="275">
        <v>300000</v>
      </c>
      <c r="DD16" s="275">
        <v>1</v>
      </c>
    </row>
    <row r="17" spans="1:108" x14ac:dyDescent="0.2">
      <c r="B17" s="189"/>
      <c r="C17" s="189"/>
      <c r="D17" s="189"/>
      <c r="E17" s="221"/>
      <c r="F17" s="221"/>
      <c r="G17" s="221"/>
      <c r="H17" s="221"/>
      <c r="J17" s="152" t="str">
        <f t="shared" si="2"/>
        <v>PSell</v>
      </c>
      <c r="K17" s="234" t="s">
        <v>543</v>
      </c>
      <c r="L17" s="234" t="s">
        <v>544</v>
      </c>
      <c r="M17" s="238">
        <v>207834677034.065</v>
      </c>
      <c r="N17" s="156"/>
      <c r="O17" s="344">
        <v>645668000000</v>
      </c>
      <c r="P17" s="344">
        <v>-645833000000</v>
      </c>
      <c r="Q17" s="344">
        <v>-165000000</v>
      </c>
      <c r="S17" s="253" t="s">
        <v>447</v>
      </c>
      <c r="T17" s="258">
        <v>274707735.50999999</v>
      </c>
      <c r="U17" s="258">
        <v>607015</v>
      </c>
      <c r="V17" s="258">
        <v>54</v>
      </c>
      <c r="W17" s="258">
        <v>2518229</v>
      </c>
      <c r="X17" s="258">
        <v>0</v>
      </c>
      <c r="Y17" s="245"/>
      <c r="Z17" s="253" t="s">
        <v>582</v>
      </c>
      <c r="AA17" s="253">
        <v>65343030.18</v>
      </c>
      <c r="AB17" s="253">
        <v>530</v>
      </c>
      <c r="AC17" s="253">
        <v>3</v>
      </c>
      <c r="AD17" s="253">
        <v>5610</v>
      </c>
      <c r="AE17" s="253">
        <v>1</v>
      </c>
      <c r="AF17" s="253"/>
      <c r="AG17" s="253" t="s">
        <v>582</v>
      </c>
      <c r="AH17" s="253">
        <v>0</v>
      </c>
      <c r="AI17" s="253">
        <v>0</v>
      </c>
      <c r="AJ17" s="253">
        <v>0</v>
      </c>
      <c r="AK17" s="253">
        <v>255</v>
      </c>
      <c r="AL17" s="253">
        <v>1</v>
      </c>
      <c r="AM17" s="245"/>
      <c r="AN17" s="253" t="s">
        <v>580</v>
      </c>
      <c r="AO17" s="253">
        <v>0</v>
      </c>
      <c r="AP17" s="253">
        <v>0</v>
      </c>
      <c r="AQ17" s="253">
        <v>0</v>
      </c>
      <c r="AR17" s="253">
        <v>0</v>
      </c>
      <c r="AS17" s="253">
        <v>0</v>
      </c>
      <c r="AT17" s="245"/>
      <c r="AU17" s="253" t="s">
        <v>582</v>
      </c>
      <c r="AV17" s="253">
        <v>0</v>
      </c>
      <c r="AW17" s="253">
        <v>0</v>
      </c>
      <c r="AX17" s="253">
        <v>0</v>
      </c>
      <c r="AY17" s="253">
        <v>275</v>
      </c>
      <c r="AZ17" s="253">
        <v>1</v>
      </c>
      <c r="BA17" s="245"/>
      <c r="BB17" s="253" t="s">
        <v>580</v>
      </c>
      <c r="BC17" s="253">
        <v>0</v>
      </c>
      <c r="BD17" s="253">
        <v>0</v>
      </c>
      <c r="BE17" s="253">
        <v>0</v>
      </c>
      <c r="BF17" s="253">
        <v>0</v>
      </c>
      <c r="BG17" s="253">
        <v>0</v>
      </c>
      <c r="BH17" s="247" t="s">
        <v>580</v>
      </c>
      <c r="BI17" s="253">
        <v>0</v>
      </c>
      <c r="BJ17" s="253">
        <v>0</v>
      </c>
      <c r="BK17" s="253">
        <v>0</v>
      </c>
      <c r="BL17" s="253">
        <v>0</v>
      </c>
      <c r="BM17" s="253">
        <v>0</v>
      </c>
      <c r="BN17" s="253"/>
      <c r="BO17" s="247"/>
      <c r="BP17" s="263">
        <v>3017481</v>
      </c>
      <c r="BQ17" s="263"/>
      <c r="BR17" s="263"/>
      <c r="BS17" s="256" t="s">
        <v>500</v>
      </c>
      <c r="BT17" s="266" t="s">
        <v>621</v>
      </c>
      <c r="BU17" s="266" t="s">
        <v>622</v>
      </c>
      <c r="BV17" s="266" t="s">
        <v>623</v>
      </c>
      <c r="BW17" s="266" t="s">
        <v>624</v>
      </c>
      <c r="BX17" s="266" t="s">
        <v>625</v>
      </c>
      <c r="BY17" s="266" t="s">
        <v>626</v>
      </c>
      <c r="BZ17" s="266" t="s">
        <v>627</v>
      </c>
      <c r="CA17" s="266" t="s">
        <v>628</v>
      </c>
      <c r="CB17" s="266" t="s">
        <v>629</v>
      </c>
      <c r="CC17" s="358" t="s">
        <v>528</v>
      </c>
      <c r="CD17" s="357" t="s">
        <v>635</v>
      </c>
      <c r="CE17" s="357" t="s">
        <v>637</v>
      </c>
      <c r="CF17" s="245"/>
      <c r="CG17" s="245"/>
      <c r="CH17" s="245"/>
      <c r="CI17" s="245"/>
      <c r="CJ17" s="245"/>
      <c r="CK17" s="245"/>
      <c r="CL17" s="245"/>
      <c r="CM17" s="245"/>
      <c r="CN17" s="245"/>
      <c r="CO17" s="245"/>
      <c r="CP17" s="245"/>
      <c r="CQ17" s="245"/>
      <c r="CR17" s="247"/>
      <c r="CS17" s="277" t="s">
        <v>660</v>
      </c>
      <c r="CT17" s="275">
        <v>22</v>
      </c>
      <c r="CU17" s="275" t="s">
        <v>654</v>
      </c>
      <c r="CV17" s="275">
        <v>-81884282428.539978</v>
      </c>
      <c r="CW17" s="275">
        <v>-76617604571</v>
      </c>
      <c r="CX17" s="275">
        <v>1001</v>
      </c>
      <c r="CY17" s="275">
        <v>37961323988.299995</v>
      </c>
      <c r="CZ17" s="275">
        <v>42884270000</v>
      </c>
      <c r="DA17" s="275">
        <v>570</v>
      </c>
      <c r="DB17" s="275">
        <v>119845606416.84</v>
      </c>
      <c r="DC17" s="275">
        <v>119501874571</v>
      </c>
      <c r="DD17" s="275">
        <v>431</v>
      </c>
    </row>
    <row r="18" spans="1:108" x14ac:dyDescent="0.2">
      <c r="B18" s="189"/>
      <c r="C18" s="189"/>
      <c r="D18" s="189"/>
      <c r="E18" s="221"/>
      <c r="F18" s="221"/>
      <c r="G18" s="221"/>
      <c r="H18" s="221"/>
      <c r="J18" s="152"/>
      <c r="K18" s="229"/>
      <c r="L18" s="229"/>
      <c r="M18" s="228"/>
      <c r="N18" s="156"/>
      <c r="O18" s="240"/>
      <c r="P18" s="240"/>
      <c r="Q18" s="240"/>
      <c r="S18" s="253" t="s">
        <v>451</v>
      </c>
      <c r="T18" s="258">
        <v>0</v>
      </c>
      <c r="U18" s="258">
        <v>0</v>
      </c>
      <c r="V18" s="258">
        <v>0</v>
      </c>
      <c r="W18" s="258">
        <v>222915</v>
      </c>
      <c r="X18" s="258">
        <v>0</v>
      </c>
      <c r="Y18" s="245"/>
      <c r="Z18" s="253" t="s">
        <v>583</v>
      </c>
      <c r="AA18" s="253">
        <v>0</v>
      </c>
      <c r="AB18" s="253">
        <v>0</v>
      </c>
      <c r="AC18" s="253">
        <v>0</v>
      </c>
      <c r="AD18" s="253">
        <v>0</v>
      </c>
      <c r="AE18" s="253">
        <v>0</v>
      </c>
      <c r="AF18" s="253"/>
      <c r="AG18" s="253" t="s">
        <v>583</v>
      </c>
      <c r="AH18" s="253">
        <v>0</v>
      </c>
      <c r="AI18" s="253">
        <v>0</v>
      </c>
      <c r="AJ18" s="253">
        <v>0</v>
      </c>
      <c r="AK18" s="253">
        <v>0</v>
      </c>
      <c r="AL18" s="253">
        <v>0</v>
      </c>
      <c r="AM18" s="245"/>
      <c r="AN18" s="253" t="s">
        <v>581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45"/>
      <c r="AU18" s="253" t="s">
        <v>583</v>
      </c>
      <c r="AV18" s="253">
        <v>0</v>
      </c>
      <c r="AW18" s="253">
        <v>0</v>
      </c>
      <c r="AX18" s="253">
        <v>0</v>
      </c>
      <c r="AY18" s="253">
        <v>0</v>
      </c>
      <c r="AZ18" s="253">
        <v>0</v>
      </c>
      <c r="BA18" s="245"/>
      <c r="BB18" s="253" t="s">
        <v>581</v>
      </c>
      <c r="BC18" s="253">
        <v>0</v>
      </c>
      <c r="BD18" s="253">
        <v>0</v>
      </c>
      <c r="BE18" s="253">
        <v>0</v>
      </c>
      <c r="BF18" s="253">
        <v>0</v>
      </c>
      <c r="BG18" s="253">
        <v>0</v>
      </c>
      <c r="BH18" s="247" t="s">
        <v>581</v>
      </c>
      <c r="BI18" s="253">
        <v>0</v>
      </c>
      <c r="BJ18" s="253">
        <v>0</v>
      </c>
      <c r="BK18" s="253">
        <v>0</v>
      </c>
      <c r="BL18" s="253">
        <v>0</v>
      </c>
      <c r="BM18" s="253">
        <v>0</v>
      </c>
      <c r="BN18" s="253"/>
      <c r="BO18" s="247"/>
      <c r="BP18" s="263"/>
      <c r="BQ18" s="263"/>
      <c r="BR18" s="263"/>
      <c r="BS18" s="245"/>
      <c r="BT18" s="265" t="s">
        <v>139</v>
      </c>
      <c r="BU18" s="247">
        <v>61</v>
      </c>
      <c r="BV18" s="265">
        <v>3</v>
      </c>
      <c r="BW18" s="265">
        <v>5</v>
      </c>
      <c r="BX18" s="265">
        <v>1</v>
      </c>
      <c r="BY18" s="265">
        <v>0</v>
      </c>
      <c r="BZ18" s="265">
        <v>58</v>
      </c>
      <c r="CA18" s="265">
        <v>43</v>
      </c>
      <c r="CB18" s="265">
        <v>18</v>
      </c>
      <c r="CC18" s="355"/>
      <c r="CD18" s="359">
        <v>14906844921287.879</v>
      </c>
      <c r="CE18" s="360">
        <v>24661141022.614658</v>
      </c>
      <c r="CF18" s="245"/>
      <c r="CG18" s="245"/>
      <c r="CH18" s="245"/>
      <c r="CI18" s="245"/>
      <c r="CJ18" s="245"/>
      <c r="CK18" s="245"/>
      <c r="CL18" s="245"/>
      <c r="CM18" s="245"/>
      <c r="CN18" s="245"/>
      <c r="CO18" s="245"/>
      <c r="CP18" s="245"/>
      <c r="CQ18" s="245"/>
      <c r="CR18" s="247"/>
      <c r="CS18" s="277" t="s">
        <v>660</v>
      </c>
      <c r="CT18" s="275">
        <v>22</v>
      </c>
      <c r="CU18" s="275" t="s">
        <v>655</v>
      </c>
      <c r="CV18" s="275">
        <v>79904619404.020004</v>
      </c>
      <c r="CW18" s="275">
        <v>75001104571</v>
      </c>
      <c r="CX18" s="275">
        <v>987</v>
      </c>
      <c r="CY18" s="275">
        <v>116502165044.67004</v>
      </c>
      <c r="CZ18" s="275">
        <v>116324874571</v>
      </c>
      <c r="DA18" s="275">
        <v>426</v>
      </c>
      <c r="DB18" s="275">
        <v>36597545640.649979</v>
      </c>
      <c r="DC18" s="275">
        <v>41323770000</v>
      </c>
      <c r="DD18" s="275">
        <v>561</v>
      </c>
    </row>
    <row r="19" spans="1:108" x14ac:dyDescent="0.2">
      <c r="A19" s="148" t="s">
        <v>216</v>
      </c>
      <c r="B19" s="189"/>
      <c r="C19" s="189"/>
      <c r="D19" s="189"/>
      <c r="E19" s="221"/>
      <c r="F19" s="221"/>
      <c r="G19" s="221"/>
      <c r="H19" s="221"/>
      <c r="I19" s="153" t="s">
        <v>222</v>
      </c>
      <c r="J19" s="148" t="s">
        <v>220</v>
      </c>
      <c r="K19" s="235" t="s">
        <v>539</v>
      </c>
      <c r="L19" s="235" t="s">
        <v>540</v>
      </c>
      <c r="M19" s="237" t="s">
        <v>537</v>
      </c>
      <c r="N19" s="162" t="s">
        <v>216</v>
      </c>
      <c r="O19" s="243" t="s">
        <v>524</v>
      </c>
      <c r="P19" s="243" t="s">
        <v>525</v>
      </c>
      <c r="Q19" s="243" t="s">
        <v>526</v>
      </c>
      <c r="S19" s="253" t="s">
        <v>446</v>
      </c>
      <c r="T19" s="258">
        <v>33645231</v>
      </c>
      <c r="U19" s="258">
        <v>3712</v>
      </c>
      <c r="V19" s="258">
        <v>34</v>
      </c>
      <c r="W19" s="258">
        <v>1068544</v>
      </c>
      <c r="X19" s="258">
        <v>0</v>
      </c>
      <c r="Y19" s="245"/>
      <c r="Z19" s="253" t="s">
        <v>584</v>
      </c>
      <c r="AA19" s="253">
        <v>0</v>
      </c>
      <c r="AB19" s="253">
        <v>0</v>
      </c>
      <c r="AC19" s="253">
        <v>0</v>
      </c>
      <c r="AD19" s="253">
        <v>0</v>
      </c>
      <c r="AE19" s="253">
        <v>0</v>
      </c>
      <c r="AF19" s="253"/>
      <c r="AG19" s="253" t="s">
        <v>584</v>
      </c>
      <c r="AH19" s="253">
        <v>0</v>
      </c>
      <c r="AI19" s="253">
        <v>0</v>
      </c>
      <c r="AJ19" s="253">
        <v>0</v>
      </c>
      <c r="AK19" s="253">
        <v>0</v>
      </c>
      <c r="AL19" s="253">
        <v>0</v>
      </c>
      <c r="AM19" s="245"/>
      <c r="AN19" s="253" t="s">
        <v>582</v>
      </c>
      <c r="AO19" s="253">
        <v>0</v>
      </c>
      <c r="AP19" s="253">
        <v>0</v>
      </c>
      <c r="AQ19" s="253">
        <v>0</v>
      </c>
      <c r="AR19" s="253">
        <v>5775</v>
      </c>
      <c r="AS19" s="253">
        <v>1</v>
      </c>
      <c r="AT19" s="245"/>
      <c r="AU19" s="253" t="s">
        <v>584</v>
      </c>
      <c r="AV19" s="253">
        <v>0</v>
      </c>
      <c r="AW19" s="253">
        <v>0</v>
      </c>
      <c r="AX19" s="253">
        <v>0</v>
      </c>
      <c r="AY19" s="253">
        <v>0</v>
      </c>
      <c r="AZ19" s="253">
        <v>0</v>
      </c>
      <c r="BA19" s="245"/>
      <c r="BB19" s="253" t="s">
        <v>582</v>
      </c>
      <c r="BC19" s="253">
        <v>3864748.76</v>
      </c>
      <c r="BD19" s="253">
        <v>40</v>
      </c>
      <c r="BE19" s="253">
        <v>2</v>
      </c>
      <c r="BF19" s="253">
        <v>6980</v>
      </c>
      <c r="BG19" s="253">
        <v>1</v>
      </c>
      <c r="BH19" s="247" t="s">
        <v>582</v>
      </c>
      <c r="BI19" s="253">
        <v>0</v>
      </c>
      <c r="BJ19" s="253">
        <v>0</v>
      </c>
      <c r="BK19" s="253">
        <v>0</v>
      </c>
      <c r="BL19" s="253">
        <v>320</v>
      </c>
      <c r="BM19" s="253">
        <v>1</v>
      </c>
      <c r="BN19" s="253"/>
      <c r="BO19" s="256" t="s">
        <v>482</v>
      </c>
      <c r="BP19" s="264" t="s">
        <v>537</v>
      </c>
      <c r="BQ19" s="264" t="s">
        <v>562</v>
      </c>
      <c r="BR19" s="264" t="s">
        <v>563</v>
      </c>
      <c r="BS19" s="245"/>
      <c r="BT19" s="265" t="s">
        <v>630</v>
      </c>
      <c r="BU19" s="265">
        <v>3</v>
      </c>
      <c r="BV19" s="265">
        <v>1</v>
      </c>
      <c r="BW19" s="265">
        <v>0</v>
      </c>
      <c r="BX19" s="265">
        <v>0</v>
      </c>
      <c r="BY19" s="265">
        <v>0</v>
      </c>
      <c r="BZ19" s="265">
        <v>4</v>
      </c>
      <c r="CA19" s="265">
        <v>3</v>
      </c>
      <c r="CB19" s="265">
        <v>0</v>
      </c>
      <c r="CC19" s="245"/>
      <c r="CD19" s="245"/>
      <c r="CE19" s="245"/>
      <c r="CF19" s="245"/>
      <c r="CG19" s="245"/>
      <c r="CH19" s="245"/>
      <c r="CI19" s="245"/>
      <c r="CJ19" s="245"/>
      <c r="CK19" s="245"/>
      <c r="CL19" s="245"/>
      <c r="CM19" s="245"/>
      <c r="CN19" s="245"/>
      <c r="CO19" s="245"/>
      <c r="CP19" s="245"/>
      <c r="CQ19" s="245"/>
      <c r="CR19" s="247"/>
      <c r="CS19" s="277" t="s">
        <v>660</v>
      </c>
      <c r="CT19" s="275">
        <v>110</v>
      </c>
      <c r="CU19" s="275" t="s">
        <v>656</v>
      </c>
      <c r="CV19" s="275">
        <v>-1594801734.6299992</v>
      </c>
      <c r="CW19" s="275">
        <v>-2049356917</v>
      </c>
      <c r="CX19" s="275">
        <v>1058</v>
      </c>
      <c r="CY19" s="275">
        <v>6354621997.3600016</v>
      </c>
      <c r="CZ19" s="275">
        <v>6281027794</v>
      </c>
      <c r="DA19" s="275">
        <v>623</v>
      </c>
      <c r="DB19" s="275">
        <v>7949423731.9899988</v>
      </c>
      <c r="DC19" s="275">
        <v>8330384711</v>
      </c>
      <c r="DD19" s="275">
        <v>435</v>
      </c>
    </row>
    <row r="20" spans="1:108" x14ac:dyDescent="0.2">
      <c r="B20" s="189"/>
      <c r="C20" s="189"/>
      <c r="D20" s="189"/>
      <c r="E20" s="221"/>
      <c r="F20" s="221"/>
      <c r="G20" s="221"/>
      <c r="H20" s="221"/>
      <c r="J20" s="152" t="str">
        <f>K20&amp;L20</f>
        <v>ABuy</v>
      </c>
      <c r="K20" s="234" t="s">
        <v>541</v>
      </c>
      <c r="L20" s="234" t="s">
        <v>542</v>
      </c>
      <c r="M20" s="238">
        <v>152773420940.77499</v>
      </c>
      <c r="N20" s="156"/>
      <c r="O20" s="344">
        <v>525050000000</v>
      </c>
      <c r="P20" s="344">
        <v>-528401000000</v>
      </c>
      <c r="Q20" s="344">
        <v>-3351000000</v>
      </c>
      <c r="S20" s="253" t="s">
        <v>566</v>
      </c>
      <c r="T20" s="258">
        <v>0</v>
      </c>
      <c r="U20" s="258">
        <v>0</v>
      </c>
      <c r="V20" s="258">
        <v>0</v>
      </c>
      <c r="W20" s="258">
        <v>0</v>
      </c>
      <c r="X20" s="258">
        <v>1</v>
      </c>
      <c r="Y20" s="245"/>
      <c r="Z20" s="253" t="s">
        <v>585</v>
      </c>
      <c r="AA20" s="253">
        <v>0</v>
      </c>
      <c r="AB20" s="253">
        <v>0</v>
      </c>
      <c r="AC20" s="253">
        <v>0</v>
      </c>
      <c r="AD20" s="253">
        <v>0</v>
      </c>
      <c r="AE20" s="253">
        <v>0</v>
      </c>
      <c r="AF20" s="253"/>
      <c r="AG20" s="253" t="s">
        <v>585</v>
      </c>
      <c r="AH20" s="253">
        <v>0</v>
      </c>
      <c r="AI20" s="253">
        <v>0</v>
      </c>
      <c r="AJ20" s="253">
        <v>0</v>
      </c>
      <c r="AK20" s="253">
        <v>0</v>
      </c>
      <c r="AL20" s="253">
        <v>0</v>
      </c>
      <c r="AM20" s="245"/>
      <c r="AN20" s="253" t="s">
        <v>583</v>
      </c>
      <c r="AO20" s="253">
        <v>0</v>
      </c>
      <c r="AP20" s="253">
        <v>0</v>
      </c>
      <c r="AQ20" s="253">
        <v>0</v>
      </c>
      <c r="AR20" s="253">
        <v>0</v>
      </c>
      <c r="AS20" s="253">
        <v>0</v>
      </c>
      <c r="AT20" s="245"/>
      <c r="AU20" s="253" t="s">
        <v>585</v>
      </c>
      <c r="AV20" s="253">
        <v>0</v>
      </c>
      <c r="AW20" s="253">
        <v>0</v>
      </c>
      <c r="AX20" s="253">
        <v>0</v>
      </c>
      <c r="AY20" s="253">
        <v>0</v>
      </c>
      <c r="AZ20" s="253">
        <v>0</v>
      </c>
      <c r="BA20" s="245"/>
      <c r="BB20" s="253" t="s">
        <v>583</v>
      </c>
      <c r="BC20" s="253">
        <v>0</v>
      </c>
      <c r="BD20" s="253">
        <v>0</v>
      </c>
      <c r="BE20" s="253">
        <v>0</v>
      </c>
      <c r="BF20" s="253">
        <v>0</v>
      </c>
      <c r="BG20" s="253">
        <v>0</v>
      </c>
      <c r="BH20" s="247" t="s">
        <v>583</v>
      </c>
      <c r="BI20" s="253">
        <v>0</v>
      </c>
      <c r="BJ20" s="253">
        <v>0</v>
      </c>
      <c r="BK20" s="253">
        <v>0</v>
      </c>
      <c r="BL20" s="253">
        <v>0</v>
      </c>
      <c r="BM20" s="253">
        <v>0</v>
      </c>
      <c r="BN20" s="253"/>
      <c r="BO20" s="247"/>
      <c r="BP20" s="263">
        <v>157784944662.12</v>
      </c>
      <c r="BQ20" s="263">
        <v>1499170</v>
      </c>
      <c r="BR20" s="263">
        <v>1565</v>
      </c>
      <c r="BS20" s="245"/>
      <c r="BT20" s="265" t="s">
        <v>631</v>
      </c>
      <c r="BU20" s="265">
        <v>1</v>
      </c>
      <c r="BV20" s="265">
        <v>0</v>
      </c>
      <c r="BW20" s="265">
        <v>0</v>
      </c>
      <c r="BX20" s="265">
        <v>0</v>
      </c>
      <c r="BY20" s="265">
        <v>0</v>
      </c>
      <c r="BZ20" s="265">
        <v>1</v>
      </c>
      <c r="CA20" s="265">
        <v>1</v>
      </c>
      <c r="CB20" s="265">
        <v>0</v>
      </c>
      <c r="CC20" s="358" t="s">
        <v>527</v>
      </c>
      <c r="CD20" s="357" t="s">
        <v>635</v>
      </c>
      <c r="CE20" s="357" t="s">
        <v>637</v>
      </c>
      <c r="CF20" s="245"/>
      <c r="CG20" s="245"/>
      <c r="CH20" s="245"/>
      <c r="CI20" s="245"/>
      <c r="CJ20" s="245"/>
      <c r="CK20" s="245"/>
      <c r="CL20" s="245"/>
      <c r="CM20" s="245"/>
      <c r="CN20" s="245"/>
      <c r="CO20" s="245"/>
      <c r="CP20" s="245"/>
      <c r="CQ20" s="245"/>
      <c r="CR20" s="247"/>
      <c r="CS20" s="277" t="s">
        <v>660</v>
      </c>
      <c r="CT20" s="275">
        <v>89</v>
      </c>
      <c r="CU20" s="275" t="s">
        <v>657</v>
      </c>
      <c r="CV20" s="275">
        <v>2397421033.8700008</v>
      </c>
      <c r="CW20" s="275">
        <v>2198291533</v>
      </c>
      <c r="CX20" s="275">
        <v>2677</v>
      </c>
      <c r="CY20" s="275">
        <v>71395871896.380066</v>
      </c>
      <c r="CZ20" s="275">
        <v>70367312641</v>
      </c>
      <c r="DA20" s="275">
        <v>1383</v>
      </c>
      <c r="DB20" s="275">
        <v>68998450862.509964</v>
      </c>
      <c r="DC20" s="275">
        <v>68169021108</v>
      </c>
      <c r="DD20" s="275">
        <v>1294</v>
      </c>
    </row>
    <row r="21" spans="1:108" x14ac:dyDescent="0.2">
      <c r="B21" s="187"/>
      <c r="C21" s="187"/>
      <c r="D21" s="187"/>
      <c r="E21" s="209"/>
      <c r="F21" s="209"/>
      <c r="G21" s="209"/>
      <c r="H21" s="209"/>
      <c r="J21" s="152" t="str">
        <f t="shared" ref="J21:J22" si="3">K21&amp;L21</f>
        <v>PBuy</v>
      </c>
      <c r="K21" s="234" t="s">
        <v>543</v>
      </c>
      <c r="L21" s="234" t="s">
        <v>542</v>
      </c>
      <c r="M21" s="238">
        <v>190162984725.95001</v>
      </c>
      <c r="O21" s="239"/>
      <c r="P21" s="239"/>
      <c r="Q21" s="239"/>
      <c r="S21" s="253" t="s">
        <v>447</v>
      </c>
      <c r="T21" s="258">
        <v>1040439879.899</v>
      </c>
      <c r="U21" s="258">
        <v>27049</v>
      </c>
      <c r="V21" s="258">
        <v>166</v>
      </c>
      <c r="W21" s="258">
        <v>1306483</v>
      </c>
      <c r="X21" s="258">
        <v>1</v>
      </c>
      <c r="Y21" s="245"/>
      <c r="Z21" s="253" t="s">
        <v>586</v>
      </c>
      <c r="AA21" s="253">
        <v>0</v>
      </c>
      <c r="AB21" s="253">
        <v>0</v>
      </c>
      <c r="AC21" s="253">
        <v>0</v>
      </c>
      <c r="AD21" s="253">
        <v>0</v>
      </c>
      <c r="AE21" s="253">
        <v>0</v>
      </c>
      <c r="AF21" s="253"/>
      <c r="AG21" s="253" t="s">
        <v>586</v>
      </c>
      <c r="AH21" s="253">
        <v>0</v>
      </c>
      <c r="AI21" s="253">
        <v>0</v>
      </c>
      <c r="AJ21" s="253">
        <v>0</v>
      </c>
      <c r="AK21" s="253">
        <v>0</v>
      </c>
      <c r="AL21" s="253">
        <v>0</v>
      </c>
      <c r="AM21" s="245"/>
      <c r="AN21" s="253" t="s">
        <v>584</v>
      </c>
      <c r="AO21" s="253">
        <v>0</v>
      </c>
      <c r="AP21" s="253">
        <v>0</v>
      </c>
      <c r="AQ21" s="253">
        <v>0</v>
      </c>
      <c r="AR21" s="253">
        <v>0</v>
      </c>
      <c r="AS21" s="253">
        <v>0</v>
      </c>
      <c r="AT21" s="245"/>
      <c r="AU21" s="253" t="s">
        <v>586</v>
      </c>
      <c r="AV21" s="253">
        <v>0</v>
      </c>
      <c r="AW21" s="253">
        <v>0</v>
      </c>
      <c r="AX21" s="253">
        <v>0</v>
      </c>
      <c r="AY21" s="253">
        <v>0</v>
      </c>
      <c r="AZ21" s="253">
        <v>0</v>
      </c>
      <c r="BA21" s="245"/>
      <c r="BB21" s="253" t="s">
        <v>584</v>
      </c>
      <c r="BC21" s="253">
        <v>0</v>
      </c>
      <c r="BD21" s="253">
        <v>0</v>
      </c>
      <c r="BE21" s="253">
        <v>0</v>
      </c>
      <c r="BF21" s="253">
        <v>0</v>
      </c>
      <c r="BG21" s="253">
        <v>0</v>
      </c>
      <c r="BH21" s="247" t="s">
        <v>584</v>
      </c>
      <c r="BI21" s="253">
        <v>0</v>
      </c>
      <c r="BJ21" s="253">
        <v>0</v>
      </c>
      <c r="BK21" s="253">
        <v>0</v>
      </c>
      <c r="BL21" s="253">
        <v>0</v>
      </c>
      <c r="BM21" s="253">
        <v>0</v>
      </c>
      <c r="BN21" s="253"/>
      <c r="BO21" s="247"/>
      <c r="BP21" s="263"/>
      <c r="BQ21" s="263"/>
      <c r="BR21" s="263"/>
      <c r="BS21" s="245"/>
      <c r="BT21" s="265" t="s">
        <v>632</v>
      </c>
      <c r="BU21" s="265">
        <v>323</v>
      </c>
      <c r="BV21" s="265">
        <v>6</v>
      </c>
      <c r="BW21" s="265">
        <v>11</v>
      </c>
      <c r="BX21" s="265">
        <v>0</v>
      </c>
      <c r="BY21" s="265">
        <v>2</v>
      </c>
      <c r="BZ21" s="265">
        <v>320</v>
      </c>
      <c r="CA21" s="265">
        <v>266</v>
      </c>
      <c r="CB21" s="265">
        <v>57</v>
      </c>
      <c r="CC21" s="355"/>
      <c r="CD21" s="359">
        <v>3492544435648790</v>
      </c>
      <c r="CE21" s="360">
        <v>5277334852754.4658</v>
      </c>
      <c r="CF21" s="245"/>
      <c r="CG21" s="245"/>
      <c r="CH21" s="245"/>
      <c r="CI21" s="245"/>
      <c r="CJ21" s="245"/>
      <c r="CK21" s="245"/>
      <c r="CL21" s="245"/>
      <c r="CM21" s="245"/>
      <c r="CN21" s="245"/>
      <c r="CO21" s="245"/>
      <c r="CP21" s="245"/>
      <c r="CQ21" s="245"/>
      <c r="CR21" s="247"/>
      <c r="CS21" s="277" t="s">
        <v>660</v>
      </c>
      <c r="CT21" s="275">
        <v>9</v>
      </c>
      <c r="CU21" s="275" t="s">
        <v>658</v>
      </c>
      <c r="CV21" s="275">
        <v>-1224029071.97</v>
      </c>
      <c r="CW21" s="275">
        <v>-1321916000</v>
      </c>
      <c r="CX21" s="275">
        <v>30</v>
      </c>
      <c r="CY21" s="275">
        <v>282039451.44999999</v>
      </c>
      <c r="CZ21" s="275">
        <v>334400000</v>
      </c>
      <c r="DA21" s="275">
        <v>9</v>
      </c>
      <c r="DB21" s="275">
        <v>1506068523.4200001</v>
      </c>
      <c r="DC21" s="275">
        <v>1656316000</v>
      </c>
      <c r="DD21" s="275">
        <v>21</v>
      </c>
    </row>
    <row r="22" spans="1:108" x14ac:dyDescent="0.2">
      <c r="B22" s="187"/>
      <c r="C22" s="187"/>
      <c r="D22" s="187"/>
      <c r="E22" s="209"/>
      <c r="F22" s="209"/>
      <c r="G22" s="209"/>
      <c r="H22" s="209"/>
      <c r="J22" s="152" t="str">
        <f t="shared" si="3"/>
        <v>ASell</v>
      </c>
      <c r="K22" s="234" t="s">
        <v>541</v>
      </c>
      <c r="L22" s="234" t="s">
        <v>544</v>
      </c>
      <c r="M22" s="238">
        <v>164843154044.60498</v>
      </c>
      <c r="O22" s="239"/>
      <c r="P22" s="239"/>
      <c r="Q22" s="239"/>
      <c r="S22" s="253" t="s">
        <v>182</v>
      </c>
      <c r="T22" s="258">
        <v>602042</v>
      </c>
      <c r="U22" s="258">
        <v>16500</v>
      </c>
      <c r="V22" s="258">
        <v>5</v>
      </c>
      <c r="W22" s="258">
        <v>1880974</v>
      </c>
      <c r="X22" s="258">
        <v>1</v>
      </c>
      <c r="Y22" s="245"/>
      <c r="Z22" s="253" t="s">
        <v>587</v>
      </c>
      <c r="AA22" s="253">
        <v>41218993.799999997</v>
      </c>
      <c r="AB22" s="253">
        <v>4165</v>
      </c>
      <c r="AC22" s="253">
        <v>123</v>
      </c>
      <c r="AD22" s="253">
        <v>107399</v>
      </c>
      <c r="AE22" s="253">
        <v>0</v>
      </c>
      <c r="AF22" s="253"/>
      <c r="AG22" s="253" t="s">
        <v>587</v>
      </c>
      <c r="AH22" s="253">
        <v>6165</v>
      </c>
      <c r="AI22" s="253">
        <v>1</v>
      </c>
      <c r="AJ22" s="253">
        <v>1</v>
      </c>
      <c r="AK22" s="253">
        <v>4388</v>
      </c>
      <c r="AL22" s="253">
        <v>0</v>
      </c>
      <c r="AM22" s="245"/>
      <c r="AN22" s="253" t="s">
        <v>585</v>
      </c>
      <c r="AO22" s="253">
        <v>0</v>
      </c>
      <c r="AP22" s="253">
        <v>0</v>
      </c>
      <c r="AQ22" s="253">
        <v>0</v>
      </c>
      <c r="AR22" s="253">
        <v>0</v>
      </c>
      <c r="AS22" s="253">
        <v>0</v>
      </c>
      <c r="AT22" s="245"/>
      <c r="AU22" s="253" t="s">
        <v>587</v>
      </c>
      <c r="AV22" s="253">
        <v>88425</v>
      </c>
      <c r="AW22" s="253">
        <v>6</v>
      </c>
      <c r="AX22" s="253">
        <v>2</v>
      </c>
      <c r="AY22" s="253">
        <v>4327</v>
      </c>
      <c r="AZ22" s="253">
        <v>0</v>
      </c>
      <c r="BA22" s="245"/>
      <c r="BB22" s="253" t="s">
        <v>585</v>
      </c>
      <c r="BC22" s="253">
        <v>0</v>
      </c>
      <c r="BD22" s="253">
        <v>0</v>
      </c>
      <c r="BE22" s="253">
        <v>0</v>
      </c>
      <c r="BF22" s="253">
        <v>0</v>
      </c>
      <c r="BG22" s="253">
        <v>0</v>
      </c>
      <c r="BH22" s="247" t="s">
        <v>585</v>
      </c>
      <c r="BI22" s="253">
        <v>0</v>
      </c>
      <c r="BJ22" s="253">
        <v>0</v>
      </c>
      <c r="BK22" s="253">
        <v>0</v>
      </c>
      <c r="BL22" s="253">
        <v>0</v>
      </c>
      <c r="BM22" s="253">
        <v>0</v>
      </c>
      <c r="BN22" s="253"/>
      <c r="BO22" s="256" t="s">
        <v>483</v>
      </c>
      <c r="BP22" s="264" t="s">
        <v>537</v>
      </c>
      <c r="BQ22" s="264" t="s">
        <v>562</v>
      </c>
      <c r="BR22" s="264" t="s">
        <v>563</v>
      </c>
      <c r="BS22" s="245"/>
      <c r="BT22" s="245" t="s">
        <v>633</v>
      </c>
      <c r="BU22" s="265">
        <v>1</v>
      </c>
      <c r="BV22" s="245">
        <v>0</v>
      </c>
      <c r="BW22" s="245">
        <v>0</v>
      </c>
      <c r="BX22" s="245">
        <v>1</v>
      </c>
      <c r="BY22" s="245">
        <v>0</v>
      </c>
      <c r="BZ22" s="245">
        <v>0</v>
      </c>
      <c r="CA22" s="245">
        <v>1</v>
      </c>
      <c r="CB22" s="245">
        <v>0</v>
      </c>
      <c r="CC22" s="245"/>
      <c r="CD22" s="245"/>
      <c r="CE22" s="245"/>
      <c r="CF22" s="245"/>
      <c r="CG22" s="245"/>
      <c r="CH22" s="245"/>
      <c r="CI22" s="245"/>
      <c r="CJ22" s="245"/>
      <c r="CK22" s="245"/>
      <c r="CL22" s="245"/>
      <c r="CM22" s="245"/>
      <c r="CN22" s="245"/>
      <c r="CO22" s="245"/>
      <c r="CP22" s="245"/>
      <c r="CQ22" s="245"/>
      <c r="CR22" s="245"/>
      <c r="CS22" s="245"/>
      <c r="CT22" s="245"/>
      <c r="CU22" s="245"/>
      <c r="CV22" s="245"/>
      <c r="CW22" s="245"/>
      <c r="CX22" s="245"/>
      <c r="CY22" s="245"/>
      <c r="CZ22" s="245"/>
      <c r="DA22" s="245"/>
      <c r="DB22" s="245"/>
      <c r="DC22" s="245"/>
      <c r="DD22" s="245"/>
    </row>
    <row r="23" spans="1:108" x14ac:dyDescent="0.2">
      <c r="A23" s="163" t="s">
        <v>202</v>
      </c>
      <c r="B23" s="191" t="s">
        <v>226</v>
      </c>
      <c r="C23" s="192" t="s">
        <v>227</v>
      </c>
      <c r="D23" s="191" t="s">
        <v>228</v>
      </c>
      <c r="E23" s="224" t="s">
        <v>551</v>
      </c>
      <c r="F23" s="227" t="s">
        <v>444</v>
      </c>
      <c r="G23" s="224" t="s">
        <v>226</v>
      </c>
      <c r="H23" s="224" t="s">
        <v>545</v>
      </c>
      <c r="I23" s="165"/>
      <c r="J23" s="152" t="str">
        <f>K23&amp;L23</f>
        <v>PSell</v>
      </c>
      <c r="K23" s="234" t="s">
        <v>543</v>
      </c>
      <c r="L23" s="234" t="s">
        <v>544</v>
      </c>
      <c r="M23" s="238">
        <v>178093251622.12</v>
      </c>
      <c r="N23" s="163" t="s">
        <v>445</v>
      </c>
      <c r="O23" s="242" t="s">
        <v>226</v>
      </c>
      <c r="P23" s="242" t="s">
        <v>545</v>
      </c>
      <c r="Q23" s="239"/>
      <c r="S23" s="253" t="s">
        <v>449</v>
      </c>
      <c r="T23" s="258">
        <v>0</v>
      </c>
      <c r="U23" s="258">
        <v>0</v>
      </c>
      <c r="V23" s="258">
        <v>0</v>
      </c>
      <c r="W23" s="258">
        <v>0</v>
      </c>
      <c r="X23" s="258">
        <v>0</v>
      </c>
      <c r="Y23" s="245"/>
      <c r="Z23" s="253" t="s">
        <v>588</v>
      </c>
      <c r="AA23" s="253">
        <v>9224790.1999999993</v>
      </c>
      <c r="AB23" s="253">
        <v>1482</v>
      </c>
      <c r="AC23" s="253">
        <v>68</v>
      </c>
      <c r="AD23" s="253">
        <v>54205</v>
      </c>
      <c r="AE23" s="253">
        <v>0</v>
      </c>
      <c r="AF23" s="253"/>
      <c r="AG23" s="253" t="s">
        <v>588</v>
      </c>
      <c r="AH23" s="253">
        <v>0</v>
      </c>
      <c r="AI23" s="253">
        <v>0</v>
      </c>
      <c r="AJ23" s="253">
        <v>0</v>
      </c>
      <c r="AK23" s="253">
        <v>2588</v>
      </c>
      <c r="AL23" s="253">
        <v>0</v>
      </c>
      <c r="AM23" s="245"/>
      <c r="AN23" s="253" t="s">
        <v>586</v>
      </c>
      <c r="AO23" s="253">
        <v>0</v>
      </c>
      <c r="AP23" s="253">
        <v>0</v>
      </c>
      <c r="AQ23" s="253">
        <v>0</v>
      </c>
      <c r="AR23" s="253">
        <v>0</v>
      </c>
      <c r="AS23" s="253">
        <v>0</v>
      </c>
      <c r="AT23" s="245"/>
      <c r="AU23" s="253" t="s">
        <v>588</v>
      </c>
      <c r="AV23" s="253">
        <v>88289.8</v>
      </c>
      <c r="AW23" s="253">
        <v>10</v>
      </c>
      <c r="AX23" s="253">
        <v>1</v>
      </c>
      <c r="AY23" s="253">
        <v>2434</v>
      </c>
      <c r="AZ23" s="253">
        <v>0</v>
      </c>
      <c r="BA23" s="245"/>
      <c r="BB23" s="253" t="s">
        <v>586</v>
      </c>
      <c r="BC23" s="253">
        <v>0</v>
      </c>
      <c r="BD23" s="253">
        <v>0</v>
      </c>
      <c r="BE23" s="253">
        <v>0</v>
      </c>
      <c r="BF23" s="253">
        <v>0</v>
      </c>
      <c r="BG23" s="253">
        <v>0</v>
      </c>
      <c r="BH23" s="247" t="s">
        <v>586</v>
      </c>
      <c r="BI23" s="253">
        <v>0</v>
      </c>
      <c r="BJ23" s="253">
        <v>0</v>
      </c>
      <c r="BK23" s="253">
        <v>0</v>
      </c>
      <c r="BL23" s="253">
        <v>0</v>
      </c>
      <c r="BM23" s="253">
        <v>0</v>
      </c>
      <c r="BN23" s="253"/>
      <c r="BO23" s="247"/>
      <c r="BP23" s="263">
        <v>5519166995.4200001</v>
      </c>
      <c r="BQ23" s="263">
        <v>63882</v>
      </c>
      <c r="BR23" s="263">
        <v>260</v>
      </c>
      <c r="BS23" s="245"/>
      <c r="BT23" s="245"/>
      <c r="BU23" s="245"/>
      <c r="BV23" s="245"/>
      <c r="BW23" s="245"/>
      <c r="BX23" s="245"/>
      <c r="BY23" s="245"/>
      <c r="BZ23" s="245"/>
      <c r="CA23" s="245"/>
      <c r="CB23" s="245"/>
      <c r="CC23" s="245"/>
      <c r="CD23" s="245"/>
      <c r="CE23" s="245"/>
      <c r="CF23" s="245"/>
      <c r="CG23" s="245"/>
      <c r="CH23" s="245"/>
      <c r="CI23" s="245"/>
      <c r="CJ23" s="245"/>
      <c r="CK23" s="245"/>
      <c r="CL23" s="245"/>
      <c r="CM23" s="245"/>
      <c r="CN23" s="245"/>
      <c r="CO23" s="245"/>
      <c r="CP23" s="245"/>
      <c r="CQ23" s="245"/>
      <c r="CR23" s="245"/>
      <c r="CS23" s="245"/>
      <c r="CT23" s="245"/>
      <c r="CU23" s="245"/>
      <c r="CV23" s="245"/>
      <c r="CW23" s="245"/>
      <c r="CX23" s="245"/>
      <c r="CY23" s="245"/>
      <c r="CZ23" s="245"/>
      <c r="DA23" s="245"/>
      <c r="DB23" s="245"/>
      <c r="DC23" s="245"/>
      <c r="DD23" s="245"/>
    </row>
    <row r="24" spans="1:108" x14ac:dyDescent="0.2">
      <c r="B24" s="190" t="s">
        <v>230</v>
      </c>
      <c r="C24" s="193">
        <v>38713</v>
      </c>
      <c r="D24" s="190">
        <v>17296.830000000002</v>
      </c>
      <c r="E24" s="223">
        <v>1</v>
      </c>
      <c r="F24" s="209"/>
      <c r="G24" s="223" t="s">
        <v>271</v>
      </c>
      <c r="H24" s="223">
        <v>10629.43618246</v>
      </c>
      <c r="I24" s="164"/>
      <c r="K24" s="231"/>
      <c r="L24" s="228"/>
      <c r="M24" s="228"/>
      <c r="O24" s="241" t="s">
        <v>271</v>
      </c>
      <c r="P24" s="241">
        <v>10183.89138682</v>
      </c>
      <c r="Q24" s="239"/>
      <c r="S24" s="253" t="s">
        <v>446</v>
      </c>
      <c r="T24" s="258">
        <v>14661909410.5224</v>
      </c>
      <c r="U24" s="258">
        <v>44612</v>
      </c>
      <c r="V24" s="258">
        <v>12493</v>
      </c>
      <c r="W24" s="258">
        <v>828932</v>
      </c>
      <c r="X24" s="258">
        <v>1</v>
      </c>
      <c r="Y24" s="245"/>
      <c r="Z24" s="253" t="s">
        <v>589</v>
      </c>
      <c r="AA24" s="253">
        <v>16633149560.99999</v>
      </c>
      <c r="AB24" s="253">
        <v>87779</v>
      </c>
      <c r="AC24" s="253">
        <v>11878</v>
      </c>
      <c r="AD24" s="253">
        <v>854121</v>
      </c>
      <c r="AE24" s="253">
        <v>1</v>
      </c>
      <c r="AF24" s="253"/>
      <c r="AG24" s="253" t="s">
        <v>589</v>
      </c>
      <c r="AH24" s="253">
        <v>693579380.89999998</v>
      </c>
      <c r="AI24" s="253">
        <v>3734</v>
      </c>
      <c r="AJ24" s="253">
        <v>508</v>
      </c>
      <c r="AK24" s="253">
        <v>39391</v>
      </c>
      <c r="AL24" s="253">
        <v>1</v>
      </c>
      <c r="AM24" s="245"/>
      <c r="AN24" s="253" t="s">
        <v>587</v>
      </c>
      <c r="AO24" s="253">
        <v>27958234.859999999</v>
      </c>
      <c r="AP24" s="253">
        <v>3109</v>
      </c>
      <c r="AQ24" s="253">
        <v>159</v>
      </c>
      <c r="AR24" s="253">
        <v>84078</v>
      </c>
      <c r="AS24" s="253">
        <v>0</v>
      </c>
      <c r="AT24" s="245"/>
      <c r="AU24" s="253" t="s">
        <v>589</v>
      </c>
      <c r="AV24" s="253">
        <v>506269160.88</v>
      </c>
      <c r="AW24" s="253">
        <v>2690</v>
      </c>
      <c r="AX24" s="253">
        <v>445</v>
      </c>
      <c r="AY24" s="253">
        <v>37183</v>
      </c>
      <c r="AZ24" s="253">
        <v>1</v>
      </c>
      <c r="BA24" s="245"/>
      <c r="BB24" s="253" t="s">
        <v>587</v>
      </c>
      <c r="BC24" s="253">
        <v>32401594.940000001</v>
      </c>
      <c r="BD24" s="253">
        <v>1697</v>
      </c>
      <c r="BE24" s="253">
        <v>107</v>
      </c>
      <c r="BF24" s="253">
        <v>62104</v>
      </c>
      <c r="BG24" s="253">
        <v>0</v>
      </c>
      <c r="BH24" s="247" t="s">
        <v>587</v>
      </c>
      <c r="BI24" s="253">
        <v>0</v>
      </c>
      <c r="BJ24" s="253">
        <v>0</v>
      </c>
      <c r="BK24" s="253">
        <v>0</v>
      </c>
      <c r="BL24" s="253">
        <v>2800</v>
      </c>
      <c r="BM24" s="253">
        <v>0</v>
      </c>
      <c r="BN24" s="253"/>
      <c r="BO24" s="247"/>
      <c r="BP24" s="263"/>
      <c r="BQ24" s="263"/>
      <c r="BR24" s="263"/>
      <c r="BS24" s="245"/>
      <c r="BT24" s="245"/>
      <c r="BU24" s="245"/>
      <c r="BV24" s="245"/>
      <c r="BW24" s="245"/>
      <c r="BX24" s="245"/>
      <c r="BY24" s="245"/>
      <c r="BZ24" s="245"/>
      <c r="CA24" s="245"/>
      <c r="CB24" s="245"/>
      <c r="CC24" s="245"/>
      <c r="CD24" s="245"/>
      <c r="CE24" s="245"/>
      <c r="CF24" s="245"/>
      <c r="CG24" s="245"/>
      <c r="CH24" s="245"/>
      <c r="CI24" s="245"/>
      <c r="CJ24" s="245"/>
      <c r="CK24" s="245"/>
      <c r="CL24" s="245"/>
      <c r="CM24" s="245"/>
      <c r="CN24" s="245"/>
      <c r="CO24" s="245"/>
      <c r="CP24" s="245"/>
      <c r="CQ24" s="245"/>
      <c r="CR24" s="245"/>
      <c r="CS24" s="245"/>
      <c r="CT24" s="245"/>
      <c r="CU24" s="245"/>
      <c r="CV24" s="245"/>
      <c r="CW24" s="245"/>
      <c r="CX24" s="245"/>
      <c r="CY24" s="245"/>
      <c r="CZ24" s="245"/>
      <c r="DA24" s="245"/>
      <c r="DB24" s="245"/>
      <c r="DC24" s="245"/>
      <c r="DD24" s="245"/>
    </row>
    <row r="25" spans="1:108" x14ac:dyDescent="0.2">
      <c r="B25" s="190" t="s">
        <v>231</v>
      </c>
      <c r="C25" s="193">
        <v>38713</v>
      </c>
      <c r="D25" s="190">
        <v>20229.37</v>
      </c>
      <c r="E25" s="223">
        <v>1</v>
      </c>
      <c r="F25" s="209"/>
      <c r="G25" s="223" t="s">
        <v>272</v>
      </c>
      <c r="H25" s="223">
        <v>10986.124489809999</v>
      </c>
      <c r="I25" s="164"/>
      <c r="K25" s="231"/>
      <c r="L25" s="228"/>
      <c r="M25" s="228"/>
      <c r="O25" s="241" t="s">
        <v>272</v>
      </c>
      <c r="P25" s="241">
        <v>10742.315287879999</v>
      </c>
      <c r="Q25" s="239"/>
      <c r="S25" s="253" t="s">
        <v>451</v>
      </c>
      <c r="T25" s="258">
        <v>0</v>
      </c>
      <c r="U25" s="258">
        <v>0</v>
      </c>
      <c r="V25" s="258">
        <v>0</v>
      </c>
      <c r="W25" s="258">
        <v>301241</v>
      </c>
      <c r="X25" s="258">
        <v>1</v>
      </c>
      <c r="Y25" s="245"/>
      <c r="Z25" s="253" t="s">
        <v>590</v>
      </c>
      <c r="AA25" s="253">
        <v>0</v>
      </c>
      <c r="AB25" s="253">
        <v>0</v>
      </c>
      <c r="AC25" s="253">
        <v>0</v>
      </c>
      <c r="AD25" s="253">
        <v>0</v>
      </c>
      <c r="AE25" s="253">
        <v>0</v>
      </c>
      <c r="AF25" s="253"/>
      <c r="AG25" s="253" t="s">
        <v>590</v>
      </c>
      <c r="AH25" s="253">
        <v>0</v>
      </c>
      <c r="AI25" s="253">
        <v>0</v>
      </c>
      <c r="AJ25" s="253">
        <v>0</v>
      </c>
      <c r="AK25" s="253">
        <v>0</v>
      </c>
      <c r="AL25" s="253">
        <v>0</v>
      </c>
      <c r="AM25" s="245"/>
      <c r="AN25" s="253" t="s">
        <v>588</v>
      </c>
      <c r="AO25" s="253">
        <v>12883337.57</v>
      </c>
      <c r="AP25" s="253">
        <v>1767</v>
      </c>
      <c r="AQ25" s="253">
        <v>57</v>
      </c>
      <c r="AR25" s="253">
        <v>39826</v>
      </c>
      <c r="AS25" s="253">
        <v>0</v>
      </c>
      <c r="AT25" s="245"/>
      <c r="AU25" s="253" t="s">
        <v>590</v>
      </c>
      <c r="AV25" s="253">
        <v>0</v>
      </c>
      <c r="AW25" s="253">
        <v>0</v>
      </c>
      <c r="AX25" s="253">
        <v>0</v>
      </c>
      <c r="AY25" s="253">
        <v>0</v>
      </c>
      <c r="AZ25" s="253">
        <v>0</v>
      </c>
      <c r="BA25" s="245"/>
      <c r="BB25" s="253" t="s">
        <v>588</v>
      </c>
      <c r="BC25" s="253">
        <v>8356053.7999999998</v>
      </c>
      <c r="BD25" s="253">
        <v>1574</v>
      </c>
      <c r="BE25" s="253">
        <v>62</v>
      </c>
      <c r="BF25" s="253">
        <v>68483</v>
      </c>
      <c r="BG25" s="253">
        <v>0</v>
      </c>
      <c r="BH25" s="247" t="s">
        <v>588</v>
      </c>
      <c r="BI25" s="253">
        <v>0</v>
      </c>
      <c r="BJ25" s="253">
        <v>0</v>
      </c>
      <c r="BK25" s="253">
        <v>0</v>
      </c>
      <c r="BL25" s="253">
        <v>3766</v>
      </c>
      <c r="BM25" s="253">
        <v>0</v>
      </c>
      <c r="BN25" s="253"/>
      <c r="BO25" s="256" t="s">
        <v>486</v>
      </c>
      <c r="BP25" s="264" t="s">
        <v>564</v>
      </c>
      <c r="BQ25" s="263"/>
      <c r="BR25" s="263"/>
      <c r="BS25" s="245"/>
      <c r="BT25" s="245"/>
      <c r="BU25" s="263"/>
      <c r="BV25" s="245"/>
      <c r="BW25" s="245"/>
      <c r="BX25" s="245"/>
      <c r="BY25" s="245"/>
      <c r="BZ25" s="245"/>
      <c r="CA25" s="245"/>
      <c r="CB25" s="245"/>
      <c r="CC25" s="245"/>
      <c r="CD25" s="245"/>
      <c r="CE25" s="245"/>
      <c r="CF25" s="245"/>
      <c r="CG25" s="245"/>
      <c r="CH25" s="245"/>
      <c r="CI25" s="245"/>
      <c r="CJ25" s="245"/>
      <c r="CK25" s="245"/>
      <c r="CL25" s="245"/>
      <c r="CM25" s="245"/>
      <c r="CN25" s="245"/>
      <c r="CO25" s="245"/>
      <c r="CP25" s="245"/>
      <c r="CQ25" s="245"/>
      <c r="CR25" s="245"/>
      <c r="CS25" s="245"/>
      <c r="CT25" s="245"/>
      <c r="CU25" s="245"/>
      <c r="CV25" s="245"/>
      <c r="CW25" s="245"/>
      <c r="CX25" s="245"/>
      <c r="CY25" s="245"/>
      <c r="CZ25" s="245"/>
      <c r="DA25" s="245"/>
      <c r="DB25" s="245"/>
      <c r="DC25" s="245"/>
      <c r="DD25" s="245"/>
    </row>
    <row r="26" spans="1:108" x14ac:dyDescent="0.2">
      <c r="B26" s="190" t="s">
        <v>232</v>
      </c>
      <c r="C26" s="193">
        <v>38628</v>
      </c>
      <c r="D26" s="190">
        <v>10207.67</v>
      </c>
      <c r="E26" s="223">
        <v>1</v>
      </c>
      <c r="F26" s="209"/>
      <c r="G26" s="223" t="s">
        <v>273</v>
      </c>
      <c r="H26" s="223">
        <v>20218.714550429999</v>
      </c>
      <c r="I26" s="164"/>
      <c r="J26" s="157"/>
      <c r="K26" s="232"/>
      <c r="L26" s="228"/>
      <c r="M26" s="228"/>
      <c r="O26" s="241" t="s">
        <v>273</v>
      </c>
      <c r="P26" s="241">
        <v>20379.291403560001</v>
      </c>
      <c r="Q26" s="239"/>
      <c r="S26" s="253" t="s">
        <v>450</v>
      </c>
      <c r="T26" s="258">
        <v>0</v>
      </c>
      <c r="U26" s="258">
        <v>409</v>
      </c>
      <c r="V26" s="258">
        <v>1</v>
      </c>
      <c r="W26" s="258">
        <v>11899416</v>
      </c>
      <c r="X26" s="258">
        <v>1</v>
      </c>
      <c r="Y26" s="245"/>
      <c r="Z26" s="253" t="s">
        <v>591</v>
      </c>
      <c r="AA26" s="253">
        <v>0</v>
      </c>
      <c r="AB26" s="253">
        <v>0</v>
      </c>
      <c r="AC26" s="253">
        <v>0</v>
      </c>
      <c r="AD26" s="253">
        <v>0</v>
      </c>
      <c r="AE26" s="253">
        <v>0</v>
      </c>
      <c r="AF26" s="253"/>
      <c r="AG26" s="253" t="s">
        <v>591</v>
      </c>
      <c r="AH26" s="253">
        <v>0</v>
      </c>
      <c r="AI26" s="253">
        <v>0</v>
      </c>
      <c r="AJ26" s="253">
        <v>0</v>
      </c>
      <c r="AK26" s="253">
        <v>0</v>
      </c>
      <c r="AL26" s="253">
        <v>0</v>
      </c>
      <c r="AM26" s="245"/>
      <c r="AN26" s="253" t="s">
        <v>589</v>
      </c>
      <c r="AO26" s="253">
        <v>19546766026.339989</v>
      </c>
      <c r="AP26" s="253">
        <v>102056</v>
      </c>
      <c r="AQ26" s="253">
        <v>15861</v>
      </c>
      <c r="AR26" s="253">
        <v>746197</v>
      </c>
      <c r="AS26" s="253">
        <v>1</v>
      </c>
      <c r="AT26" s="245"/>
      <c r="AU26" s="253" t="s">
        <v>591</v>
      </c>
      <c r="AV26" s="253">
        <v>0</v>
      </c>
      <c r="AW26" s="253">
        <v>0</v>
      </c>
      <c r="AX26" s="253">
        <v>0</v>
      </c>
      <c r="AY26" s="253">
        <v>0</v>
      </c>
      <c r="AZ26" s="253">
        <v>0</v>
      </c>
      <c r="BA26" s="245"/>
      <c r="BB26" s="253" t="s">
        <v>589</v>
      </c>
      <c r="BC26" s="253">
        <v>37598419920.220001</v>
      </c>
      <c r="BD26" s="253">
        <v>91840</v>
      </c>
      <c r="BE26" s="253">
        <v>14422</v>
      </c>
      <c r="BF26" s="253">
        <v>481324</v>
      </c>
      <c r="BG26" s="253">
        <v>1</v>
      </c>
      <c r="BH26" s="247" t="s">
        <v>589</v>
      </c>
      <c r="BI26" s="253">
        <v>1852696493.46</v>
      </c>
      <c r="BJ26" s="253">
        <v>4563</v>
      </c>
      <c r="BK26" s="253">
        <v>676</v>
      </c>
      <c r="BL26" s="253">
        <v>22822</v>
      </c>
      <c r="BM26" s="253">
        <v>1</v>
      </c>
      <c r="BN26" s="253"/>
      <c r="BO26" s="247"/>
      <c r="BP26" s="263">
        <v>982329</v>
      </c>
      <c r="BQ26" s="263"/>
      <c r="BR26" s="263"/>
      <c r="BS26" s="245"/>
      <c r="BT26" s="245"/>
      <c r="BU26" s="245"/>
      <c r="BV26" s="245"/>
      <c r="BW26" s="245"/>
      <c r="BX26" s="245"/>
      <c r="BY26" s="245"/>
      <c r="BZ26" s="245"/>
      <c r="CA26" s="245"/>
      <c r="CB26" s="245"/>
      <c r="CC26" s="245"/>
      <c r="CD26" s="245"/>
      <c r="CE26" s="245"/>
      <c r="CF26" s="245"/>
      <c r="CG26" s="245"/>
      <c r="CH26" s="245"/>
      <c r="CI26" s="245"/>
      <c r="CJ26" s="245"/>
      <c r="CK26" s="245"/>
      <c r="CL26" s="245"/>
      <c r="CM26" s="245"/>
      <c r="CN26" s="245"/>
      <c r="CO26" s="245"/>
      <c r="CP26" s="245"/>
      <c r="CQ26" s="245"/>
      <c r="CR26" s="245"/>
      <c r="CS26" s="245"/>
      <c r="CT26" s="245"/>
      <c r="CU26" s="245"/>
      <c r="CV26" s="245"/>
      <c r="CW26" s="245"/>
      <c r="CX26" s="245"/>
      <c r="CY26" s="245"/>
      <c r="CZ26" s="245"/>
      <c r="DA26" s="245"/>
      <c r="DB26" s="245"/>
      <c r="DC26" s="245"/>
      <c r="DD26" s="245"/>
    </row>
    <row r="27" spans="1:108" x14ac:dyDescent="0.2">
      <c r="B27" s="190" t="s">
        <v>233</v>
      </c>
      <c r="C27" s="193">
        <v>38713</v>
      </c>
      <c r="D27" s="190">
        <v>17257.37</v>
      </c>
      <c r="E27" s="223">
        <v>1</v>
      </c>
      <c r="F27" s="209"/>
      <c r="G27" s="223" t="s">
        <v>274</v>
      </c>
      <c r="H27" s="223">
        <v>3187.6251511800001</v>
      </c>
      <c r="I27" s="164"/>
      <c r="J27" s="157"/>
      <c r="K27" s="231"/>
      <c r="L27" s="228"/>
      <c r="M27" s="228"/>
      <c r="O27" s="241" t="s">
        <v>274</v>
      </c>
      <c r="P27" s="241">
        <v>3097.6921577600001</v>
      </c>
      <c r="Q27" s="239"/>
      <c r="S27" s="253" t="s">
        <v>448</v>
      </c>
      <c r="T27" s="258">
        <v>0</v>
      </c>
      <c r="U27" s="258">
        <v>8454</v>
      </c>
      <c r="V27" s="258">
        <v>139</v>
      </c>
      <c r="W27" s="258">
        <v>961654</v>
      </c>
      <c r="X27" s="258">
        <v>1</v>
      </c>
      <c r="Y27" s="245"/>
      <c r="Z27" s="253" t="s">
        <v>592</v>
      </c>
      <c r="AA27" s="253">
        <v>0</v>
      </c>
      <c r="AB27" s="253">
        <v>0</v>
      </c>
      <c r="AC27" s="253">
        <v>0</v>
      </c>
      <c r="AD27" s="253">
        <v>0</v>
      </c>
      <c r="AE27" s="253">
        <v>0</v>
      </c>
      <c r="AF27" s="253"/>
      <c r="AG27" s="253" t="s">
        <v>592</v>
      </c>
      <c r="AH27" s="253">
        <v>0</v>
      </c>
      <c r="AI27" s="253">
        <v>0</v>
      </c>
      <c r="AJ27" s="253">
        <v>0</v>
      </c>
      <c r="AK27" s="253">
        <v>0</v>
      </c>
      <c r="AL27" s="253">
        <v>0</v>
      </c>
      <c r="AM27" s="245"/>
      <c r="AN27" s="253" t="s">
        <v>590</v>
      </c>
      <c r="AO27" s="253">
        <v>0</v>
      </c>
      <c r="AP27" s="253">
        <v>0</v>
      </c>
      <c r="AQ27" s="253">
        <v>0</v>
      </c>
      <c r="AR27" s="253">
        <v>0</v>
      </c>
      <c r="AS27" s="253">
        <v>0</v>
      </c>
      <c r="AT27" s="245"/>
      <c r="AU27" s="253" t="s">
        <v>592</v>
      </c>
      <c r="AV27" s="253">
        <v>0</v>
      </c>
      <c r="AW27" s="253">
        <v>0</v>
      </c>
      <c r="AX27" s="253">
        <v>0</v>
      </c>
      <c r="AY27" s="253">
        <v>0</v>
      </c>
      <c r="AZ27" s="253">
        <v>0</v>
      </c>
      <c r="BA27" s="245"/>
      <c r="BB27" s="253" t="s">
        <v>590</v>
      </c>
      <c r="BC27" s="253">
        <v>0</v>
      </c>
      <c r="BD27" s="253">
        <v>0</v>
      </c>
      <c r="BE27" s="253">
        <v>0</v>
      </c>
      <c r="BF27" s="253">
        <v>0</v>
      </c>
      <c r="BG27" s="253">
        <v>0</v>
      </c>
      <c r="BH27" s="247" t="s">
        <v>590</v>
      </c>
      <c r="BI27" s="253">
        <v>0</v>
      </c>
      <c r="BJ27" s="253">
        <v>0</v>
      </c>
      <c r="BK27" s="253">
        <v>0</v>
      </c>
      <c r="BL27" s="253">
        <v>0</v>
      </c>
      <c r="BM27" s="253">
        <v>0</v>
      </c>
      <c r="BN27" s="253"/>
      <c r="BO27" s="247"/>
      <c r="BP27" s="263"/>
      <c r="BQ27" s="263"/>
      <c r="BR27" s="263"/>
      <c r="BS27" s="245"/>
      <c r="BT27" s="245"/>
      <c r="BU27" s="245"/>
      <c r="BV27" s="245"/>
      <c r="BW27" s="245"/>
      <c r="BX27" s="245"/>
      <c r="BY27" s="245"/>
      <c r="BZ27" s="245"/>
      <c r="CA27" s="245"/>
      <c r="CB27" s="245"/>
      <c r="CC27" s="245"/>
      <c r="CD27" s="245"/>
      <c r="CE27" s="245"/>
      <c r="CF27" s="245"/>
      <c r="CG27" s="245"/>
      <c r="CH27" s="245"/>
      <c r="CI27" s="245"/>
      <c r="CJ27" s="245"/>
      <c r="CK27" s="245"/>
      <c r="CL27" s="245"/>
      <c r="CM27" s="245"/>
      <c r="CN27" s="245"/>
      <c r="CO27" s="245"/>
      <c r="CP27" s="245"/>
      <c r="CQ27" s="245"/>
      <c r="CR27" s="267" t="s">
        <v>520</v>
      </c>
      <c r="CS27" s="276" t="s">
        <v>640</v>
      </c>
      <c r="CT27" s="275" t="s">
        <v>641</v>
      </c>
      <c r="CU27" s="275" t="s">
        <v>642</v>
      </c>
      <c r="CV27" s="275" t="s">
        <v>643</v>
      </c>
      <c r="CW27" s="275" t="s">
        <v>644</v>
      </c>
      <c r="CX27" s="275" t="s">
        <v>645</v>
      </c>
      <c r="CY27" s="275" t="s">
        <v>646</v>
      </c>
      <c r="CZ27" s="275" t="s">
        <v>647</v>
      </c>
      <c r="DA27" s="275" t="s">
        <v>648</v>
      </c>
      <c r="DB27" s="275" t="s">
        <v>649</v>
      </c>
      <c r="DC27" s="275" t="s">
        <v>650</v>
      </c>
      <c r="DD27" s="275" t="s">
        <v>651</v>
      </c>
    </row>
    <row r="28" spans="1:108" ht="15" x14ac:dyDescent="0.25">
      <c r="B28" s="190" t="s">
        <v>234</v>
      </c>
      <c r="C28" s="193">
        <v>38716</v>
      </c>
      <c r="D28" s="190">
        <v>10070.700000000001</v>
      </c>
      <c r="E28" s="223">
        <v>1</v>
      </c>
      <c r="F28" s="209"/>
      <c r="G28" s="223" t="s">
        <v>275</v>
      </c>
      <c r="H28" s="223">
        <v>3448.1309530100002</v>
      </c>
      <c r="I28" s="164"/>
      <c r="J28" s="157"/>
      <c r="K28" s="231"/>
      <c r="L28" s="233"/>
      <c r="M28" s="236"/>
      <c r="O28" s="241" t="s">
        <v>275</v>
      </c>
      <c r="P28" s="241">
        <v>3361.6019257600001</v>
      </c>
      <c r="Q28" s="239"/>
      <c r="S28" s="245"/>
      <c r="T28" s="245"/>
      <c r="U28" s="245"/>
      <c r="V28" s="245"/>
      <c r="W28" s="245"/>
      <c r="X28" s="245"/>
      <c r="Y28" s="245"/>
      <c r="Z28" s="253" t="s">
        <v>593</v>
      </c>
      <c r="AA28" s="253">
        <v>2803700</v>
      </c>
      <c r="AB28" s="253">
        <v>11</v>
      </c>
      <c r="AC28" s="253">
        <v>4</v>
      </c>
      <c r="AD28" s="253">
        <v>229</v>
      </c>
      <c r="AE28" s="253">
        <v>1</v>
      </c>
      <c r="AF28" s="253"/>
      <c r="AG28" s="253" t="s">
        <v>593</v>
      </c>
      <c r="AH28" s="253">
        <v>0</v>
      </c>
      <c r="AI28" s="253">
        <v>0</v>
      </c>
      <c r="AJ28" s="253">
        <v>0</v>
      </c>
      <c r="AK28" s="253">
        <v>14</v>
      </c>
      <c r="AL28" s="253">
        <v>1</v>
      </c>
      <c r="AM28" s="245"/>
      <c r="AN28" s="253" t="s">
        <v>591</v>
      </c>
      <c r="AO28" s="253">
        <v>0</v>
      </c>
      <c r="AP28" s="253">
        <v>0</v>
      </c>
      <c r="AQ28" s="253">
        <v>0</v>
      </c>
      <c r="AR28" s="253">
        <v>0</v>
      </c>
      <c r="AS28" s="253">
        <v>0</v>
      </c>
      <c r="AT28" s="245"/>
      <c r="AU28" s="253" t="s">
        <v>593</v>
      </c>
      <c r="AV28" s="253">
        <v>0</v>
      </c>
      <c r="AW28" s="253">
        <v>0</v>
      </c>
      <c r="AX28" s="253">
        <v>0</v>
      </c>
      <c r="AY28" s="253">
        <v>9</v>
      </c>
      <c r="AZ28" s="253">
        <v>1</v>
      </c>
      <c r="BA28" s="245"/>
      <c r="BB28" s="253" t="s">
        <v>591</v>
      </c>
      <c r="BC28" s="253">
        <v>0</v>
      </c>
      <c r="BD28" s="253">
        <v>0</v>
      </c>
      <c r="BE28" s="253">
        <v>0</v>
      </c>
      <c r="BF28" s="253">
        <v>0</v>
      </c>
      <c r="BG28" s="253">
        <v>0</v>
      </c>
      <c r="BH28" s="247" t="s">
        <v>591</v>
      </c>
      <c r="BI28" s="253">
        <v>0</v>
      </c>
      <c r="BJ28" s="253">
        <v>0</v>
      </c>
      <c r="BK28" s="253">
        <v>0</v>
      </c>
      <c r="BL28" s="253">
        <v>0</v>
      </c>
      <c r="BM28" s="253">
        <v>0</v>
      </c>
      <c r="BN28" s="253"/>
      <c r="BO28" s="256" t="s">
        <v>487</v>
      </c>
      <c r="BP28" s="264" t="s">
        <v>564</v>
      </c>
      <c r="BQ28" s="263"/>
      <c r="BR28" s="263"/>
      <c r="BS28" s="245"/>
      <c r="BT28" s="245"/>
      <c r="BU28" s="245"/>
      <c r="BV28" s="245"/>
      <c r="BW28" s="245"/>
      <c r="BX28" s="245"/>
      <c r="BY28" s="245"/>
      <c r="BZ28" s="245"/>
      <c r="CA28" s="245"/>
      <c r="CB28" s="245"/>
      <c r="CC28" s="245"/>
      <c r="CD28" s="245"/>
      <c r="CE28" s="245"/>
      <c r="CF28" s="245"/>
      <c r="CG28" s="245"/>
      <c r="CH28" s="245"/>
      <c r="CI28" s="245"/>
      <c r="CJ28" s="245"/>
      <c r="CK28" s="245"/>
      <c r="CL28" s="245"/>
      <c r="CM28" s="245"/>
      <c r="CN28" s="245"/>
      <c r="CO28" s="245"/>
      <c r="CP28" s="245"/>
      <c r="CQ28" s="245"/>
      <c r="CR28" s="247"/>
      <c r="CS28" s="277">
        <v>2016</v>
      </c>
      <c r="CT28" s="275">
        <v>30</v>
      </c>
      <c r="CU28" s="275" t="s">
        <v>652</v>
      </c>
      <c r="CV28" s="275">
        <v>0</v>
      </c>
      <c r="CW28" s="275">
        <v>-4821998236</v>
      </c>
      <c r="CX28" s="275">
        <v>1179</v>
      </c>
      <c r="CY28" s="275">
        <v>0</v>
      </c>
      <c r="CZ28" s="275">
        <v>67000864264</v>
      </c>
      <c r="DA28" s="275">
        <v>630</v>
      </c>
      <c r="DB28" s="275">
        <v>0</v>
      </c>
      <c r="DC28" s="275">
        <v>71822862500</v>
      </c>
      <c r="DD28" s="275">
        <v>549</v>
      </c>
    </row>
    <row r="29" spans="1:108" x14ac:dyDescent="0.2">
      <c r="B29" s="190" t="s">
        <v>235</v>
      </c>
      <c r="C29" s="193">
        <v>38677</v>
      </c>
      <c r="D29" s="190">
        <v>28766.959999999999</v>
      </c>
      <c r="E29" s="223">
        <v>1</v>
      </c>
      <c r="F29" s="209"/>
      <c r="G29" s="223" t="s">
        <v>93</v>
      </c>
      <c r="H29" s="223">
        <v>3584.0809128800001</v>
      </c>
      <c r="I29" s="164"/>
      <c r="J29" s="157"/>
      <c r="K29" s="231"/>
      <c r="L29" s="228"/>
      <c r="M29" s="228"/>
      <c r="O29" s="241" t="s">
        <v>93</v>
      </c>
      <c r="P29" s="241">
        <v>3458.9735521399998</v>
      </c>
      <c r="Q29" s="239"/>
      <c r="S29" s="245"/>
      <c r="T29" s="245"/>
      <c r="U29" s="245"/>
      <c r="V29" s="245"/>
      <c r="W29" s="245"/>
      <c r="X29" s="245"/>
      <c r="Y29" s="245"/>
      <c r="Z29" s="253" t="s">
        <v>594</v>
      </c>
      <c r="AA29" s="253">
        <v>0</v>
      </c>
      <c r="AB29" s="253">
        <v>0</v>
      </c>
      <c r="AC29" s="253">
        <v>0</v>
      </c>
      <c r="AD29" s="253">
        <v>0</v>
      </c>
      <c r="AE29" s="253">
        <v>0</v>
      </c>
      <c r="AF29" s="253"/>
      <c r="AG29" s="253" t="s">
        <v>594</v>
      </c>
      <c r="AH29" s="253">
        <v>0</v>
      </c>
      <c r="AI29" s="253">
        <v>0</v>
      </c>
      <c r="AJ29" s="253">
        <v>0</v>
      </c>
      <c r="AK29" s="253">
        <v>0</v>
      </c>
      <c r="AL29" s="253">
        <v>0</v>
      </c>
      <c r="AM29" s="245"/>
      <c r="AN29" s="253" t="s">
        <v>592</v>
      </c>
      <c r="AO29" s="253">
        <v>0</v>
      </c>
      <c r="AP29" s="253">
        <v>0</v>
      </c>
      <c r="AQ29" s="253">
        <v>0</v>
      </c>
      <c r="AR29" s="253">
        <v>0</v>
      </c>
      <c r="AS29" s="253">
        <v>0</v>
      </c>
      <c r="AT29" s="245"/>
      <c r="AU29" s="253" t="s">
        <v>594</v>
      </c>
      <c r="AV29" s="253">
        <v>0</v>
      </c>
      <c r="AW29" s="253">
        <v>0</v>
      </c>
      <c r="AX29" s="253">
        <v>0</v>
      </c>
      <c r="AY29" s="253">
        <v>0</v>
      </c>
      <c r="AZ29" s="253">
        <v>0</v>
      </c>
      <c r="BA29" s="245"/>
      <c r="BB29" s="253" t="s">
        <v>592</v>
      </c>
      <c r="BC29" s="253">
        <v>0</v>
      </c>
      <c r="BD29" s="253">
        <v>0</v>
      </c>
      <c r="BE29" s="253">
        <v>0</v>
      </c>
      <c r="BF29" s="253">
        <v>0</v>
      </c>
      <c r="BG29" s="253">
        <v>0</v>
      </c>
      <c r="BH29" s="247" t="s">
        <v>592</v>
      </c>
      <c r="BI29" s="253">
        <v>0</v>
      </c>
      <c r="BJ29" s="253">
        <v>0</v>
      </c>
      <c r="BK29" s="253">
        <v>0</v>
      </c>
      <c r="BL29" s="253">
        <v>0</v>
      </c>
      <c r="BM29" s="253">
        <v>0</v>
      </c>
      <c r="BN29" s="253"/>
      <c r="BO29" s="247"/>
      <c r="BP29" s="263">
        <v>70896</v>
      </c>
      <c r="BQ29" s="263"/>
      <c r="BR29" s="263"/>
      <c r="BS29" s="245"/>
      <c r="BT29" s="245"/>
      <c r="BU29" s="245"/>
      <c r="BV29" s="245"/>
      <c r="BW29" s="245"/>
      <c r="BX29" s="245"/>
      <c r="BY29" s="245"/>
      <c r="BZ29" s="245"/>
      <c r="CA29" s="245"/>
      <c r="CB29" s="245"/>
      <c r="CC29" s="245"/>
      <c r="CD29" s="245"/>
      <c r="CE29" s="245"/>
      <c r="CF29" s="245"/>
      <c r="CG29" s="245"/>
      <c r="CH29" s="245"/>
      <c r="CI29" s="245"/>
      <c r="CJ29" s="245"/>
      <c r="CK29" s="245"/>
      <c r="CL29" s="245"/>
      <c r="CM29" s="245"/>
      <c r="CN29" s="245"/>
      <c r="CO29" s="245"/>
      <c r="CP29" s="245"/>
      <c r="CQ29" s="245"/>
      <c r="CR29" s="247"/>
      <c r="CS29" s="277">
        <v>2016</v>
      </c>
      <c r="CT29" s="275">
        <v>4</v>
      </c>
      <c r="CU29" s="275" t="s">
        <v>653</v>
      </c>
      <c r="CV29" s="275">
        <v>68249684.99000001</v>
      </c>
      <c r="CW29" s="275">
        <v>54330000</v>
      </c>
      <c r="CX29" s="275">
        <v>4</v>
      </c>
      <c r="CY29" s="275">
        <v>114018000.65000001</v>
      </c>
      <c r="CZ29" s="275">
        <v>105330000</v>
      </c>
      <c r="DA29" s="275">
        <v>2</v>
      </c>
      <c r="DB29" s="275">
        <v>45768315.659999996</v>
      </c>
      <c r="DC29" s="275">
        <v>51000000</v>
      </c>
      <c r="DD29" s="275">
        <v>2</v>
      </c>
    </row>
    <row r="30" spans="1:108" x14ac:dyDescent="0.2">
      <c r="B30" s="190" t="s">
        <v>236</v>
      </c>
      <c r="C30" s="193">
        <v>37432</v>
      </c>
      <c r="D30" s="190">
        <v>30613.119999999999</v>
      </c>
      <c r="E30" s="223">
        <v>1</v>
      </c>
      <c r="F30" s="209"/>
      <c r="G30" s="223" t="s">
        <v>63</v>
      </c>
      <c r="H30" s="223">
        <v>1434.81479623</v>
      </c>
      <c r="I30" s="164"/>
      <c r="J30" s="157"/>
      <c r="K30" s="231"/>
      <c r="L30" s="228"/>
      <c r="M30" s="228"/>
      <c r="O30" s="241" t="s">
        <v>63</v>
      </c>
      <c r="P30" s="241">
        <v>1325.3687737</v>
      </c>
      <c r="Q30" s="239"/>
      <c r="R30" s="153" t="s">
        <v>454</v>
      </c>
      <c r="S30" s="254" t="s">
        <v>560</v>
      </c>
      <c r="T30" s="257" t="s">
        <v>561</v>
      </c>
      <c r="U30" s="257" t="s">
        <v>562</v>
      </c>
      <c r="V30" s="257" t="s">
        <v>563</v>
      </c>
      <c r="W30" s="257" t="s">
        <v>564</v>
      </c>
      <c r="X30" s="257" t="s">
        <v>565</v>
      </c>
      <c r="Y30" s="245"/>
      <c r="Z30" s="253" t="s">
        <v>579</v>
      </c>
      <c r="AA30" s="253">
        <v>2416270</v>
      </c>
      <c r="AB30" s="253">
        <v>127</v>
      </c>
      <c r="AC30" s="253">
        <v>22</v>
      </c>
      <c r="AD30" s="253">
        <v>1039</v>
      </c>
      <c r="AE30" s="253">
        <v>1</v>
      </c>
      <c r="AF30" s="253"/>
      <c r="AG30" s="253" t="s">
        <v>579</v>
      </c>
      <c r="AH30" s="253">
        <v>0</v>
      </c>
      <c r="AI30" s="253">
        <v>0</v>
      </c>
      <c r="AJ30" s="253">
        <v>0</v>
      </c>
      <c r="AK30" s="253">
        <v>67</v>
      </c>
      <c r="AL30" s="253">
        <v>1</v>
      </c>
      <c r="AM30" s="245"/>
      <c r="AN30" s="253" t="s">
        <v>593</v>
      </c>
      <c r="AO30" s="253">
        <v>1045000</v>
      </c>
      <c r="AP30" s="253">
        <v>4</v>
      </c>
      <c r="AQ30" s="253">
        <v>4</v>
      </c>
      <c r="AR30" s="253">
        <v>238</v>
      </c>
      <c r="AS30" s="253">
        <v>1</v>
      </c>
      <c r="AT30" s="245"/>
      <c r="AU30" s="253" t="s">
        <v>579</v>
      </c>
      <c r="AV30" s="253">
        <v>0</v>
      </c>
      <c r="AW30" s="253">
        <v>0</v>
      </c>
      <c r="AX30" s="253">
        <v>0</v>
      </c>
      <c r="AY30" s="253">
        <v>10</v>
      </c>
      <c r="AZ30" s="253">
        <v>1</v>
      </c>
      <c r="BA30" s="245"/>
      <c r="BB30" s="253" t="s">
        <v>593</v>
      </c>
      <c r="BC30" s="253">
        <v>693000</v>
      </c>
      <c r="BD30" s="253">
        <v>2</v>
      </c>
      <c r="BE30" s="253">
        <v>2</v>
      </c>
      <c r="BF30" s="253">
        <v>42</v>
      </c>
      <c r="BG30" s="253">
        <v>1</v>
      </c>
      <c r="BH30" s="247" t="s">
        <v>593</v>
      </c>
      <c r="BI30" s="253">
        <v>0</v>
      </c>
      <c r="BJ30" s="253">
        <v>0</v>
      </c>
      <c r="BK30" s="253">
        <v>0</v>
      </c>
      <c r="BL30" s="253">
        <v>2</v>
      </c>
      <c r="BM30" s="253">
        <v>1</v>
      </c>
      <c r="BN30" s="253"/>
      <c r="BO30" s="247"/>
      <c r="BP30" s="263"/>
      <c r="BQ30" s="263"/>
      <c r="BR30" s="263"/>
      <c r="BS30" s="245"/>
      <c r="BT30" s="245"/>
      <c r="BU30" s="245"/>
      <c r="BV30" s="245"/>
      <c r="BW30" s="245"/>
      <c r="BX30" s="245"/>
      <c r="BY30" s="245"/>
      <c r="BZ30" s="245"/>
      <c r="CA30" s="245"/>
      <c r="CB30" s="245"/>
      <c r="CC30" s="245"/>
      <c r="CD30" s="245"/>
      <c r="CE30" s="245"/>
      <c r="CF30" s="245"/>
      <c r="CG30" s="245"/>
      <c r="CH30" s="245"/>
      <c r="CI30" s="245"/>
      <c r="CJ30" s="245"/>
      <c r="CK30" s="245"/>
      <c r="CL30" s="245"/>
      <c r="CM30" s="245"/>
      <c r="CN30" s="245"/>
      <c r="CO30" s="245"/>
      <c r="CP30" s="245"/>
      <c r="CQ30" s="245"/>
      <c r="CR30" s="247"/>
      <c r="CS30" s="277">
        <v>2016</v>
      </c>
      <c r="CT30" s="275">
        <v>27</v>
      </c>
      <c r="CU30" s="275" t="s">
        <v>654</v>
      </c>
      <c r="CV30" s="275">
        <v>22511744115.880039</v>
      </c>
      <c r="CW30" s="275">
        <v>22558822700</v>
      </c>
      <c r="CX30" s="275">
        <v>6202</v>
      </c>
      <c r="CY30" s="275">
        <v>455424168330.06067</v>
      </c>
      <c r="CZ30" s="275">
        <v>475693752000</v>
      </c>
      <c r="DA30" s="275">
        <v>3504</v>
      </c>
      <c r="DB30" s="275">
        <v>432912424214.17993</v>
      </c>
      <c r="DC30" s="275">
        <v>453134929300</v>
      </c>
      <c r="DD30" s="275">
        <v>2698</v>
      </c>
    </row>
    <row r="31" spans="1:108" x14ac:dyDescent="0.2">
      <c r="B31" s="190" t="s">
        <v>237</v>
      </c>
      <c r="C31" s="193">
        <v>38425</v>
      </c>
      <c r="D31" s="190">
        <v>14581.36</v>
      </c>
      <c r="E31" s="223">
        <v>1</v>
      </c>
      <c r="F31" s="214"/>
      <c r="G31" s="223" t="s">
        <v>276</v>
      </c>
      <c r="H31" s="223">
        <v>16544.26828615</v>
      </c>
      <c r="I31" s="164"/>
      <c r="J31" s="158"/>
      <c r="K31" s="229"/>
      <c r="L31" s="228"/>
      <c r="M31" s="228"/>
      <c r="O31" s="241" t="s">
        <v>276</v>
      </c>
      <c r="P31" s="241">
        <v>13769.40247366</v>
      </c>
      <c r="Q31" s="239"/>
      <c r="R31" s="157"/>
      <c r="S31" s="253" t="s">
        <v>449</v>
      </c>
      <c r="T31" s="258">
        <v>102025262.251</v>
      </c>
      <c r="U31" s="258">
        <v>174598</v>
      </c>
      <c r="V31" s="258">
        <v>81</v>
      </c>
      <c r="W31" s="258">
        <v>14035216</v>
      </c>
      <c r="X31" s="258">
        <v>1</v>
      </c>
      <c r="Y31" s="245"/>
      <c r="Z31" s="253" t="s">
        <v>595</v>
      </c>
      <c r="AA31" s="253">
        <v>0</v>
      </c>
      <c r="AB31" s="253">
        <v>0</v>
      </c>
      <c r="AC31" s="253">
        <v>0</v>
      </c>
      <c r="AD31" s="253">
        <v>88</v>
      </c>
      <c r="AE31" s="253">
        <v>1</v>
      </c>
      <c r="AF31" s="253"/>
      <c r="AG31" s="253" t="s">
        <v>595</v>
      </c>
      <c r="AH31" s="253">
        <v>0</v>
      </c>
      <c r="AI31" s="253">
        <v>0</v>
      </c>
      <c r="AJ31" s="253">
        <v>0</v>
      </c>
      <c r="AK31" s="253">
        <v>4</v>
      </c>
      <c r="AL31" s="253">
        <v>1</v>
      </c>
      <c r="AM31" s="245"/>
      <c r="AN31" s="253" t="s">
        <v>594</v>
      </c>
      <c r="AO31" s="253">
        <v>0</v>
      </c>
      <c r="AP31" s="253">
        <v>0</v>
      </c>
      <c r="AQ31" s="253">
        <v>0</v>
      </c>
      <c r="AR31" s="253">
        <v>0</v>
      </c>
      <c r="AS31" s="253">
        <v>0</v>
      </c>
      <c r="AT31" s="245"/>
      <c r="AU31" s="253" t="s">
        <v>595</v>
      </c>
      <c r="AV31" s="253">
        <v>0</v>
      </c>
      <c r="AW31" s="253">
        <v>0</v>
      </c>
      <c r="AX31" s="253">
        <v>0</v>
      </c>
      <c r="AY31" s="253">
        <v>4</v>
      </c>
      <c r="AZ31" s="253">
        <v>1</v>
      </c>
      <c r="BA31" s="245"/>
      <c r="BB31" s="253" t="s">
        <v>594</v>
      </c>
      <c r="BC31" s="253">
        <v>0</v>
      </c>
      <c r="BD31" s="253">
        <v>0</v>
      </c>
      <c r="BE31" s="253">
        <v>0</v>
      </c>
      <c r="BF31" s="253">
        <v>0</v>
      </c>
      <c r="BG31" s="253">
        <v>0</v>
      </c>
      <c r="BH31" s="247" t="s">
        <v>594</v>
      </c>
      <c r="BI31" s="253">
        <v>0</v>
      </c>
      <c r="BJ31" s="253">
        <v>0</v>
      </c>
      <c r="BK31" s="253">
        <v>0</v>
      </c>
      <c r="BL31" s="253">
        <v>0</v>
      </c>
      <c r="BM31" s="253">
        <v>0</v>
      </c>
      <c r="BN31" s="253"/>
      <c r="BO31" s="256" t="s">
        <v>470</v>
      </c>
      <c r="BP31" s="264" t="s">
        <v>537</v>
      </c>
      <c r="BQ31" s="264" t="s">
        <v>562</v>
      </c>
      <c r="BR31" s="264" t="s">
        <v>563</v>
      </c>
      <c r="BS31" s="245"/>
      <c r="BT31" s="245"/>
      <c r="BU31" s="245"/>
      <c r="BV31" s="245"/>
      <c r="BW31" s="245"/>
      <c r="BX31" s="245"/>
      <c r="BY31" s="245"/>
      <c r="BZ31" s="245"/>
      <c r="CA31" s="245"/>
      <c r="CB31" s="245"/>
      <c r="CC31" s="245"/>
      <c r="CD31" s="245"/>
      <c r="CE31" s="245"/>
      <c r="CF31" s="245"/>
      <c r="CG31" s="245"/>
      <c r="CH31" s="245"/>
      <c r="CI31" s="245"/>
      <c r="CJ31" s="245"/>
      <c r="CK31" s="245"/>
      <c r="CL31" s="245"/>
      <c r="CM31" s="245"/>
      <c r="CN31" s="245"/>
      <c r="CO31" s="245"/>
      <c r="CP31" s="245"/>
      <c r="CQ31" s="245"/>
      <c r="CR31" s="247"/>
      <c r="CS31" s="277">
        <v>2016</v>
      </c>
      <c r="CT31" s="275">
        <v>27</v>
      </c>
      <c r="CU31" s="275" t="s">
        <v>655</v>
      </c>
      <c r="CV31" s="275">
        <v>-32601645598.440041</v>
      </c>
      <c r="CW31" s="275">
        <v>-32849246700</v>
      </c>
      <c r="CX31" s="275">
        <v>6121</v>
      </c>
      <c r="CY31" s="275">
        <v>419270503277.9906</v>
      </c>
      <c r="CZ31" s="275">
        <v>439199205300</v>
      </c>
      <c r="DA31" s="275">
        <v>2647</v>
      </c>
      <c r="DB31" s="275">
        <v>451872148876.43127</v>
      </c>
      <c r="DC31" s="275">
        <v>472048452000</v>
      </c>
      <c r="DD31" s="275">
        <v>3474</v>
      </c>
    </row>
    <row r="32" spans="1:108" x14ac:dyDescent="0.2">
      <c r="B32" s="190" t="s">
        <v>238</v>
      </c>
      <c r="C32" s="193">
        <v>38715</v>
      </c>
      <c r="D32" s="190">
        <v>17673.63</v>
      </c>
      <c r="E32" s="223">
        <v>1</v>
      </c>
      <c r="F32" s="209"/>
      <c r="G32" s="223" t="s">
        <v>106</v>
      </c>
      <c r="H32" s="223">
        <v>20.77701566</v>
      </c>
      <c r="I32" s="164"/>
      <c r="J32" s="157"/>
      <c r="K32" s="229"/>
      <c r="L32" s="228"/>
      <c r="M32" s="228"/>
      <c r="O32" s="241" t="s">
        <v>106</v>
      </c>
      <c r="P32" s="241">
        <v>18.94538721</v>
      </c>
      <c r="Q32" s="239"/>
      <c r="R32" s="157"/>
      <c r="S32" s="253" t="s">
        <v>447</v>
      </c>
      <c r="T32" s="258">
        <v>299868324.83999997</v>
      </c>
      <c r="U32" s="258">
        <v>330964</v>
      </c>
      <c r="V32" s="258">
        <v>370</v>
      </c>
      <c r="W32" s="258">
        <v>2240696</v>
      </c>
      <c r="X32" s="258">
        <v>0</v>
      </c>
      <c r="Y32" s="245"/>
      <c r="Z32" s="253" t="s">
        <v>596</v>
      </c>
      <c r="AA32" s="253">
        <v>0</v>
      </c>
      <c r="AB32" s="253">
        <v>0</v>
      </c>
      <c r="AC32" s="253">
        <v>0</v>
      </c>
      <c r="AD32" s="253">
        <v>0</v>
      </c>
      <c r="AE32" s="253">
        <v>0</v>
      </c>
      <c r="AF32" s="253"/>
      <c r="AG32" s="253" t="s">
        <v>596</v>
      </c>
      <c r="AH32" s="253">
        <v>0</v>
      </c>
      <c r="AI32" s="253">
        <v>0</v>
      </c>
      <c r="AJ32" s="253">
        <v>0</v>
      </c>
      <c r="AK32" s="253">
        <v>0</v>
      </c>
      <c r="AL32" s="253">
        <v>0</v>
      </c>
      <c r="AM32" s="245"/>
      <c r="AN32" s="253" t="s">
        <v>579</v>
      </c>
      <c r="AO32" s="253">
        <v>927400</v>
      </c>
      <c r="AP32" s="253">
        <v>50</v>
      </c>
      <c r="AQ32" s="253">
        <v>2</v>
      </c>
      <c r="AR32" s="253">
        <v>500</v>
      </c>
      <c r="AS32" s="253">
        <v>1</v>
      </c>
      <c r="AT32" s="245"/>
      <c r="AU32" s="253" t="s">
        <v>596</v>
      </c>
      <c r="AV32" s="253">
        <v>0</v>
      </c>
      <c r="AW32" s="253">
        <v>0</v>
      </c>
      <c r="AX32" s="253">
        <v>0</v>
      </c>
      <c r="AY32" s="253">
        <v>0</v>
      </c>
      <c r="AZ32" s="253">
        <v>0</v>
      </c>
      <c r="BA32" s="245"/>
      <c r="BB32" s="253" t="s">
        <v>579</v>
      </c>
      <c r="BC32" s="253">
        <v>0</v>
      </c>
      <c r="BD32" s="253">
        <v>0</v>
      </c>
      <c r="BE32" s="253">
        <v>0</v>
      </c>
      <c r="BF32" s="253">
        <v>0</v>
      </c>
      <c r="BG32" s="253">
        <v>1</v>
      </c>
      <c r="BH32" s="247" t="s">
        <v>579</v>
      </c>
      <c r="BI32" s="253">
        <v>0</v>
      </c>
      <c r="BJ32" s="253">
        <v>0</v>
      </c>
      <c r="BK32" s="253">
        <v>0</v>
      </c>
      <c r="BL32" s="253">
        <v>0</v>
      </c>
      <c r="BM32" s="253">
        <v>1</v>
      </c>
      <c r="BN32" s="253"/>
      <c r="BO32" s="245"/>
      <c r="BP32" s="263">
        <v>932976459342.8501</v>
      </c>
      <c r="BQ32" s="263">
        <v>8269877</v>
      </c>
      <c r="BR32" s="263">
        <v>8435</v>
      </c>
      <c r="BS32" s="245"/>
      <c r="BT32" s="245"/>
      <c r="BU32" s="245"/>
      <c r="BV32" s="245"/>
      <c r="BW32" s="245"/>
      <c r="BX32" s="245"/>
      <c r="BY32" s="245"/>
      <c r="BZ32" s="245"/>
      <c r="CA32" s="245"/>
      <c r="CB32" s="245"/>
      <c r="CC32" s="245"/>
      <c r="CD32" s="245"/>
      <c r="CE32" s="245"/>
      <c r="CF32" s="245"/>
      <c r="CG32" s="245"/>
      <c r="CH32" s="245"/>
      <c r="CI32" s="245"/>
      <c r="CJ32" s="245"/>
      <c r="CK32" s="245"/>
      <c r="CL32" s="245"/>
      <c r="CM32" s="245"/>
      <c r="CN32" s="245"/>
      <c r="CO32" s="245"/>
      <c r="CP32" s="245"/>
      <c r="CQ32" s="245"/>
      <c r="CR32" s="247"/>
      <c r="CS32" s="277">
        <v>2016</v>
      </c>
      <c r="CT32" s="275">
        <v>524</v>
      </c>
      <c r="CU32" s="275" t="s">
        <v>656</v>
      </c>
      <c r="CV32" s="275">
        <v>-32509721433.539932</v>
      </c>
      <c r="CW32" s="275">
        <v>-30809638648</v>
      </c>
      <c r="CX32" s="275">
        <v>7623</v>
      </c>
      <c r="CY32" s="275">
        <v>89389717853.789978</v>
      </c>
      <c r="CZ32" s="275">
        <v>90887054351</v>
      </c>
      <c r="DA32" s="275">
        <v>4553</v>
      </c>
      <c r="DB32" s="275">
        <v>121899439287.33005</v>
      </c>
      <c r="DC32" s="275">
        <v>121696692999</v>
      </c>
      <c r="DD32" s="275">
        <v>3070</v>
      </c>
    </row>
    <row r="33" spans="1:108" x14ac:dyDescent="0.2">
      <c r="B33" s="190" t="s">
        <v>239</v>
      </c>
      <c r="C33" s="193">
        <v>38715</v>
      </c>
      <c r="D33" s="190">
        <v>34075.21</v>
      </c>
      <c r="E33" s="223">
        <v>1</v>
      </c>
      <c r="F33" s="210"/>
      <c r="G33" s="223" t="s">
        <v>108</v>
      </c>
      <c r="H33" s="223">
        <v>7975.34409375</v>
      </c>
      <c r="I33" s="164"/>
      <c r="J33" s="157"/>
      <c r="K33" s="228"/>
      <c r="L33" s="228"/>
      <c r="M33" s="228"/>
      <c r="O33" s="241" t="s">
        <v>108</v>
      </c>
      <c r="P33" s="241">
        <v>7582.08115782</v>
      </c>
      <c r="Q33" s="239"/>
      <c r="R33" s="157"/>
      <c r="S33" s="253" t="s">
        <v>451</v>
      </c>
      <c r="T33" s="258">
        <v>70331477.280000001</v>
      </c>
      <c r="U33" s="258">
        <v>89707</v>
      </c>
      <c r="V33" s="258">
        <v>50</v>
      </c>
      <c r="W33" s="258">
        <v>277130</v>
      </c>
      <c r="X33" s="258">
        <v>0</v>
      </c>
      <c r="Y33" s="245"/>
      <c r="Z33" s="253" t="s">
        <v>597</v>
      </c>
      <c r="AA33" s="253">
        <v>0</v>
      </c>
      <c r="AB33" s="253">
        <v>0</v>
      </c>
      <c r="AC33" s="253">
        <v>0</v>
      </c>
      <c r="AD33" s="253">
        <v>0</v>
      </c>
      <c r="AE33" s="253">
        <v>0</v>
      </c>
      <c r="AF33" s="253"/>
      <c r="AG33" s="253" t="s">
        <v>597</v>
      </c>
      <c r="AH33" s="253">
        <v>0</v>
      </c>
      <c r="AI33" s="253">
        <v>0</v>
      </c>
      <c r="AJ33" s="253">
        <v>0</v>
      </c>
      <c r="AK33" s="253">
        <v>0</v>
      </c>
      <c r="AL33" s="253">
        <v>0</v>
      </c>
      <c r="AM33" s="245"/>
      <c r="AN33" s="253" t="s">
        <v>595</v>
      </c>
      <c r="AO33" s="253">
        <v>92000</v>
      </c>
      <c r="AP33" s="253">
        <v>2</v>
      </c>
      <c r="AQ33" s="253">
        <v>2</v>
      </c>
      <c r="AR33" s="253">
        <v>80</v>
      </c>
      <c r="AS33" s="253">
        <v>1</v>
      </c>
      <c r="AT33" s="245"/>
      <c r="AU33" s="253" t="s">
        <v>597</v>
      </c>
      <c r="AV33" s="253">
        <v>0</v>
      </c>
      <c r="AW33" s="253">
        <v>0</v>
      </c>
      <c r="AX33" s="253">
        <v>0</v>
      </c>
      <c r="AY33" s="253">
        <v>0</v>
      </c>
      <c r="AZ33" s="253">
        <v>0</v>
      </c>
      <c r="BA33" s="245"/>
      <c r="BB33" s="253" t="s">
        <v>595</v>
      </c>
      <c r="BC33" s="253">
        <v>1162150</v>
      </c>
      <c r="BD33" s="253">
        <v>28</v>
      </c>
      <c r="BE33" s="253">
        <v>13</v>
      </c>
      <c r="BF33" s="253">
        <v>846</v>
      </c>
      <c r="BG33" s="253">
        <v>1</v>
      </c>
      <c r="BH33" s="247" t="s">
        <v>595</v>
      </c>
      <c r="BI33" s="253">
        <v>0</v>
      </c>
      <c r="BJ33" s="253">
        <v>0</v>
      </c>
      <c r="BK33" s="253">
        <v>0</v>
      </c>
      <c r="BL33" s="253">
        <v>47</v>
      </c>
      <c r="BM33" s="253">
        <v>1</v>
      </c>
      <c r="BN33" s="253"/>
      <c r="BO33" s="245"/>
      <c r="BP33" s="245"/>
      <c r="BQ33" s="245"/>
      <c r="BR33" s="245"/>
      <c r="BS33" s="245"/>
      <c r="BT33" s="245"/>
      <c r="BU33" s="245"/>
      <c r="BV33" s="245"/>
      <c r="BW33" s="245"/>
      <c r="BX33" s="245"/>
      <c r="BY33" s="245"/>
      <c r="BZ33" s="245"/>
      <c r="CA33" s="245"/>
      <c r="CB33" s="245"/>
      <c r="CC33" s="245"/>
      <c r="CD33" s="245"/>
      <c r="CE33" s="245"/>
      <c r="CF33" s="245"/>
      <c r="CG33" s="245"/>
      <c r="CH33" s="245"/>
      <c r="CI33" s="245"/>
      <c r="CJ33" s="245"/>
      <c r="CK33" s="245"/>
      <c r="CL33" s="245"/>
      <c r="CM33" s="245"/>
      <c r="CN33" s="245"/>
      <c r="CO33" s="245"/>
      <c r="CP33" s="245"/>
      <c r="CQ33" s="245"/>
      <c r="CR33" s="247"/>
      <c r="CS33" s="277">
        <v>2016</v>
      </c>
      <c r="CT33" s="275">
        <v>143</v>
      </c>
      <c r="CU33" s="275" t="s">
        <v>657</v>
      </c>
      <c r="CV33" s="275">
        <v>93756806983.379898</v>
      </c>
      <c r="CW33" s="275">
        <v>95889682997</v>
      </c>
      <c r="CX33" s="275">
        <v>23322</v>
      </c>
      <c r="CY33" s="275">
        <v>616775266134.79016</v>
      </c>
      <c r="CZ33" s="275">
        <v>613483793504</v>
      </c>
      <c r="DA33" s="275">
        <v>12413</v>
      </c>
      <c r="DB33" s="275">
        <v>523018459151.40985</v>
      </c>
      <c r="DC33" s="275">
        <v>517594110507</v>
      </c>
      <c r="DD33" s="275">
        <v>10909</v>
      </c>
    </row>
    <row r="34" spans="1:108" x14ac:dyDescent="0.2">
      <c r="B34" s="190" t="s">
        <v>240</v>
      </c>
      <c r="C34" s="193">
        <v>38680</v>
      </c>
      <c r="D34" s="190">
        <v>18105.080000000002</v>
      </c>
      <c r="E34" s="223">
        <v>1</v>
      </c>
      <c r="F34" s="210"/>
      <c r="G34" s="223" t="s">
        <v>279</v>
      </c>
      <c r="H34" s="223">
        <v>62547.383733269999</v>
      </c>
      <c r="I34" s="164"/>
      <c r="J34" s="157"/>
      <c r="K34" s="228"/>
      <c r="L34" s="228"/>
      <c r="M34" s="228"/>
      <c r="O34" s="241" t="s">
        <v>279</v>
      </c>
      <c r="P34" s="241">
        <v>61178.927135650003</v>
      </c>
      <c r="Q34" s="239"/>
      <c r="R34" s="157"/>
      <c r="S34" s="253" t="s">
        <v>446</v>
      </c>
      <c r="T34" s="258">
        <v>1272165233.97</v>
      </c>
      <c r="U34" s="258">
        <v>296873</v>
      </c>
      <c r="V34" s="258">
        <v>567</v>
      </c>
      <c r="W34" s="258">
        <v>926852</v>
      </c>
      <c r="X34" s="258">
        <v>0</v>
      </c>
      <c r="Y34" s="245"/>
      <c r="Z34" s="253" t="s">
        <v>580</v>
      </c>
      <c r="AA34" s="253">
        <v>1233960</v>
      </c>
      <c r="AB34" s="253">
        <v>20</v>
      </c>
      <c r="AC34" s="253">
        <v>2</v>
      </c>
      <c r="AD34" s="253">
        <v>90</v>
      </c>
      <c r="AE34" s="253">
        <v>1</v>
      </c>
      <c r="AF34" s="253"/>
      <c r="AG34" s="253" t="s">
        <v>580</v>
      </c>
      <c r="AH34" s="253">
        <v>0</v>
      </c>
      <c r="AI34" s="253">
        <v>0</v>
      </c>
      <c r="AJ34" s="253">
        <v>0</v>
      </c>
      <c r="AK34" s="253">
        <v>0</v>
      </c>
      <c r="AL34" s="253">
        <v>1</v>
      </c>
      <c r="AM34" s="245"/>
      <c r="AN34" s="253" t="s">
        <v>612</v>
      </c>
      <c r="AO34" s="253">
        <v>311629440</v>
      </c>
      <c r="AP34" s="253">
        <v>1616</v>
      </c>
      <c r="AQ34" s="253">
        <v>2</v>
      </c>
      <c r="AR34" s="253">
        <v>22624</v>
      </c>
      <c r="AS34" s="253">
        <v>1</v>
      </c>
      <c r="AT34" s="245"/>
      <c r="AU34" s="253" t="s">
        <v>580</v>
      </c>
      <c r="AV34" s="253">
        <v>0</v>
      </c>
      <c r="AW34" s="253">
        <v>0</v>
      </c>
      <c r="AX34" s="253">
        <v>0</v>
      </c>
      <c r="AY34" s="253">
        <v>0</v>
      </c>
      <c r="AZ34" s="253">
        <v>1</v>
      </c>
      <c r="BA34" s="245"/>
      <c r="BB34" s="253" t="s">
        <v>596</v>
      </c>
      <c r="BC34" s="253">
        <v>0</v>
      </c>
      <c r="BD34" s="253">
        <v>0</v>
      </c>
      <c r="BE34" s="253">
        <v>0</v>
      </c>
      <c r="BF34" s="253">
        <v>0</v>
      </c>
      <c r="BG34" s="253">
        <v>0</v>
      </c>
      <c r="BH34" s="247" t="s">
        <v>596</v>
      </c>
      <c r="BI34" s="253">
        <v>0</v>
      </c>
      <c r="BJ34" s="253">
        <v>0</v>
      </c>
      <c r="BK34" s="253">
        <v>0</v>
      </c>
      <c r="BL34" s="253">
        <v>0</v>
      </c>
      <c r="BM34" s="253">
        <v>0</v>
      </c>
      <c r="BN34" s="253"/>
      <c r="BO34" s="256" t="s">
        <v>481</v>
      </c>
      <c r="BP34" s="264" t="s">
        <v>537</v>
      </c>
      <c r="BQ34" s="264" t="s">
        <v>562</v>
      </c>
      <c r="BR34" s="264" t="s">
        <v>563</v>
      </c>
      <c r="BS34" s="245"/>
      <c r="BT34" s="245"/>
      <c r="BU34" s="245"/>
      <c r="BV34" s="245"/>
      <c r="BW34" s="245"/>
      <c r="BX34" s="245"/>
      <c r="BY34" s="245"/>
      <c r="BZ34" s="245"/>
      <c r="CA34" s="245"/>
      <c r="CB34" s="245"/>
      <c r="CC34" s="245"/>
      <c r="CD34" s="245"/>
      <c r="CE34" s="245"/>
      <c r="CF34" s="245"/>
      <c r="CG34" s="245"/>
      <c r="CH34" s="245"/>
      <c r="CI34" s="245"/>
      <c r="CJ34" s="245"/>
      <c r="CK34" s="245"/>
      <c r="CL34" s="245"/>
      <c r="CM34" s="245"/>
      <c r="CN34" s="245"/>
      <c r="CO34" s="245"/>
      <c r="CP34" s="245"/>
      <c r="CQ34" s="245"/>
      <c r="CR34" s="247"/>
      <c r="CS34" s="277">
        <v>2016</v>
      </c>
      <c r="CT34" s="275">
        <v>32</v>
      </c>
      <c r="CU34" s="275" t="s">
        <v>658</v>
      </c>
      <c r="CV34" s="275">
        <v>-36383836155.669991</v>
      </c>
      <c r="CW34" s="275">
        <v>-39803786805</v>
      </c>
      <c r="CX34" s="275">
        <v>2035</v>
      </c>
      <c r="CY34" s="275">
        <v>80876934938.499969</v>
      </c>
      <c r="CZ34" s="275">
        <v>83906266300</v>
      </c>
      <c r="DA34" s="275">
        <v>894</v>
      </c>
      <c r="DB34" s="275">
        <v>117260771094.16998</v>
      </c>
      <c r="DC34" s="275">
        <v>123710053105</v>
      </c>
      <c r="DD34" s="275">
        <v>1141</v>
      </c>
    </row>
    <row r="35" spans="1:108" x14ac:dyDescent="0.2">
      <c r="B35" s="190" t="s">
        <v>241</v>
      </c>
      <c r="C35" s="193">
        <v>38604</v>
      </c>
      <c r="D35" s="190">
        <v>28742.13</v>
      </c>
      <c r="E35" s="223">
        <v>1</v>
      </c>
      <c r="F35" s="226"/>
      <c r="G35" s="223" t="s">
        <v>280</v>
      </c>
      <c r="H35" s="223">
        <v>11596.17350863</v>
      </c>
      <c r="I35" s="164"/>
      <c r="J35" s="157"/>
      <c r="K35" s="228"/>
      <c r="L35" s="228"/>
      <c r="M35" s="228"/>
      <c r="O35" s="241" t="s">
        <v>280</v>
      </c>
      <c r="P35" s="241">
        <v>11136.764884939999</v>
      </c>
      <c r="Q35" s="239"/>
      <c r="R35" s="157"/>
      <c r="S35" s="253" t="s">
        <v>566</v>
      </c>
      <c r="T35" s="258">
        <v>0</v>
      </c>
      <c r="U35" s="258">
        <v>0</v>
      </c>
      <c r="V35" s="258">
        <v>0</v>
      </c>
      <c r="W35" s="258">
        <v>0</v>
      </c>
      <c r="X35" s="258">
        <v>1</v>
      </c>
      <c r="Y35" s="245"/>
      <c r="Z35" s="253" t="s">
        <v>588</v>
      </c>
      <c r="AA35" s="253">
        <v>5425711457.4899998</v>
      </c>
      <c r="AB35" s="253">
        <v>26463</v>
      </c>
      <c r="AC35" s="253">
        <v>4320</v>
      </c>
      <c r="AD35" s="253">
        <v>220126</v>
      </c>
      <c r="AE35" s="253">
        <v>1</v>
      </c>
      <c r="AF35" s="253"/>
      <c r="AG35" s="253" t="s">
        <v>588</v>
      </c>
      <c r="AH35" s="253">
        <v>146456347.34</v>
      </c>
      <c r="AI35" s="253">
        <v>722</v>
      </c>
      <c r="AJ35" s="253">
        <v>82</v>
      </c>
      <c r="AK35" s="253">
        <v>9602</v>
      </c>
      <c r="AL35" s="253">
        <v>1</v>
      </c>
      <c r="AM35" s="245"/>
      <c r="AN35" s="253" t="s">
        <v>596</v>
      </c>
      <c r="AO35" s="253">
        <v>0</v>
      </c>
      <c r="AP35" s="253">
        <v>0</v>
      </c>
      <c r="AQ35" s="253">
        <v>0</v>
      </c>
      <c r="AR35" s="253">
        <v>0</v>
      </c>
      <c r="AS35" s="253">
        <v>0</v>
      </c>
      <c r="AT35" s="245"/>
      <c r="AU35" s="253" t="s">
        <v>588</v>
      </c>
      <c r="AV35" s="253">
        <v>222571544.13999999</v>
      </c>
      <c r="AW35" s="253">
        <v>1065</v>
      </c>
      <c r="AX35" s="253">
        <v>235</v>
      </c>
      <c r="AY35" s="253">
        <v>10011</v>
      </c>
      <c r="AZ35" s="253">
        <v>1</v>
      </c>
      <c r="BA35" s="245"/>
      <c r="BB35" s="253" t="s">
        <v>597</v>
      </c>
      <c r="BC35" s="253">
        <v>0</v>
      </c>
      <c r="BD35" s="253">
        <v>0</v>
      </c>
      <c r="BE35" s="253">
        <v>0</v>
      </c>
      <c r="BF35" s="253">
        <v>0</v>
      </c>
      <c r="BG35" s="253">
        <v>0</v>
      </c>
      <c r="BH35" s="247" t="s">
        <v>597</v>
      </c>
      <c r="BI35" s="253">
        <v>0</v>
      </c>
      <c r="BJ35" s="253">
        <v>0</v>
      </c>
      <c r="BK35" s="253">
        <v>0</v>
      </c>
      <c r="BL35" s="253">
        <v>0</v>
      </c>
      <c r="BM35" s="253">
        <v>0</v>
      </c>
      <c r="BN35" s="253"/>
      <c r="BO35" s="251"/>
      <c r="BP35" s="263">
        <v>15285627160.25</v>
      </c>
      <c r="BQ35" s="263">
        <v>160919</v>
      </c>
      <c r="BR35" s="263">
        <v>480</v>
      </c>
      <c r="BS35" s="245"/>
      <c r="BT35" s="245"/>
      <c r="BU35" s="245"/>
      <c r="BV35" s="245"/>
      <c r="BW35" s="245"/>
      <c r="BX35" s="245"/>
      <c r="BY35" s="245"/>
      <c r="BZ35" s="245"/>
      <c r="CA35" s="245"/>
      <c r="CB35" s="245"/>
      <c r="CC35" s="245"/>
      <c r="CD35" s="245"/>
      <c r="CE35" s="245"/>
      <c r="CF35" s="245"/>
      <c r="CG35" s="245"/>
      <c r="CH35" s="245"/>
      <c r="CI35" s="245"/>
      <c r="CJ35" s="245"/>
      <c r="CK35" s="245"/>
      <c r="CL35" s="245"/>
      <c r="CM35" s="245"/>
      <c r="CN35" s="245"/>
      <c r="CO35" s="245"/>
      <c r="CP35" s="245"/>
      <c r="CQ35" s="245"/>
      <c r="CR35" s="245"/>
      <c r="CS35" s="247"/>
      <c r="CT35" s="247"/>
      <c r="CU35" s="247"/>
      <c r="CV35" s="247"/>
      <c r="CW35" s="247"/>
      <c r="CX35" s="247"/>
      <c r="CY35" s="247"/>
      <c r="CZ35" s="247"/>
      <c r="DA35" s="247"/>
      <c r="DB35" s="247"/>
      <c r="DC35" s="247"/>
      <c r="DD35" s="247"/>
    </row>
    <row r="36" spans="1:108" x14ac:dyDescent="0.2">
      <c r="B36" s="190" t="s">
        <v>242</v>
      </c>
      <c r="C36" s="193">
        <v>38709</v>
      </c>
      <c r="D36" s="190">
        <v>10955.45</v>
      </c>
      <c r="E36" s="223">
        <v>1</v>
      </c>
      <c r="F36" s="210"/>
      <c r="G36" s="223" t="s">
        <v>281</v>
      </c>
      <c r="H36" s="223">
        <v>26713.580934699999</v>
      </c>
      <c r="I36" s="164"/>
      <c r="J36" s="157"/>
      <c r="K36" s="228"/>
      <c r="L36" s="228"/>
      <c r="M36" s="228"/>
      <c r="O36" s="241" t="s">
        <v>281</v>
      </c>
      <c r="P36" s="241">
        <v>25160.927882659998</v>
      </c>
      <c r="Q36" s="239"/>
      <c r="R36" s="157"/>
      <c r="S36" s="253" t="s">
        <v>447</v>
      </c>
      <c r="T36" s="258">
        <v>7156685858.2600002</v>
      </c>
      <c r="U36" s="258">
        <v>331025</v>
      </c>
      <c r="V36" s="258">
        <v>3817</v>
      </c>
      <c r="W36" s="258">
        <v>1244581</v>
      </c>
      <c r="X36" s="258">
        <v>1</v>
      </c>
      <c r="Y36" s="245"/>
      <c r="Z36" s="253" t="s">
        <v>598</v>
      </c>
      <c r="AA36" s="253">
        <v>0</v>
      </c>
      <c r="AB36" s="253">
        <v>0</v>
      </c>
      <c r="AC36" s="253">
        <v>0</v>
      </c>
      <c r="AD36" s="253">
        <v>0</v>
      </c>
      <c r="AE36" s="253">
        <v>1</v>
      </c>
      <c r="AF36" s="253"/>
      <c r="AG36" s="253" t="s">
        <v>598</v>
      </c>
      <c r="AH36" s="253">
        <v>0</v>
      </c>
      <c r="AI36" s="253">
        <v>0</v>
      </c>
      <c r="AJ36" s="253">
        <v>0</v>
      </c>
      <c r="AK36" s="253">
        <v>0</v>
      </c>
      <c r="AL36" s="253">
        <v>1</v>
      </c>
      <c r="AM36" s="245"/>
      <c r="AN36" s="253" t="s">
        <v>597</v>
      </c>
      <c r="AO36" s="253">
        <v>0</v>
      </c>
      <c r="AP36" s="253">
        <v>0</v>
      </c>
      <c r="AQ36" s="253">
        <v>0</v>
      </c>
      <c r="AR36" s="253">
        <v>0</v>
      </c>
      <c r="AS36" s="253">
        <v>0</v>
      </c>
      <c r="AT36" s="245"/>
      <c r="AU36" s="253" t="s">
        <v>598</v>
      </c>
      <c r="AV36" s="253">
        <v>0</v>
      </c>
      <c r="AW36" s="253">
        <v>0</v>
      </c>
      <c r="AX36" s="253">
        <v>0</v>
      </c>
      <c r="AY36" s="253">
        <v>0</v>
      </c>
      <c r="AZ36" s="253">
        <v>1</v>
      </c>
      <c r="BA36" s="245"/>
      <c r="BB36" s="253" t="s">
        <v>580</v>
      </c>
      <c r="BC36" s="253">
        <v>0</v>
      </c>
      <c r="BD36" s="253">
        <v>0</v>
      </c>
      <c r="BE36" s="253">
        <v>0</v>
      </c>
      <c r="BF36" s="253">
        <v>0</v>
      </c>
      <c r="BG36" s="253">
        <v>1</v>
      </c>
      <c r="BH36" s="247" t="s">
        <v>580</v>
      </c>
      <c r="BI36" s="253">
        <v>0</v>
      </c>
      <c r="BJ36" s="253">
        <v>0</v>
      </c>
      <c r="BK36" s="253">
        <v>0</v>
      </c>
      <c r="BL36" s="253">
        <v>0</v>
      </c>
      <c r="BM36" s="253">
        <v>1</v>
      </c>
      <c r="BN36" s="253"/>
      <c r="BO36" s="245"/>
      <c r="BP36" s="245"/>
      <c r="BQ36" s="245"/>
      <c r="BR36" s="245"/>
      <c r="BS36" s="245"/>
      <c r="BT36" s="245"/>
      <c r="BU36" s="245"/>
      <c r="BV36" s="245"/>
      <c r="BW36" s="245"/>
      <c r="BX36" s="245"/>
      <c r="BY36" s="245"/>
      <c r="BZ36" s="245"/>
      <c r="CA36" s="245"/>
      <c r="CB36" s="245"/>
      <c r="CC36" s="245"/>
      <c r="CD36" s="245"/>
      <c r="CE36" s="245"/>
      <c r="CF36" s="245"/>
      <c r="CG36" s="245"/>
      <c r="CH36" s="245"/>
      <c r="CI36" s="245"/>
      <c r="CJ36" s="245"/>
      <c r="CK36" s="245"/>
      <c r="CL36" s="245"/>
      <c r="CM36" s="245"/>
      <c r="CN36" s="245"/>
      <c r="CO36" s="245"/>
      <c r="CP36" s="245"/>
      <c r="CQ36" s="245"/>
      <c r="CR36" s="245"/>
      <c r="CS36" s="247"/>
      <c r="CT36" s="247"/>
      <c r="CU36" s="247"/>
      <c r="CV36" s="247"/>
      <c r="CW36" s="247"/>
      <c r="CX36" s="247"/>
      <c r="CY36" s="247"/>
      <c r="CZ36" s="247"/>
      <c r="DA36" s="247"/>
      <c r="DB36" s="247"/>
      <c r="DC36" s="247"/>
      <c r="DD36" s="247"/>
    </row>
    <row r="37" spans="1:108" x14ac:dyDescent="0.2">
      <c r="B37" s="190" t="s">
        <v>243</v>
      </c>
      <c r="C37" s="193">
        <v>38580</v>
      </c>
      <c r="D37" s="190">
        <v>2321.6</v>
      </c>
      <c r="E37" s="223">
        <v>1</v>
      </c>
      <c r="F37" s="214"/>
      <c r="G37" s="223" t="s">
        <v>56</v>
      </c>
      <c r="H37" s="223">
        <v>49997.269851260004</v>
      </c>
      <c r="I37" s="164"/>
      <c r="J37" s="157"/>
      <c r="K37" s="228"/>
      <c r="L37" s="228"/>
      <c r="M37" s="228"/>
      <c r="O37" s="241" t="s">
        <v>56</v>
      </c>
      <c r="P37" s="241">
        <v>48873.133677509999</v>
      </c>
      <c r="Q37" s="239"/>
      <c r="R37" s="157"/>
      <c r="S37" s="253" t="s">
        <v>182</v>
      </c>
      <c r="T37" s="258">
        <v>42141361.876000002</v>
      </c>
      <c r="U37" s="258">
        <v>469584</v>
      </c>
      <c r="V37" s="258">
        <v>209</v>
      </c>
      <c r="W37" s="258">
        <v>2087844</v>
      </c>
      <c r="X37" s="258">
        <v>1</v>
      </c>
      <c r="Y37" s="245"/>
      <c r="Z37" s="253" t="s">
        <v>568</v>
      </c>
      <c r="AA37" s="253">
        <v>3409461493.9699998</v>
      </c>
      <c r="AB37" s="253">
        <v>17068</v>
      </c>
      <c r="AC37" s="253">
        <v>1126</v>
      </c>
      <c r="AD37" s="253">
        <v>412510</v>
      </c>
      <c r="AE37" s="253">
        <v>1</v>
      </c>
      <c r="AF37" s="253"/>
      <c r="AG37" s="253" t="s">
        <v>568</v>
      </c>
      <c r="AH37" s="253">
        <v>107472591.17</v>
      </c>
      <c r="AI37" s="253">
        <v>562</v>
      </c>
      <c r="AJ37" s="253">
        <v>65</v>
      </c>
      <c r="AK37" s="253">
        <v>18311</v>
      </c>
      <c r="AL37" s="253">
        <v>1</v>
      </c>
      <c r="AM37" s="245"/>
      <c r="AN37" s="253" t="s">
        <v>580</v>
      </c>
      <c r="AO37" s="253">
        <v>0</v>
      </c>
      <c r="AP37" s="253">
        <v>0</v>
      </c>
      <c r="AQ37" s="253">
        <v>0</v>
      </c>
      <c r="AR37" s="253">
        <v>0</v>
      </c>
      <c r="AS37" s="253">
        <v>1</v>
      </c>
      <c r="AT37" s="245"/>
      <c r="AU37" s="253" t="s">
        <v>568</v>
      </c>
      <c r="AV37" s="253">
        <v>52879458.990000002</v>
      </c>
      <c r="AW37" s="253">
        <v>250</v>
      </c>
      <c r="AX37" s="253">
        <v>34</v>
      </c>
      <c r="AY37" s="253">
        <v>18298</v>
      </c>
      <c r="AZ37" s="253">
        <v>1</v>
      </c>
      <c r="BA37" s="245"/>
      <c r="BB37" s="253" t="s">
        <v>588</v>
      </c>
      <c r="BC37" s="253">
        <v>6069228251.4399996</v>
      </c>
      <c r="BD37" s="253">
        <v>28739</v>
      </c>
      <c r="BE37" s="253">
        <v>2437</v>
      </c>
      <c r="BF37" s="253">
        <v>258148</v>
      </c>
      <c r="BG37" s="253">
        <v>1</v>
      </c>
      <c r="BH37" s="247" t="s">
        <v>588</v>
      </c>
      <c r="BI37" s="253">
        <v>784600065.375</v>
      </c>
      <c r="BJ37" s="253">
        <v>3704</v>
      </c>
      <c r="BK37" s="253">
        <v>111</v>
      </c>
      <c r="BL37" s="253">
        <v>9998</v>
      </c>
      <c r="BM37" s="253">
        <v>1</v>
      </c>
      <c r="BN37" s="253"/>
      <c r="BO37" s="256" t="s">
        <v>473</v>
      </c>
      <c r="BP37" s="264" t="s">
        <v>537</v>
      </c>
      <c r="BQ37" s="264" t="s">
        <v>562</v>
      </c>
      <c r="BR37" s="264" t="s">
        <v>563</v>
      </c>
      <c r="BS37" s="245"/>
      <c r="BT37" s="245"/>
      <c r="BU37" s="245"/>
      <c r="BV37" s="245"/>
      <c r="BW37" s="245"/>
      <c r="BX37" s="245"/>
      <c r="BY37" s="245"/>
      <c r="BZ37" s="245"/>
      <c r="CA37" s="245"/>
      <c r="CB37" s="245"/>
      <c r="CC37" s="245"/>
      <c r="CD37" s="245"/>
      <c r="CE37" s="245"/>
      <c r="CF37" s="245"/>
      <c r="CG37" s="245"/>
      <c r="CH37" s="245"/>
      <c r="CI37" s="245"/>
      <c r="CJ37" s="245"/>
      <c r="CK37" s="245"/>
      <c r="CL37" s="245"/>
      <c r="CM37" s="245"/>
      <c r="CN37" s="245"/>
      <c r="CO37" s="245"/>
      <c r="CP37" s="245"/>
      <c r="CQ37" s="245"/>
      <c r="CR37" s="245"/>
      <c r="CS37" s="247"/>
      <c r="CT37" s="247"/>
      <c r="CU37" s="247"/>
      <c r="CV37" s="247"/>
      <c r="CW37" s="247"/>
      <c r="CX37" s="247"/>
      <c r="CY37" s="247"/>
      <c r="CZ37" s="247"/>
      <c r="DA37" s="247"/>
      <c r="DB37" s="247"/>
      <c r="DC37" s="247"/>
      <c r="DD37" s="247"/>
    </row>
    <row r="38" spans="1:108" x14ac:dyDescent="0.2">
      <c r="B38" s="190" t="s">
        <v>244</v>
      </c>
      <c r="C38" s="193">
        <v>38709</v>
      </c>
      <c r="D38" s="190">
        <v>2183.41</v>
      </c>
      <c r="E38" s="223">
        <v>1</v>
      </c>
      <c r="F38" s="214"/>
      <c r="G38" s="223" t="s">
        <v>45</v>
      </c>
      <c r="H38" s="223">
        <v>76713.244597779994</v>
      </c>
      <c r="I38" s="164"/>
      <c r="J38" s="157"/>
      <c r="K38" s="228"/>
      <c r="L38" s="228"/>
      <c r="M38" s="228"/>
      <c r="O38" s="241" t="s">
        <v>45</v>
      </c>
      <c r="P38" s="241">
        <v>73438.644880299995</v>
      </c>
      <c r="Q38" s="239"/>
      <c r="R38" s="157"/>
      <c r="S38" s="253" t="s">
        <v>449</v>
      </c>
      <c r="T38" s="258">
        <v>0</v>
      </c>
      <c r="U38" s="258">
        <v>0</v>
      </c>
      <c r="V38" s="258">
        <v>0</v>
      </c>
      <c r="W38" s="258">
        <v>0</v>
      </c>
      <c r="X38" s="258">
        <v>0</v>
      </c>
      <c r="Y38" s="245"/>
      <c r="Z38" s="253" t="s">
        <v>599</v>
      </c>
      <c r="AA38" s="253">
        <v>0</v>
      </c>
      <c r="AB38" s="253">
        <v>0</v>
      </c>
      <c r="AC38" s="253">
        <v>0</v>
      </c>
      <c r="AD38" s="253">
        <v>0</v>
      </c>
      <c r="AE38" s="253">
        <v>0</v>
      </c>
      <c r="AF38" s="253"/>
      <c r="AG38" s="253" t="s">
        <v>599</v>
      </c>
      <c r="AH38" s="253">
        <v>0</v>
      </c>
      <c r="AI38" s="253">
        <v>0</v>
      </c>
      <c r="AJ38" s="253">
        <v>0</v>
      </c>
      <c r="AK38" s="253">
        <v>0</v>
      </c>
      <c r="AL38" s="253">
        <v>0</v>
      </c>
      <c r="AM38" s="245"/>
      <c r="AN38" s="253" t="s">
        <v>588</v>
      </c>
      <c r="AO38" s="253">
        <v>5254289858.2550001</v>
      </c>
      <c r="AP38" s="253">
        <v>25381</v>
      </c>
      <c r="AQ38" s="253">
        <v>2775</v>
      </c>
      <c r="AR38" s="253">
        <v>230384</v>
      </c>
      <c r="AS38" s="253">
        <v>1</v>
      </c>
      <c r="AT38" s="245"/>
      <c r="AU38" s="253" t="s">
        <v>599</v>
      </c>
      <c r="AV38" s="253">
        <v>0</v>
      </c>
      <c r="AW38" s="253">
        <v>0</v>
      </c>
      <c r="AX38" s="253">
        <v>0</v>
      </c>
      <c r="AY38" s="253">
        <v>0</v>
      </c>
      <c r="AZ38" s="253">
        <v>0</v>
      </c>
      <c r="BA38" s="245"/>
      <c r="BB38" s="253" t="s">
        <v>598</v>
      </c>
      <c r="BC38" s="253">
        <v>1099819965</v>
      </c>
      <c r="BD38" s="253">
        <v>22700</v>
      </c>
      <c r="BE38" s="253">
        <v>19</v>
      </c>
      <c r="BF38" s="253">
        <v>16550</v>
      </c>
      <c r="BG38" s="253">
        <v>1</v>
      </c>
      <c r="BH38" s="247" t="s">
        <v>598</v>
      </c>
      <c r="BI38" s="253">
        <v>0</v>
      </c>
      <c r="BJ38" s="253">
        <v>0</v>
      </c>
      <c r="BK38" s="253">
        <v>0</v>
      </c>
      <c r="BL38" s="253">
        <v>1000</v>
      </c>
      <c r="BM38" s="253">
        <v>1</v>
      </c>
      <c r="BN38" s="253"/>
      <c r="BO38" s="247"/>
      <c r="BP38" s="263">
        <v>753104393706.75989</v>
      </c>
      <c r="BQ38" s="263">
        <v>6525857</v>
      </c>
      <c r="BR38" s="263">
        <v>10112</v>
      </c>
      <c r="BS38" s="245"/>
      <c r="BT38" s="245"/>
      <c r="BU38" s="245"/>
      <c r="BV38" s="245"/>
      <c r="BW38" s="245"/>
      <c r="BX38" s="245"/>
      <c r="BY38" s="245"/>
      <c r="BZ38" s="245"/>
      <c r="CA38" s="245"/>
      <c r="CB38" s="245"/>
      <c r="CC38" s="245"/>
      <c r="CD38" s="245"/>
      <c r="CE38" s="245"/>
      <c r="CF38" s="245"/>
      <c r="CG38" s="245"/>
      <c r="CH38" s="245"/>
      <c r="CI38" s="245"/>
      <c r="CJ38" s="245"/>
      <c r="CK38" s="245"/>
      <c r="CL38" s="245"/>
      <c r="CM38" s="245"/>
      <c r="CN38" s="245"/>
      <c r="CO38" s="245"/>
      <c r="CP38" s="245"/>
      <c r="CQ38" s="245"/>
      <c r="CR38" s="245"/>
      <c r="CS38" s="247"/>
      <c r="CT38" s="247"/>
      <c r="CU38" s="247"/>
      <c r="CV38" s="247"/>
      <c r="CW38" s="247"/>
      <c r="CX38" s="247"/>
      <c r="CY38" s="247"/>
      <c r="CZ38" s="247"/>
      <c r="DA38" s="247"/>
      <c r="DB38" s="247"/>
      <c r="DC38" s="247"/>
      <c r="DD38" s="247"/>
    </row>
    <row r="39" spans="1:108" x14ac:dyDescent="0.2">
      <c r="A39" s="149"/>
      <c r="B39" s="190" t="s">
        <v>245</v>
      </c>
      <c r="C39" s="193">
        <v>38663</v>
      </c>
      <c r="D39" s="190">
        <v>14154.09</v>
      </c>
      <c r="E39" s="223">
        <v>1</v>
      </c>
      <c r="F39" s="214"/>
      <c r="G39" s="223" t="s">
        <v>47</v>
      </c>
      <c r="H39" s="223">
        <v>59917.561333830003</v>
      </c>
      <c r="I39" s="164"/>
      <c r="J39" s="157"/>
      <c r="K39" s="228"/>
      <c r="L39" s="228"/>
      <c r="M39" s="228"/>
      <c r="O39" s="241" t="s">
        <v>47</v>
      </c>
      <c r="P39" s="241">
        <v>58759.771307390001</v>
      </c>
      <c r="Q39" s="239"/>
      <c r="R39" s="157"/>
      <c r="S39" s="253" t="s">
        <v>446</v>
      </c>
      <c r="T39" s="258">
        <v>306518015640.89606</v>
      </c>
      <c r="U39" s="258">
        <v>946679</v>
      </c>
      <c r="V39" s="258">
        <v>262406</v>
      </c>
      <c r="W39" s="258">
        <v>666947</v>
      </c>
      <c r="X39" s="258">
        <v>1</v>
      </c>
      <c r="Y39" s="245"/>
      <c r="Z39" s="253" t="s">
        <v>600</v>
      </c>
      <c r="AA39" s="253">
        <v>102286132.75</v>
      </c>
      <c r="AB39" s="253">
        <v>5581</v>
      </c>
      <c r="AC39" s="253">
        <v>213</v>
      </c>
      <c r="AD39" s="253">
        <v>43686</v>
      </c>
      <c r="AE39" s="253">
        <v>1</v>
      </c>
      <c r="AF39" s="253"/>
      <c r="AG39" s="253" t="s">
        <v>600</v>
      </c>
      <c r="AH39" s="253">
        <v>6735400.4000000004</v>
      </c>
      <c r="AI39" s="253">
        <v>383</v>
      </c>
      <c r="AJ39" s="253">
        <v>38</v>
      </c>
      <c r="AK39" s="253">
        <v>1728</v>
      </c>
      <c r="AL39" s="253">
        <v>1</v>
      </c>
      <c r="AM39" s="245"/>
      <c r="AN39" s="253" t="s">
        <v>598</v>
      </c>
      <c r="AO39" s="253">
        <v>0</v>
      </c>
      <c r="AP39" s="253">
        <v>0</v>
      </c>
      <c r="AQ39" s="253">
        <v>0</v>
      </c>
      <c r="AR39" s="253">
        <v>0</v>
      </c>
      <c r="AS39" s="253">
        <v>1</v>
      </c>
      <c r="AT39" s="245"/>
      <c r="AU39" s="253" t="s">
        <v>600</v>
      </c>
      <c r="AV39" s="253">
        <v>464187.5</v>
      </c>
      <c r="AW39" s="253">
        <v>25</v>
      </c>
      <c r="AX39" s="253">
        <v>2</v>
      </c>
      <c r="AY39" s="253">
        <v>3169</v>
      </c>
      <c r="AZ39" s="253">
        <v>1</v>
      </c>
      <c r="BA39" s="245"/>
      <c r="BB39" s="253" t="s">
        <v>568</v>
      </c>
      <c r="BC39" s="253">
        <v>1735815242.95</v>
      </c>
      <c r="BD39" s="253">
        <v>9311</v>
      </c>
      <c r="BE39" s="253">
        <v>814</v>
      </c>
      <c r="BF39" s="253">
        <v>52819</v>
      </c>
      <c r="BG39" s="253">
        <v>1</v>
      </c>
      <c r="BH39" s="247" t="s">
        <v>568</v>
      </c>
      <c r="BI39" s="253">
        <v>146264477.34999999</v>
      </c>
      <c r="BJ39" s="253">
        <v>778</v>
      </c>
      <c r="BK39" s="253">
        <v>47</v>
      </c>
      <c r="BL39" s="253">
        <v>3142</v>
      </c>
      <c r="BM39" s="253">
        <v>1</v>
      </c>
      <c r="BN39" s="253"/>
      <c r="BO39" s="247"/>
      <c r="BP39" s="247"/>
      <c r="BQ39" s="247"/>
      <c r="BR39" s="247"/>
      <c r="BS39" s="245"/>
      <c r="BT39" s="245"/>
      <c r="BU39" s="245"/>
      <c r="BV39" s="245"/>
      <c r="BW39" s="245"/>
      <c r="BX39" s="245"/>
      <c r="BY39" s="245"/>
      <c r="BZ39" s="245"/>
      <c r="CA39" s="245"/>
      <c r="CB39" s="245"/>
      <c r="CC39" s="245"/>
      <c r="CD39" s="245"/>
      <c r="CE39" s="245"/>
      <c r="CF39" s="245"/>
      <c r="CG39" s="245"/>
      <c r="CH39" s="245"/>
      <c r="CI39" s="245"/>
      <c r="CJ39" s="245"/>
      <c r="CK39" s="245"/>
      <c r="CL39" s="245"/>
      <c r="CM39" s="245"/>
      <c r="CN39" s="245"/>
      <c r="CO39" s="245"/>
      <c r="CP39" s="245"/>
      <c r="CQ39" s="245"/>
      <c r="CR39" s="245"/>
      <c r="CS39" s="247"/>
      <c r="CT39" s="247"/>
      <c r="CU39" s="247"/>
      <c r="CV39" s="247"/>
      <c r="CW39" s="247"/>
      <c r="CX39" s="247"/>
      <c r="CY39" s="247"/>
      <c r="CZ39" s="247"/>
      <c r="DA39" s="247"/>
      <c r="DB39" s="247"/>
      <c r="DC39" s="247"/>
      <c r="DD39" s="247"/>
    </row>
    <row r="40" spans="1:108" x14ac:dyDescent="0.2">
      <c r="A40" s="149"/>
      <c r="B40" s="190" t="s">
        <v>246</v>
      </c>
      <c r="C40" s="193">
        <v>38663</v>
      </c>
      <c r="D40" s="190">
        <v>43569.17</v>
      </c>
      <c r="E40" s="223">
        <v>1</v>
      </c>
      <c r="F40" s="214"/>
      <c r="G40" s="223" t="s">
        <v>43</v>
      </c>
      <c r="H40" s="223">
        <v>56522.113845200001</v>
      </c>
      <c r="I40" s="164"/>
      <c r="J40" s="157"/>
      <c r="K40" s="228"/>
      <c r="L40" s="228"/>
      <c r="M40" s="228"/>
      <c r="O40" s="241" t="s">
        <v>43</v>
      </c>
      <c r="P40" s="241">
        <v>55207.40675129</v>
      </c>
      <c r="Q40" s="239"/>
      <c r="R40" s="157"/>
      <c r="S40" s="253" t="s">
        <v>451</v>
      </c>
      <c r="T40" s="258">
        <v>2241752507.7470002</v>
      </c>
      <c r="U40" s="258">
        <v>30652</v>
      </c>
      <c r="V40" s="258">
        <v>144</v>
      </c>
      <c r="W40" s="258">
        <v>303759</v>
      </c>
      <c r="X40" s="258">
        <v>1</v>
      </c>
      <c r="Y40" s="245"/>
      <c r="Z40" s="253" t="s">
        <v>601</v>
      </c>
      <c r="AA40" s="253">
        <v>555632</v>
      </c>
      <c r="AB40" s="253">
        <v>35</v>
      </c>
      <c r="AC40" s="253">
        <v>4</v>
      </c>
      <c r="AD40" s="253">
        <v>230</v>
      </c>
      <c r="AE40" s="253">
        <v>1</v>
      </c>
      <c r="AF40" s="253"/>
      <c r="AG40" s="253" t="s">
        <v>601</v>
      </c>
      <c r="AH40" s="253">
        <v>0</v>
      </c>
      <c r="AI40" s="253">
        <v>0</v>
      </c>
      <c r="AJ40" s="253">
        <v>0</v>
      </c>
      <c r="AK40" s="253">
        <v>10</v>
      </c>
      <c r="AL40" s="253">
        <v>1</v>
      </c>
      <c r="AM40" s="245"/>
      <c r="AN40" s="253" t="s">
        <v>568</v>
      </c>
      <c r="AO40" s="253">
        <v>3611331515.0100002</v>
      </c>
      <c r="AP40" s="253">
        <v>16934</v>
      </c>
      <c r="AQ40" s="253">
        <v>1586</v>
      </c>
      <c r="AR40" s="253">
        <v>377008</v>
      </c>
      <c r="AS40" s="253">
        <v>1</v>
      </c>
      <c r="AT40" s="245"/>
      <c r="AU40" s="253" t="s">
        <v>601</v>
      </c>
      <c r="AV40" s="253">
        <v>0</v>
      </c>
      <c r="AW40" s="253">
        <v>0</v>
      </c>
      <c r="AX40" s="253">
        <v>0</v>
      </c>
      <c r="AY40" s="253">
        <v>5</v>
      </c>
      <c r="AZ40" s="253">
        <v>1</v>
      </c>
      <c r="BA40" s="245"/>
      <c r="BB40" s="253" t="s">
        <v>599</v>
      </c>
      <c r="BC40" s="253">
        <v>0</v>
      </c>
      <c r="BD40" s="253">
        <v>0</v>
      </c>
      <c r="BE40" s="253">
        <v>0</v>
      </c>
      <c r="BF40" s="253">
        <v>3360</v>
      </c>
      <c r="BG40" s="253">
        <v>0</v>
      </c>
      <c r="BH40" s="247" t="s">
        <v>599</v>
      </c>
      <c r="BI40" s="253">
        <v>0</v>
      </c>
      <c r="BJ40" s="253">
        <v>0</v>
      </c>
      <c r="BK40" s="253">
        <v>0</v>
      </c>
      <c r="BL40" s="253">
        <v>0</v>
      </c>
      <c r="BM40" s="253">
        <v>0</v>
      </c>
      <c r="BN40" s="253"/>
      <c r="BO40" s="256" t="s">
        <v>474</v>
      </c>
      <c r="BP40" s="264" t="s">
        <v>537</v>
      </c>
      <c r="BQ40" s="264" t="s">
        <v>562</v>
      </c>
      <c r="BR40" s="264" t="s">
        <v>563</v>
      </c>
      <c r="BS40" s="245"/>
      <c r="BT40" s="245"/>
      <c r="BU40" s="245"/>
      <c r="BV40" s="245"/>
      <c r="BW40" s="245"/>
      <c r="BX40" s="245"/>
      <c r="BY40" s="245"/>
      <c r="BZ40" s="245"/>
      <c r="CA40" s="245"/>
      <c r="CB40" s="245"/>
      <c r="CC40" s="245"/>
      <c r="CD40" s="245"/>
      <c r="CE40" s="245"/>
      <c r="CF40" s="245"/>
      <c r="CG40" s="245"/>
      <c r="CH40" s="245"/>
      <c r="CI40" s="245"/>
      <c r="CJ40" s="245"/>
      <c r="CK40" s="245"/>
      <c r="CL40" s="245"/>
      <c r="CM40" s="245"/>
      <c r="CN40" s="245"/>
      <c r="CO40" s="245"/>
      <c r="CP40" s="245"/>
      <c r="CQ40" s="245"/>
      <c r="CR40" s="245"/>
      <c r="CS40" s="247"/>
      <c r="CT40" s="247"/>
      <c r="CU40" s="247"/>
      <c r="CV40" s="247"/>
      <c r="CW40" s="247"/>
      <c r="CX40" s="247"/>
      <c r="CY40" s="247"/>
      <c r="CZ40" s="247"/>
      <c r="DA40" s="247"/>
      <c r="DB40" s="247"/>
      <c r="DC40" s="247"/>
      <c r="DD40" s="247"/>
    </row>
    <row r="41" spans="1:108" x14ac:dyDescent="0.2">
      <c r="B41" s="190" t="s">
        <v>247</v>
      </c>
      <c r="C41" s="193">
        <v>38715</v>
      </c>
      <c r="D41" s="190">
        <v>25723.24</v>
      </c>
      <c r="E41" s="223">
        <v>1</v>
      </c>
      <c r="F41" s="214"/>
      <c r="G41" s="223" t="s">
        <v>49</v>
      </c>
      <c r="H41" s="223">
        <v>7508.0870176999997</v>
      </c>
      <c r="I41" s="164"/>
      <c r="J41" s="157"/>
      <c r="K41" s="228"/>
      <c r="L41" s="228"/>
      <c r="M41" s="228"/>
      <c r="O41" s="241" t="s">
        <v>49</v>
      </c>
      <c r="P41" s="241">
        <v>7497.1929955899996</v>
      </c>
      <c r="Q41" s="239"/>
      <c r="R41" s="157"/>
      <c r="S41" s="253" t="s">
        <v>450</v>
      </c>
      <c r="T41" s="258">
        <v>0</v>
      </c>
      <c r="U41" s="258">
        <v>133980</v>
      </c>
      <c r="V41" s="258">
        <v>77</v>
      </c>
      <c r="W41" s="258">
        <v>13536615</v>
      </c>
      <c r="X41" s="258">
        <v>1</v>
      </c>
      <c r="Y41" s="245"/>
      <c r="Z41" s="253" t="s">
        <v>573</v>
      </c>
      <c r="AA41" s="253">
        <v>31828710.039999999</v>
      </c>
      <c r="AB41" s="253">
        <v>245</v>
      </c>
      <c r="AC41" s="253">
        <v>40</v>
      </c>
      <c r="AD41" s="253">
        <v>958</v>
      </c>
      <c r="AE41" s="253">
        <v>1</v>
      </c>
      <c r="AF41" s="253"/>
      <c r="AG41" s="253" t="s">
        <v>573</v>
      </c>
      <c r="AH41" s="253">
        <v>1321000</v>
      </c>
      <c r="AI41" s="253">
        <v>10</v>
      </c>
      <c r="AJ41" s="253">
        <v>1</v>
      </c>
      <c r="AK41" s="253">
        <v>67</v>
      </c>
      <c r="AL41" s="253">
        <v>1</v>
      </c>
      <c r="AM41" s="245"/>
      <c r="AN41" s="253" t="s">
        <v>599</v>
      </c>
      <c r="AO41" s="253">
        <v>0</v>
      </c>
      <c r="AP41" s="253">
        <v>0</v>
      </c>
      <c r="AQ41" s="253">
        <v>0</v>
      </c>
      <c r="AR41" s="253">
        <v>0</v>
      </c>
      <c r="AS41" s="253">
        <v>0</v>
      </c>
      <c r="AT41" s="245"/>
      <c r="AU41" s="253" t="s">
        <v>573</v>
      </c>
      <c r="AV41" s="253">
        <v>0</v>
      </c>
      <c r="AW41" s="253">
        <v>0</v>
      </c>
      <c r="AX41" s="253">
        <v>0</v>
      </c>
      <c r="AY41" s="253">
        <v>49</v>
      </c>
      <c r="AZ41" s="253">
        <v>1</v>
      </c>
      <c r="BA41" s="245"/>
      <c r="BB41" s="253" t="s">
        <v>600</v>
      </c>
      <c r="BC41" s="253">
        <v>120670780.34999999</v>
      </c>
      <c r="BD41" s="253">
        <v>7197</v>
      </c>
      <c r="BE41" s="253">
        <v>74</v>
      </c>
      <c r="BF41" s="253">
        <v>38242</v>
      </c>
      <c r="BG41" s="253">
        <v>1</v>
      </c>
      <c r="BH41" s="247" t="s">
        <v>600</v>
      </c>
      <c r="BI41" s="253">
        <v>18838100.800000001</v>
      </c>
      <c r="BJ41" s="253">
        <v>1153</v>
      </c>
      <c r="BK41" s="253">
        <v>10</v>
      </c>
      <c r="BL41" s="253">
        <v>2623</v>
      </c>
      <c r="BM41" s="253">
        <v>1</v>
      </c>
      <c r="BN41" s="253"/>
      <c r="BO41" s="245"/>
      <c r="BP41" s="263">
        <v>16514733121.83</v>
      </c>
      <c r="BQ41" s="263">
        <v>156812</v>
      </c>
      <c r="BR41" s="263">
        <v>737</v>
      </c>
      <c r="BS41" s="245"/>
      <c r="BT41" s="245"/>
      <c r="BU41" s="245"/>
      <c r="BV41" s="245"/>
      <c r="BW41" s="245"/>
      <c r="BX41" s="245"/>
      <c r="BY41" s="245"/>
      <c r="BZ41" s="245"/>
      <c r="CA41" s="245"/>
      <c r="CB41" s="245"/>
      <c r="CC41" s="245"/>
      <c r="CD41" s="245"/>
      <c r="CE41" s="245"/>
      <c r="CF41" s="245"/>
      <c r="CG41" s="245"/>
      <c r="CH41" s="245"/>
      <c r="CI41" s="245"/>
      <c r="CJ41" s="245"/>
      <c r="CK41" s="245"/>
      <c r="CL41" s="245"/>
      <c r="CM41" s="245"/>
      <c r="CN41" s="245"/>
      <c r="CO41" s="245"/>
      <c r="CP41" s="245"/>
      <c r="CQ41" s="245"/>
      <c r="CR41" s="245"/>
      <c r="CS41" s="247"/>
      <c r="CT41" s="247"/>
      <c r="CU41" s="247"/>
      <c r="CV41" s="247"/>
      <c r="CW41" s="247"/>
      <c r="CX41" s="247"/>
      <c r="CY41" s="247"/>
      <c r="CZ41" s="247"/>
      <c r="DA41" s="247"/>
      <c r="DB41" s="247"/>
      <c r="DC41" s="247"/>
      <c r="DD41" s="247"/>
    </row>
    <row r="42" spans="1:108" x14ac:dyDescent="0.2">
      <c r="B42" s="190" t="s">
        <v>248</v>
      </c>
      <c r="C42" s="193">
        <v>38716</v>
      </c>
      <c r="D42" s="190">
        <v>18207.32</v>
      </c>
      <c r="E42" s="223">
        <v>1</v>
      </c>
      <c r="F42" s="214"/>
      <c r="G42" s="223" t="s">
        <v>546</v>
      </c>
      <c r="H42" s="223">
        <v>55296.422052280002</v>
      </c>
      <c r="I42" s="164"/>
      <c r="J42" s="157"/>
      <c r="K42" s="228"/>
      <c r="L42" s="228"/>
      <c r="M42" s="228"/>
      <c r="O42" s="241" t="s">
        <v>546</v>
      </c>
      <c r="P42" s="241">
        <v>54152.8183814</v>
      </c>
      <c r="Q42" s="239"/>
      <c r="R42" s="157"/>
      <c r="S42" s="253" t="s">
        <v>448</v>
      </c>
      <c r="T42" s="258">
        <v>47069448</v>
      </c>
      <c r="U42" s="258">
        <v>178329</v>
      </c>
      <c r="V42" s="258">
        <v>3557</v>
      </c>
      <c r="W42" s="258">
        <v>874404</v>
      </c>
      <c r="X42" s="258">
        <v>1</v>
      </c>
      <c r="Y42" s="245"/>
      <c r="Z42" s="253" t="s">
        <v>574</v>
      </c>
      <c r="AA42" s="253">
        <v>0</v>
      </c>
      <c r="AB42" s="253">
        <v>0</v>
      </c>
      <c r="AC42" s="253">
        <v>0</v>
      </c>
      <c r="AD42" s="253">
        <v>0</v>
      </c>
      <c r="AE42" s="253">
        <v>0</v>
      </c>
      <c r="AF42" s="253"/>
      <c r="AG42" s="253" t="s">
        <v>574</v>
      </c>
      <c r="AH42" s="253">
        <v>0</v>
      </c>
      <c r="AI42" s="253">
        <v>0</v>
      </c>
      <c r="AJ42" s="253">
        <v>0</v>
      </c>
      <c r="AK42" s="253">
        <v>0</v>
      </c>
      <c r="AL42" s="253">
        <v>0</v>
      </c>
      <c r="AM42" s="245"/>
      <c r="AN42" s="253" t="s">
        <v>600</v>
      </c>
      <c r="AO42" s="253">
        <v>165001761.09999999</v>
      </c>
      <c r="AP42" s="253">
        <v>8371</v>
      </c>
      <c r="AQ42" s="253">
        <v>194</v>
      </c>
      <c r="AR42" s="253">
        <v>53772</v>
      </c>
      <c r="AS42" s="253">
        <v>1</v>
      </c>
      <c r="AT42" s="245"/>
      <c r="AU42" s="253" t="s">
        <v>574</v>
      </c>
      <c r="AV42" s="253">
        <v>0</v>
      </c>
      <c r="AW42" s="253">
        <v>0</v>
      </c>
      <c r="AX42" s="253">
        <v>0</v>
      </c>
      <c r="AY42" s="253">
        <v>0</v>
      </c>
      <c r="AZ42" s="253">
        <v>0</v>
      </c>
      <c r="BA42" s="245"/>
      <c r="BB42" s="253" t="s">
        <v>601</v>
      </c>
      <c r="BC42" s="253">
        <v>0</v>
      </c>
      <c r="BD42" s="253">
        <v>0</v>
      </c>
      <c r="BE42" s="253">
        <v>0</v>
      </c>
      <c r="BF42" s="253">
        <v>0</v>
      </c>
      <c r="BG42" s="253">
        <v>1</v>
      </c>
      <c r="BH42" s="247" t="s">
        <v>601</v>
      </c>
      <c r="BI42" s="253">
        <v>0</v>
      </c>
      <c r="BJ42" s="253">
        <v>0</v>
      </c>
      <c r="BK42" s="253">
        <v>0</v>
      </c>
      <c r="BL42" s="253">
        <v>0</v>
      </c>
      <c r="BM42" s="253">
        <v>1</v>
      </c>
      <c r="BN42" s="253"/>
      <c r="BO42" s="247"/>
      <c r="BP42" s="263"/>
      <c r="BQ42" s="263"/>
      <c r="BR42" s="263"/>
      <c r="BS42" s="245"/>
      <c r="BT42" s="245"/>
      <c r="BU42" s="245"/>
      <c r="BV42" s="245"/>
      <c r="BW42" s="245"/>
      <c r="BX42" s="245"/>
      <c r="BY42" s="245"/>
      <c r="BZ42" s="245"/>
      <c r="CA42" s="245"/>
      <c r="CB42" s="245"/>
      <c r="CC42" s="245"/>
      <c r="CD42" s="245"/>
      <c r="CE42" s="245"/>
      <c r="CF42" s="245"/>
      <c r="CG42" s="245"/>
      <c r="CH42" s="245"/>
      <c r="CI42" s="245"/>
      <c r="CJ42" s="245"/>
      <c r="CK42" s="245"/>
      <c r="CL42" s="245"/>
      <c r="CM42" s="245"/>
      <c r="CN42" s="245"/>
      <c r="CO42" s="245"/>
      <c r="CP42" s="245"/>
      <c r="CQ42" s="245"/>
      <c r="CR42" s="245"/>
      <c r="CS42" s="245"/>
      <c r="CT42" s="245"/>
      <c r="CU42" s="245"/>
      <c r="CV42" s="245"/>
      <c r="CW42" s="245"/>
      <c r="CX42" s="245"/>
      <c r="CY42" s="245"/>
      <c r="CZ42" s="245"/>
      <c r="DA42" s="245"/>
      <c r="DB42" s="245"/>
      <c r="DC42" s="245"/>
      <c r="DD42" s="245"/>
    </row>
    <row r="43" spans="1:108" x14ac:dyDescent="0.2">
      <c r="B43" s="190" t="s">
        <v>249</v>
      </c>
      <c r="C43" s="193">
        <v>38615</v>
      </c>
      <c r="D43" s="190">
        <v>4728.4799999999996</v>
      </c>
      <c r="E43" s="223">
        <v>1</v>
      </c>
      <c r="F43" s="214"/>
      <c r="G43" s="223" t="s">
        <v>547</v>
      </c>
      <c r="H43" s="223">
        <v>54776.170641500001</v>
      </c>
      <c r="I43" s="164"/>
      <c r="J43" s="157"/>
      <c r="K43" s="228"/>
      <c r="L43" s="228"/>
      <c r="M43" s="228"/>
      <c r="O43" s="241" t="s">
        <v>547</v>
      </c>
      <c r="P43" s="241">
        <v>53494.787071619998</v>
      </c>
      <c r="Q43" s="239"/>
      <c r="S43" s="245"/>
      <c r="T43" s="245"/>
      <c r="U43" s="245"/>
      <c r="V43" s="245"/>
      <c r="W43" s="245"/>
      <c r="X43" s="245"/>
      <c r="Y43" s="245"/>
      <c r="Z43" s="253" t="s">
        <v>575</v>
      </c>
      <c r="AA43" s="253">
        <v>0</v>
      </c>
      <c r="AB43" s="253">
        <v>0</v>
      </c>
      <c r="AC43" s="253">
        <v>0</v>
      </c>
      <c r="AD43" s="253">
        <v>0</v>
      </c>
      <c r="AE43" s="253">
        <v>0</v>
      </c>
      <c r="AF43" s="253"/>
      <c r="AG43" s="253" t="s">
        <v>575</v>
      </c>
      <c r="AH43" s="253">
        <v>0</v>
      </c>
      <c r="AI43" s="253">
        <v>0</v>
      </c>
      <c r="AJ43" s="253">
        <v>0</v>
      </c>
      <c r="AK43" s="253">
        <v>0</v>
      </c>
      <c r="AL43" s="253">
        <v>0</v>
      </c>
      <c r="AM43" s="245"/>
      <c r="AN43" s="253" t="s">
        <v>601</v>
      </c>
      <c r="AO43" s="253">
        <v>0</v>
      </c>
      <c r="AP43" s="253">
        <v>0</v>
      </c>
      <c r="AQ43" s="253">
        <v>0</v>
      </c>
      <c r="AR43" s="253">
        <v>105</v>
      </c>
      <c r="AS43" s="253">
        <v>1</v>
      </c>
      <c r="AT43" s="245"/>
      <c r="AU43" s="253" t="s">
        <v>575</v>
      </c>
      <c r="AV43" s="253">
        <v>0</v>
      </c>
      <c r="AW43" s="253">
        <v>0</v>
      </c>
      <c r="AX43" s="253">
        <v>0</v>
      </c>
      <c r="AY43" s="253">
        <v>0</v>
      </c>
      <c r="AZ43" s="253">
        <v>0</v>
      </c>
      <c r="BA43" s="245"/>
      <c r="BB43" s="253" t="s">
        <v>573</v>
      </c>
      <c r="BC43" s="253">
        <v>12105680</v>
      </c>
      <c r="BD43" s="253">
        <v>90</v>
      </c>
      <c r="BE43" s="253">
        <v>22</v>
      </c>
      <c r="BF43" s="253">
        <v>1115</v>
      </c>
      <c r="BG43" s="253">
        <v>1</v>
      </c>
      <c r="BH43" s="247" t="s">
        <v>573</v>
      </c>
      <c r="BI43" s="253">
        <v>1841660</v>
      </c>
      <c r="BJ43" s="253">
        <v>14</v>
      </c>
      <c r="BK43" s="253">
        <v>5</v>
      </c>
      <c r="BL43" s="253">
        <v>67</v>
      </c>
      <c r="BM43" s="253">
        <v>1</v>
      </c>
      <c r="BN43" s="253"/>
      <c r="BO43" s="252" t="s">
        <v>488</v>
      </c>
      <c r="BP43" s="264" t="s">
        <v>564</v>
      </c>
      <c r="BQ43" s="263"/>
      <c r="BR43" s="263"/>
      <c r="BS43" s="245"/>
      <c r="BT43" s="245"/>
      <c r="BU43" s="245"/>
      <c r="BV43" s="245"/>
      <c r="BW43" s="245"/>
      <c r="BX43" s="245"/>
      <c r="BY43" s="245"/>
      <c r="BZ43" s="245"/>
      <c r="CA43" s="245"/>
      <c r="CB43" s="245"/>
      <c r="CC43" s="245"/>
      <c r="CD43" s="245"/>
      <c r="CE43" s="245"/>
      <c r="CF43" s="245"/>
      <c r="CG43" s="245"/>
      <c r="CH43" s="245"/>
      <c r="CI43" s="245"/>
      <c r="CJ43" s="245"/>
      <c r="CK43" s="245"/>
      <c r="CL43" s="245"/>
      <c r="CM43" s="245"/>
      <c r="CN43" s="245"/>
      <c r="CO43" s="245"/>
      <c r="CP43" s="245"/>
      <c r="CQ43" s="245"/>
      <c r="CR43" s="245"/>
      <c r="CS43" s="245"/>
      <c r="CT43" s="245"/>
      <c r="CU43" s="245"/>
      <c r="CV43" s="245"/>
      <c r="CW43" s="245"/>
      <c r="CX43" s="245"/>
      <c r="CY43" s="245"/>
      <c r="CZ43" s="245"/>
      <c r="DA43" s="245"/>
      <c r="DB43" s="245"/>
      <c r="DC43" s="245"/>
      <c r="DD43" s="245"/>
    </row>
    <row r="44" spans="1:108" x14ac:dyDescent="0.2">
      <c r="A44" s="35"/>
      <c r="B44" s="190" t="s">
        <v>250</v>
      </c>
      <c r="C44" s="193">
        <v>38716</v>
      </c>
      <c r="D44" s="190">
        <v>23744.76</v>
      </c>
      <c r="E44" s="223">
        <v>1</v>
      </c>
      <c r="F44" s="209"/>
      <c r="G44" s="223" t="s">
        <v>282</v>
      </c>
      <c r="H44" s="223">
        <v>4134.9448578399997</v>
      </c>
      <c r="I44" s="164"/>
      <c r="J44" s="157"/>
      <c r="K44" s="228"/>
      <c r="L44" s="228"/>
      <c r="M44" s="228"/>
      <c r="O44" s="241" t="s">
        <v>282</v>
      </c>
      <c r="P44" s="241">
        <v>3981.8527361199999</v>
      </c>
      <c r="Q44" s="239"/>
      <c r="S44" s="245"/>
      <c r="T44" s="245"/>
      <c r="U44" s="245"/>
      <c r="V44" s="245"/>
      <c r="W44" s="245"/>
      <c r="X44" s="245"/>
      <c r="Y44" s="245"/>
      <c r="Z44" s="253" t="s">
        <v>576</v>
      </c>
      <c r="AA44" s="253">
        <v>38178480</v>
      </c>
      <c r="AB44" s="253">
        <v>339</v>
      </c>
      <c r="AC44" s="253">
        <v>22</v>
      </c>
      <c r="AD44" s="253">
        <v>2411</v>
      </c>
      <c r="AE44" s="253">
        <v>1</v>
      </c>
      <c r="AF44" s="253"/>
      <c r="AG44" s="253" t="s">
        <v>576</v>
      </c>
      <c r="AH44" s="253">
        <v>1462000</v>
      </c>
      <c r="AI44" s="253">
        <v>14</v>
      </c>
      <c r="AJ44" s="253">
        <v>2</v>
      </c>
      <c r="AK44" s="253">
        <v>134</v>
      </c>
      <c r="AL44" s="253">
        <v>1</v>
      </c>
      <c r="AM44" s="245"/>
      <c r="AN44" s="253" t="s">
        <v>573</v>
      </c>
      <c r="AO44" s="253">
        <v>22759420.149999999</v>
      </c>
      <c r="AP44" s="253">
        <v>184</v>
      </c>
      <c r="AQ44" s="253">
        <v>34</v>
      </c>
      <c r="AR44" s="253">
        <v>1584</v>
      </c>
      <c r="AS44" s="253">
        <v>1</v>
      </c>
      <c r="AT44" s="245"/>
      <c r="AU44" s="253" t="s">
        <v>576</v>
      </c>
      <c r="AV44" s="253">
        <v>0</v>
      </c>
      <c r="AW44" s="253">
        <v>0</v>
      </c>
      <c r="AX44" s="253">
        <v>0</v>
      </c>
      <c r="AY44" s="253">
        <v>60</v>
      </c>
      <c r="AZ44" s="253">
        <v>1</v>
      </c>
      <c r="BA44" s="245"/>
      <c r="BB44" s="253" t="s">
        <v>574</v>
      </c>
      <c r="BC44" s="253">
        <v>0</v>
      </c>
      <c r="BD44" s="253">
        <v>0</v>
      </c>
      <c r="BE44" s="253">
        <v>0</v>
      </c>
      <c r="BF44" s="253">
        <v>0</v>
      </c>
      <c r="BG44" s="253">
        <v>0</v>
      </c>
      <c r="BH44" s="247" t="s">
        <v>574</v>
      </c>
      <c r="BI44" s="253">
        <v>0</v>
      </c>
      <c r="BJ44" s="253">
        <v>0</v>
      </c>
      <c r="BK44" s="253">
        <v>0</v>
      </c>
      <c r="BL44" s="253">
        <v>0</v>
      </c>
      <c r="BM44" s="253">
        <v>0</v>
      </c>
      <c r="BN44" s="253"/>
      <c r="BO44" s="247"/>
      <c r="BP44" s="263">
        <v>659642</v>
      </c>
      <c r="BQ44" s="263"/>
      <c r="BR44" s="263"/>
      <c r="BS44" s="245"/>
      <c r="BT44" s="245"/>
      <c r="BU44" s="245"/>
      <c r="BV44" s="245"/>
      <c r="BW44" s="245"/>
      <c r="BX44" s="245"/>
      <c r="BY44" s="245"/>
      <c r="BZ44" s="245"/>
      <c r="CA44" s="245"/>
      <c r="CB44" s="245"/>
      <c r="CC44" s="245"/>
      <c r="CD44" s="245"/>
      <c r="CE44" s="245"/>
      <c r="CF44" s="245"/>
      <c r="CG44" s="245"/>
      <c r="CH44" s="245"/>
      <c r="CI44" s="245"/>
      <c r="CJ44" s="245"/>
      <c r="CK44" s="245"/>
      <c r="CL44" s="245"/>
      <c r="CM44" s="245"/>
      <c r="CN44" s="245"/>
      <c r="CO44" s="245"/>
      <c r="CP44" s="245"/>
      <c r="CQ44" s="245"/>
      <c r="CR44" s="245"/>
      <c r="CS44" s="245"/>
      <c r="CT44" s="245"/>
      <c r="CU44" s="245"/>
      <c r="CV44" s="245"/>
      <c r="CW44" s="245"/>
      <c r="CX44" s="245"/>
      <c r="CY44" s="245"/>
      <c r="CZ44" s="245"/>
      <c r="DA44" s="245"/>
      <c r="DB44" s="245"/>
      <c r="DC44" s="245"/>
      <c r="DD44" s="245"/>
    </row>
    <row r="45" spans="1:108" x14ac:dyDescent="0.2">
      <c r="B45" s="190" t="s">
        <v>251</v>
      </c>
      <c r="C45" s="193">
        <v>38715</v>
      </c>
      <c r="D45" s="190">
        <v>24993.42</v>
      </c>
      <c r="E45" s="223">
        <v>1</v>
      </c>
      <c r="F45" s="210"/>
      <c r="G45" s="223" t="s">
        <v>61</v>
      </c>
      <c r="H45" s="223">
        <v>35773.836190399998</v>
      </c>
      <c r="I45" s="164"/>
      <c r="J45" s="157"/>
      <c r="K45" s="228"/>
      <c r="L45" s="228"/>
      <c r="M45" s="228"/>
      <c r="O45" s="241" t="s">
        <v>61</v>
      </c>
      <c r="P45" s="241">
        <v>34441.098300340003</v>
      </c>
      <c r="Q45" s="239"/>
      <c r="R45" s="153" t="s">
        <v>455</v>
      </c>
      <c r="S45" s="254" t="s">
        <v>560</v>
      </c>
      <c r="T45" s="257" t="s">
        <v>561</v>
      </c>
      <c r="U45" s="257" t="s">
        <v>562</v>
      </c>
      <c r="V45" s="257" t="s">
        <v>563</v>
      </c>
      <c r="W45" s="257" t="s">
        <v>564</v>
      </c>
      <c r="X45" s="257" t="s">
        <v>565</v>
      </c>
      <c r="Y45" s="245"/>
      <c r="Z45" s="253" t="s">
        <v>578</v>
      </c>
      <c r="AA45" s="253">
        <v>0</v>
      </c>
      <c r="AB45" s="253">
        <v>0</v>
      </c>
      <c r="AC45" s="253">
        <v>0</v>
      </c>
      <c r="AD45" s="253">
        <v>0</v>
      </c>
      <c r="AE45" s="253">
        <v>0</v>
      </c>
      <c r="AF45" s="253"/>
      <c r="AG45" s="253" t="s">
        <v>578</v>
      </c>
      <c r="AH45" s="253">
        <v>0</v>
      </c>
      <c r="AI45" s="253">
        <v>0</v>
      </c>
      <c r="AJ45" s="253">
        <v>0</v>
      </c>
      <c r="AK45" s="253">
        <v>0</v>
      </c>
      <c r="AL45" s="253">
        <v>0</v>
      </c>
      <c r="AM45" s="245"/>
      <c r="AN45" s="253" t="s">
        <v>574</v>
      </c>
      <c r="AO45" s="253">
        <v>0</v>
      </c>
      <c r="AP45" s="253">
        <v>0</v>
      </c>
      <c r="AQ45" s="253">
        <v>0</v>
      </c>
      <c r="AR45" s="253">
        <v>0</v>
      </c>
      <c r="AS45" s="253">
        <v>0</v>
      </c>
      <c r="AT45" s="245"/>
      <c r="AU45" s="253" t="s">
        <v>578</v>
      </c>
      <c r="AV45" s="253">
        <v>0</v>
      </c>
      <c r="AW45" s="253">
        <v>0</v>
      </c>
      <c r="AX45" s="253">
        <v>0</v>
      </c>
      <c r="AY45" s="253">
        <v>0</v>
      </c>
      <c r="AZ45" s="253">
        <v>0</v>
      </c>
      <c r="BA45" s="245"/>
      <c r="BB45" s="253" t="s">
        <v>575</v>
      </c>
      <c r="BC45" s="253">
        <v>0</v>
      </c>
      <c r="BD45" s="253">
        <v>0</v>
      </c>
      <c r="BE45" s="253">
        <v>0</v>
      </c>
      <c r="BF45" s="253">
        <v>0</v>
      </c>
      <c r="BG45" s="253">
        <v>0</v>
      </c>
      <c r="BH45" s="247" t="s">
        <v>575</v>
      </c>
      <c r="BI45" s="253">
        <v>0</v>
      </c>
      <c r="BJ45" s="253">
        <v>0</v>
      </c>
      <c r="BK45" s="253">
        <v>0</v>
      </c>
      <c r="BL45" s="253">
        <v>0</v>
      </c>
      <c r="BM45" s="253">
        <v>0</v>
      </c>
      <c r="BN45" s="253"/>
      <c r="BO45" s="247"/>
      <c r="BP45" s="263"/>
      <c r="BQ45" s="263"/>
      <c r="BR45" s="263"/>
      <c r="BS45" s="245"/>
      <c r="BT45" s="245"/>
      <c r="BU45" s="245"/>
      <c r="BV45" s="245"/>
      <c r="BW45" s="245"/>
      <c r="BX45" s="245"/>
      <c r="BY45" s="245"/>
      <c r="BZ45" s="245"/>
      <c r="CA45" s="245"/>
      <c r="CB45" s="245"/>
      <c r="CC45" s="245"/>
      <c r="CD45" s="245"/>
      <c r="CE45" s="245"/>
      <c r="CF45" s="245"/>
      <c r="CG45" s="245"/>
      <c r="CH45" s="245"/>
      <c r="CI45" s="245"/>
      <c r="CJ45" s="245"/>
      <c r="CK45" s="245"/>
      <c r="CL45" s="245"/>
      <c r="CM45" s="245"/>
      <c r="CN45" s="245"/>
      <c r="CO45" s="245"/>
      <c r="CP45" s="245"/>
      <c r="CQ45" s="245"/>
      <c r="CR45" s="245"/>
      <c r="CS45" s="245"/>
      <c r="CT45" s="245"/>
      <c r="CU45" s="245"/>
      <c r="CV45" s="245"/>
      <c r="CW45" s="245"/>
      <c r="CX45" s="245"/>
      <c r="CY45" s="245"/>
      <c r="CZ45" s="245"/>
      <c r="DA45" s="245"/>
      <c r="DB45" s="245"/>
      <c r="DC45" s="245"/>
      <c r="DD45" s="245"/>
    </row>
    <row r="46" spans="1:108" x14ac:dyDescent="0.2">
      <c r="B46" s="190" t="s">
        <v>252</v>
      </c>
      <c r="C46" s="193">
        <v>38716</v>
      </c>
      <c r="D46" s="190">
        <v>2895.12</v>
      </c>
      <c r="E46" s="223">
        <v>1</v>
      </c>
      <c r="F46" s="216"/>
      <c r="G46" s="223" t="s">
        <v>65</v>
      </c>
      <c r="H46" s="223">
        <v>76137.670788620002</v>
      </c>
      <c r="I46" s="164"/>
      <c r="J46" s="157"/>
      <c r="K46" s="228"/>
      <c r="L46" s="228"/>
      <c r="M46" s="228"/>
      <c r="O46" s="241" t="s">
        <v>65</v>
      </c>
      <c r="P46" s="241">
        <v>74838.463015810004</v>
      </c>
      <c r="Q46" s="239"/>
      <c r="S46" s="253" t="s">
        <v>449</v>
      </c>
      <c r="T46" s="258">
        <v>2000577.3</v>
      </c>
      <c r="U46" s="258">
        <v>150</v>
      </c>
      <c r="V46" s="258">
        <v>1</v>
      </c>
      <c r="W46" s="258">
        <v>14035216</v>
      </c>
      <c r="X46" s="258">
        <v>1</v>
      </c>
      <c r="Y46" s="245"/>
      <c r="Z46" s="253" t="s">
        <v>577</v>
      </c>
      <c r="AA46" s="253">
        <v>45298972.43</v>
      </c>
      <c r="AB46" s="253">
        <v>4309</v>
      </c>
      <c r="AC46" s="253">
        <v>311</v>
      </c>
      <c r="AD46" s="253">
        <v>145444</v>
      </c>
      <c r="AE46" s="253">
        <v>0</v>
      </c>
      <c r="AF46" s="253"/>
      <c r="AG46" s="253" t="s">
        <v>577</v>
      </c>
      <c r="AH46" s="253">
        <v>5737467.5999999996</v>
      </c>
      <c r="AI46" s="253">
        <v>529</v>
      </c>
      <c r="AJ46" s="253">
        <v>20</v>
      </c>
      <c r="AK46" s="253">
        <v>7891</v>
      </c>
      <c r="AL46" s="253">
        <v>0</v>
      </c>
      <c r="AM46" s="245"/>
      <c r="AN46" s="253" t="s">
        <v>575</v>
      </c>
      <c r="AO46" s="253">
        <v>0</v>
      </c>
      <c r="AP46" s="253">
        <v>0</v>
      </c>
      <c r="AQ46" s="253">
        <v>0</v>
      </c>
      <c r="AR46" s="253">
        <v>0</v>
      </c>
      <c r="AS46" s="253">
        <v>0</v>
      </c>
      <c r="AT46" s="245"/>
      <c r="AU46" s="253" t="s">
        <v>577</v>
      </c>
      <c r="AV46" s="253">
        <v>1053049</v>
      </c>
      <c r="AW46" s="253">
        <v>126</v>
      </c>
      <c r="AX46" s="253">
        <v>13</v>
      </c>
      <c r="AY46" s="253">
        <v>5419</v>
      </c>
      <c r="AZ46" s="253">
        <v>0</v>
      </c>
      <c r="BA46" s="245"/>
      <c r="BB46" s="253" t="s">
        <v>576</v>
      </c>
      <c r="BC46" s="253">
        <v>3078555</v>
      </c>
      <c r="BD46" s="253">
        <v>28</v>
      </c>
      <c r="BE46" s="253">
        <v>14</v>
      </c>
      <c r="BF46" s="253">
        <v>1874</v>
      </c>
      <c r="BG46" s="253">
        <v>1</v>
      </c>
      <c r="BH46" s="247" t="s">
        <v>576</v>
      </c>
      <c r="BI46" s="253">
        <v>0</v>
      </c>
      <c r="BJ46" s="253">
        <v>0</v>
      </c>
      <c r="BK46" s="253">
        <v>0</v>
      </c>
      <c r="BL46" s="253">
        <v>85</v>
      </c>
      <c r="BM46" s="253">
        <v>1</v>
      </c>
      <c r="BN46" s="253"/>
      <c r="BO46" s="260" t="s">
        <v>489</v>
      </c>
      <c r="BP46" s="264" t="s">
        <v>564</v>
      </c>
      <c r="BQ46" s="263"/>
      <c r="BR46" s="263"/>
      <c r="BS46" s="245"/>
      <c r="BT46" s="245"/>
      <c r="BU46" s="245"/>
      <c r="BV46" s="245"/>
      <c r="BW46" s="245"/>
      <c r="BX46" s="245"/>
      <c r="BY46" s="245"/>
      <c r="BZ46" s="245"/>
      <c r="CA46" s="245"/>
      <c r="CB46" s="245"/>
      <c r="CC46" s="245"/>
      <c r="CD46" s="245"/>
      <c r="CE46" s="245"/>
      <c r="CF46" s="245"/>
      <c r="CG46" s="245"/>
      <c r="CH46" s="245"/>
      <c r="CI46" s="245"/>
      <c r="CJ46" s="245"/>
      <c r="CK46" s="245"/>
      <c r="CL46" s="245"/>
      <c r="CM46" s="245"/>
      <c r="CN46" s="245"/>
      <c r="CO46" s="245"/>
      <c r="CP46" s="245"/>
      <c r="CQ46" s="245"/>
      <c r="CR46" s="245"/>
      <c r="CS46" s="245"/>
      <c r="CT46" s="245"/>
      <c r="CU46" s="245"/>
      <c r="CV46" s="245"/>
      <c r="CW46" s="245"/>
      <c r="CX46" s="245"/>
      <c r="CY46" s="245"/>
      <c r="CZ46" s="245"/>
      <c r="DA46" s="245"/>
      <c r="DB46" s="245"/>
      <c r="DC46" s="245"/>
      <c r="DD46" s="245"/>
    </row>
    <row r="47" spans="1:108" x14ac:dyDescent="0.2">
      <c r="B47" s="190" t="s">
        <v>253</v>
      </c>
      <c r="C47" s="193">
        <v>38699</v>
      </c>
      <c r="D47" s="190">
        <v>28328.49</v>
      </c>
      <c r="E47" s="223">
        <v>1</v>
      </c>
      <c r="F47" s="217"/>
      <c r="G47" s="223" t="s">
        <v>67</v>
      </c>
      <c r="H47" s="223">
        <v>15699.36139667</v>
      </c>
      <c r="I47" s="164"/>
      <c r="J47" s="159"/>
      <c r="K47" s="228"/>
      <c r="L47" s="228"/>
      <c r="M47" s="228"/>
      <c r="O47" s="241" t="s">
        <v>67</v>
      </c>
      <c r="P47" s="241">
        <v>15252.33855606</v>
      </c>
      <c r="Q47" s="239"/>
      <c r="S47" s="253" t="s">
        <v>447</v>
      </c>
      <c r="T47" s="258">
        <v>73545.600000000006</v>
      </c>
      <c r="U47" s="258">
        <v>120</v>
      </c>
      <c r="V47" s="258">
        <v>2</v>
      </c>
      <c r="W47" s="258">
        <v>2240696</v>
      </c>
      <c r="X47" s="258">
        <v>0</v>
      </c>
      <c r="Y47" s="245"/>
      <c r="Z47" s="253" t="s">
        <v>599</v>
      </c>
      <c r="AA47" s="253">
        <v>2718050</v>
      </c>
      <c r="AB47" s="253">
        <v>52</v>
      </c>
      <c r="AC47" s="253">
        <v>7</v>
      </c>
      <c r="AD47" s="253">
        <v>889</v>
      </c>
      <c r="AE47" s="253">
        <v>1</v>
      </c>
      <c r="AF47" s="253"/>
      <c r="AG47" s="253" t="s">
        <v>599</v>
      </c>
      <c r="AH47" s="253">
        <v>0</v>
      </c>
      <c r="AI47" s="253">
        <v>0</v>
      </c>
      <c r="AJ47" s="253">
        <v>0</v>
      </c>
      <c r="AK47" s="253">
        <v>36</v>
      </c>
      <c r="AL47" s="253">
        <v>1</v>
      </c>
      <c r="AM47" s="245"/>
      <c r="AN47" s="253" t="s">
        <v>576</v>
      </c>
      <c r="AO47" s="253">
        <v>10895460</v>
      </c>
      <c r="AP47" s="253">
        <v>88</v>
      </c>
      <c r="AQ47" s="253">
        <v>11</v>
      </c>
      <c r="AR47" s="253">
        <v>1179</v>
      </c>
      <c r="AS47" s="253">
        <v>1</v>
      </c>
      <c r="AT47" s="245"/>
      <c r="AU47" s="253" t="s">
        <v>599</v>
      </c>
      <c r="AV47" s="253">
        <v>521500</v>
      </c>
      <c r="AW47" s="253">
        <v>10</v>
      </c>
      <c r="AX47" s="253">
        <v>1</v>
      </c>
      <c r="AY47" s="253">
        <v>46</v>
      </c>
      <c r="AZ47" s="253">
        <v>1</v>
      </c>
      <c r="BA47" s="245"/>
      <c r="BB47" s="253" t="s">
        <v>578</v>
      </c>
      <c r="BC47" s="253">
        <v>0</v>
      </c>
      <c r="BD47" s="253">
        <v>0</v>
      </c>
      <c r="BE47" s="253">
        <v>0</v>
      </c>
      <c r="BF47" s="253">
        <v>0</v>
      </c>
      <c r="BG47" s="253">
        <v>0</v>
      </c>
      <c r="BH47" s="247" t="s">
        <v>578</v>
      </c>
      <c r="BI47" s="253">
        <v>0</v>
      </c>
      <c r="BJ47" s="253">
        <v>0</v>
      </c>
      <c r="BK47" s="253">
        <v>0</v>
      </c>
      <c r="BL47" s="253">
        <v>0</v>
      </c>
      <c r="BM47" s="253">
        <v>0</v>
      </c>
      <c r="BN47" s="253"/>
      <c r="BO47" s="247"/>
      <c r="BP47" s="263">
        <v>19268</v>
      </c>
      <c r="BQ47" s="263"/>
      <c r="BR47" s="263"/>
      <c r="BS47" s="245"/>
      <c r="BT47" s="245"/>
      <c r="BU47" s="245"/>
      <c r="BV47" s="245"/>
      <c r="BW47" s="245"/>
      <c r="BX47" s="245"/>
      <c r="BY47" s="245"/>
      <c r="BZ47" s="245"/>
      <c r="CA47" s="245"/>
      <c r="CB47" s="245"/>
      <c r="CC47" s="245"/>
      <c r="CD47" s="245"/>
      <c r="CE47" s="245"/>
      <c r="CF47" s="245"/>
      <c r="CG47" s="245"/>
      <c r="CH47" s="245"/>
      <c r="CI47" s="245"/>
      <c r="CJ47" s="245"/>
      <c r="CK47" s="245"/>
      <c r="CL47" s="245"/>
      <c r="CM47" s="245"/>
      <c r="CN47" s="245"/>
      <c r="CO47" s="245"/>
      <c r="CP47" s="245"/>
      <c r="CQ47" s="245"/>
      <c r="CR47" s="245"/>
      <c r="CS47" s="245"/>
      <c r="CT47" s="245"/>
      <c r="CU47" s="245"/>
      <c r="CV47" s="245"/>
      <c r="CW47" s="245"/>
      <c r="CX47" s="245"/>
      <c r="CY47" s="245"/>
      <c r="CZ47" s="245"/>
      <c r="DA47" s="245"/>
      <c r="DB47" s="245"/>
      <c r="DC47" s="245"/>
      <c r="DD47" s="245"/>
    </row>
    <row r="48" spans="1:108" x14ac:dyDescent="0.2">
      <c r="B48" s="190" t="s">
        <v>254</v>
      </c>
      <c r="C48" s="193">
        <v>42195</v>
      </c>
      <c r="D48" s="190">
        <v>67821.078360950007</v>
      </c>
      <c r="E48" s="223">
        <v>1</v>
      </c>
      <c r="F48" s="217"/>
      <c r="G48" s="223" t="s">
        <v>69</v>
      </c>
      <c r="H48" s="223">
        <v>79071.687177700005</v>
      </c>
      <c r="I48" s="164"/>
      <c r="J48" s="159"/>
      <c r="K48" s="228"/>
      <c r="L48" s="228"/>
      <c r="M48" s="228"/>
      <c r="O48" s="241" t="s">
        <v>69</v>
      </c>
      <c r="P48" s="241">
        <v>77571.351897850007</v>
      </c>
      <c r="Q48" s="239"/>
      <c r="S48" s="253" t="s">
        <v>451</v>
      </c>
      <c r="T48" s="258">
        <v>0</v>
      </c>
      <c r="U48" s="258">
        <v>0</v>
      </c>
      <c r="V48" s="258">
        <v>0</v>
      </c>
      <c r="W48" s="258">
        <v>277130</v>
      </c>
      <c r="X48" s="258">
        <v>0</v>
      </c>
      <c r="Y48" s="245"/>
      <c r="Z48" s="253" t="s">
        <v>602</v>
      </c>
      <c r="AA48" s="253">
        <v>0</v>
      </c>
      <c r="AB48" s="253">
        <v>0</v>
      </c>
      <c r="AC48" s="253">
        <v>0</v>
      </c>
      <c r="AD48" s="253">
        <v>176</v>
      </c>
      <c r="AE48" s="253">
        <v>1</v>
      </c>
      <c r="AF48" s="253"/>
      <c r="AG48" s="253" t="s">
        <v>602</v>
      </c>
      <c r="AH48" s="253">
        <v>0</v>
      </c>
      <c r="AI48" s="253">
        <v>0</v>
      </c>
      <c r="AJ48" s="253">
        <v>0</v>
      </c>
      <c r="AK48" s="253">
        <v>8</v>
      </c>
      <c r="AL48" s="253">
        <v>1</v>
      </c>
      <c r="AM48" s="245"/>
      <c r="AN48" s="253" t="s">
        <v>578</v>
      </c>
      <c r="AO48" s="253">
        <v>0</v>
      </c>
      <c r="AP48" s="253">
        <v>0</v>
      </c>
      <c r="AQ48" s="253">
        <v>0</v>
      </c>
      <c r="AR48" s="253">
        <v>0</v>
      </c>
      <c r="AS48" s="253">
        <v>0</v>
      </c>
      <c r="AT48" s="245"/>
      <c r="AU48" s="253" t="s">
        <v>602</v>
      </c>
      <c r="AV48" s="253">
        <v>0</v>
      </c>
      <c r="AW48" s="253">
        <v>0</v>
      </c>
      <c r="AX48" s="253">
        <v>0</v>
      </c>
      <c r="AY48" s="253">
        <v>8</v>
      </c>
      <c r="AZ48" s="253">
        <v>1</v>
      </c>
      <c r="BA48" s="245"/>
      <c r="BB48" s="253" t="s">
        <v>616</v>
      </c>
      <c r="BC48" s="253">
        <v>-562500</v>
      </c>
      <c r="BD48" s="253">
        <v>1000</v>
      </c>
      <c r="BE48" s="253">
        <v>1</v>
      </c>
      <c r="BF48" s="253">
        <v>0</v>
      </c>
      <c r="BG48" s="253">
        <v>1</v>
      </c>
      <c r="BH48" s="247" t="s">
        <v>616</v>
      </c>
      <c r="BI48" s="253">
        <v>0</v>
      </c>
      <c r="BJ48" s="253">
        <v>0</v>
      </c>
      <c r="BK48" s="253">
        <v>0</v>
      </c>
      <c r="BL48" s="253">
        <v>0</v>
      </c>
      <c r="BM48" s="253">
        <v>1</v>
      </c>
      <c r="BN48" s="253"/>
      <c r="BO48" s="245"/>
      <c r="BP48" s="245"/>
      <c r="BQ48" s="245"/>
      <c r="BR48" s="245"/>
      <c r="BS48" s="245"/>
      <c r="BT48" s="245"/>
      <c r="BU48" s="245"/>
      <c r="BV48" s="245"/>
      <c r="BW48" s="245"/>
      <c r="BX48" s="245"/>
      <c r="BY48" s="245"/>
      <c r="BZ48" s="245"/>
      <c r="CA48" s="245"/>
      <c r="CB48" s="245"/>
      <c r="CC48" s="245"/>
      <c r="CD48" s="245"/>
      <c r="CE48" s="245"/>
      <c r="CF48" s="245"/>
      <c r="CG48" s="245"/>
      <c r="CH48" s="245"/>
      <c r="CI48" s="245"/>
      <c r="CJ48" s="245"/>
      <c r="CK48" s="245"/>
      <c r="CL48" s="245"/>
      <c r="CM48" s="245"/>
      <c r="CN48" s="245"/>
      <c r="CO48" s="245"/>
      <c r="CP48" s="245"/>
      <c r="CQ48" s="245"/>
      <c r="CR48" s="245"/>
      <c r="CS48" s="245"/>
      <c r="CT48" s="245"/>
      <c r="CU48" s="245"/>
      <c r="CV48" s="245"/>
      <c r="CW48" s="245"/>
      <c r="CX48" s="245"/>
      <c r="CY48" s="245"/>
      <c r="CZ48" s="245"/>
      <c r="DA48" s="245"/>
      <c r="DB48" s="245"/>
      <c r="DC48" s="245"/>
      <c r="DD48" s="245"/>
    </row>
    <row r="49" spans="1:70" x14ac:dyDescent="0.2">
      <c r="B49" s="190" t="s">
        <v>255</v>
      </c>
      <c r="C49" s="193">
        <v>38709</v>
      </c>
      <c r="D49" s="190">
        <v>1445.21</v>
      </c>
      <c r="E49" s="223">
        <v>1</v>
      </c>
      <c r="F49" s="217"/>
      <c r="G49" s="223" t="s">
        <v>115</v>
      </c>
      <c r="H49" s="223">
        <v>1165.0699531600001</v>
      </c>
      <c r="I49" s="164"/>
      <c r="J49" s="159"/>
      <c r="K49" s="228"/>
      <c r="L49" s="228"/>
      <c r="M49" s="228"/>
      <c r="O49" s="241" t="s">
        <v>115</v>
      </c>
      <c r="P49" s="241">
        <v>1225.2156444499999</v>
      </c>
      <c r="Q49" s="239"/>
      <c r="S49" s="253" t="s">
        <v>446</v>
      </c>
      <c r="T49" s="258">
        <v>98332523.069999993</v>
      </c>
      <c r="U49" s="258">
        <v>9296</v>
      </c>
      <c r="V49" s="258">
        <v>73</v>
      </c>
      <c r="W49" s="258">
        <v>926852</v>
      </c>
      <c r="X49" s="258">
        <v>0</v>
      </c>
      <c r="Y49" s="245"/>
      <c r="Z49" s="253" t="s">
        <v>583</v>
      </c>
      <c r="AA49" s="253">
        <v>3094387.5</v>
      </c>
      <c r="AB49" s="253">
        <v>59</v>
      </c>
      <c r="AC49" s="253">
        <v>10</v>
      </c>
      <c r="AD49" s="253">
        <v>397</v>
      </c>
      <c r="AE49" s="253">
        <v>1</v>
      </c>
      <c r="AF49" s="253"/>
      <c r="AG49" s="253" t="s">
        <v>583</v>
      </c>
      <c r="AH49" s="253">
        <v>0</v>
      </c>
      <c r="AI49" s="253">
        <v>0</v>
      </c>
      <c r="AJ49" s="253">
        <v>0</v>
      </c>
      <c r="AK49" s="253">
        <v>19</v>
      </c>
      <c r="AL49" s="253">
        <v>1</v>
      </c>
      <c r="AM49" s="245"/>
      <c r="AN49" s="253" t="s">
        <v>577</v>
      </c>
      <c r="AO49" s="253">
        <v>29036158.949999999</v>
      </c>
      <c r="AP49" s="253">
        <v>2863</v>
      </c>
      <c r="AQ49" s="253">
        <v>399</v>
      </c>
      <c r="AR49" s="253">
        <v>91409</v>
      </c>
      <c r="AS49" s="253">
        <v>0</v>
      </c>
      <c r="AT49" s="245"/>
      <c r="AU49" s="253" t="s">
        <v>583</v>
      </c>
      <c r="AV49" s="253">
        <v>3375937.5</v>
      </c>
      <c r="AW49" s="253">
        <v>65</v>
      </c>
      <c r="AX49" s="253">
        <v>1</v>
      </c>
      <c r="AY49" s="253">
        <v>50</v>
      </c>
      <c r="AZ49" s="253">
        <v>1</v>
      </c>
      <c r="BA49" s="245"/>
      <c r="BB49" s="253" t="s">
        <v>577</v>
      </c>
      <c r="BC49" s="253">
        <v>71171691.540000007</v>
      </c>
      <c r="BD49" s="253">
        <v>5557</v>
      </c>
      <c r="BE49" s="253">
        <v>589</v>
      </c>
      <c r="BF49" s="253">
        <v>312015</v>
      </c>
      <c r="BG49" s="253">
        <v>0</v>
      </c>
      <c r="BH49" s="247" t="s">
        <v>577</v>
      </c>
      <c r="BI49" s="253">
        <v>1753121.4</v>
      </c>
      <c r="BJ49" s="253">
        <v>131</v>
      </c>
      <c r="BK49" s="253">
        <v>13</v>
      </c>
      <c r="BL49" s="253">
        <v>13551</v>
      </c>
      <c r="BM49" s="253">
        <v>0</v>
      </c>
      <c r="BN49" s="253"/>
      <c r="BO49" s="256" t="s">
        <v>491</v>
      </c>
      <c r="BP49" s="264" t="s">
        <v>537</v>
      </c>
      <c r="BQ49" s="264" t="s">
        <v>562</v>
      </c>
      <c r="BR49" s="264" t="s">
        <v>563</v>
      </c>
    </row>
    <row r="50" spans="1:70" x14ac:dyDescent="0.2">
      <c r="B50" s="190" t="s">
        <v>256</v>
      </c>
      <c r="C50" s="193">
        <v>38673</v>
      </c>
      <c r="D50" s="190">
        <v>110.01</v>
      </c>
      <c r="E50" s="223">
        <v>1</v>
      </c>
      <c r="F50" s="217"/>
      <c r="G50" s="223" t="s">
        <v>283</v>
      </c>
      <c r="H50" s="223">
        <v>392.61426706999998</v>
      </c>
      <c r="I50" s="164"/>
      <c r="J50" s="159"/>
      <c r="K50" s="228"/>
      <c r="L50" s="228"/>
      <c r="M50" s="228"/>
      <c r="O50" s="241" t="s">
        <v>283</v>
      </c>
      <c r="P50" s="241">
        <v>444.59454441000003</v>
      </c>
      <c r="Q50" s="239"/>
      <c r="S50" s="253" t="s">
        <v>566</v>
      </c>
      <c r="T50" s="258">
        <v>0</v>
      </c>
      <c r="U50" s="258">
        <v>0</v>
      </c>
      <c r="V50" s="258">
        <v>0</v>
      </c>
      <c r="W50" s="258">
        <v>0</v>
      </c>
      <c r="X50" s="258">
        <v>1</v>
      </c>
      <c r="Y50" s="245"/>
      <c r="Z50" s="253" t="s">
        <v>584</v>
      </c>
      <c r="AA50" s="253">
        <v>0</v>
      </c>
      <c r="AB50" s="253">
        <v>0</v>
      </c>
      <c r="AC50" s="253">
        <v>0</v>
      </c>
      <c r="AD50" s="253">
        <v>0</v>
      </c>
      <c r="AE50" s="253">
        <v>1</v>
      </c>
      <c r="AF50" s="253"/>
      <c r="AG50" s="253" t="s">
        <v>584</v>
      </c>
      <c r="AH50" s="253">
        <v>0</v>
      </c>
      <c r="AI50" s="253">
        <v>0</v>
      </c>
      <c r="AJ50" s="253">
        <v>0</v>
      </c>
      <c r="AK50" s="253">
        <v>0</v>
      </c>
      <c r="AL50" s="253">
        <v>1</v>
      </c>
      <c r="AM50" s="245"/>
      <c r="AN50" s="253" t="s">
        <v>599</v>
      </c>
      <c r="AO50" s="253">
        <v>5808490.9000000004</v>
      </c>
      <c r="AP50" s="253">
        <v>117</v>
      </c>
      <c r="AQ50" s="253">
        <v>20</v>
      </c>
      <c r="AR50" s="253">
        <v>1399</v>
      </c>
      <c r="AS50" s="253">
        <v>1</v>
      </c>
      <c r="AT50" s="245"/>
      <c r="AU50" s="253" t="s">
        <v>584</v>
      </c>
      <c r="AV50" s="253">
        <v>0</v>
      </c>
      <c r="AW50" s="253">
        <v>0</v>
      </c>
      <c r="AX50" s="253">
        <v>0</v>
      </c>
      <c r="AY50" s="253">
        <v>0</v>
      </c>
      <c r="AZ50" s="253">
        <v>1</v>
      </c>
      <c r="BA50" s="245"/>
      <c r="BB50" s="253" t="s">
        <v>599</v>
      </c>
      <c r="BC50" s="253">
        <v>15146959.6</v>
      </c>
      <c r="BD50" s="253">
        <v>322</v>
      </c>
      <c r="BE50" s="253">
        <v>65</v>
      </c>
      <c r="BF50" s="253">
        <v>3726</v>
      </c>
      <c r="BG50" s="253">
        <v>1</v>
      </c>
      <c r="BH50" s="247" t="s">
        <v>599</v>
      </c>
      <c r="BI50" s="253">
        <v>1487750</v>
      </c>
      <c r="BJ50" s="253">
        <v>30</v>
      </c>
      <c r="BK50" s="253">
        <v>4</v>
      </c>
      <c r="BL50" s="253">
        <v>166</v>
      </c>
      <c r="BM50" s="253">
        <v>1</v>
      </c>
      <c r="BN50" s="253"/>
      <c r="BO50" s="247"/>
      <c r="BP50" s="263">
        <v>30298142078.799999</v>
      </c>
      <c r="BQ50" s="263">
        <v>2201724</v>
      </c>
      <c r="BR50" s="263">
        <v>3957</v>
      </c>
    </row>
    <row r="51" spans="1:70" x14ac:dyDescent="0.2">
      <c r="B51" s="190" t="s">
        <v>257</v>
      </c>
      <c r="C51" s="193">
        <v>38709</v>
      </c>
      <c r="D51" s="190">
        <v>34691.21</v>
      </c>
      <c r="E51" s="223">
        <v>1</v>
      </c>
      <c r="F51" s="214"/>
      <c r="G51" s="223" t="s">
        <v>284</v>
      </c>
      <c r="H51" s="223">
        <v>20.322749259999998</v>
      </c>
      <c r="I51" s="164"/>
      <c r="J51" s="157"/>
      <c r="K51" s="228"/>
      <c r="L51" s="228"/>
      <c r="M51" s="228"/>
      <c r="O51" s="241" t="s">
        <v>284</v>
      </c>
      <c r="P51" s="241">
        <v>19.638410159999999</v>
      </c>
      <c r="Q51" s="239"/>
      <c r="S51" s="253" t="s">
        <v>447</v>
      </c>
      <c r="T51" s="258">
        <v>455098509.10000002</v>
      </c>
      <c r="U51" s="258">
        <v>10386</v>
      </c>
      <c r="V51" s="258">
        <v>189</v>
      </c>
      <c r="W51" s="258">
        <v>1244581</v>
      </c>
      <c r="X51" s="258">
        <v>1</v>
      </c>
      <c r="Y51" s="245"/>
      <c r="Z51" s="253" t="s">
        <v>603</v>
      </c>
      <c r="AA51" s="253">
        <v>0</v>
      </c>
      <c r="AB51" s="253">
        <v>0</v>
      </c>
      <c r="AC51" s="253">
        <v>0</v>
      </c>
      <c r="AD51" s="253">
        <v>0</v>
      </c>
      <c r="AE51" s="253">
        <v>1</v>
      </c>
      <c r="AF51" s="253"/>
      <c r="AG51" s="253" t="s">
        <v>603</v>
      </c>
      <c r="AH51" s="253">
        <v>0</v>
      </c>
      <c r="AI51" s="253">
        <v>0</v>
      </c>
      <c r="AJ51" s="253">
        <v>0</v>
      </c>
      <c r="AK51" s="253">
        <v>0</v>
      </c>
      <c r="AL51" s="253">
        <v>1</v>
      </c>
      <c r="AM51" s="245"/>
      <c r="AN51" s="253" t="s">
        <v>602</v>
      </c>
      <c r="AO51" s="253">
        <v>0</v>
      </c>
      <c r="AP51" s="253">
        <v>0</v>
      </c>
      <c r="AQ51" s="253">
        <v>0</v>
      </c>
      <c r="AR51" s="253">
        <v>168</v>
      </c>
      <c r="AS51" s="253">
        <v>1</v>
      </c>
      <c r="AT51" s="245"/>
      <c r="AU51" s="253" t="s">
        <v>603</v>
      </c>
      <c r="AV51" s="253">
        <v>0</v>
      </c>
      <c r="AW51" s="253">
        <v>0</v>
      </c>
      <c r="AX51" s="253">
        <v>0</v>
      </c>
      <c r="AY51" s="253">
        <v>0</v>
      </c>
      <c r="AZ51" s="253">
        <v>1</v>
      </c>
      <c r="BA51" s="245"/>
      <c r="BB51" s="253" t="s">
        <v>615</v>
      </c>
      <c r="BC51" s="253">
        <v>0</v>
      </c>
      <c r="BD51" s="253">
        <v>0</v>
      </c>
      <c r="BE51" s="253">
        <v>0</v>
      </c>
      <c r="BF51" s="253">
        <v>0</v>
      </c>
      <c r="BG51" s="253">
        <v>1</v>
      </c>
      <c r="BH51" s="247" t="s">
        <v>615</v>
      </c>
      <c r="BI51" s="253">
        <v>0</v>
      </c>
      <c r="BJ51" s="253">
        <v>0</v>
      </c>
      <c r="BK51" s="253">
        <v>0</v>
      </c>
      <c r="BL51" s="253">
        <v>0</v>
      </c>
      <c r="BM51" s="253">
        <v>1</v>
      </c>
      <c r="BN51" s="253"/>
      <c r="BO51" s="247"/>
      <c r="BP51" s="247"/>
      <c r="BQ51" s="247"/>
      <c r="BR51" s="247"/>
    </row>
    <row r="52" spans="1:70" x14ac:dyDescent="0.2">
      <c r="B52" s="190" t="s">
        <v>258</v>
      </c>
      <c r="C52" s="193">
        <v>38716</v>
      </c>
      <c r="D52" s="190">
        <v>14859.1</v>
      </c>
      <c r="E52" s="223">
        <v>1</v>
      </c>
      <c r="F52" s="209"/>
      <c r="G52" s="223" t="s">
        <v>285</v>
      </c>
      <c r="H52" s="223">
        <v>323.68463294999998</v>
      </c>
      <c r="I52" s="164"/>
      <c r="J52" s="157"/>
      <c r="K52" s="228"/>
      <c r="L52" s="228"/>
      <c r="M52" s="228"/>
      <c r="O52" s="241" t="s">
        <v>285</v>
      </c>
      <c r="P52" s="241">
        <v>328.86841165999999</v>
      </c>
      <c r="Q52" s="239"/>
      <c r="S52" s="253" t="s">
        <v>182</v>
      </c>
      <c r="T52" s="258">
        <v>2212833.6</v>
      </c>
      <c r="U52" s="258">
        <v>27800</v>
      </c>
      <c r="V52" s="258">
        <v>11</v>
      </c>
      <c r="W52" s="258">
        <v>2087844</v>
      </c>
      <c r="X52" s="258">
        <v>1</v>
      </c>
      <c r="Y52" s="245"/>
      <c r="Z52" s="253" t="s">
        <v>586</v>
      </c>
      <c r="AA52" s="253">
        <v>10610500.02</v>
      </c>
      <c r="AB52" s="253">
        <v>24</v>
      </c>
      <c r="AC52" s="253">
        <v>5</v>
      </c>
      <c r="AD52" s="253">
        <v>2867</v>
      </c>
      <c r="AE52" s="253">
        <v>1</v>
      </c>
      <c r="AF52" s="253"/>
      <c r="AG52" s="253" t="s">
        <v>586</v>
      </c>
      <c r="AH52" s="253">
        <v>0</v>
      </c>
      <c r="AI52" s="253">
        <v>0</v>
      </c>
      <c r="AJ52" s="253">
        <v>0</v>
      </c>
      <c r="AK52" s="253">
        <v>126</v>
      </c>
      <c r="AL52" s="253">
        <v>1</v>
      </c>
      <c r="AM52" s="245"/>
      <c r="AN52" s="253" t="s">
        <v>583</v>
      </c>
      <c r="AO52" s="253">
        <v>12006830.625</v>
      </c>
      <c r="AP52" s="253">
        <v>236</v>
      </c>
      <c r="AQ52" s="253">
        <v>15</v>
      </c>
      <c r="AR52" s="253">
        <v>3478</v>
      </c>
      <c r="AS52" s="253">
        <v>1</v>
      </c>
      <c r="AT52" s="245"/>
      <c r="AU52" s="253" t="s">
        <v>586</v>
      </c>
      <c r="AV52" s="253">
        <v>0</v>
      </c>
      <c r="AW52" s="253">
        <v>0</v>
      </c>
      <c r="AX52" s="253">
        <v>0</v>
      </c>
      <c r="AY52" s="253">
        <v>133</v>
      </c>
      <c r="AZ52" s="253">
        <v>1</v>
      </c>
      <c r="BA52" s="245"/>
      <c r="BB52" s="253" t="s">
        <v>583</v>
      </c>
      <c r="BC52" s="253">
        <v>3356830.125</v>
      </c>
      <c r="BD52" s="253">
        <v>62</v>
      </c>
      <c r="BE52" s="253">
        <v>7</v>
      </c>
      <c r="BF52" s="253">
        <v>1479</v>
      </c>
      <c r="BG52" s="253">
        <v>1</v>
      </c>
      <c r="BH52" s="247" t="s">
        <v>583</v>
      </c>
      <c r="BI52" s="253">
        <v>0</v>
      </c>
      <c r="BJ52" s="253">
        <v>0</v>
      </c>
      <c r="BK52" s="253">
        <v>0</v>
      </c>
      <c r="BL52" s="253">
        <v>75</v>
      </c>
      <c r="BM52" s="253">
        <v>1</v>
      </c>
      <c r="BN52" s="253"/>
      <c r="BO52" s="259" t="s">
        <v>492</v>
      </c>
      <c r="BP52" s="264" t="s">
        <v>537</v>
      </c>
      <c r="BQ52" s="264" t="s">
        <v>562</v>
      </c>
      <c r="BR52" s="264" t="s">
        <v>563</v>
      </c>
    </row>
    <row r="53" spans="1:70" x14ac:dyDescent="0.2">
      <c r="B53" s="190" t="s">
        <v>259</v>
      </c>
      <c r="C53" s="193">
        <v>38708</v>
      </c>
      <c r="D53" s="190">
        <v>1357.01</v>
      </c>
      <c r="E53" s="223">
        <v>1</v>
      </c>
      <c r="F53" s="210"/>
      <c r="G53" s="223" t="s">
        <v>286</v>
      </c>
      <c r="H53" s="223">
        <v>231.70407501</v>
      </c>
      <c r="I53" s="164"/>
      <c r="J53" s="157"/>
      <c r="K53" s="228"/>
      <c r="L53" s="228"/>
      <c r="M53" s="228"/>
      <c r="O53" s="241" t="s">
        <v>286</v>
      </c>
      <c r="P53" s="241">
        <v>238.37622661</v>
      </c>
      <c r="Q53" s="239"/>
      <c r="S53" s="253" t="s">
        <v>449</v>
      </c>
      <c r="T53" s="258">
        <v>0</v>
      </c>
      <c r="U53" s="258">
        <v>0</v>
      </c>
      <c r="V53" s="258">
        <v>0</v>
      </c>
      <c r="W53" s="258">
        <v>0</v>
      </c>
      <c r="X53" s="258">
        <v>0</v>
      </c>
      <c r="Y53" s="245"/>
      <c r="Z53" s="253" t="s">
        <v>585</v>
      </c>
      <c r="AA53" s="253">
        <v>377047786.69499999</v>
      </c>
      <c r="AB53" s="253">
        <v>2174</v>
      </c>
      <c r="AC53" s="253">
        <v>25</v>
      </c>
      <c r="AD53" s="253">
        <v>24176</v>
      </c>
      <c r="AE53" s="253">
        <v>1</v>
      </c>
      <c r="AF53" s="253"/>
      <c r="AG53" s="253" t="s">
        <v>585</v>
      </c>
      <c r="AH53" s="253">
        <v>0</v>
      </c>
      <c r="AI53" s="253">
        <v>0</v>
      </c>
      <c r="AJ53" s="253">
        <v>0</v>
      </c>
      <c r="AK53" s="253">
        <v>1310</v>
      </c>
      <c r="AL53" s="253">
        <v>1</v>
      </c>
      <c r="AM53" s="245"/>
      <c r="AN53" s="253" t="s">
        <v>584</v>
      </c>
      <c r="AO53" s="253">
        <v>0</v>
      </c>
      <c r="AP53" s="253">
        <v>0</v>
      </c>
      <c r="AQ53" s="253">
        <v>0</v>
      </c>
      <c r="AR53" s="253">
        <v>0</v>
      </c>
      <c r="AS53" s="253">
        <v>1</v>
      </c>
      <c r="AT53" s="245"/>
      <c r="AU53" s="253" t="s">
        <v>585</v>
      </c>
      <c r="AV53" s="253">
        <v>2505450</v>
      </c>
      <c r="AW53" s="253">
        <v>15</v>
      </c>
      <c r="AX53" s="253">
        <v>2</v>
      </c>
      <c r="AY53" s="253">
        <v>491</v>
      </c>
      <c r="AZ53" s="253">
        <v>1</v>
      </c>
      <c r="BA53" s="245"/>
      <c r="BB53" s="253" t="s">
        <v>584</v>
      </c>
      <c r="BC53" s="253">
        <v>0</v>
      </c>
      <c r="BD53" s="253">
        <v>0</v>
      </c>
      <c r="BE53" s="253">
        <v>0</v>
      </c>
      <c r="BF53" s="253">
        <v>0</v>
      </c>
      <c r="BG53" s="253">
        <v>1</v>
      </c>
      <c r="BH53" s="247" t="s">
        <v>584</v>
      </c>
      <c r="BI53" s="253">
        <v>0</v>
      </c>
      <c r="BJ53" s="253">
        <v>0</v>
      </c>
      <c r="BK53" s="253">
        <v>0</v>
      </c>
      <c r="BL53" s="253">
        <v>0</v>
      </c>
      <c r="BM53" s="253">
        <v>1</v>
      </c>
      <c r="BN53" s="253"/>
      <c r="BO53" s="251"/>
      <c r="BP53" s="263">
        <v>28042454428.700001</v>
      </c>
      <c r="BQ53" s="263">
        <v>2033468</v>
      </c>
      <c r="BR53" s="263">
        <v>523</v>
      </c>
    </row>
    <row r="54" spans="1:70" x14ac:dyDescent="0.2">
      <c r="B54" s="190" t="s">
        <v>260</v>
      </c>
      <c r="C54" s="193">
        <v>38713</v>
      </c>
      <c r="D54" s="190">
        <v>17869.22</v>
      </c>
      <c r="E54" s="223">
        <v>1</v>
      </c>
      <c r="F54" s="215"/>
      <c r="G54" s="223" t="s">
        <v>287</v>
      </c>
      <c r="H54" s="223">
        <v>188.33264958000001</v>
      </c>
      <c r="I54" s="164"/>
      <c r="J54" s="157"/>
      <c r="K54" s="228"/>
      <c r="L54" s="228"/>
      <c r="M54" s="228"/>
      <c r="O54" s="241" t="s">
        <v>287</v>
      </c>
      <c r="P54" s="241">
        <v>194.14571336</v>
      </c>
      <c r="Q54" s="239"/>
      <c r="S54" s="253" t="s">
        <v>446</v>
      </c>
      <c r="T54" s="258">
        <v>15749297041.8673</v>
      </c>
      <c r="U54" s="258">
        <v>56833</v>
      </c>
      <c r="V54" s="258">
        <v>11435</v>
      </c>
      <c r="W54" s="258">
        <v>666947</v>
      </c>
      <c r="X54" s="258">
        <v>1</v>
      </c>
      <c r="Y54" s="245"/>
      <c r="Z54" s="253" t="s">
        <v>581</v>
      </c>
      <c r="AA54" s="253">
        <v>4388409.5</v>
      </c>
      <c r="AB54" s="253">
        <v>51</v>
      </c>
      <c r="AC54" s="253">
        <v>7</v>
      </c>
      <c r="AD54" s="253">
        <v>483</v>
      </c>
      <c r="AE54" s="253">
        <v>1</v>
      </c>
      <c r="AF54" s="253"/>
      <c r="AG54" s="253" t="s">
        <v>581</v>
      </c>
      <c r="AH54" s="253">
        <v>0</v>
      </c>
      <c r="AI54" s="253">
        <v>0</v>
      </c>
      <c r="AJ54" s="253">
        <v>0</v>
      </c>
      <c r="AK54" s="253">
        <v>29</v>
      </c>
      <c r="AL54" s="253">
        <v>1</v>
      </c>
      <c r="AM54" s="245"/>
      <c r="AN54" s="253" t="s">
        <v>613</v>
      </c>
      <c r="AO54" s="253">
        <v>0</v>
      </c>
      <c r="AP54" s="253">
        <v>0</v>
      </c>
      <c r="AQ54" s="253">
        <v>0</v>
      </c>
      <c r="AR54" s="253">
        <v>0</v>
      </c>
      <c r="AS54" s="253">
        <v>1</v>
      </c>
      <c r="AT54" s="245"/>
      <c r="AU54" s="253" t="s">
        <v>581</v>
      </c>
      <c r="AV54" s="253">
        <v>595000</v>
      </c>
      <c r="AW54" s="253">
        <v>7</v>
      </c>
      <c r="AX54" s="253">
        <v>1</v>
      </c>
      <c r="AY54" s="253">
        <v>22</v>
      </c>
      <c r="AZ54" s="253">
        <v>1</v>
      </c>
      <c r="BA54" s="245"/>
      <c r="BB54" s="253" t="s">
        <v>586</v>
      </c>
      <c r="BC54" s="253">
        <v>5108000</v>
      </c>
      <c r="BD54" s="253">
        <v>10</v>
      </c>
      <c r="BE54" s="253">
        <v>2</v>
      </c>
      <c r="BF54" s="253">
        <v>231</v>
      </c>
      <c r="BG54" s="253">
        <v>1</v>
      </c>
      <c r="BH54" s="247" t="s">
        <v>586</v>
      </c>
      <c r="BI54" s="253">
        <v>0</v>
      </c>
      <c r="BJ54" s="253">
        <v>0</v>
      </c>
      <c r="BK54" s="253">
        <v>0</v>
      </c>
      <c r="BL54" s="253">
        <v>11</v>
      </c>
      <c r="BM54" s="253">
        <v>1</v>
      </c>
      <c r="BN54" s="253"/>
      <c r="BO54" s="251"/>
      <c r="BP54" s="263"/>
      <c r="BQ54" s="263"/>
      <c r="BR54" s="263"/>
    </row>
    <row r="55" spans="1:70" x14ac:dyDescent="0.2">
      <c r="B55" s="190" t="s">
        <v>261</v>
      </c>
      <c r="C55" s="193">
        <v>38713</v>
      </c>
      <c r="D55" s="190">
        <v>30401.200000000001</v>
      </c>
      <c r="E55" s="223">
        <v>1</v>
      </c>
      <c r="F55" s="218"/>
      <c r="G55" s="223" t="s">
        <v>288</v>
      </c>
      <c r="H55" s="223">
        <v>419.09346475000001</v>
      </c>
      <c r="I55" s="164"/>
      <c r="J55" s="157"/>
      <c r="K55" s="228"/>
      <c r="L55" s="228"/>
      <c r="M55" s="228"/>
      <c r="O55" s="241" t="s">
        <v>288</v>
      </c>
      <c r="P55" s="241">
        <v>422.97711134000002</v>
      </c>
      <c r="Q55" s="239"/>
      <c r="S55" s="253" t="s">
        <v>451</v>
      </c>
      <c r="T55" s="258">
        <v>195492520</v>
      </c>
      <c r="U55" s="258">
        <v>400</v>
      </c>
      <c r="V55" s="258">
        <v>2</v>
      </c>
      <c r="W55" s="258">
        <v>303759</v>
      </c>
      <c r="X55" s="258">
        <v>1</v>
      </c>
      <c r="Y55" s="245"/>
      <c r="Z55" s="253" t="s">
        <v>604</v>
      </c>
      <c r="AA55" s="253">
        <v>6929039.9299999997</v>
      </c>
      <c r="AB55" s="253">
        <v>71</v>
      </c>
      <c r="AC55" s="253">
        <v>29</v>
      </c>
      <c r="AD55" s="253">
        <v>667</v>
      </c>
      <c r="AE55" s="253">
        <v>1</v>
      </c>
      <c r="AF55" s="253"/>
      <c r="AG55" s="253" t="s">
        <v>604</v>
      </c>
      <c r="AH55" s="253">
        <v>0</v>
      </c>
      <c r="AI55" s="253">
        <v>0</v>
      </c>
      <c r="AJ55" s="253">
        <v>0</v>
      </c>
      <c r="AK55" s="253">
        <v>25</v>
      </c>
      <c r="AL55" s="253">
        <v>1</v>
      </c>
      <c r="AM55" s="245"/>
      <c r="AN55" s="253" t="s">
        <v>603</v>
      </c>
      <c r="AO55" s="253">
        <v>0</v>
      </c>
      <c r="AP55" s="253">
        <v>0</v>
      </c>
      <c r="AQ55" s="253">
        <v>0</v>
      </c>
      <c r="AR55" s="253">
        <v>0</v>
      </c>
      <c r="AS55" s="253">
        <v>1</v>
      </c>
      <c r="AT55" s="245"/>
      <c r="AU55" s="253" t="s">
        <v>604</v>
      </c>
      <c r="AV55" s="253">
        <v>0</v>
      </c>
      <c r="AW55" s="253">
        <v>0</v>
      </c>
      <c r="AX55" s="253">
        <v>0</v>
      </c>
      <c r="AY55" s="253">
        <v>20</v>
      </c>
      <c r="AZ55" s="253">
        <v>1</v>
      </c>
      <c r="BA55" s="245"/>
      <c r="BB55" s="253" t="s">
        <v>585</v>
      </c>
      <c r="BC55" s="253">
        <v>289143019.99900001</v>
      </c>
      <c r="BD55" s="253">
        <v>1587</v>
      </c>
      <c r="BE55" s="253">
        <v>24</v>
      </c>
      <c r="BF55" s="253">
        <v>17978</v>
      </c>
      <c r="BG55" s="253">
        <v>1</v>
      </c>
      <c r="BH55" s="247" t="s">
        <v>585</v>
      </c>
      <c r="BI55" s="253">
        <v>769200</v>
      </c>
      <c r="BJ55" s="253">
        <v>4</v>
      </c>
      <c r="BK55" s="253">
        <v>1</v>
      </c>
      <c r="BL55" s="253">
        <v>459</v>
      </c>
      <c r="BM55" s="253">
        <v>1</v>
      </c>
      <c r="BN55" s="253"/>
      <c r="BO55" s="256" t="s">
        <v>493</v>
      </c>
      <c r="BP55" s="264" t="s">
        <v>618</v>
      </c>
      <c r="BQ55" s="264" t="s">
        <v>564</v>
      </c>
      <c r="BR55" s="263"/>
    </row>
    <row r="56" spans="1:70" x14ac:dyDescent="0.2">
      <c r="B56" s="190" t="s">
        <v>262</v>
      </c>
      <c r="C56" s="193">
        <v>38709</v>
      </c>
      <c r="D56" s="190">
        <v>16626.419999999998</v>
      </c>
      <c r="E56" s="223">
        <v>1</v>
      </c>
      <c r="F56" s="218"/>
      <c r="G56" s="223" t="s">
        <v>289</v>
      </c>
      <c r="H56" s="223">
        <v>8240.6094386700006</v>
      </c>
      <c r="I56" s="164"/>
      <c r="J56" s="157"/>
      <c r="K56" s="228"/>
      <c r="L56" s="228"/>
      <c r="M56" s="228"/>
      <c r="O56" s="241" t="s">
        <v>289</v>
      </c>
      <c r="P56" s="241">
        <v>8092.5035773400004</v>
      </c>
      <c r="Q56" s="239"/>
      <c r="S56" s="253" t="s">
        <v>450</v>
      </c>
      <c r="T56" s="258">
        <v>0</v>
      </c>
      <c r="U56" s="258">
        <v>128</v>
      </c>
      <c r="V56" s="258">
        <v>1</v>
      </c>
      <c r="W56" s="258">
        <v>13536615</v>
      </c>
      <c r="X56" s="258">
        <v>1</v>
      </c>
      <c r="Y56" s="245"/>
      <c r="Z56" s="253" t="s">
        <v>590</v>
      </c>
      <c r="AA56" s="253">
        <v>10091450</v>
      </c>
      <c r="AB56" s="253">
        <v>40</v>
      </c>
      <c r="AC56" s="253">
        <v>2</v>
      </c>
      <c r="AD56" s="253">
        <v>1980</v>
      </c>
      <c r="AE56" s="253">
        <v>1</v>
      </c>
      <c r="AF56" s="253"/>
      <c r="AG56" s="253" t="s">
        <v>590</v>
      </c>
      <c r="AH56" s="253">
        <v>0</v>
      </c>
      <c r="AI56" s="253">
        <v>0</v>
      </c>
      <c r="AJ56" s="253">
        <v>0</v>
      </c>
      <c r="AK56" s="253">
        <v>90</v>
      </c>
      <c r="AL56" s="253">
        <v>1</v>
      </c>
      <c r="AM56" s="245"/>
      <c r="AN56" s="253" t="s">
        <v>586</v>
      </c>
      <c r="AO56" s="253">
        <v>129051600</v>
      </c>
      <c r="AP56" s="253">
        <v>259</v>
      </c>
      <c r="AQ56" s="253">
        <v>9</v>
      </c>
      <c r="AR56" s="253">
        <v>2120</v>
      </c>
      <c r="AS56" s="253">
        <v>1</v>
      </c>
      <c r="AT56" s="245"/>
      <c r="AU56" s="253" t="s">
        <v>590</v>
      </c>
      <c r="AV56" s="253">
        <v>0</v>
      </c>
      <c r="AW56" s="253">
        <v>0</v>
      </c>
      <c r="AX56" s="253">
        <v>0</v>
      </c>
      <c r="AY56" s="253">
        <v>90</v>
      </c>
      <c r="AZ56" s="253">
        <v>1</v>
      </c>
      <c r="BA56" s="245"/>
      <c r="BB56" s="253" t="s">
        <v>581</v>
      </c>
      <c r="BC56" s="253">
        <v>9240400</v>
      </c>
      <c r="BD56" s="253">
        <v>94</v>
      </c>
      <c r="BE56" s="253">
        <v>14</v>
      </c>
      <c r="BF56" s="253">
        <v>957</v>
      </c>
      <c r="BG56" s="253">
        <v>1</v>
      </c>
      <c r="BH56" s="247" t="s">
        <v>581</v>
      </c>
      <c r="BI56" s="253">
        <v>0</v>
      </c>
      <c r="BJ56" s="253">
        <v>0</v>
      </c>
      <c r="BK56" s="253">
        <v>0</v>
      </c>
      <c r="BL56" s="253">
        <v>74</v>
      </c>
      <c r="BM56" s="253">
        <v>1</v>
      </c>
      <c r="BN56" s="253"/>
      <c r="BO56" s="247"/>
      <c r="BP56" s="263" t="s">
        <v>619</v>
      </c>
      <c r="BQ56" s="263">
        <v>3151672</v>
      </c>
      <c r="BR56" s="263"/>
    </row>
    <row r="57" spans="1:70" x14ac:dyDescent="0.2">
      <c r="B57" s="190" t="s">
        <v>263</v>
      </c>
      <c r="C57" s="193">
        <v>38713</v>
      </c>
      <c r="D57" s="190">
        <v>14630.23</v>
      </c>
      <c r="E57" s="223">
        <v>1</v>
      </c>
      <c r="F57" s="218"/>
      <c r="G57" s="223" t="s">
        <v>290</v>
      </c>
      <c r="H57" s="223">
        <v>881.61322364</v>
      </c>
      <c r="I57" s="164"/>
      <c r="J57" s="157"/>
      <c r="K57" s="228"/>
      <c r="L57" s="228"/>
      <c r="M57" s="228"/>
      <c r="O57" s="241" t="s">
        <v>290</v>
      </c>
      <c r="P57" s="241">
        <v>896.37903967</v>
      </c>
      <c r="Q57" s="239"/>
      <c r="S57" s="253" t="s">
        <v>448</v>
      </c>
      <c r="T57" s="258">
        <v>0</v>
      </c>
      <c r="U57" s="258">
        <v>7352</v>
      </c>
      <c r="V57" s="258">
        <v>181</v>
      </c>
      <c r="W57" s="258">
        <v>874404</v>
      </c>
      <c r="X57" s="258">
        <v>1</v>
      </c>
      <c r="Y57" s="245"/>
      <c r="Z57" s="253" t="s">
        <v>591</v>
      </c>
      <c r="AA57" s="253">
        <v>8306750</v>
      </c>
      <c r="AB57" s="253">
        <v>175</v>
      </c>
      <c r="AC57" s="253">
        <v>7</v>
      </c>
      <c r="AD57" s="253">
        <v>1330</v>
      </c>
      <c r="AE57" s="253">
        <v>1</v>
      </c>
      <c r="AF57" s="253"/>
      <c r="AG57" s="253" t="s">
        <v>591</v>
      </c>
      <c r="AH57" s="253">
        <v>0</v>
      </c>
      <c r="AI57" s="253">
        <v>0</v>
      </c>
      <c r="AJ57" s="253">
        <v>0</v>
      </c>
      <c r="AK57" s="253">
        <v>70</v>
      </c>
      <c r="AL57" s="253">
        <v>1</v>
      </c>
      <c r="AM57" s="245"/>
      <c r="AN57" s="253" t="s">
        <v>585</v>
      </c>
      <c r="AO57" s="253">
        <v>89534079.938999996</v>
      </c>
      <c r="AP57" s="253">
        <v>550</v>
      </c>
      <c r="AQ57" s="253">
        <v>21</v>
      </c>
      <c r="AR57" s="253">
        <v>15227</v>
      </c>
      <c r="AS57" s="253">
        <v>1</v>
      </c>
      <c r="AT57" s="245"/>
      <c r="AU57" s="253" t="s">
        <v>591</v>
      </c>
      <c r="AV57" s="253">
        <v>0</v>
      </c>
      <c r="AW57" s="253">
        <v>0</v>
      </c>
      <c r="AX57" s="253">
        <v>0</v>
      </c>
      <c r="AY57" s="253">
        <v>5</v>
      </c>
      <c r="AZ57" s="253">
        <v>1</v>
      </c>
      <c r="BA57" s="245"/>
      <c r="BB57" s="253" t="s">
        <v>604</v>
      </c>
      <c r="BC57" s="253">
        <v>2908830</v>
      </c>
      <c r="BD57" s="253">
        <v>25</v>
      </c>
      <c r="BE57" s="253">
        <v>7</v>
      </c>
      <c r="BF57" s="253">
        <v>50</v>
      </c>
      <c r="BG57" s="253">
        <v>1</v>
      </c>
      <c r="BH57" s="247" t="s">
        <v>604</v>
      </c>
      <c r="BI57" s="253">
        <v>0</v>
      </c>
      <c r="BJ57" s="253">
        <v>0</v>
      </c>
      <c r="BK57" s="253">
        <v>0</v>
      </c>
      <c r="BL57" s="253">
        <v>0</v>
      </c>
      <c r="BM57" s="253">
        <v>1</v>
      </c>
      <c r="BN57" s="253"/>
      <c r="BO57" s="247"/>
      <c r="BP57" s="263" t="s">
        <v>620</v>
      </c>
      <c r="BQ57" s="263">
        <v>1998795</v>
      </c>
      <c r="BR57" s="263"/>
    </row>
    <row r="58" spans="1:70" x14ac:dyDescent="0.2">
      <c r="B58" s="190" t="s">
        <v>264</v>
      </c>
      <c r="C58" s="193">
        <v>38713</v>
      </c>
      <c r="D58" s="190">
        <v>1547.81</v>
      </c>
      <c r="E58" s="223">
        <v>1</v>
      </c>
      <c r="F58" s="218"/>
      <c r="G58" s="223" t="s">
        <v>95</v>
      </c>
      <c r="H58" s="223">
        <v>653.30403851999995</v>
      </c>
      <c r="I58" s="164"/>
      <c r="J58" s="157"/>
      <c r="K58" s="228"/>
      <c r="L58" s="228"/>
      <c r="M58" s="228"/>
      <c r="O58" s="241" t="s">
        <v>95</v>
      </c>
      <c r="P58" s="241">
        <v>649.75218431999997</v>
      </c>
      <c r="Q58" s="239"/>
      <c r="S58" s="245"/>
      <c r="T58" s="245"/>
      <c r="U58" s="245"/>
      <c r="V58" s="245"/>
      <c r="W58" s="245"/>
      <c r="X58" s="245"/>
      <c r="Y58" s="245"/>
      <c r="Z58" s="253" t="s">
        <v>567</v>
      </c>
      <c r="AA58" s="253">
        <v>0</v>
      </c>
      <c r="AB58" s="253">
        <v>0</v>
      </c>
      <c r="AC58" s="253">
        <v>0</v>
      </c>
      <c r="AD58" s="253">
        <v>0</v>
      </c>
      <c r="AE58" s="253">
        <v>1</v>
      </c>
      <c r="AF58" s="253"/>
      <c r="AG58" s="253" t="s">
        <v>567</v>
      </c>
      <c r="AH58" s="253">
        <v>0</v>
      </c>
      <c r="AI58" s="253">
        <v>0</v>
      </c>
      <c r="AJ58" s="253">
        <v>0</v>
      </c>
      <c r="AK58" s="253">
        <v>0</v>
      </c>
      <c r="AL58" s="253">
        <v>1</v>
      </c>
      <c r="AM58" s="245"/>
      <c r="AN58" s="253" t="s">
        <v>581</v>
      </c>
      <c r="AO58" s="253">
        <v>2048126</v>
      </c>
      <c r="AP58" s="253">
        <v>25</v>
      </c>
      <c r="AQ58" s="253">
        <v>11</v>
      </c>
      <c r="AR58" s="253">
        <v>485</v>
      </c>
      <c r="AS58" s="253">
        <v>1</v>
      </c>
      <c r="AT58" s="245"/>
      <c r="AU58" s="253" t="s">
        <v>567</v>
      </c>
      <c r="AV58" s="253">
        <v>0</v>
      </c>
      <c r="AW58" s="253">
        <v>0</v>
      </c>
      <c r="AX58" s="253">
        <v>0</v>
      </c>
      <c r="AY58" s="253">
        <v>0</v>
      </c>
      <c r="AZ58" s="253">
        <v>1</v>
      </c>
      <c r="BA58" s="245"/>
      <c r="BB58" s="253" t="s">
        <v>590</v>
      </c>
      <c r="BC58" s="253">
        <v>0</v>
      </c>
      <c r="BD58" s="253">
        <v>0</v>
      </c>
      <c r="BE58" s="253">
        <v>0</v>
      </c>
      <c r="BF58" s="253">
        <v>0</v>
      </c>
      <c r="BG58" s="253">
        <v>1</v>
      </c>
      <c r="BH58" s="247" t="s">
        <v>590</v>
      </c>
      <c r="BI58" s="253">
        <v>0</v>
      </c>
      <c r="BJ58" s="253">
        <v>0</v>
      </c>
      <c r="BK58" s="253">
        <v>0</v>
      </c>
      <c r="BL58" s="253">
        <v>0</v>
      </c>
      <c r="BM58" s="253">
        <v>1</v>
      </c>
      <c r="BN58" s="253"/>
      <c r="BO58" s="247"/>
      <c r="BP58" s="263"/>
      <c r="BQ58" s="263"/>
      <c r="BR58" s="263"/>
    </row>
    <row r="59" spans="1:70" x14ac:dyDescent="0.2">
      <c r="B59" s="190" t="s">
        <v>265</v>
      </c>
      <c r="C59" s="193">
        <v>38713</v>
      </c>
      <c r="D59" s="190">
        <v>590.19000000000005</v>
      </c>
      <c r="E59" s="223">
        <v>1</v>
      </c>
      <c r="F59" s="209"/>
      <c r="G59" s="223" t="s">
        <v>97</v>
      </c>
      <c r="H59" s="223">
        <v>525.92576029999998</v>
      </c>
      <c r="I59" s="164"/>
      <c r="J59" s="157"/>
      <c r="K59" s="228"/>
      <c r="L59" s="228"/>
      <c r="M59" s="228"/>
      <c r="O59" s="241" t="s">
        <v>97</v>
      </c>
      <c r="P59" s="241">
        <v>529.37711777000004</v>
      </c>
      <c r="Q59" s="239"/>
      <c r="S59" s="245"/>
      <c r="T59" s="245"/>
      <c r="U59" s="245"/>
      <c r="V59" s="245"/>
      <c r="W59" s="245"/>
      <c r="X59" s="245"/>
      <c r="Y59" s="245"/>
      <c r="Z59" s="253" t="s">
        <v>582</v>
      </c>
      <c r="AA59" s="253">
        <v>0</v>
      </c>
      <c r="AB59" s="253">
        <v>0</v>
      </c>
      <c r="AC59" s="253">
        <v>0</v>
      </c>
      <c r="AD59" s="253">
        <v>0</v>
      </c>
      <c r="AE59" s="253">
        <v>0</v>
      </c>
      <c r="AF59" s="253"/>
      <c r="AG59" s="253" t="s">
        <v>582</v>
      </c>
      <c r="AH59" s="253">
        <v>0</v>
      </c>
      <c r="AI59" s="253">
        <v>0</v>
      </c>
      <c r="AJ59" s="253">
        <v>0</v>
      </c>
      <c r="AK59" s="253">
        <v>0</v>
      </c>
      <c r="AL59" s="253">
        <v>0</v>
      </c>
      <c r="AM59" s="245"/>
      <c r="AN59" s="253" t="s">
        <v>604</v>
      </c>
      <c r="AO59" s="253">
        <v>816270</v>
      </c>
      <c r="AP59" s="253">
        <v>9</v>
      </c>
      <c r="AQ59" s="253">
        <v>9</v>
      </c>
      <c r="AR59" s="253">
        <v>435</v>
      </c>
      <c r="AS59" s="253">
        <v>1</v>
      </c>
      <c r="AT59" s="245"/>
      <c r="AU59" s="253" t="s">
        <v>582</v>
      </c>
      <c r="AV59" s="253">
        <v>0</v>
      </c>
      <c r="AW59" s="253">
        <v>0</v>
      </c>
      <c r="AX59" s="253">
        <v>0</v>
      </c>
      <c r="AY59" s="253">
        <v>0</v>
      </c>
      <c r="AZ59" s="253">
        <v>0</v>
      </c>
      <c r="BA59" s="245"/>
      <c r="BB59" s="253" t="s">
        <v>591</v>
      </c>
      <c r="BC59" s="253">
        <v>0</v>
      </c>
      <c r="BD59" s="253">
        <v>0</v>
      </c>
      <c r="BE59" s="253">
        <v>0</v>
      </c>
      <c r="BF59" s="253">
        <v>0</v>
      </c>
      <c r="BG59" s="253">
        <v>1</v>
      </c>
      <c r="BH59" s="247" t="s">
        <v>591</v>
      </c>
      <c r="BI59" s="253">
        <v>0</v>
      </c>
      <c r="BJ59" s="253">
        <v>0</v>
      </c>
      <c r="BK59" s="253">
        <v>0</v>
      </c>
      <c r="BL59" s="253">
        <v>0</v>
      </c>
      <c r="BM59" s="253">
        <v>1</v>
      </c>
      <c r="BN59" s="253"/>
      <c r="BO59" s="256" t="s">
        <v>475</v>
      </c>
      <c r="BP59" s="264" t="s">
        <v>537</v>
      </c>
      <c r="BQ59" s="264" t="s">
        <v>562</v>
      </c>
      <c r="BR59" s="264" t="s">
        <v>563</v>
      </c>
    </row>
    <row r="60" spans="1:70" x14ac:dyDescent="0.2">
      <c r="B60" s="190" t="s">
        <v>266</v>
      </c>
      <c r="C60" s="193">
        <v>38713</v>
      </c>
      <c r="D60" s="190">
        <v>1846.94</v>
      </c>
      <c r="E60" s="223">
        <v>1</v>
      </c>
      <c r="F60" s="209"/>
      <c r="G60" s="223" t="s">
        <v>293</v>
      </c>
      <c r="H60" s="223">
        <v>84069.906424910005</v>
      </c>
      <c r="I60" s="164"/>
      <c r="J60" s="157"/>
      <c r="K60" s="228"/>
      <c r="L60" s="228"/>
      <c r="M60" s="228"/>
      <c r="O60" s="241" t="s">
        <v>293</v>
      </c>
      <c r="P60" s="241">
        <v>82602.331513979996</v>
      </c>
      <c r="Q60" s="239"/>
      <c r="R60" s="153" t="s">
        <v>456</v>
      </c>
      <c r="S60" s="254" t="s">
        <v>560</v>
      </c>
      <c r="T60" s="257" t="s">
        <v>561</v>
      </c>
      <c r="U60" s="257" t="s">
        <v>562</v>
      </c>
      <c r="V60" s="257" t="s">
        <v>563</v>
      </c>
      <c r="W60" s="257" t="s">
        <v>564</v>
      </c>
      <c r="X60" s="257" t="s">
        <v>565</v>
      </c>
      <c r="Y60" s="245"/>
      <c r="Z60" s="253" t="s">
        <v>570</v>
      </c>
      <c r="AA60" s="253">
        <v>0</v>
      </c>
      <c r="AB60" s="253">
        <v>0</v>
      </c>
      <c r="AC60" s="253">
        <v>0</v>
      </c>
      <c r="AD60" s="253">
        <v>0</v>
      </c>
      <c r="AE60" s="253">
        <v>0</v>
      </c>
      <c r="AF60" s="253"/>
      <c r="AG60" s="253" t="s">
        <v>570</v>
      </c>
      <c r="AH60" s="253">
        <v>0</v>
      </c>
      <c r="AI60" s="253">
        <v>0</v>
      </c>
      <c r="AJ60" s="253">
        <v>0</v>
      </c>
      <c r="AK60" s="253">
        <v>0</v>
      </c>
      <c r="AL60" s="253">
        <v>0</v>
      </c>
      <c r="AM60" s="245"/>
      <c r="AN60" s="253" t="s">
        <v>590</v>
      </c>
      <c r="AO60" s="253">
        <v>45757025</v>
      </c>
      <c r="AP60" s="253">
        <v>180</v>
      </c>
      <c r="AQ60" s="253">
        <v>8</v>
      </c>
      <c r="AR60" s="253">
        <v>1386</v>
      </c>
      <c r="AS60" s="253">
        <v>1</v>
      </c>
      <c r="AT60" s="245"/>
      <c r="AU60" s="253" t="s">
        <v>570</v>
      </c>
      <c r="AV60" s="253">
        <v>0</v>
      </c>
      <c r="AW60" s="253">
        <v>0</v>
      </c>
      <c r="AX60" s="253">
        <v>0</v>
      </c>
      <c r="AY60" s="253">
        <v>0</v>
      </c>
      <c r="AZ60" s="253">
        <v>0</v>
      </c>
      <c r="BA60" s="245"/>
      <c r="BB60" s="253" t="s">
        <v>567</v>
      </c>
      <c r="BC60" s="253">
        <v>4557671.5</v>
      </c>
      <c r="BD60" s="253">
        <v>84</v>
      </c>
      <c r="BE60" s="253">
        <v>7</v>
      </c>
      <c r="BF60" s="253">
        <v>1372</v>
      </c>
      <c r="BG60" s="253">
        <v>1</v>
      </c>
      <c r="BH60" s="247" t="s">
        <v>567</v>
      </c>
      <c r="BI60" s="253">
        <v>0</v>
      </c>
      <c r="BJ60" s="253">
        <v>0</v>
      </c>
      <c r="BK60" s="253">
        <v>0</v>
      </c>
      <c r="BL60" s="253">
        <v>42</v>
      </c>
      <c r="BM60" s="253">
        <v>1</v>
      </c>
      <c r="BN60" s="253"/>
      <c r="BO60" s="247"/>
      <c r="BP60" s="263">
        <v>414285596461.79999</v>
      </c>
      <c r="BQ60" s="263">
        <v>30551256</v>
      </c>
      <c r="BR60" s="263">
        <v>42412</v>
      </c>
    </row>
    <row r="61" spans="1:70" x14ac:dyDescent="0.2">
      <c r="A61" s="35"/>
      <c r="B61" s="190" t="s">
        <v>267</v>
      </c>
      <c r="C61" s="193">
        <v>38709</v>
      </c>
      <c r="D61" s="190">
        <v>9758.19</v>
      </c>
      <c r="E61" s="223">
        <v>1</v>
      </c>
      <c r="F61" s="212"/>
      <c r="G61" s="223" t="s">
        <v>99</v>
      </c>
      <c r="H61" s="223">
        <v>20184.429523030001</v>
      </c>
      <c r="I61" s="164"/>
      <c r="J61" s="157"/>
      <c r="K61" s="228"/>
      <c r="L61" s="228"/>
      <c r="M61" s="228"/>
      <c r="O61" s="241" t="s">
        <v>99</v>
      </c>
      <c r="P61" s="241">
        <v>19327.38639494</v>
      </c>
      <c r="Q61" s="239"/>
      <c r="R61" s="157"/>
      <c r="S61" s="253" t="s">
        <v>449</v>
      </c>
      <c r="T61" s="258">
        <v>474092512.95499998</v>
      </c>
      <c r="U61" s="258">
        <v>1495331</v>
      </c>
      <c r="V61" s="258">
        <v>167</v>
      </c>
      <c r="W61" s="258">
        <v>19182615</v>
      </c>
      <c r="X61" s="258">
        <v>1</v>
      </c>
      <c r="Y61" s="245"/>
      <c r="Z61" s="253" t="s">
        <v>605</v>
      </c>
      <c r="AA61" s="253">
        <v>0</v>
      </c>
      <c r="AB61" s="253">
        <v>0</v>
      </c>
      <c r="AC61" s="253">
        <v>0</v>
      </c>
      <c r="AD61" s="253">
        <v>660</v>
      </c>
      <c r="AE61" s="253">
        <v>0</v>
      </c>
      <c r="AF61" s="253"/>
      <c r="AG61" s="253" t="s">
        <v>605</v>
      </c>
      <c r="AH61" s="253">
        <v>0</v>
      </c>
      <c r="AI61" s="253">
        <v>0</v>
      </c>
      <c r="AJ61" s="253">
        <v>0</v>
      </c>
      <c r="AK61" s="253">
        <v>30</v>
      </c>
      <c r="AL61" s="253">
        <v>0</v>
      </c>
      <c r="AM61" s="245"/>
      <c r="AN61" s="253" t="s">
        <v>591</v>
      </c>
      <c r="AO61" s="253">
        <v>454937.5</v>
      </c>
      <c r="AP61" s="253">
        <v>9</v>
      </c>
      <c r="AQ61" s="253">
        <v>3</v>
      </c>
      <c r="AR61" s="253">
        <v>21</v>
      </c>
      <c r="AS61" s="253">
        <v>1</v>
      </c>
      <c r="AT61" s="245"/>
      <c r="AU61" s="253" t="s">
        <v>605</v>
      </c>
      <c r="AV61" s="253">
        <v>0</v>
      </c>
      <c r="AW61" s="253">
        <v>0</v>
      </c>
      <c r="AX61" s="253">
        <v>0</v>
      </c>
      <c r="AY61" s="253">
        <v>30</v>
      </c>
      <c r="AZ61" s="253">
        <v>0</v>
      </c>
      <c r="BA61" s="245"/>
      <c r="BB61" s="253" t="s">
        <v>582</v>
      </c>
      <c r="BC61" s="253">
        <v>0</v>
      </c>
      <c r="BD61" s="253">
        <v>0</v>
      </c>
      <c r="BE61" s="253">
        <v>0</v>
      </c>
      <c r="BF61" s="253">
        <v>0</v>
      </c>
      <c r="BG61" s="253">
        <v>0</v>
      </c>
      <c r="BH61" s="247" t="s">
        <v>582</v>
      </c>
      <c r="BI61" s="253">
        <v>0</v>
      </c>
      <c r="BJ61" s="253">
        <v>0</v>
      </c>
      <c r="BK61" s="253">
        <v>0</v>
      </c>
      <c r="BL61" s="253">
        <v>0</v>
      </c>
      <c r="BM61" s="253">
        <v>0</v>
      </c>
      <c r="BN61" s="253"/>
      <c r="BO61" s="247"/>
      <c r="BP61" s="247"/>
      <c r="BQ61" s="247"/>
      <c r="BR61" s="247"/>
    </row>
    <row r="62" spans="1:70" x14ac:dyDescent="0.2">
      <c r="A62" s="14"/>
      <c r="B62" s="190" t="s">
        <v>268</v>
      </c>
      <c r="C62" s="193">
        <v>38580</v>
      </c>
      <c r="D62" s="190">
        <v>673.25</v>
      </c>
      <c r="E62" s="223">
        <v>1</v>
      </c>
      <c r="F62" s="212"/>
      <c r="G62" s="223" t="s">
        <v>294</v>
      </c>
      <c r="H62" s="223">
        <v>222.46856237</v>
      </c>
      <c r="I62" s="164"/>
      <c r="J62" s="157"/>
      <c r="K62" s="228"/>
      <c r="L62" s="228"/>
      <c r="M62" s="228"/>
      <c r="O62" s="241" t="s">
        <v>294</v>
      </c>
      <c r="P62" s="241">
        <v>212.41152432000001</v>
      </c>
      <c r="Q62" s="239"/>
      <c r="R62" s="157"/>
      <c r="S62" s="253" t="s">
        <v>447</v>
      </c>
      <c r="T62" s="258">
        <v>162531319.40000001</v>
      </c>
      <c r="U62" s="258">
        <v>457325</v>
      </c>
      <c r="V62" s="258">
        <v>339</v>
      </c>
      <c r="W62" s="258">
        <v>1712600</v>
      </c>
      <c r="X62" s="258">
        <v>0</v>
      </c>
      <c r="Y62" s="245"/>
      <c r="Z62" s="253" t="s">
        <v>606</v>
      </c>
      <c r="AA62" s="253">
        <v>0</v>
      </c>
      <c r="AB62" s="253">
        <v>0</v>
      </c>
      <c r="AC62" s="253">
        <v>0</v>
      </c>
      <c r="AD62" s="253">
        <v>0</v>
      </c>
      <c r="AE62" s="253">
        <v>0</v>
      </c>
      <c r="AF62" s="253"/>
      <c r="AG62" s="253" t="s">
        <v>606</v>
      </c>
      <c r="AH62" s="253">
        <v>0</v>
      </c>
      <c r="AI62" s="253">
        <v>0</v>
      </c>
      <c r="AJ62" s="253">
        <v>0</v>
      </c>
      <c r="AK62" s="253">
        <v>0</v>
      </c>
      <c r="AL62" s="253">
        <v>0</v>
      </c>
      <c r="AM62" s="245"/>
      <c r="AN62" s="253" t="s">
        <v>567</v>
      </c>
      <c r="AO62" s="253">
        <v>0</v>
      </c>
      <c r="AP62" s="253">
        <v>0</v>
      </c>
      <c r="AQ62" s="253">
        <v>0</v>
      </c>
      <c r="AR62" s="253">
        <v>0</v>
      </c>
      <c r="AS62" s="253">
        <v>1</v>
      </c>
      <c r="AT62" s="245"/>
      <c r="AU62" s="253" t="s">
        <v>606</v>
      </c>
      <c r="AV62" s="253">
        <v>0</v>
      </c>
      <c r="AW62" s="253">
        <v>0</v>
      </c>
      <c r="AX62" s="253">
        <v>0</v>
      </c>
      <c r="AY62" s="253">
        <v>0</v>
      </c>
      <c r="AZ62" s="253">
        <v>0</v>
      </c>
      <c r="BA62" s="245"/>
      <c r="BB62" s="253" t="s">
        <v>570</v>
      </c>
      <c r="BC62" s="253">
        <v>0</v>
      </c>
      <c r="BD62" s="253">
        <v>0</v>
      </c>
      <c r="BE62" s="253">
        <v>0</v>
      </c>
      <c r="BF62" s="253">
        <v>0</v>
      </c>
      <c r="BG62" s="253">
        <v>0</v>
      </c>
      <c r="BH62" s="247" t="s">
        <v>570</v>
      </c>
      <c r="BI62" s="253">
        <v>0</v>
      </c>
      <c r="BJ62" s="253">
        <v>0</v>
      </c>
      <c r="BK62" s="253">
        <v>0</v>
      </c>
      <c r="BL62" s="253">
        <v>0</v>
      </c>
      <c r="BM62" s="253">
        <v>0</v>
      </c>
      <c r="BN62" s="253"/>
      <c r="BO62" s="256" t="s">
        <v>490</v>
      </c>
      <c r="BP62" s="264" t="s">
        <v>537</v>
      </c>
      <c r="BQ62" s="264" t="s">
        <v>562</v>
      </c>
      <c r="BR62" s="264" t="s">
        <v>563</v>
      </c>
    </row>
    <row r="63" spans="1:70" x14ac:dyDescent="0.2">
      <c r="A63" s="14"/>
      <c r="B63" s="190" t="s">
        <v>269</v>
      </c>
      <c r="C63" s="193">
        <v>38709</v>
      </c>
      <c r="D63" s="190">
        <v>196.52</v>
      </c>
      <c r="E63" s="223">
        <v>1</v>
      </c>
      <c r="F63" s="212"/>
      <c r="G63" s="223" t="s">
        <v>295</v>
      </c>
      <c r="H63" s="223">
        <v>10546.325617189999</v>
      </c>
      <c r="I63" s="164"/>
      <c r="J63" s="157"/>
      <c r="K63" s="228"/>
      <c r="L63" s="228"/>
      <c r="M63" s="228"/>
      <c r="O63" s="241" t="s">
        <v>295</v>
      </c>
      <c r="P63" s="241">
        <v>10219.984395150001</v>
      </c>
      <c r="Q63" s="239"/>
      <c r="R63" s="157"/>
      <c r="S63" s="253" t="s">
        <v>451</v>
      </c>
      <c r="T63" s="258">
        <v>409401939.94999999</v>
      </c>
      <c r="U63" s="258">
        <v>669146</v>
      </c>
      <c r="V63" s="258">
        <v>116</v>
      </c>
      <c r="W63" s="258">
        <v>486042</v>
      </c>
      <c r="X63" s="258">
        <v>0</v>
      </c>
      <c r="Y63" s="245"/>
      <c r="Z63" s="253" t="s">
        <v>571</v>
      </c>
      <c r="AA63" s="253">
        <v>0</v>
      </c>
      <c r="AB63" s="253">
        <v>0</v>
      </c>
      <c r="AC63" s="253">
        <v>0</v>
      </c>
      <c r="AD63" s="253">
        <v>0</v>
      </c>
      <c r="AE63" s="253">
        <v>0</v>
      </c>
      <c r="AF63" s="253"/>
      <c r="AG63" s="253" t="s">
        <v>571</v>
      </c>
      <c r="AH63" s="253">
        <v>0</v>
      </c>
      <c r="AI63" s="253">
        <v>0</v>
      </c>
      <c r="AJ63" s="253">
        <v>0</v>
      </c>
      <c r="AK63" s="253">
        <v>0</v>
      </c>
      <c r="AL63" s="253">
        <v>0</v>
      </c>
      <c r="AM63" s="245"/>
      <c r="AN63" s="253" t="s">
        <v>582</v>
      </c>
      <c r="AO63" s="253">
        <v>0</v>
      </c>
      <c r="AP63" s="253">
        <v>0</v>
      </c>
      <c r="AQ63" s="253">
        <v>0</v>
      </c>
      <c r="AR63" s="253">
        <v>0</v>
      </c>
      <c r="AS63" s="253">
        <v>0</v>
      </c>
      <c r="AT63" s="245"/>
      <c r="AU63" s="253" t="s">
        <v>571</v>
      </c>
      <c r="AV63" s="253">
        <v>0</v>
      </c>
      <c r="AW63" s="253">
        <v>0</v>
      </c>
      <c r="AX63" s="253">
        <v>0</v>
      </c>
      <c r="AY63" s="253">
        <v>0</v>
      </c>
      <c r="AZ63" s="253">
        <v>0</v>
      </c>
      <c r="BA63" s="245"/>
      <c r="BB63" s="253" t="s">
        <v>605</v>
      </c>
      <c r="BC63" s="253">
        <v>10700</v>
      </c>
      <c r="BD63" s="253">
        <v>10</v>
      </c>
      <c r="BE63" s="253">
        <v>1</v>
      </c>
      <c r="BF63" s="253">
        <v>550</v>
      </c>
      <c r="BG63" s="253">
        <v>0</v>
      </c>
      <c r="BH63" s="247" t="s">
        <v>605</v>
      </c>
      <c r="BI63" s="253">
        <v>0</v>
      </c>
      <c r="BJ63" s="253">
        <v>0</v>
      </c>
      <c r="BK63" s="253">
        <v>0</v>
      </c>
      <c r="BL63" s="253">
        <v>30</v>
      </c>
      <c r="BM63" s="253">
        <v>0</v>
      </c>
      <c r="BN63" s="253"/>
      <c r="BO63" s="251"/>
      <c r="BP63" s="263">
        <v>139708320588.5</v>
      </c>
      <c r="BQ63" s="263">
        <v>10058588</v>
      </c>
      <c r="BR63" s="263">
        <v>2196</v>
      </c>
    </row>
    <row r="64" spans="1:70" x14ac:dyDescent="0.2">
      <c r="A64" s="14"/>
      <c r="B64" s="190" t="s">
        <v>91</v>
      </c>
      <c r="C64" s="193">
        <v>41849</v>
      </c>
      <c r="D64" s="190">
        <v>22461.45680964</v>
      </c>
      <c r="E64" s="223">
        <v>1</v>
      </c>
      <c r="F64" s="212"/>
      <c r="G64" s="223" t="s">
        <v>296</v>
      </c>
      <c r="H64" s="223">
        <v>9960.6663038299994</v>
      </c>
      <c r="I64" s="164"/>
      <c r="J64" s="3"/>
      <c r="K64" s="228"/>
      <c r="L64" s="228"/>
      <c r="M64" s="228"/>
      <c r="O64" s="241" t="s">
        <v>296</v>
      </c>
      <c r="P64" s="241">
        <v>9646.7039048299994</v>
      </c>
      <c r="Q64" s="239"/>
      <c r="R64" s="157"/>
      <c r="S64" s="253" t="s">
        <v>446</v>
      </c>
      <c r="T64" s="258">
        <v>3449602479.77</v>
      </c>
      <c r="U64" s="258">
        <v>264955</v>
      </c>
      <c r="V64" s="258">
        <v>1576</v>
      </c>
      <c r="W64" s="258">
        <v>818839</v>
      </c>
      <c r="X64" s="258">
        <v>0</v>
      </c>
      <c r="Y64" s="245"/>
      <c r="Z64" s="253" t="s">
        <v>607</v>
      </c>
      <c r="AA64" s="253">
        <v>0</v>
      </c>
      <c r="AB64" s="253">
        <v>0</v>
      </c>
      <c r="AC64" s="253">
        <v>0</v>
      </c>
      <c r="AD64" s="253">
        <v>0</v>
      </c>
      <c r="AE64" s="253">
        <v>0</v>
      </c>
      <c r="AF64" s="253"/>
      <c r="AG64" s="253" t="s">
        <v>607</v>
      </c>
      <c r="AH64" s="253">
        <v>0</v>
      </c>
      <c r="AI64" s="253">
        <v>0</v>
      </c>
      <c r="AJ64" s="253">
        <v>0</v>
      </c>
      <c r="AK64" s="253">
        <v>0</v>
      </c>
      <c r="AL64" s="253">
        <v>0</v>
      </c>
      <c r="AM64" s="245"/>
      <c r="AN64" s="253" t="s">
        <v>570</v>
      </c>
      <c r="AO64" s="253">
        <v>0</v>
      </c>
      <c r="AP64" s="253">
        <v>0</v>
      </c>
      <c r="AQ64" s="253">
        <v>0</v>
      </c>
      <c r="AR64" s="253">
        <v>0</v>
      </c>
      <c r="AS64" s="253">
        <v>0</v>
      </c>
      <c r="AT64" s="245"/>
      <c r="AU64" s="253" t="s">
        <v>607</v>
      </c>
      <c r="AV64" s="253">
        <v>0</v>
      </c>
      <c r="AW64" s="253">
        <v>0</v>
      </c>
      <c r="AX64" s="253">
        <v>0</v>
      </c>
      <c r="AY64" s="253">
        <v>0</v>
      </c>
      <c r="AZ64" s="253">
        <v>0</v>
      </c>
      <c r="BA64" s="245"/>
      <c r="BB64" s="253" t="s">
        <v>606</v>
      </c>
      <c r="BC64" s="253">
        <v>0</v>
      </c>
      <c r="BD64" s="253">
        <v>0</v>
      </c>
      <c r="BE64" s="253">
        <v>0</v>
      </c>
      <c r="BF64" s="253">
        <v>0</v>
      </c>
      <c r="BG64" s="253">
        <v>0</v>
      </c>
      <c r="BH64" s="247" t="s">
        <v>606</v>
      </c>
      <c r="BI64" s="253">
        <v>0</v>
      </c>
      <c r="BJ64" s="253">
        <v>0</v>
      </c>
      <c r="BK64" s="253">
        <v>0</v>
      </c>
      <c r="BL64" s="253">
        <v>0</v>
      </c>
      <c r="BM64" s="253">
        <v>0</v>
      </c>
      <c r="BN64" s="253"/>
      <c r="BO64" s="247"/>
      <c r="BP64" s="247"/>
      <c r="BQ64" s="247"/>
      <c r="BR64" s="247"/>
    </row>
    <row r="65" spans="1:70" x14ac:dyDescent="0.2">
      <c r="A65" s="14"/>
      <c r="B65" s="190" t="s">
        <v>270</v>
      </c>
      <c r="C65" s="193">
        <v>42122</v>
      </c>
      <c r="D65" s="190">
        <v>9390.5427286199993</v>
      </c>
      <c r="E65" s="223">
        <v>1</v>
      </c>
      <c r="F65" s="212"/>
      <c r="G65" s="223" t="s">
        <v>297</v>
      </c>
      <c r="H65" s="223">
        <v>181.48620283</v>
      </c>
      <c r="I65" s="164"/>
      <c r="J65" s="3"/>
      <c r="K65" s="228"/>
      <c r="L65" s="228"/>
      <c r="M65" s="228"/>
      <c r="O65" s="241" t="s">
        <v>297</v>
      </c>
      <c r="P65" s="241">
        <v>176.65044553999999</v>
      </c>
      <c r="Q65" s="239"/>
      <c r="R65" s="157"/>
      <c r="S65" s="253" t="s">
        <v>566</v>
      </c>
      <c r="T65" s="258">
        <v>0</v>
      </c>
      <c r="U65" s="258">
        <v>0</v>
      </c>
      <c r="V65" s="258">
        <v>0</v>
      </c>
      <c r="W65" s="258">
        <v>0</v>
      </c>
      <c r="X65" s="258">
        <v>1</v>
      </c>
      <c r="Y65" s="245"/>
      <c r="Z65" s="253" t="s">
        <v>572</v>
      </c>
      <c r="AA65" s="253">
        <v>0</v>
      </c>
      <c r="AB65" s="253">
        <v>0</v>
      </c>
      <c r="AC65" s="253">
        <v>0</v>
      </c>
      <c r="AD65" s="253">
        <v>0</v>
      </c>
      <c r="AE65" s="253">
        <v>0</v>
      </c>
      <c r="AF65" s="253"/>
      <c r="AG65" s="253" t="s">
        <v>572</v>
      </c>
      <c r="AH65" s="253">
        <v>0</v>
      </c>
      <c r="AI65" s="253">
        <v>0</v>
      </c>
      <c r="AJ65" s="253">
        <v>0</v>
      </c>
      <c r="AK65" s="253">
        <v>0</v>
      </c>
      <c r="AL65" s="253">
        <v>0</v>
      </c>
      <c r="AM65" s="245"/>
      <c r="AN65" s="253" t="s">
        <v>605</v>
      </c>
      <c r="AO65" s="253">
        <v>0</v>
      </c>
      <c r="AP65" s="253">
        <v>0</v>
      </c>
      <c r="AQ65" s="253">
        <v>0</v>
      </c>
      <c r="AR65" s="253">
        <v>630</v>
      </c>
      <c r="AS65" s="253">
        <v>0</v>
      </c>
      <c r="AT65" s="245"/>
      <c r="AU65" s="253" t="s">
        <v>572</v>
      </c>
      <c r="AV65" s="253">
        <v>0</v>
      </c>
      <c r="AW65" s="253">
        <v>0</v>
      </c>
      <c r="AX65" s="253">
        <v>0</v>
      </c>
      <c r="AY65" s="253">
        <v>0</v>
      </c>
      <c r="AZ65" s="253">
        <v>0</v>
      </c>
      <c r="BA65" s="245"/>
      <c r="BB65" s="253" t="s">
        <v>571</v>
      </c>
      <c r="BC65" s="253">
        <v>0</v>
      </c>
      <c r="BD65" s="253">
        <v>0</v>
      </c>
      <c r="BE65" s="253">
        <v>0</v>
      </c>
      <c r="BF65" s="253">
        <v>0</v>
      </c>
      <c r="BG65" s="253">
        <v>0</v>
      </c>
      <c r="BH65" s="247" t="s">
        <v>571</v>
      </c>
      <c r="BI65" s="253">
        <v>0</v>
      </c>
      <c r="BJ65" s="253">
        <v>0</v>
      </c>
      <c r="BK65" s="253">
        <v>0</v>
      </c>
      <c r="BL65" s="253">
        <v>0</v>
      </c>
      <c r="BM65" s="253">
        <v>0</v>
      </c>
      <c r="BN65" s="253"/>
      <c r="BO65" s="256" t="s">
        <v>476</v>
      </c>
      <c r="BP65" s="264" t="s">
        <v>537</v>
      </c>
      <c r="BQ65" s="264" t="s">
        <v>562</v>
      </c>
      <c r="BR65" s="264" t="s">
        <v>563</v>
      </c>
    </row>
    <row r="66" spans="1:70" x14ac:dyDescent="0.2">
      <c r="A66" s="83"/>
      <c r="B66" s="190" t="s">
        <v>271</v>
      </c>
      <c r="C66" s="193">
        <v>42761</v>
      </c>
      <c r="D66" s="190">
        <v>10880.162418039999</v>
      </c>
      <c r="E66" s="223">
        <v>1</v>
      </c>
      <c r="F66" s="220"/>
      <c r="G66" s="223" t="s">
        <v>298</v>
      </c>
      <c r="H66" s="223">
        <v>13463.03851108</v>
      </c>
      <c r="I66" s="164"/>
      <c r="J66" s="3"/>
      <c r="K66" s="228"/>
      <c r="L66" s="228"/>
      <c r="M66" s="228"/>
      <c r="O66" s="241" t="s">
        <v>298</v>
      </c>
      <c r="P66" s="241">
        <v>14138.097849309999</v>
      </c>
      <c r="Q66" s="239"/>
      <c r="R66" s="157"/>
      <c r="S66" s="253" t="s">
        <v>447</v>
      </c>
      <c r="T66" s="258">
        <v>10656359769.26</v>
      </c>
      <c r="U66" s="258">
        <v>1049793</v>
      </c>
      <c r="V66" s="258">
        <v>5165</v>
      </c>
      <c r="W66" s="258">
        <v>933320</v>
      </c>
      <c r="X66" s="258">
        <v>1</v>
      </c>
      <c r="Y66" s="245"/>
      <c r="Z66" s="253" t="s">
        <v>608</v>
      </c>
      <c r="AA66" s="253">
        <v>0</v>
      </c>
      <c r="AB66" s="253">
        <v>0</v>
      </c>
      <c r="AC66" s="253">
        <v>0</v>
      </c>
      <c r="AD66" s="253">
        <v>0</v>
      </c>
      <c r="AE66" s="253">
        <v>1</v>
      </c>
      <c r="AF66" s="253"/>
      <c r="AG66" s="253" t="s">
        <v>608</v>
      </c>
      <c r="AH66" s="253">
        <v>0</v>
      </c>
      <c r="AI66" s="253">
        <v>0</v>
      </c>
      <c r="AJ66" s="253">
        <v>0</v>
      </c>
      <c r="AK66" s="253">
        <v>0</v>
      </c>
      <c r="AL66" s="253">
        <v>1</v>
      </c>
      <c r="AM66" s="245"/>
      <c r="AN66" s="253" t="s">
        <v>606</v>
      </c>
      <c r="AO66" s="253">
        <v>0</v>
      </c>
      <c r="AP66" s="253">
        <v>0</v>
      </c>
      <c r="AQ66" s="253">
        <v>0</v>
      </c>
      <c r="AR66" s="253">
        <v>0</v>
      </c>
      <c r="AS66" s="253">
        <v>0</v>
      </c>
      <c r="AT66" s="245"/>
      <c r="AU66" s="253" t="s">
        <v>608</v>
      </c>
      <c r="AV66" s="253">
        <v>0</v>
      </c>
      <c r="AW66" s="253">
        <v>0</v>
      </c>
      <c r="AX66" s="253">
        <v>0</v>
      </c>
      <c r="AY66" s="253">
        <v>0</v>
      </c>
      <c r="AZ66" s="253">
        <v>1</v>
      </c>
      <c r="BA66" s="245"/>
      <c r="BB66" s="253" t="s">
        <v>607</v>
      </c>
      <c r="BC66" s="253">
        <v>0</v>
      </c>
      <c r="BD66" s="253">
        <v>0</v>
      </c>
      <c r="BE66" s="253">
        <v>0</v>
      </c>
      <c r="BF66" s="253">
        <v>0</v>
      </c>
      <c r="BG66" s="253">
        <v>0</v>
      </c>
      <c r="BH66" s="247" t="s">
        <v>607</v>
      </c>
      <c r="BI66" s="253">
        <v>0</v>
      </c>
      <c r="BJ66" s="253">
        <v>0</v>
      </c>
      <c r="BK66" s="253">
        <v>0</v>
      </c>
      <c r="BL66" s="253">
        <v>0</v>
      </c>
      <c r="BM66" s="253">
        <v>0</v>
      </c>
      <c r="BN66" s="253"/>
      <c r="BO66" s="247"/>
      <c r="BP66" s="263">
        <v>336116305196.70001</v>
      </c>
      <c r="BQ66" s="263">
        <v>21385465</v>
      </c>
      <c r="BR66" s="263">
        <v>43491</v>
      </c>
    </row>
    <row r="67" spans="1:70" x14ac:dyDescent="0.2">
      <c r="A67" s="83"/>
      <c r="B67" s="190" t="s">
        <v>272</v>
      </c>
      <c r="C67" s="193">
        <v>42972</v>
      </c>
      <c r="D67" s="190">
        <v>11053.906936359999</v>
      </c>
      <c r="E67" s="223">
        <v>1</v>
      </c>
      <c r="F67" s="213"/>
      <c r="G67" s="223" t="s">
        <v>299</v>
      </c>
      <c r="H67" s="223">
        <v>5992.90591597</v>
      </c>
      <c r="I67" s="164"/>
      <c r="J67" s="3"/>
      <c r="K67" s="228"/>
      <c r="L67" s="228"/>
      <c r="M67" s="228"/>
      <c r="O67" s="241" t="s">
        <v>299</v>
      </c>
      <c r="P67" s="241">
        <v>6464.1223085499996</v>
      </c>
      <c r="Q67" s="239"/>
      <c r="R67" s="157"/>
      <c r="S67" s="253" t="s">
        <v>182</v>
      </c>
      <c r="T67" s="258">
        <v>48430471.189000003</v>
      </c>
      <c r="U67" s="258">
        <v>256249</v>
      </c>
      <c r="V67" s="258">
        <v>191</v>
      </c>
      <c r="W67" s="258">
        <v>1364436</v>
      </c>
      <c r="X67" s="258">
        <v>1</v>
      </c>
      <c r="Y67" s="245"/>
      <c r="Z67" s="253" t="s">
        <v>606</v>
      </c>
      <c r="AA67" s="253">
        <v>41037046.149999999</v>
      </c>
      <c r="AB67" s="253">
        <v>353</v>
      </c>
      <c r="AC67" s="253">
        <v>9</v>
      </c>
      <c r="AD67" s="253">
        <v>5548</v>
      </c>
      <c r="AE67" s="253">
        <v>1</v>
      </c>
      <c r="AF67" s="253"/>
      <c r="AG67" s="253" t="s">
        <v>606</v>
      </c>
      <c r="AH67" s="253">
        <v>0</v>
      </c>
      <c r="AI67" s="253">
        <v>0</v>
      </c>
      <c r="AJ67" s="253">
        <v>0</v>
      </c>
      <c r="AK67" s="253">
        <v>371</v>
      </c>
      <c r="AL67" s="253">
        <v>1</v>
      </c>
      <c r="AM67" s="245"/>
      <c r="AN67" s="253" t="s">
        <v>571</v>
      </c>
      <c r="AO67" s="253">
        <v>0</v>
      </c>
      <c r="AP67" s="253">
        <v>0</v>
      </c>
      <c r="AQ67" s="253">
        <v>0</v>
      </c>
      <c r="AR67" s="253">
        <v>0</v>
      </c>
      <c r="AS67" s="253">
        <v>0</v>
      </c>
      <c r="AT67" s="245"/>
      <c r="AU67" s="253" t="s">
        <v>606</v>
      </c>
      <c r="AV67" s="253">
        <v>0</v>
      </c>
      <c r="AW67" s="253">
        <v>0</v>
      </c>
      <c r="AX67" s="253">
        <v>0</v>
      </c>
      <c r="AY67" s="253">
        <v>20</v>
      </c>
      <c r="AZ67" s="253">
        <v>1</v>
      </c>
      <c r="BA67" s="245"/>
      <c r="BB67" s="253" t="s">
        <v>572</v>
      </c>
      <c r="BC67" s="253">
        <v>0</v>
      </c>
      <c r="BD67" s="253">
        <v>0</v>
      </c>
      <c r="BE67" s="253">
        <v>0</v>
      </c>
      <c r="BF67" s="253">
        <v>0</v>
      </c>
      <c r="BG67" s="253">
        <v>0</v>
      </c>
      <c r="BH67" s="247" t="s">
        <v>572</v>
      </c>
      <c r="BI67" s="253">
        <v>0</v>
      </c>
      <c r="BJ67" s="253">
        <v>0</v>
      </c>
      <c r="BK67" s="253">
        <v>0</v>
      </c>
      <c r="BL67" s="253">
        <v>0</v>
      </c>
      <c r="BM67" s="253">
        <v>0</v>
      </c>
      <c r="BN67" s="253"/>
      <c r="BO67" s="247"/>
      <c r="BP67" s="247"/>
      <c r="BQ67" s="247"/>
      <c r="BR67" s="247"/>
    </row>
    <row r="68" spans="1:70" x14ac:dyDescent="0.2">
      <c r="A68" s="83"/>
      <c r="B68" s="190" t="s">
        <v>273</v>
      </c>
      <c r="C68" s="193">
        <v>41967</v>
      </c>
      <c r="D68" s="190">
        <v>25297.640064309999</v>
      </c>
      <c r="E68" s="223">
        <v>1</v>
      </c>
      <c r="F68" s="213"/>
      <c r="G68" s="223" t="s">
        <v>300</v>
      </c>
      <c r="H68" s="223">
        <v>183.41511209999999</v>
      </c>
      <c r="I68" s="164"/>
      <c r="J68" s="3"/>
      <c r="K68" s="228"/>
      <c r="L68" s="228"/>
      <c r="M68" s="228"/>
      <c r="O68" s="241" t="s">
        <v>300</v>
      </c>
      <c r="P68" s="241">
        <v>157.65201926</v>
      </c>
      <c r="Q68" s="239"/>
      <c r="R68" s="157"/>
      <c r="S68" s="253" t="s">
        <v>449</v>
      </c>
      <c r="T68" s="258">
        <v>0</v>
      </c>
      <c r="U68" s="258">
        <v>0</v>
      </c>
      <c r="V68" s="258">
        <v>0</v>
      </c>
      <c r="W68" s="258">
        <v>0</v>
      </c>
      <c r="X68" s="258">
        <v>0</v>
      </c>
      <c r="Y68" s="245"/>
      <c r="Z68" s="253" t="s">
        <v>605</v>
      </c>
      <c r="AA68" s="253">
        <v>71440519.972000003</v>
      </c>
      <c r="AB68" s="253">
        <v>536</v>
      </c>
      <c r="AC68" s="253">
        <v>49</v>
      </c>
      <c r="AD68" s="253">
        <v>6097</v>
      </c>
      <c r="AE68" s="253">
        <v>1</v>
      </c>
      <c r="AF68" s="253"/>
      <c r="AG68" s="253" t="s">
        <v>605</v>
      </c>
      <c r="AH68" s="253">
        <v>7919549.9730000002</v>
      </c>
      <c r="AI68" s="253">
        <v>60</v>
      </c>
      <c r="AJ68" s="253">
        <v>4</v>
      </c>
      <c r="AK68" s="253">
        <v>507</v>
      </c>
      <c r="AL68" s="253">
        <v>1</v>
      </c>
      <c r="AM68" s="245"/>
      <c r="AN68" s="253" t="s">
        <v>607</v>
      </c>
      <c r="AO68" s="253">
        <v>0</v>
      </c>
      <c r="AP68" s="253">
        <v>0</v>
      </c>
      <c r="AQ68" s="253">
        <v>0</v>
      </c>
      <c r="AR68" s="253">
        <v>0</v>
      </c>
      <c r="AS68" s="253">
        <v>0</v>
      </c>
      <c r="AT68" s="245"/>
      <c r="AU68" s="253" t="s">
        <v>605</v>
      </c>
      <c r="AV68" s="253">
        <v>247130</v>
      </c>
      <c r="AW68" s="253">
        <v>2</v>
      </c>
      <c r="AX68" s="253">
        <v>1</v>
      </c>
      <c r="AY68" s="253">
        <v>45</v>
      </c>
      <c r="AZ68" s="253">
        <v>1</v>
      </c>
      <c r="BA68" s="245"/>
      <c r="BB68" s="253" t="s">
        <v>606</v>
      </c>
      <c r="BC68" s="253">
        <v>33140766.25</v>
      </c>
      <c r="BD68" s="253">
        <v>253</v>
      </c>
      <c r="BE68" s="253">
        <v>6</v>
      </c>
      <c r="BF68" s="253">
        <v>8392</v>
      </c>
      <c r="BG68" s="253">
        <v>1</v>
      </c>
      <c r="BH68" s="247" t="s">
        <v>606</v>
      </c>
      <c r="BI68" s="253">
        <v>273700</v>
      </c>
      <c r="BJ68" s="253">
        <v>2</v>
      </c>
      <c r="BK68" s="253">
        <v>1</v>
      </c>
      <c r="BL68" s="253">
        <v>333</v>
      </c>
      <c r="BM68" s="253">
        <v>1</v>
      </c>
      <c r="BN68" s="253"/>
      <c r="BO68" s="256" t="s">
        <v>477</v>
      </c>
      <c r="BP68" s="264" t="s">
        <v>537</v>
      </c>
      <c r="BQ68" s="264" t="s">
        <v>562</v>
      </c>
      <c r="BR68" s="264" t="s">
        <v>563</v>
      </c>
    </row>
    <row r="69" spans="1:70" x14ac:dyDescent="0.2">
      <c r="A69" s="83"/>
      <c r="B69" s="190" t="s">
        <v>274</v>
      </c>
      <c r="C69" s="193">
        <v>41849</v>
      </c>
      <c r="D69" s="190">
        <v>4482.8823280400002</v>
      </c>
      <c r="E69" s="223">
        <v>1</v>
      </c>
      <c r="F69" s="213"/>
      <c r="G69" s="223" t="s">
        <v>301</v>
      </c>
      <c r="H69" s="223">
        <v>1972.8354269199999</v>
      </c>
      <c r="I69" s="164"/>
      <c r="J69" s="3"/>
      <c r="K69" s="228"/>
      <c r="L69" s="228"/>
      <c r="M69" s="228"/>
      <c r="O69" s="241" t="s">
        <v>301</v>
      </c>
      <c r="P69" s="241">
        <v>1957.84423173</v>
      </c>
      <c r="Q69" s="239"/>
      <c r="R69" s="157"/>
      <c r="S69" s="253" t="s">
        <v>446</v>
      </c>
      <c r="T69" s="258">
        <v>387741854919.22253</v>
      </c>
      <c r="U69" s="258">
        <v>1230249</v>
      </c>
      <c r="V69" s="258">
        <v>264580</v>
      </c>
      <c r="W69" s="258">
        <v>905154</v>
      </c>
      <c r="X69" s="258">
        <v>1</v>
      </c>
      <c r="Y69" s="245"/>
      <c r="Z69" s="253" t="s">
        <v>600</v>
      </c>
      <c r="AA69" s="253">
        <v>0</v>
      </c>
      <c r="AB69" s="253">
        <v>0</v>
      </c>
      <c r="AC69" s="253">
        <v>0</v>
      </c>
      <c r="AD69" s="253">
        <v>0</v>
      </c>
      <c r="AE69" s="253">
        <v>0</v>
      </c>
      <c r="AF69" s="253"/>
      <c r="AG69" s="253" t="s">
        <v>600</v>
      </c>
      <c r="AH69" s="253">
        <v>0</v>
      </c>
      <c r="AI69" s="253">
        <v>0</v>
      </c>
      <c r="AJ69" s="253">
        <v>0</v>
      </c>
      <c r="AK69" s="253">
        <v>0</v>
      </c>
      <c r="AL69" s="253">
        <v>0</v>
      </c>
      <c r="AM69" s="245"/>
      <c r="AN69" s="253" t="s">
        <v>572</v>
      </c>
      <c r="AO69" s="253">
        <v>0</v>
      </c>
      <c r="AP69" s="253">
        <v>0</v>
      </c>
      <c r="AQ69" s="253">
        <v>0</v>
      </c>
      <c r="AR69" s="253">
        <v>0</v>
      </c>
      <c r="AS69" s="253">
        <v>0</v>
      </c>
      <c r="AT69" s="245"/>
      <c r="AU69" s="253" t="s">
        <v>600</v>
      </c>
      <c r="AV69" s="253">
        <v>0</v>
      </c>
      <c r="AW69" s="253">
        <v>0</v>
      </c>
      <c r="AX69" s="253">
        <v>0</v>
      </c>
      <c r="AY69" s="253">
        <v>0</v>
      </c>
      <c r="AZ69" s="253">
        <v>0</v>
      </c>
      <c r="BA69" s="245"/>
      <c r="BB69" s="253" t="s">
        <v>605</v>
      </c>
      <c r="BC69" s="253">
        <v>48418642.088</v>
      </c>
      <c r="BD69" s="253">
        <v>318</v>
      </c>
      <c r="BE69" s="253">
        <v>20</v>
      </c>
      <c r="BF69" s="253">
        <v>5157</v>
      </c>
      <c r="BG69" s="253">
        <v>1</v>
      </c>
      <c r="BH69" s="247" t="s">
        <v>605</v>
      </c>
      <c r="BI69" s="253">
        <v>0</v>
      </c>
      <c r="BJ69" s="253">
        <v>0</v>
      </c>
      <c r="BK69" s="253">
        <v>0</v>
      </c>
      <c r="BL69" s="253">
        <v>187</v>
      </c>
      <c r="BM69" s="253">
        <v>1</v>
      </c>
      <c r="BN69" s="253"/>
      <c r="BO69" s="247"/>
      <c r="BP69" s="263">
        <v>138241449240.70001</v>
      </c>
      <c r="BQ69" s="263">
        <v>8865551</v>
      </c>
      <c r="BR69" s="263">
        <v>2032</v>
      </c>
    </row>
    <row r="70" spans="1:70" x14ac:dyDescent="0.2">
      <c r="A70" s="83"/>
      <c r="B70" s="190" t="s">
        <v>275</v>
      </c>
      <c r="C70" s="193">
        <v>41849</v>
      </c>
      <c r="D70" s="190">
        <v>4264.0820106800002</v>
      </c>
      <c r="E70" s="223">
        <v>1</v>
      </c>
      <c r="F70" s="212"/>
      <c r="G70" s="223" t="s">
        <v>302</v>
      </c>
      <c r="H70" s="223">
        <v>10402.56049287</v>
      </c>
      <c r="I70" s="164"/>
      <c r="J70" s="3"/>
      <c r="K70" s="228"/>
      <c r="L70" s="228"/>
      <c r="M70" s="228"/>
      <c r="O70" s="241" t="s">
        <v>302</v>
      </c>
      <c r="P70" s="241">
        <v>10074.386814920001</v>
      </c>
      <c r="Q70" s="239"/>
      <c r="R70" s="157"/>
      <c r="S70" s="253" t="s">
        <v>451</v>
      </c>
      <c r="T70" s="258">
        <v>1617149085.365</v>
      </c>
      <c r="U70" s="258">
        <v>110287</v>
      </c>
      <c r="V70" s="258">
        <v>186</v>
      </c>
      <c r="W70" s="258">
        <v>759767</v>
      </c>
      <c r="X70" s="258">
        <v>1</v>
      </c>
      <c r="Y70" s="245"/>
      <c r="Z70" s="253" t="s">
        <v>601</v>
      </c>
      <c r="AA70" s="253">
        <v>0</v>
      </c>
      <c r="AB70" s="253">
        <v>0</v>
      </c>
      <c r="AC70" s="253">
        <v>0</v>
      </c>
      <c r="AD70" s="253">
        <v>0</v>
      </c>
      <c r="AE70" s="253">
        <v>0</v>
      </c>
      <c r="AF70" s="253"/>
      <c r="AG70" s="253" t="s">
        <v>601</v>
      </c>
      <c r="AH70" s="253">
        <v>0</v>
      </c>
      <c r="AI70" s="253">
        <v>0</v>
      </c>
      <c r="AJ70" s="253">
        <v>0</v>
      </c>
      <c r="AK70" s="253">
        <v>0</v>
      </c>
      <c r="AL70" s="253">
        <v>0</v>
      </c>
      <c r="AM70" s="245"/>
      <c r="AN70" s="253" t="s">
        <v>608</v>
      </c>
      <c r="AO70" s="253">
        <v>0</v>
      </c>
      <c r="AP70" s="253">
        <v>0</v>
      </c>
      <c r="AQ70" s="253">
        <v>0</v>
      </c>
      <c r="AR70" s="253">
        <v>0</v>
      </c>
      <c r="AS70" s="253">
        <v>1</v>
      </c>
      <c r="AT70" s="245"/>
      <c r="AU70" s="253" t="s">
        <v>601</v>
      </c>
      <c r="AV70" s="253">
        <v>0</v>
      </c>
      <c r="AW70" s="253">
        <v>0</v>
      </c>
      <c r="AX70" s="253">
        <v>0</v>
      </c>
      <c r="AY70" s="253">
        <v>0</v>
      </c>
      <c r="AZ70" s="253">
        <v>0</v>
      </c>
      <c r="BA70" s="245"/>
      <c r="BB70" s="253" t="s">
        <v>600</v>
      </c>
      <c r="BC70" s="253">
        <v>0</v>
      </c>
      <c r="BD70" s="253">
        <v>0</v>
      </c>
      <c r="BE70" s="253">
        <v>0</v>
      </c>
      <c r="BF70" s="253">
        <v>0</v>
      </c>
      <c r="BG70" s="253">
        <v>0</v>
      </c>
      <c r="BH70" s="247" t="s">
        <v>600</v>
      </c>
      <c r="BI70" s="253">
        <v>0</v>
      </c>
      <c r="BJ70" s="253">
        <v>0</v>
      </c>
      <c r="BK70" s="253">
        <v>0</v>
      </c>
      <c r="BL70" s="253">
        <v>0</v>
      </c>
      <c r="BM70" s="253">
        <v>0</v>
      </c>
      <c r="BN70" s="253"/>
      <c r="BO70" s="245"/>
      <c r="BP70" s="245"/>
      <c r="BQ70" s="245"/>
      <c r="BR70" s="245"/>
    </row>
    <row r="71" spans="1:70" x14ac:dyDescent="0.2">
      <c r="A71" s="14"/>
      <c r="B71" s="190" t="s">
        <v>93</v>
      </c>
      <c r="C71" s="193">
        <v>41849</v>
      </c>
      <c r="D71" s="190">
        <v>4599.9677435399999</v>
      </c>
      <c r="E71" s="223">
        <v>1</v>
      </c>
      <c r="F71" s="212"/>
      <c r="G71" s="223" t="s">
        <v>303</v>
      </c>
      <c r="H71" s="223">
        <v>11705.088299999999</v>
      </c>
      <c r="I71" s="164"/>
      <c r="J71" s="3"/>
      <c r="K71" s="228"/>
      <c r="L71" s="228"/>
      <c r="M71" s="228"/>
      <c r="O71" s="241" t="s">
        <v>303</v>
      </c>
      <c r="P71" s="241">
        <v>11575.805</v>
      </c>
      <c r="Q71" s="239"/>
      <c r="R71" s="157"/>
      <c r="S71" s="253" t="s">
        <v>450</v>
      </c>
      <c r="T71" s="258">
        <v>57417.5</v>
      </c>
      <c r="U71" s="258">
        <v>1348213</v>
      </c>
      <c r="V71" s="258">
        <v>153</v>
      </c>
      <c r="W71" s="258">
        <v>18716086</v>
      </c>
      <c r="X71" s="258">
        <v>1</v>
      </c>
      <c r="Y71" s="245"/>
      <c r="Z71" s="253" t="s">
        <v>587</v>
      </c>
      <c r="AA71" s="253">
        <v>7722790218.665</v>
      </c>
      <c r="AB71" s="253">
        <v>31994</v>
      </c>
      <c r="AC71" s="253">
        <v>2578</v>
      </c>
      <c r="AD71" s="253">
        <v>289486</v>
      </c>
      <c r="AE71" s="253">
        <v>1</v>
      </c>
      <c r="AF71" s="253"/>
      <c r="AG71" s="253" t="s">
        <v>587</v>
      </c>
      <c r="AH71" s="253">
        <v>315839634.70499998</v>
      </c>
      <c r="AI71" s="253">
        <v>1328</v>
      </c>
      <c r="AJ71" s="253">
        <v>74</v>
      </c>
      <c r="AK71" s="253">
        <v>11789</v>
      </c>
      <c r="AL71" s="253">
        <v>1</v>
      </c>
      <c r="AM71" s="245"/>
      <c r="AN71" s="253" t="s">
        <v>606</v>
      </c>
      <c r="AO71" s="253">
        <v>0</v>
      </c>
      <c r="AP71" s="253">
        <v>0</v>
      </c>
      <c r="AQ71" s="253">
        <v>0</v>
      </c>
      <c r="AR71" s="253">
        <v>420</v>
      </c>
      <c r="AS71" s="253">
        <v>1</v>
      </c>
      <c r="AT71" s="245"/>
      <c r="AU71" s="253" t="s">
        <v>587</v>
      </c>
      <c r="AV71" s="253">
        <v>162955214.70500001</v>
      </c>
      <c r="AW71" s="253">
        <v>682</v>
      </c>
      <c r="AX71" s="253">
        <v>84</v>
      </c>
      <c r="AY71" s="253">
        <v>13066</v>
      </c>
      <c r="AZ71" s="253">
        <v>1</v>
      </c>
      <c r="BA71" s="245"/>
      <c r="BB71" s="253" t="s">
        <v>601</v>
      </c>
      <c r="BC71" s="253">
        <v>0</v>
      </c>
      <c r="BD71" s="253">
        <v>0</v>
      </c>
      <c r="BE71" s="253">
        <v>0</v>
      </c>
      <c r="BF71" s="253">
        <v>0</v>
      </c>
      <c r="BG71" s="253">
        <v>0</v>
      </c>
      <c r="BH71" s="247" t="s">
        <v>601</v>
      </c>
      <c r="BI71" s="253">
        <v>0</v>
      </c>
      <c r="BJ71" s="253">
        <v>0</v>
      </c>
      <c r="BK71" s="253">
        <v>0</v>
      </c>
      <c r="BL71" s="253">
        <v>0</v>
      </c>
      <c r="BM71" s="253">
        <v>0</v>
      </c>
      <c r="BN71" s="253"/>
      <c r="BO71" s="256" t="s">
        <v>494</v>
      </c>
      <c r="BP71" s="264" t="s">
        <v>618</v>
      </c>
      <c r="BQ71" s="264" t="s">
        <v>564</v>
      </c>
      <c r="BR71" s="247"/>
    </row>
    <row r="72" spans="1:70" x14ac:dyDescent="0.2">
      <c r="A72" s="150"/>
      <c r="B72" s="190" t="s">
        <v>63</v>
      </c>
      <c r="C72" s="193">
        <v>37515</v>
      </c>
      <c r="D72" s="190">
        <v>3456.48</v>
      </c>
      <c r="E72" s="223">
        <v>1</v>
      </c>
      <c r="F72" s="213"/>
      <c r="G72" s="223" t="s">
        <v>304</v>
      </c>
      <c r="H72" s="223">
        <v>24914.850417260001</v>
      </c>
      <c r="I72" s="164"/>
      <c r="J72" s="3"/>
      <c r="K72" s="228"/>
      <c r="L72" s="228"/>
      <c r="M72" s="228"/>
      <c r="O72" s="241" t="s">
        <v>304</v>
      </c>
      <c r="P72" s="241">
        <v>24346.224978980001</v>
      </c>
      <c r="Q72" s="239"/>
      <c r="R72" s="157"/>
      <c r="S72" s="253" t="s">
        <v>448</v>
      </c>
      <c r="T72" s="258">
        <v>1752239649.4000001</v>
      </c>
      <c r="U72" s="258">
        <v>458178</v>
      </c>
      <c r="V72" s="258">
        <v>4908</v>
      </c>
      <c r="W72" s="258">
        <v>698238</v>
      </c>
      <c r="X72" s="258">
        <v>1</v>
      </c>
      <c r="Y72" s="245"/>
      <c r="Z72" s="253" t="s">
        <v>607</v>
      </c>
      <c r="AA72" s="253">
        <v>191420</v>
      </c>
      <c r="AB72" s="253">
        <v>3</v>
      </c>
      <c r="AC72" s="253">
        <v>3</v>
      </c>
      <c r="AD72" s="253">
        <v>21086</v>
      </c>
      <c r="AE72" s="253">
        <v>1</v>
      </c>
      <c r="AF72" s="253"/>
      <c r="AG72" s="253" t="s">
        <v>607</v>
      </c>
      <c r="AH72" s="253">
        <v>0</v>
      </c>
      <c r="AI72" s="253">
        <v>0</v>
      </c>
      <c r="AJ72" s="253">
        <v>0</v>
      </c>
      <c r="AK72" s="253">
        <v>957</v>
      </c>
      <c r="AL72" s="253">
        <v>1</v>
      </c>
      <c r="AM72" s="245"/>
      <c r="AN72" s="253" t="s">
        <v>605</v>
      </c>
      <c r="AO72" s="253">
        <v>1224230</v>
      </c>
      <c r="AP72" s="253">
        <v>10</v>
      </c>
      <c r="AQ72" s="253">
        <v>9</v>
      </c>
      <c r="AR72" s="253">
        <v>976</v>
      </c>
      <c r="AS72" s="253">
        <v>1</v>
      </c>
      <c r="AT72" s="245"/>
      <c r="AU72" s="253" t="s">
        <v>607</v>
      </c>
      <c r="AV72" s="253">
        <v>263300</v>
      </c>
      <c r="AW72" s="253">
        <v>4</v>
      </c>
      <c r="AX72" s="253">
        <v>1</v>
      </c>
      <c r="AY72" s="253">
        <v>960</v>
      </c>
      <c r="AZ72" s="253">
        <v>1</v>
      </c>
      <c r="BA72" s="245"/>
      <c r="BB72" s="253" t="s">
        <v>587</v>
      </c>
      <c r="BC72" s="253">
        <v>6666938604.3950005</v>
      </c>
      <c r="BD72" s="253">
        <v>22044</v>
      </c>
      <c r="BE72" s="253">
        <v>2483</v>
      </c>
      <c r="BF72" s="253">
        <v>174344</v>
      </c>
      <c r="BG72" s="253">
        <v>1</v>
      </c>
      <c r="BH72" s="247" t="s">
        <v>587</v>
      </c>
      <c r="BI72" s="253">
        <v>552998955.53999996</v>
      </c>
      <c r="BJ72" s="253">
        <v>1756</v>
      </c>
      <c r="BK72" s="253">
        <v>136</v>
      </c>
      <c r="BL72" s="253">
        <v>7297</v>
      </c>
      <c r="BM72" s="253">
        <v>1</v>
      </c>
      <c r="BN72" s="253"/>
      <c r="BO72" s="247"/>
      <c r="BP72" s="263" t="s">
        <v>619</v>
      </c>
      <c r="BQ72" s="263">
        <v>2106510</v>
      </c>
      <c r="BR72" s="247"/>
    </row>
    <row r="73" spans="1:70" x14ac:dyDescent="0.2">
      <c r="A73" s="83"/>
      <c r="B73" s="190" t="s">
        <v>276</v>
      </c>
      <c r="C73" s="193">
        <v>39629</v>
      </c>
      <c r="D73" s="190">
        <v>51541.23</v>
      </c>
      <c r="E73" s="223">
        <v>1</v>
      </c>
      <c r="F73" s="213"/>
      <c r="G73" s="223" t="s">
        <v>58</v>
      </c>
      <c r="H73" s="223">
        <v>26217.084497079999</v>
      </c>
      <c r="I73" s="164"/>
      <c r="J73" s="3"/>
      <c r="K73" s="228"/>
      <c r="L73" s="228"/>
      <c r="M73" s="228"/>
      <c r="O73" s="241" t="s">
        <v>58</v>
      </c>
      <c r="P73" s="241">
        <v>25587.634486660001</v>
      </c>
      <c r="Q73" s="239"/>
      <c r="R73" s="157"/>
      <c r="S73" s="247"/>
      <c r="T73" s="247"/>
      <c r="U73" s="247"/>
      <c r="V73" s="247"/>
      <c r="W73" s="247"/>
      <c r="X73" s="247"/>
      <c r="Y73" s="245"/>
      <c r="Z73" s="253" t="s">
        <v>592</v>
      </c>
      <c r="AA73" s="253">
        <v>0</v>
      </c>
      <c r="AB73" s="253">
        <v>0</v>
      </c>
      <c r="AC73" s="253">
        <v>0</v>
      </c>
      <c r="AD73" s="253">
        <v>0</v>
      </c>
      <c r="AE73" s="253">
        <v>1</v>
      </c>
      <c r="AF73" s="253"/>
      <c r="AG73" s="253" t="s">
        <v>592</v>
      </c>
      <c r="AH73" s="253">
        <v>0</v>
      </c>
      <c r="AI73" s="253">
        <v>0</v>
      </c>
      <c r="AJ73" s="253">
        <v>0</v>
      </c>
      <c r="AK73" s="253">
        <v>0</v>
      </c>
      <c r="AL73" s="253">
        <v>1</v>
      </c>
      <c r="AM73" s="245"/>
      <c r="AN73" s="253" t="s">
        <v>600</v>
      </c>
      <c r="AO73" s="253">
        <v>0</v>
      </c>
      <c r="AP73" s="253">
        <v>0</v>
      </c>
      <c r="AQ73" s="253">
        <v>0</v>
      </c>
      <c r="AR73" s="253">
        <v>0</v>
      </c>
      <c r="AS73" s="253">
        <v>0</v>
      </c>
      <c r="AT73" s="245"/>
      <c r="AU73" s="253" t="s">
        <v>592</v>
      </c>
      <c r="AV73" s="253">
        <v>0</v>
      </c>
      <c r="AW73" s="253">
        <v>0</v>
      </c>
      <c r="AX73" s="253">
        <v>0</v>
      </c>
      <c r="AY73" s="253">
        <v>0</v>
      </c>
      <c r="AZ73" s="253">
        <v>1</v>
      </c>
      <c r="BA73" s="245"/>
      <c r="BB73" s="253" t="s">
        <v>607</v>
      </c>
      <c r="BC73" s="253">
        <v>61549596.280000001</v>
      </c>
      <c r="BD73" s="253">
        <v>957</v>
      </c>
      <c r="BE73" s="253">
        <v>46</v>
      </c>
      <c r="BF73" s="253">
        <v>4118</v>
      </c>
      <c r="BG73" s="253">
        <v>1</v>
      </c>
      <c r="BH73" s="247" t="s">
        <v>607</v>
      </c>
      <c r="BI73" s="253">
        <v>682600</v>
      </c>
      <c r="BJ73" s="253">
        <v>10</v>
      </c>
      <c r="BK73" s="253">
        <v>1</v>
      </c>
      <c r="BL73" s="253">
        <v>49</v>
      </c>
      <c r="BM73" s="253">
        <v>1</v>
      </c>
      <c r="BN73" s="253"/>
      <c r="BO73" s="247"/>
      <c r="BP73" s="263" t="s">
        <v>620</v>
      </c>
      <c r="BQ73" s="263">
        <v>1160098</v>
      </c>
      <c r="BR73" s="247"/>
    </row>
    <row r="74" spans="1:70" x14ac:dyDescent="0.2">
      <c r="A74" s="83"/>
      <c r="B74" s="190" t="s">
        <v>277</v>
      </c>
      <c r="C74" s="193">
        <v>37970</v>
      </c>
      <c r="D74" s="190">
        <v>1201.19</v>
      </c>
      <c r="E74" s="223">
        <v>1</v>
      </c>
      <c r="F74" s="213"/>
      <c r="G74" s="223" t="s">
        <v>51</v>
      </c>
      <c r="H74" s="223">
        <v>28554.14433005</v>
      </c>
      <c r="I74" s="164"/>
      <c r="J74" s="3"/>
      <c r="K74" s="228"/>
      <c r="L74" s="228"/>
      <c r="M74" s="228"/>
      <c r="O74" s="241" t="s">
        <v>51</v>
      </c>
      <c r="P74" s="241">
        <v>27858.833480140001</v>
      </c>
      <c r="Q74" s="239"/>
      <c r="R74" s="157"/>
      <c r="S74" s="247"/>
      <c r="T74" s="247"/>
      <c r="U74" s="247"/>
      <c r="V74" s="247"/>
      <c r="W74" s="247"/>
      <c r="X74" s="247"/>
      <c r="Y74" s="245"/>
      <c r="Z74" s="253" t="s">
        <v>589</v>
      </c>
      <c r="AA74" s="253">
        <v>143005797.47</v>
      </c>
      <c r="AB74" s="253">
        <v>13315</v>
      </c>
      <c r="AC74" s="253">
        <v>1374</v>
      </c>
      <c r="AD74" s="253">
        <v>555384</v>
      </c>
      <c r="AE74" s="253">
        <v>0</v>
      </c>
      <c r="AF74" s="253"/>
      <c r="AG74" s="253" t="s">
        <v>589</v>
      </c>
      <c r="AH74" s="253">
        <v>5858110.9000000004</v>
      </c>
      <c r="AI74" s="253">
        <v>555</v>
      </c>
      <c r="AJ74" s="253">
        <v>50</v>
      </c>
      <c r="AK74" s="253">
        <v>27299</v>
      </c>
      <c r="AL74" s="253">
        <v>0</v>
      </c>
      <c r="AM74" s="245"/>
      <c r="AN74" s="253" t="s">
        <v>601</v>
      </c>
      <c r="AO74" s="253">
        <v>0</v>
      </c>
      <c r="AP74" s="253">
        <v>0</v>
      </c>
      <c r="AQ74" s="253">
        <v>0</v>
      </c>
      <c r="AR74" s="253">
        <v>0</v>
      </c>
      <c r="AS74" s="253">
        <v>0</v>
      </c>
      <c r="AT74" s="245"/>
      <c r="AU74" s="253" t="s">
        <v>589</v>
      </c>
      <c r="AV74" s="253">
        <v>1674763</v>
      </c>
      <c r="AW74" s="253">
        <v>132</v>
      </c>
      <c r="AX74" s="253">
        <v>28</v>
      </c>
      <c r="AY74" s="253">
        <v>21715</v>
      </c>
      <c r="AZ74" s="253">
        <v>0</v>
      </c>
      <c r="BA74" s="245"/>
      <c r="BB74" s="253" t="s">
        <v>592</v>
      </c>
      <c r="BC74" s="253">
        <v>432000</v>
      </c>
      <c r="BD74" s="253">
        <v>6</v>
      </c>
      <c r="BE74" s="253">
        <v>1</v>
      </c>
      <c r="BF74" s="253">
        <v>0</v>
      </c>
      <c r="BG74" s="253">
        <v>1</v>
      </c>
      <c r="BH74" s="247" t="s">
        <v>592</v>
      </c>
      <c r="BI74" s="253">
        <v>0</v>
      </c>
      <c r="BJ74" s="253">
        <v>0</v>
      </c>
      <c r="BK74" s="253">
        <v>0</v>
      </c>
      <c r="BL74" s="253">
        <v>0</v>
      </c>
      <c r="BM74" s="253">
        <v>1</v>
      </c>
      <c r="BN74" s="253"/>
      <c r="BO74" s="247"/>
      <c r="BP74" s="263"/>
      <c r="BQ74" s="247"/>
      <c r="BR74" s="247"/>
    </row>
    <row r="75" spans="1:70" x14ac:dyDescent="0.2">
      <c r="A75" s="83"/>
      <c r="B75" s="190" t="s">
        <v>106</v>
      </c>
      <c r="C75" s="193">
        <v>39587</v>
      </c>
      <c r="D75" s="190">
        <v>146.47999999999999</v>
      </c>
      <c r="E75" s="223">
        <v>1</v>
      </c>
      <c r="F75" s="219"/>
      <c r="G75" s="223" t="s">
        <v>305</v>
      </c>
      <c r="H75" s="223">
        <v>13173.7</v>
      </c>
      <c r="I75" s="164"/>
      <c r="J75" s="3"/>
      <c r="K75" s="228"/>
      <c r="L75" s="228"/>
      <c r="M75" s="228"/>
      <c r="O75" s="241" t="s">
        <v>305</v>
      </c>
      <c r="P75" s="241">
        <v>12675.92</v>
      </c>
      <c r="Q75" s="239"/>
      <c r="R75" s="153" t="s">
        <v>457</v>
      </c>
      <c r="S75" s="254" t="s">
        <v>560</v>
      </c>
      <c r="T75" s="257" t="s">
        <v>561</v>
      </c>
      <c r="U75" s="257" t="s">
        <v>562</v>
      </c>
      <c r="V75" s="257" t="s">
        <v>563</v>
      </c>
      <c r="W75" s="257" t="s">
        <v>564</v>
      </c>
      <c r="X75" s="257" t="s">
        <v>565</v>
      </c>
      <c r="Y75" s="245"/>
      <c r="Z75" s="253" t="s">
        <v>593</v>
      </c>
      <c r="AA75" s="253">
        <v>0</v>
      </c>
      <c r="AB75" s="253">
        <v>0</v>
      </c>
      <c r="AC75" s="253">
        <v>0</v>
      </c>
      <c r="AD75" s="253">
        <v>0</v>
      </c>
      <c r="AE75" s="253">
        <v>0</v>
      </c>
      <c r="AF75" s="253"/>
      <c r="AG75" s="253" t="s">
        <v>593</v>
      </c>
      <c r="AH75" s="253">
        <v>0</v>
      </c>
      <c r="AI75" s="253">
        <v>0</v>
      </c>
      <c r="AJ75" s="253">
        <v>0</v>
      </c>
      <c r="AK75" s="253">
        <v>0</v>
      </c>
      <c r="AL75" s="253">
        <v>0</v>
      </c>
      <c r="AM75" s="245"/>
      <c r="AN75" s="253" t="s">
        <v>587</v>
      </c>
      <c r="AO75" s="253">
        <v>6146609901.5699997</v>
      </c>
      <c r="AP75" s="253">
        <v>25161</v>
      </c>
      <c r="AQ75" s="253">
        <v>3160</v>
      </c>
      <c r="AR75" s="253">
        <v>268497</v>
      </c>
      <c r="AS75" s="253">
        <v>1</v>
      </c>
      <c r="AT75" s="245"/>
      <c r="AU75" s="253" t="s">
        <v>593</v>
      </c>
      <c r="AV75" s="253">
        <v>0</v>
      </c>
      <c r="AW75" s="253">
        <v>0</v>
      </c>
      <c r="AX75" s="253">
        <v>0</v>
      </c>
      <c r="AY75" s="253">
        <v>0</v>
      </c>
      <c r="AZ75" s="253">
        <v>0</v>
      </c>
      <c r="BA75" s="245"/>
      <c r="BB75" s="253" t="s">
        <v>589</v>
      </c>
      <c r="BC75" s="253">
        <v>976541640.39999998</v>
      </c>
      <c r="BD75" s="253">
        <v>25307</v>
      </c>
      <c r="BE75" s="253">
        <v>3260</v>
      </c>
      <c r="BF75" s="253">
        <v>620621</v>
      </c>
      <c r="BG75" s="253">
        <v>0</v>
      </c>
      <c r="BH75" s="247" t="s">
        <v>589</v>
      </c>
      <c r="BI75" s="253">
        <v>28823538.629999999</v>
      </c>
      <c r="BJ75" s="253">
        <v>2320</v>
      </c>
      <c r="BK75" s="253">
        <v>206</v>
      </c>
      <c r="BL75" s="253">
        <v>31035</v>
      </c>
      <c r="BM75" s="253">
        <v>0</v>
      </c>
      <c r="BN75" s="253"/>
      <c r="BO75" s="256" t="s">
        <v>478</v>
      </c>
      <c r="BP75" s="264" t="s">
        <v>561</v>
      </c>
      <c r="BQ75" s="264" t="s">
        <v>562</v>
      </c>
      <c r="BR75" s="264" t="s">
        <v>563</v>
      </c>
    </row>
    <row r="76" spans="1:70" x14ac:dyDescent="0.2">
      <c r="B76" s="190" t="s">
        <v>108</v>
      </c>
      <c r="C76" s="193">
        <v>39590</v>
      </c>
      <c r="D76" s="190">
        <v>12608.67</v>
      </c>
      <c r="E76" s="223">
        <v>1</v>
      </c>
      <c r="F76" s="209"/>
      <c r="G76" s="223" t="s">
        <v>548</v>
      </c>
      <c r="H76" s="223">
        <v>75776.409764290001</v>
      </c>
      <c r="I76" s="164"/>
      <c r="J76" s="3"/>
      <c r="K76" s="228"/>
      <c r="L76" s="228"/>
      <c r="M76" s="228"/>
      <c r="O76" s="241" t="s">
        <v>548</v>
      </c>
      <c r="P76" s="241">
        <v>74450.35076514</v>
      </c>
      <c r="Q76" s="239"/>
      <c r="R76" s="157"/>
      <c r="S76" s="253" t="s">
        <v>449</v>
      </c>
      <c r="T76" s="258">
        <v>35310765.890000001</v>
      </c>
      <c r="U76" s="258">
        <v>328740</v>
      </c>
      <c r="V76" s="258">
        <v>8</v>
      </c>
      <c r="W76" s="258">
        <v>19182615</v>
      </c>
      <c r="X76" s="258">
        <v>1</v>
      </c>
      <c r="Y76" s="245"/>
      <c r="Z76" s="253" t="s">
        <v>609</v>
      </c>
      <c r="AA76" s="253">
        <v>0</v>
      </c>
      <c r="AB76" s="253">
        <v>0</v>
      </c>
      <c r="AC76" s="253">
        <v>0</v>
      </c>
      <c r="AD76" s="253">
        <v>0</v>
      </c>
      <c r="AE76" s="253">
        <v>1</v>
      </c>
      <c r="AF76" s="253"/>
      <c r="AG76" s="253" t="s">
        <v>609</v>
      </c>
      <c r="AH76" s="253">
        <v>0</v>
      </c>
      <c r="AI76" s="253">
        <v>0</v>
      </c>
      <c r="AJ76" s="253">
        <v>0</v>
      </c>
      <c r="AK76" s="253">
        <v>0</v>
      </c>
      <c r="AL76" s="253">
        <v>1</v>
      </c>
      <c r="AM76" s="245"/>
      <c r="AN76" s="253" t="s">
        <v>607</v>
      </c>
      <c r="AO76" s="253">
        <v>1780920</v>
      </c>
      <c r="AP76" s="253">
        <v>28</v>
      </c>
      <c r="AQ76" s="253">
        <v>7</v>
      </c>
      <c r="AR76" s="253">
        <v>20254</v>
      </c>
      <c r="AS76" s="253">
        <v>1</v>
      </c>
      <c r="AT76" s="245"/>
      <c r="AU76" s="253" t="s">
        <v>609</v>
      </c>
      <c r="AV76" s="253">
        <v>0</v>
      </c>
      <c r="AW76" s="253">
        <v>0</v>
      </c>
      <c r="AX76" s="253">
        <v>0</v>
      </c>
      <c r="AY76" s="253">
        <v>0</v>
      </c>
      <c r="AZ76" s="253">
        <v>1</v>
      </c>
      <c r="BA76" s="245"/>
      <c r="BB76" s="253" t="s">
        <v>617</v>
      </c>
      <c r="BC76" s="253">
        <v>63403000</v>
      </c>
      <c r="BD76" s="253">
        <v>2000</v>
      </c>
      <c r="BE76" s="253">
        <v>2</v>
      </c>
      <c r="BF76" s="253">
        <v>1000</v>
      </c>
      <c r="BG76" s="253">
        <v>1</v>
      </c>
      <c r="BH76" s="245" t="s">
        <v>617</v>
      </c>
      <c r="BI76" s="253">
        <v>0</v>
      </c>
      <c r="BJ76" s="253">
        <v>0</v>
      </c>
      <c r="BK76" s="253">
        <v>0</v>
      </c>
      <c r="BL76" s="253">
        <v>0</v>
      </c>
      <c r="BM76" s="253">
        <v>1</v>
      </c>
      <c r="BN76" s="253"/>
      <c r="BO76" s="247"/>
      <c r="BP76" s="263">
        <v>391982737774.14899</v>
      </c>
      <c r="BQ76" s="263">
        <v>1868754</v>
      </c>
      <c r="BR76" s="263">
        <v>234846</v>
      </c>
    </row>
    <row r="77" spans="1:70" x14ac:dyDescent="0.2">
      <c r="B77" s="190" t="s">
        <v>278</v>
      </c>
      <c r="C77" s="193">
        <v>38009</v>
      </c>
      <c r="D77" s="190">
        <v>999.63</v>
      </c>
      <c r="E77" s="223">
        <v>1</v>
      </c>
      <c r="F77" s="209"/>
      <c r="G77" s="223" t="s">
        <v>101</v>
      </c>
      <c r="H77" s="223">
        <v>375.39718231000001</v>
      </c>
      <c r="I77" s="164"/>
      <c r="J77" s="3"/>
      <c r="K77" s="228"/>
      <c r="L77" s="228"/>
      <c r="M77" s="228"/>
      <c r="O77" s="241" t="s">
        <v>101</v>
      </c>
      <c r="P77" s="241">
        <v>364.66623687999999</v>
      </c>
      <c r="Q77" s="239"/>
      <c r="R77" s="157"/>
      <c r="S77" s="253" t="s">
        <v>447</v>
      </c>
      <c r="T77" s="258">
        <v>7196129.5800000001</v>
      </c>
      <c r="U77" s="258">
        <v>52564</v>
      </c>
      <c r="V77" s="258">
        <v>4</v>
      </c>
      <c r="W77" s="258">
        <v>1712600</v>
      </c>
      <c r="X77" s="258">
        <v>0</v>
      </c>
      <c r="Y77" s="245"/>
      <c r="Z77" s="253" t="s">
        <v>569</v>
      </c>
      <c r="AA77" s="253">
        <v>7385630527.3549995</v>
      </c>
      <c r="AB77" s="253">
        <v>31305</v>
      </c>
      <c r="AC77" s="253">
        <v>2340</v>
      </c>
      <c r="AD77" s="253">
        <v>338985</v>
      </c>
      <c r="AE77" s="253">
        <v>1</v>
      </c>
      <c r="AF77" s="253"/>
      <c r="AG77" s="253" t="s">
        <v>569</v>
      </c>
      <c r="AH77" s="253">
        <v>380504773.17000002</v>
      </c>
      <c r="AI77" s="253">
        <v>1632</v>
      </c>
      <c r="AJ77" s="253">
        <v>109</v>
      </c>
      <c r="AK77" s="253">
        <v>14731</v>
      </c>
      <c r="AL77" s="253">
        <v>1</v>
      </c>
      <c r="AM77" s="245"/>
      <c r="AN77" s="253" t="s">
        <v>592</v>
      </c>
      <c r="AO77" s="253">
        <v>0</v>
      </c>
      <c r="AP77" s="253">
        <v>0</v>
      </c>
      <c r="AQ77" s="253">
        <v>0</v>
      </c>
      <c r="AR77" s="253">
        <v>0</v>
      </c>
      <c r="AS77" s="253">
        <v>1</v>
      </c>
      <c r="AT77" s="245"/>
      <c r="AU77" s="253" t="s">
        <v>569</v>
      </c>
      <c r="AV77" s="253">
        <v>194205470.095</v>
      </c>
      <c r="AW77" s="253">
        <v>805</v>
      </c>
      <c r="AX77" s="253">
        <v>63</v>
      </c>
      <c r="AY77" s="253">
        <v>15644</v>
      </c>
      <c r="AZ77" s="253">
        <v>1</v>
      </c>
      <c r="BA77" s="245"/>
      <c r="BB77" s="253" t="s">
        <v>593</v>
      </c>
      <c r="BC77" s="253">
        <v>0</v>
      </c>
      <c r="BD77" s="253">
        <v>0</v>
      </c>
      <c r="BE77" s="253">
        <v>0</v>
      </c>
      <c r="BF77" s="253">
        <v>0</v>
      </c>
      <c r="BG77" s="253">
        <v>0</v>
      </c>
      <c r="BH77" s="245" t="s">
        <v>593</v>
      </c>
      <c r="BI77" s="253">
        <v>0</v>
      </c>
      <c r="BJ77" s="253">
        <v>0</v>
      </c>
      <c r="BK77" s="253">
        <v>0</v>
      </c>
      <c r="BL77" s="253">
        <v>0</v>
      </c>
      <c r="BM77" s="253">
        <v>0</v>
      </c>
      <c r="BN77" s="253"/>
      <c r="BO77" s="247"/>
      <c r="BP77" s="247"/>
      <c r="BQ77" s="247"/>
      <c r="BR77" s="247"/>
    </row>
    <row r="78" spans="1:70" x14ac:dyDescent="0.2">
      <c r="A78" s="149"/>
      <c r="B78" s="190" t="s">
        <v>279</v>
      </c>
      <c r="C78" s="193">
        <v>42860</v>
      </c>
      <c r="D78" s="190">
        <v>65202.115221189997</v>
      </c>
      <c r="E78" s="223">
        <v>1</v>
      </c>
      <c r="F78" s="209"/>
      <c r="G78" s="223" t="s">
        <v>103</v>
      </c>
      <c r="H78" s="223">
        <v>661.50069415999997</v>
      </c>
      <c r="I78" s="164"/>
      <c r="J78" s="63"/>
      <c r="K78" s="228"/>
      <c r="L78" s="228"/>
      <c r="M78" s="228"/>
      <c r="O78" s="241" t="s">
        <v>103</v>
      </c>
      <c r="P78" s="241">
        <v>647.86214504999998</v>
      </c>
      <c r="Q78" s="239"/>
      <c r="R78" s="157"/>
      <c r="S78" s="253" t="s">
        <v>451</v>
      </c>
      <c r="T78" s="258">
        <v>0</v>
      </c>
      <c r="U78" s="258">
        <v>0</v>
      </c>
      <c r="V78" s="258">
        <v>0</v>
      </c>
      <c r="W78" s="258">
        <v>486042</v>
      </c>
      <c r="X78" s="258">
        <v>0</v>
      </c>
      <c r="Y78" s="245"/>
      <c r="Z78" s="253" t="s">
        <v>594</v>
      </c>
      <c r="AA78" s="253">
        <v>0</v>
      </c>
      <c r="AB78" s="253">
        <v>0</v>
      </c>
      <c r="AC78" s="253">
        <v>0</v>
      </c>
      <c r="AD78" s="253">
        <v>0</v>
      </c>
      <c r="AE78" s="253">
        <v>1</v>
      </c>
      <c r="AF78" s="253"/>
      <c r="AG78" s="253" t="s">
        <v>594</v>
      </c>
      <c r="AH78" s="253">
        <v>0</v>
      </c>
      <c r="AI78" s="253">
        <v>0</v>
      </c>
      <c r="AJ78" s="253">
        <v>0</v>
      </c>
      <c r="AK78" s="253">
        <v>0</v>
      </c>
      <c r="AL78" s="253">
        <v>1</v>
      </c>
      <c r="AM78" s="245"/>
      <c r="AN78" s="253" t="s">
        <v>589</v>
      </c>
      <c r="AO78" s="253">
        <v>141253522.12</v>
      </c>
      <c r="AP78" s="253">
        <v>12317</v>
      </c>
      <c r="AQ78" s="253">
        <v>1369</v>
      </c>
      <c r="AR78" s="253">
        <v>397670</v>
      </c>
      <c r="AS78" s="253">
        <v>0</v>
      </c>
      <c r="AT78" s="245"/>
      <c r="AU78" s="253" t="s">
        <v>594</v>
      </c>
      <c r="AV78" s="253">
        <v>0</v>
      </c>
      <c r="AW78" s="253">
        <v>0</v>
      </c>
      <c r="AX78" s="253">
        <v>0</v>
      </c>
      <c r="AY78" s="253">
        <v>0</v>
      </c>
      <c r="AZ78" s="253">
        <v>1</v>
      </c>
      <c r="BA78" s="245"/>
      <c r="BB78" s="253" t="s">
        <v>569</v>
      </c>
      <c r="BC78" s="253">
        <v>5877901072.5050001</v>
      </c>
      <c r="BD78" s="253">
        <v>18199</v>
      </c>
      <c r="BE78" s="253">
        <v>1332</v>
      </c>
      <c r="BF78" s="253">
        <v>194551</v>
      </c>
      <c r="BG78" s="253">
        <v>1</v>
      </c>
      <c r="BH78" s="245" t="s">
        <v>569</v>
      </c>
      <c r="BI78" s="253">
        <v>674677050.32500005</v>
      </c>
      <c r="BJ78" s="253">
        <v>2065</v>
      </c>
      <c r="BK78" s="253">
        <v>62</v>
      </c>
      <c r="BL78" s="253">
        <v>8342</v>
      </c>
      <c r="BM78" s="253">
        <v>1</v>
      </c>
      <c r="BN78" s="253"/>
      <c r="BO78" s="256" t="s">
        <v>497</v>
      </c>
      <c r="BP78" s="264" t="s">
        <v>561</v>
      </c>
      <c r="BQ78" s="264" t="s">
        <v>562</v>
      </c>
      <c r="BR78" s="264" t="s">
        <v>563</v>
      </c>
    </row>
    <row r="79" spans="1:70" x14ac:dyDescent="0.2">
      <c r="A79" s="149"/>
      <c r="B79" s="190" t="s">
        <v>280</v>
      </c>
      <c r="C79" s="193">
        <v>39604</v>
      </c>
      <c r="D79" s="190">
        <v>61121.71</v>
      </c>
      <c r="E79" s="223">
        <v>1</v>
      </c>
      <c r="F79" s="209"/>
      <c r="G79" s="223" t="s">
        <v>306</v>
      </c>
      <c r="H79" s="223">
        <v>4438.33870346</v>
      </c>
      <c r="I79" s="164"/>
      <c r="J79" s="63"/>
      <c r="K79" s="228"/>
      <c r="L79" s="228"/>
      <c r="M79" s="228"/>
      <c r="O79" s="241" t="s">
        <v>306</v>
      </c>
      <c r="P79" s="241">
        <v>4390.7850744999996</v>
      </c>
      <c r="Q79" s="239"/>
      <c r="R79" s="157"/>
      <c r="S79" s="253" t="s">
        <v>446</v>
      </c>
      <c r="T79" s="258">
        <v>0</v>
      </c>
      <c r="U79" s="258">
        <v>0</v>
      </c>
      <c r="V79" s="258">
        <v>0</v>
      </c>
      <c r="W79" s="258">
        <v>818839</v>
      </c>
      <c r="X79" s="258">
        <v>0</v>
      </c>
      <c r="Y79" s="245"/>
      <c r="Z79" s="253" t="s">
        <v>597</v>
      </c>
      <c r="AA79" s="253">
        <v>0</v>
      </c>
      <c r="AB79" s="253">
        <v>0</v>
      </c>
      <c r="AC79" s="253">
        <v>0</v>
      </c>
      <c r="AD79" s="253">
        <v>0</v>
      </c>
      <c r="AE79" s="253">
        <v>1</v>
      </c>
      <c r="AF79" s="253"/>
      <c r="AG79" s="253" t="s">
        <v>597</v>
      </c>
      <c r="AH79" s="253">
        <v>0</v>
      </c>
      <c r="AI79" s="253">
        <v>0</v>
      </c>
      <c r="AJ79" s="253">
        <v>0</v>
      </c>
      <c r="AK79" s="253">
        <v>0</v>
      </c>
      <c r="AL79" s="253">
        <v>1</v>
      </c>
      <c r="AM79" s="245"/>
      <c r="AN79" s="253" t="s">
        <v>593</v>
      </c>
      <c r="AO79" s="253">
        <v>0</v>
      </c>
      <c r="AP79" s="253">
        <v>0</v>
      </c>
      <c r="AQ79" s="253">
        <v>0</v>
      </c>
      <c r="AR79" s="253">
        <v>0</v>
      </c>
      <c r="AS79" s="253">
        <v>0</v>
      </c>
      <c r="AT79" s="245"/>
      <c r="AU79" s="253" t="s">
        <v>597</v>
      </c>
      <c r="AV79" s="253">
        <v>0</v>
      </c>
      <c r="AW79" s="253">
        <v>0</v>
      </c>
      <c r="AX79" s="253">
        <v>0</v>
      </c>
      <c r="AY79" s="253">
        <v>0</v>
      </c>
      <c r="AZ79" s="253">
        <v>1</v>
      </c>
      <c r="BA79" s="245"/>
      <c r="BB79" s="253" t="s">
        <v>594</v>
      </c>
      <c r="BC79" s="253">
        <v>0</v>
      </c>
      <c r="BD79" s="253">
        <v>0</v>
      </c>
      <c r="BE79" s="253">
        <v>0</v>
      </c>
      <c r="BF79" s="253">
        <v>0</v>
      </c>
      <c r="BG79" s="253">
        <v>1</v>
      </c>
      <c r="BH79" s="245" t="s">
        <v>594</v>
      </c>
      <c r="BI79" s="253">
        <v>0</v>
      </c>
      <c r="BJ79" s="253">
        <v>0</v>
      </c>
      <c r="BK79" s="253">
        <v>0</v>
      </c>
      <c r="BL79" s="253">
        <v>0</v>
      </c>
      <c r="BM79" s="253">
        <v>1</v>
      </c>
      <c r="BN79" s="253"/>
      <c r="BO79" s="251"/>
      <c r="BP79" s="263">
        <v>2267688207.9699898</v>
      </c>
      <c r="BQ79" s="263">
        <v>191220</v>
      </c>
      <c r="BR79" s="263">
        <v>19336</v>
      </c>
    </row>
    <row r="80" spans="1:70" x14ac:dyDescent="0.2">
      <c r="A80" s="149"/>
      <c r="B80" s="190" t="s">
        <v>281</v>
      </c>
      <c r="C80" s="193">
        <v>39590</v>
      </c>
      <c r="D80" s="190">
        <v>50553.22</v>
      </c>
      <c r="E80" s="223">
        <v>1</v>
      </c>
      <c r="F80" s="209"/>
      <c r="G80" s="223" t="s">
        <v>307</v>
      </c>
      <c r="H80" s="223">
        <v>225.80349095</v>
      </c>
      <c r="I80" s="164"/>
      <c r="J80" s="3"/>
      <c r="K80" s="228"/>
      <c r="L80" s="228"/>
      <c r="M80" s="228"/>
      <c r="O80" s="241" t="s">
        <v>307</v>
      </c>
      <c r="P80" s="241">
        <v>237.40998446</v>
      </c>
      <c r="Q80" s="239"/>
      <c r="R80" s="157"/>
      <c r="S80" s="253" t="s">
        <v>566</v>
      </c>
      <c r="T80" s="258">
        <v>0</v>
      </c>
      <c r="U80" s="258">
        <v>0</v>
      </c>
      <c r="V80" s="258">
        <v>0</v>
      </c>
      <c r="W80" s="258">
        <v>0</v>
      </c>
      <c r="X80" s="258">
        <v>1</v>
      </c>
      <c r="Y80" s="245"/>
      <c r="Z80" s="245" t="s">
        <v>596</v>
      </c>
      <c r="AA80" s="245">
        <v>0</v>
      </c>
      <c r="AB80" s="245">
        <v>0</v>
      </c>
      <c r="AC80" s="245">
        <v>0</v>
      </c>
      <c r="AD80" s="245">
        <v>1364</v>
      </c>
      <c r="AE80" s="245">
        <v>1</v>
      </c>
      <c r="AF80" s="245"/>
      <c r="AG80" s="245" t="s">
        <v>596</v>
      </c>
      <c r="AH80" s="245">
        <v>0</v>
      </c>
      <c r="AI80" s="245">
        <v>0</v>
      </c>
      <c r="AJ80" s="245">
        <v>0</v>
      </c>
      <c r="AK80" s="245">
        <v>62</v>
      </c>
      <c r="AL80" s="245">
        <v>1</v>
      </c>
      <c r="AM80" s="245"/>
      <c r="AN80" s="245" t="s">
        <v>609</v>
      </c>
      <c r="AO80" s="245">
        <v>0</v>
      </c>
      <c r="AP80" s="245">
        <v>0</v>
      </c>
      <c r="AQ80" s="245">
        <v>0</v>
      </c>
      <c r="AR80" s="245">
        <v>0</v>
      </c>
      <c r="AS80" s="245">
        <v>1</v>
      </c>
      <c r="AT80" s="245"/>
      <c r="AU80" s="245" t="s">
        <v>596</v>
      </c>
      <c r="AV80" s="245">
        <v>0</v>
      </c>
      <c r="AW80" s="245">
        <v>0</v>
      </c>
      <c r="AX80" s="245">
        <v>0</v>
      </c>
      <c r="AY80" s="245">
        <v>62</v>
      </c>
      <c r="AZ80" s="245">
        <v>1</v>
      </c>
      <c r="BA80" s="245"/>
      <c r="BB80" s="245" t="s">
        <v>597</v>
      </c>
      <c r="BC80" s="245">
        <v>0</v>
      </c>
      <c r="BD80" s="245">
        <v>0</v>
      </c>
      <c r="BE80" s="245">
        <v>0</v>
      </c>
      <c r="BF80" s="245">
        <v>0</v>
      </c>
      <c r="BG80" s="245">
        <v>1</v>
      </c>
      <c r="BH80" s="245" t="s">
        <v>597</v>
      </c>
      <c r="BI80" s="245">
        <v>0</v>
      </c>
      <c r="BJ80" s="245">
        <v>0</v>
      </c>
      <c r="BK80" s="245">
        <v>0</v>
      </c>
      <c r="BL80" s="245">
        <v>0</v>
      </c>
      <c r="BM80" s="245">
        <v>1</v>
      </c>
      <c r="BN80" s="245"/>
      <c r="BO80" s="247"/>
      <c r="BP80" s="247"/>
      <c r="BQ80" s="247"/>
      <c r="BR80" s="247"/>
    </row>
    <row r="81" spans="1:70" x14ac:dyDescent="0.2">
      <c r="A81" s="149"/>
      <c r="B81" s="190" t="s">
        <v>56</v>
      </c>
      <c r="C81" s="193">
        <v>42972</v>
      </c>
      <c r="D81" s="190">
        <v>50175.32536409</v>
      </c>
      <c r="E81" s="223">
        <v>1</v>
      </c>
      <c r="F81" s="209"/>
      <c r="G81" s="223" t="s">
        <v>308</v>
      </c>
      <c r="H81" s="223">
        <v>9646.5795147600002</v>
      </c>
      <c r="I81" s="164"/>
      <c r="J81" s="3"/>
      <c r="K81" s="228"/>
      <c r="L81" s="228"/>
      <c r="M81" s="228"/>
      <c r="O81" s="241" t="s">
        <v>308</v>
      </c>
      <c r="P81" s="241">
        <v>9705.7081534600002</v>
      </c>
      <c r="Q81" s="239"/>
      <c r="R81" s="157"/>
      <c r="S81" s="253" t="s">
        <v>447</v>
      </c>
      <c r="T81" s="258">
        <v>815451638.14999998</v>
      </c>
      <c r="U81" s="258">
        <v>103205</v>
      </c>
      <c r="V81" s="258">
        <v>316</v>
      </c>
      <c r="W81" s="258">
        <v>933320</v>
      </c>
      <c r="X81" s="258">
        <v>1</v>
      </c>
      <c r="Y81" s="245"/>
      <c r="Z81" s="245" t="s">
        <v>604</v>
      </c>
      <c r="AA81" s="245">
        <v>0</v>
      </c>
      <c r="AB81" s="245">
        <v>0</v>
      </c>
      <c r="AC81" s="245">
        <v>0</v>
      </c>
      <c r="AD81" s="245">
        <v>0</v>
      </c>
      <c r="AE81" s="245">
        <v>0</v>
      </c>
      <c r="AF81" s="245"/>
      <c r="AG81" s="245" t="s">
        <v>604</v>
      </c>
      <c r="AH81" s="245">
        <v>0</v>
      </c>
      <c r="AI81" s="245">
        <v>0</v>
      </c>
      <c r="AJ81" s="245">
        <v>0</v>
      </c>
      <c r="AK81" s="245">
        <v>0</v>
      </c>
      <c r="AL81" s="245">
        <v>0</v>
      </c>
      <c r="AM81" s="245"/>
      <c r="AN81" s="245" t="s">
        <v>569</v>
      </c>
      <c r="AO81" s="245">
        <v>5579882847.6850004</v>
      </c>
      <c r="AP81" s="245">
        <v>22821</v>
      </c>
      <c r="AQ81" s="245">
        <v>2723</v>
      </c>
      <c r="AR81" s="245">
        <v>331735</v>
      </c>
      <c r="AS81" s="245">
        <v>1</v>
      </c>
      <c r="AT81" s="245"/>
      <c r="AU81" s="245" t="s">
        <v>604</v>
      </c>
      <c r="AV81" s="245">
        <v>0</v>
      </c>
      <c r="AW81" s="245">
        <v>0</v>
      </c>
      <c r="AX81" s="245">
        <v>0</v>
      </c>
      <c r="AY81" s="245">
        <v>0</v>
      </c>
      <c r="AZ81" s="245">
        <v>0</v>
      </c>
      <c r="BA81" s="245"/>
      <c r="BB81" s="245" t="s">
        <v>596</v>
      </c>
      <c r="BC81" s="245">
        <v>0</v>
      </c>
      <c r="BD81" s="245">
        <v>0</v>
      </c>
      <c r="BE81" s="245">
        <v>0</v>
      </c>
      <c r="BF81" s="245">
        <v>0</v>
      </c>
      <c r="BG81" s="245">
        <v>1</v>
      </c>
      <c r="BH81" s="245" t="s">
        <v>596</v>
      </c>
      <c r="BI81" s="245">
        <v>0</v>
      </c>
      <c r="BJ81" s="245">
        <v>0</v>
      </c>
      <c r="BK81" s="245">
        <v>0</v>
      </c>
      <c r="BL81" s="245">
        <v>0</v>
      </c>
      <c r="BM81" s="245">
        <v>1</v>
      </c>
      <c r="BN81" s="245"/>
      <c r="BO81" s="256" t="s">
        <v>479</v>
      </c>
      <c r="BP81" s="264" t="s">
        <v>561</v>
      </c>
      <c r="BQ81" s="264" t="s">
        <v>562</v>
      </c>
      <c r="BR81" s="264" t="s">
        <v>563</v>
      </c>
    </row>
    <row r="82" spans="1:70" x14ac:dyDescent="0.2">
      <c r="A82" s="149"/>
      <c r="B82" s="190" t="s">
        <v>45</v>
      </c>
      <c r="C82" s="193">
        <v>42594</v>
      </c>
      <c r="D82" s="190">
        <v>82603.124167989998</v>
      </c>
      <c r="E82" s="223">
        <v>1</v>
      </c>
      <c r="F82" s="209"/>
      <c r="G82" s="223" t="s">
        <v>309</v>
      </c>
      <c r="H82" s="223">
        <v>431.39498092000002</v>
      </c>
      <c r="I82" s="164"/>
      <c r="J82" s="157"/>
      <c r="K82" s="228"/>
      <c r="L82" s="228"/>
      <c r="M82" s="228"/>
      <c r="O82" s="241" t="s">
        <v>309</v>
      </c>
      <c r="P82" s="241">
        <v>452.94414160000002</v>
      </c>
      <c r="Q82" s="239"/>
      <c r="R82" s="157"/>
      <c r="S82" s="253" t="s">
        <v>182</v>
      </c>
      <c r="T82" s="258">
        <v>2573090.7620000001</v>
      </c>
      <c r="U82" s="258">
        <v>12386</v>
      </c>
      <c r="V82" s="258">
        <v>11</v>
      </c>
      <c r="W82" s="258">
        <v>1364436</v>
      </c>
      <c r="X82" s="258">
        <v>1</v>
      </c>
      <c r="Y82" s="245"/>
      <c r="Z82" s="245"/>
      <c r="AA82" s="245"/>
      <c r="AB82" s="245"/>
      <c r="AC82" s="245"/>
      <c r="AD82" s="245"/>
      <c r="AE82" s="245"/>
      <c r="AF82" s="245"/>
      <c r="AG82" s="245"/>
      <c r="AH82" s="245"/>
      <c r="AI82" s="245"/>
      <c r="AJ82" s="245"/>
      <c r="AK82" s="245"/>
      <c r="AL82" s="245"/>
      <c r="AM82" s="245"/>
      <c r="AN82" s="245" t="s">
        <v>594</v>
      </c>
      <c r="AO82" s="245">
        <v>518850</v>
      </c>
      <c r="AP82" s="245">
        <v>15</v>
      </c>
      <c r="AQ82" s="245">
        <v>2</v>
      </c>
      <c r="AR82" s="245">
        <v>75</v>
      </c>
      <c r="AS82" s="245">
        <v>1</v>
      </c>
      <c r="AT82" s="245"/>
      <c r="AU82" s="245"/>
      <c r="AV82" s="245"/>
      <c r="AW82" s="245"/>
      <c r="AX82" s="245"/>
      <c r="AY82" s="245"/>
      <c r="AZ82" s="245"/>
      <c r="BA82" s="245"/>
      <c r="BB82" s="245" t="s">
        <v>604</v>
      </c>
      <c r="BC82" s="245">
        <v>0</v>
      </c>
      <c r="BD82" s="245">
        <v>0</v>
      </c>
      <c r="BE82" s="245">
        <v>0</v>
      </c>
      <c r="BF82" s="245">
        <v>0</v>
      </c>
      <c r="BG82" s="245">
        <v>0</v>
      </c>
      <c r="BH82" s="245" t="s">
        <v>604</v>
      </c>
      <c r="BI82" s="245">
        <v>0</v>
      </c>
      <c r="BJ82" s="245">
        <v>0</v>
      </c>
      <c r="BK82" s="245">
        <v>0</v>
      </c>
      <c r="BL82" s="245">
        <v>0</v>
      </c>
      <c r="BM82" s="245">
        <v>0</v>
      </c>
      <c r="BN82" s="245"/>
      <c r="BO82" s="247"/>
      <c r="BP82" s="263">
        <v>692765407571.26892</v>
      </c>
      <c r="BQ82" s="263">
        <v>2063351</v>
      </c>
      <c r="BR82" s="263">
        <v>233081</v>
      </c>
    </row>
    <row r="83" spans="1:70" x14ac:dyDescent="0.2">
      <c r="A83" s="14"/>
      <c r="B83" s="190" t="s">
        <v>47</v>
      </c>
      <c r="C83" s="193">
        <v>42814</v>
      </c>
      <c r="D83" s="190">
        <v>65469.71245626</v>
      </c>
      <c r="E83" s="223">
        <v>1</v>
      </c>
      <c r="F83" s="212"/>
      <c r="G83" s="223" t="s">
        <v>311</v>
      </c>
      <c r="H83" s="223">
        <v>1156.1681509</v>
      </c>
      <c r="I83" s="164"/>
      <c r="J83" s="157"/>
      <c r="K83" s="228"/>
      <c r="L83" s="228"/>
      <c r="M83" s="228"/>
      <c r="O83" s="241" t="s">
        <v>311</v>
      </c>
      <c r="P83" s="241">
        <v>1120.1128034200001</v>
      </c>
      <c r="Q83" s="239"/>
      <c r="R83" s="157"/>
      <c r="S83" s="253" t="s">
        <v>449</v>
      </c>
      <c r="T83" s="258">
        <v>0</v>
      </c>
      <c r="U83" s="258">
        <v>0</v>
      </c>
      <c r="V83" s="258">
        <v>0</v>
      </c>
      <c r="W83" s="258">
        <v>0</v>
      </c>
      <c r="X83" s="258">
        <v>0</v>
      </c>
      <c r="Y83" s="245"/>
      <c r="Z83" s="245"/>
      <c r="AA83" s="245"/>
      <c r="AB83" s="245"/>
      <c r="AC83" s="245"/>
      <c r="AD83" s="245"/>
      <c r="AE83" s="245"/>
      <c r="AF83" s="245"/>
      <c r="AG83" s="245"/>
      <c r="AH83" s="245"/>
      <c r="AI83" s="245"/>
      <c r="AJ83" s="245"/>
      <c r="AK83" s="245"/>
      <c r="AL83" s="245"/>
      <c r="AM83" s="245"/>
      <c r="AN83" s="245" t="s">
        <v>597</v>
      </c>
      <c r="AO83" s="245">
        <v>0</v>
      </c>
      <c r="AP83" s="245">
        <v>0</v>
      </c>
      <c r="AQ83" s="245">
        <v>0</v>
      </c>
      <c r="AR83" s="245">
        <v>0</v>
      </c>
      <c r="AS83" s="245">
        <v>1</v>
      </c>
      <c r="AT83" s="245"/>
      <c r="AU83" s="245"/>
      <c r="AV83" s="245"/>
      <c r="AW83" s="245"/>
      <c r="AX83" s="245"/>
      <c r="AY83" s="245"/>
      <c r="AZ83" s="245"/>
      <c r="BA83" s="245"/>
      <c r="BB83" s="245"/>
      <c r="BC83" s="245"/>
      <c r="BD83" s="245"/>
      <c r="BE83" s="245"/>
      <c r="BF83" s="245"/>
      <c r="BG83" s="245"/>
      <c r="BH83" s="245"/>
      <c r="BI83" s="245"/>
      <c r="BJ83" s="245"/>
      <c r="BK83" s="245"/>
      <c r="BL83" s="245"/>
      <c r="BM83" s="245"/>
      <c r="BN83" s="245"/>
      <c r="BO83" s="247"/>
      <c r="BP83" s="247"/>
      <c r="BQ83" s="247"/>
      <c r="BR83" s="247"/>
    </row>
    <row r="84" spans="1:70" x14ac:dyDescent="0.2">
      <c r="A84" s="149"/>
      <c r="B84" s="190" t="s">
        <v>43</v>
      </c>
      <c r="C84" s="193">
        <v>42972</v>
      </c>
      <c r="D84" s="190">
        <v>56655.884673820001</v>
      </c>
      <c r="E84" s="223">
        <v>1</v>
      </c>
      <c r="F84" s="213"/>
      <c r="G84" s="223" t="s">
        <v>312</v>
      </c>
      <c r="H84" s="223">
        <v>10318.43172984</v>
      </c>
      <c r="I84" s="164"/>
      <c r="J84" s="157"/>
      <c r="K84" s="228"/>
      <c r="L84" s="228"/>
      <c r="M84" s="228"/>
      <c r="O84" s="241" t="s">
        <v>312</v>
      </c>
      <c r="P84" s="241">
        <v>10544.86220693</v>
      </c>
      <c r="Q84" s="239"/>
      <c r="R84" s="157"/>
      <c r="S84" s="253" t="s">
        <v>446</v>
      </c>
      <c r="T84" s="258">
        <v>19924961697.861301</v>
      </c>
      <c r="U84" s="258">
        <v>56090</v>
      </c>
      <c r="V84" s="258">
        <v>14660</v>
      </c>
      <c r="W84" s="258">
        <v>905154</v>
      </c>
      <c r="X84" s="258">
        <v>1</v>
      </c>
      <c r="Y84" s="245"/>
      <c r="Z84" s="245"/>
      <c r="AA84" s="245"/>
      <c r="AB84" s="245"/>
      <c r="AC84" s="245"/>
      <c r="AD84" s="245"/>
      <c r="AE84" s="245"/>
      <c r="AF84" s="245"/>
      <c r="AG84" s="245"/>
      <c r="AH84" s="245"/>
      <c r="AI84" s="245"/>
      <c r="AJ84" s="245"/>
      <c r="AK84" s="245"/>
      <c r="AL84" s="245"/>
      <c r="AM84" s="245"/>
      <c r="AN84" s="245" t="s">
        <v>596</v>
      </c>
      <c r="AO84" s="245">
        <v>42922934</v>
      </c>
      <c r="AP84" s="245">
        <v>122</v>
      </c>
      <c r="AQ84" s="245">
        <v>4</v>
      </c>
      <c r="AR84" s="245">
        <v>636</v>
      </c>
      <c r="AS84" s="245">
        <v>1</v>
      </c>
      <c r="AT84" s="245"/>
      <c r="AU84" s="245"/>
      <c r="AV84" s="245"/>
      <c r="AW84" s="245"/>
      <c r="AX84" s="245"/>
      <c r="AY84" s="245"/>
      <c r="AZ84" s="245"/>
      <c r="BA84" s="245"/>
      <c r="BB84" s="245"/>
      <c r="BC84" s="245"/>
      <c r="BD84" s="245"/>
      <c r="BE84" s="245"/>
      <c r="BF84" s="245"/>
      <c r="BG84" s="245"/>
      <c r="BH84" s="245"/>
      <c r="BI84" s="245"/>
      <c r="BJ84" s="245"/>
      <c r="BK84" s="245"/>
      <c r="BL84" s="245"/>
      <c r="BM84" s="245"/>
      <c r="BN84" s="245"/>
      <c r="BO84" s="256" t="s">
        <v>480</v>
      </c>
      <c r="BP84" s="264" t="s">
        <v>561</v>
      </c>
      <c r="BQ84" s="264" t="s">
        <v>562</v>
      </c>
      <c r="BR84" s="264" t="s">
        <v>563</v>
      </c>
    </row>
    <row r="85" spans="1:70" x14ac:dyDescent="0.2">
      <c r="A85" s="149"/>
      <c r="B85" s="190" t="s">
        <v>552</v>
      </c>
      <c r="C85" s="193">
        <v>42115</v>
      </c>
      <c r="D85" s="190">
        <v>1374.4866460000001</v>
      </c>
      <c r="E85" s="223">
        <v>1</v>
      </c>
      <c r="F85" s="213"/>
      <c r="G85" s="223" t="s">
        <v>313</v>
      </c>
      <c r="H85" s="223">
        <v>1155.86309209</v>
      </c>
      <c r="I85" s="164"/>
      <c r="J85" s="157"/>
      <c r="K85" s="228"/>
      <c r="L85" s="228"/>
      <c r="M85" s="228"/>
      <c r="O85" s="241" t="s">
        <v>313</v>
      </c>
      <c r="P85" s="241">
        <v>1087.1323490499999</v>
      </c>
      <c r="Q85" s="239"/>
      <c r="R85" s="157"/>
      <c r="S85" s="253" t="s">
        <v>451</v>
      </c>
      <c r="T85" s="258">
        <v>49376076</v>
      </c>
      <c r="U85" s="258">
        <v>5913</v>
      </c>
      <c r="V85" s="258">
        <v>2</v>
      </c>
      <c r="W85" s="258">
        <v>759767</v>
      </c>
      <c r="X85" s="258">
        <v>1</v>
      </c>
      <c r="Y85" s="245"/>
      <c r="Z85" s="245"/>
      <c r="AA85" s="245"/>
      <c r="AB85" s="245"/>
      <c r="AC85" s="245"/>
      <c r="AD85" s="245"/>
      <c r="AE85" s="245"/>
      <c r="AF85" s="245"/>
      <c r="AG85" s="245"/>
      <c r="AH85" s="245"/>
      <c r="AI85" s="245"/>
      <c r="AJ85" s="245"/>
      <c r="AK85" s="245"/>
      <c r="AL85" s="245"/>
      <c r="AM85" s="245"/>
      <c r="AN85" s="245" t="s">
        <v>604</v>
      </c>
      <c r="AO85" s="245">
        <v>0</v>
      </c>
      <c r="AP85" s="245">
        <v>0</v>
      </c>
      <c r="AQ85" s="245">
        <v>0</v>
      </c>
      <c r="AR85" s="245">
        <v>0</v>
      </c>
      <c r="AS85" s="245">
        <v>0</v>
      </c>
      <c r="AT85" s="245"/>
      <c r="AU85" s="245"/>
      <c r="AV85" s="245"/>
      <c r="AW85" s="245"/>
      <c r="AX85" s="245"/>
      <c r="AY85" s="245"/>
      <c r="AZ85" s="245"/>
      <c r="BA85" s="245"/>
      <c r="BB85" s="245"/>
      <c r="BC85" s="245"/>
      <c r="BD85" s="245"/>
      <c r="BE85" s="245"/>
      <c r="BF85" s="245"/>
      <c r="BG85" s="245"/>
      <c r="BH85" s="245"/>
      <c r="BI85" s="245"/>
      <c r="BJ85" s="245"/>
      <c r="BK85" s="245"/>
      <c r="BL85" s="245"/>
      <c r="BM85" s="245"/>
      <c r="BN85" s="245"/>
      <c r="BO85" s="247"/>
      <c r="BP85" s="263">
        <v>11218226231.02</v>
      </c>
      <c r="BQ85" s="263">
        <v>349464</v>
      </c>
      <c r="BR85" s="263">
        <v>29911</v>
      </c>
    </row>
    <row r="86" spans="1:70" x14ac:dyDescent="0.2">
      <c r="A86" s="149"/>
      <c r="B86" s="190" t="s">
        <v>553</v>
      </c>
      <c r="C86" s="193">
        <v>42118</v>
      </c>
      <c r="D86" s="190">
        <v>1225.1600000000001</v>
      </c>
      <c r="E86" s="223">
        <v>1</v>
      </c>
      <c r="F86" s="213"/>
      <c r="G86" s="223" t="s">
        <v>60</v>
      </c>
      <c r="H86" s="223">
        <v>11198.96757549</v>
      </c>
      <c r="I86" s="164"/>
      <c r="J86" s="157"/>
      <c r="K86" s="228"/>
      <c r="L86" s="228"/>
      <c r="M86" s="228"/>
      <c r="O86" s="241" t="s">
        <v>60</v>
      </c>
      <c r="P86" s="241">
        <v>10970.556661619999</v>
      </c>
      <c r="Q86" s="239"/>
      <c r="R86" s="157"/>
      <c r="S86" s="253" t="s">
        <v>450</v>
      </c>
      <c r="T86" s="258">
        <v>0</v>
      </c>
      <c r="U86" s="258">
        <v>327689</v>
      </c>
      <c r="V86" s="258">
        <v>8</v>
      </c>
      <c r="W86" s="258">
        <v>18716086</v>
      </c>
      <c r="X86" s="258">
        <v>1</v>
      </c>
      <c r="Y86" s="245"/>
      <c r="Z86" s="245"/>
      <c r="AA86" s="245"/>
      <c r="AB86" s="245"/>
      <c r="AC86" s="245"/>
      <c r="AD86" s="245"/>
      <c r="AE86" s="245"/>
      <c r="AF86" s="245"/>
      <c r="AG86" s="245"/>
      <c r="AH86" s="245"/>
      <c r="AI86" s="245"/>
      <c r="AJ86" s="245"/>
      <c r="AK86" s="245"/>
      <c r="AL86" s="245"/>
      <c r="AM86" s="245"/>
      <c r="AN86" s="245"/>
      <c r="AO86" s="245"/>
      <c r="AP86" s="245"/>
      <c r="AQ86" s="245"/>
      <c r="AR86" s="245"/>
      <c r="AS86" s="245"/>
      <c r="AT86" s="245"/>
      <c r="AU86" s="245"/>
      <c r="AV86" s="245"/>
      <c r="AW86" s="245"/>
      <c r="AX86" s="245"/>
      <c r="AY86" s="245"/>
      <c r="AZ86" s="245"/>
      <c r="BA86" s="245"/>
      <c r="BB86" s="245"/>
      <c r="BC86" s="245"/>
      <c r="BD86" s="245"/>
      <c r="BE86" s="245"/>
      <c r="BF86" s="245"/>
      <c r="BG86" s="245"/>
      <c r="BH86" s="245"/>
      <c r="BI86" s="245"/>
      <c r="BJ86" s="245"/>
      <c r="BK86" s="245"/>
      <c r="BL86" s="245"/>
      <c r="BM86" s="245"/>
      <c r="BN86" s="245"/>
      <c r="BO86" s="245"/>
      <c r="BP86" s="245"/>
      <c r="BQ86" s="245"/>
      <c r="BR86" s="245"/>
    </row>
    <row r="87" spans="1:70" x14ac:dyDescent="0.2">
      <c r="A87" s="151"/>
      <c r="B87" s="190" t="s">
        <v>554</v>
      </c>
      <c r="C87" s="193">
        <v>42143</v>
      </c>
      <c r="D87" s="190">
        <v>1310.1099999999999</v>
      </c>
      <c r="E87" s="223">
        <v>1</v>
      </c>
      <c r="F87" s="213"/>
      <c r="G87" s="223" t="s">
        <v>53</v>
      </c>
      <c r="H87" s="223">
        <v>12474.605410579999</v>
      </c>
      <c r="I87" s="164"/>
      <c r="J87" s="157"/>
      <c r="K87" s="228"/>
      <c r="L87" s="228"/>
      <c r="M87" s="228"/>
      <c r="O87" s="241" t="s">
        <v>53</v>
      </c>
      <c r="P87" s="241">
        <v>12209.449871700001</v>
      </c>
      <c r="Q87" s="239"/>
      <c r="R87" s="157"/>
      <c r="S87" s="253" t="s">
        <v>448</v>
      </c>
      <c r="T87" s="258">
        <v>0</v>
      </c>
      <c r="U87" s="258">
        <v>10503</v>
      </c>
      <c r="V87" s="258">
        <v>306</v>
      </c>
      <c r="W87" s="258">
        <v>698238</v>
      </c>
      <c r="X87" s="258">
        <v>1</v>
      </c>
      <c r="Y87" s="245"/>
      <c r="Z87" s="245"/>
      <c r="AA87" s="245"/>
      <c r="AB87" s="245"/>
      <c r="AC87" s="245"/>
      <c r="AD87" s="245"/>
      <c r="AE87" s="245"/>
      <c r="AF87" s="245"/>
      <c r="AG87" s="245"/>
      <c r="AH87" s="245"/>
      <c r="AI87" s="245"/>
      <c r="AJ87" s="245"/>
      <c r="AK87" s="245"/>
      <c r="AL87" s="245"/>
      <c r="AM87" s="245"/>
      <c r="AN87" s="245"/>
      <c r="AO87" s="245"/>
      <c r="AP87" s="245"/>
      <c r="AQ87" s="245"/>
      <c r="AR87" s="245"/>
      <c r="AS87" s="245"/>
      <c r="AT87" s="245"/>
      <c r="AU87" s="245"/>
      <c r="AV87" s="245"/>
      <c r="AW87" s="245"/>
      <c r="AX87" s="245"/>
      <c r="AY87" s="245"/>
      <c r="AZ87" s="245"/>
      <c r="BA87" s="245"/>
      <c r="BB87" s="245"/>
      <c r="BC87" s="245"/>
      <c r="BD87" s="245"/>
      <c r="BE87" s="245"/>
      <c r="BF87" s="245"/>
      <c r="BG87" s="245"/>
      <c r="BH87" s="245"/>
      <c r="BI87" s="245"/>
      <c r="BJ87" s="245"/>
      <c r="BK87" s="245"/>
      <c r="BL87" s="245"/>
      <c r="BM87" s="245"/>
      <c r="BN87" s="245"/>
      <c r="BO87" s="256" t="s">
        <v>495</v>
      </c>
      <c r="BP87" s="264" t="s">
        <v>564</v>
      </c>
      <c r="BQ87" s="245"/>
      <c r="BR87" s="245"/>
    </row>
    <row r="88" spans="1:70" x14ac:dyDescent="0.2">
      <c r="A88" s="151"/>
      <c r="B88" s="190" t="s">
        <v>555</v>
      </c>
      <c r="C88" s="193">
        <v>42312</v>
      </c>
      <c r="D88" s="190">
        <v>1315.4607390000001</v>
      </c>
      <c r="E88" s="223">
        <v>1</v>
      </c>
      <c r="F88" s="209"/>
      <c r="G88" s="223" t="s">
        <v>549</v>
      </c>
      <c r="H88" s="223">
        <v>17989.926255810002</v>
      </c>
      <c r="I88" s="164"/>
      <c r="J88" s="157"/>
      <c r="K88" s="228"/>
      <c r="L88" s="228"/>
      <c r="M88" s="228"/>
      <c r="O88" s="241" t="s">
        <v>549</v>
      </c>
      <c r="P88" s="241">
        <v>17584.943661550002</v>
      </c>
      <c r="Q88" s="239"/>
      <c r="R88" s="157"/>
      <c r="S88" s="247"/>
      <c r="T88" s="247"/>
      <c r="U88" s="247"/>
      <c r="V88" s="247"/>
      <c r="W88" s="247"/>
      <c r="X88" s="247"/>
      <c r="Y88" s="245"/>
      <c r="Z88" s="245"/>
      <c r="AA88" s="245"/>
      <c r="AB88" s="245"/>
      <c r="AC88" s="245"/>
      <c r="AD88" s="245"/>
      <c r="AE88" s="245"/>
      <c r="AF88" s="245"/>
      <c r="AG88" s="245"/>
      <c r="AH88" s="245"/>
      <c r="AI88" s="245"/>
      <c r="AJ88" s="245"/>
      <c r="AK88" s="245"/>
      <c r="AL88" s="245"/>
      <c r="AM88" s="245"/>
      <c r="AN88" s="245"/>
      <c r="AO88" s="245"/>
      <c r="AP88" s="245"/>
      <c r="AQ88" s="245"/>
      <c r="AR88" s="245"/>
      <c r="AS88" s="245"/>
      <c r="AT88" s="245"/>
      <c r="AU88" s="245"/>
      <c r="AV88" s="245"/>
      <c r="AW88" s="245"/>
      <c r="AX88" s="245"/>
      <c r="AY88" s="245"/>
      <c r="AZ88" s="245"/>
      <c r="BA88" s="245"/>
      <c r="BB88" s="245"/>
      <c r="BC88" s="245"/>
      <c r="BD88" s="245"/>
      <c r="BE88" s="245"/>
      <c r="BF88" s="245"/>
      <c r="BG88" s="245"/>
      <c r="BH88" s="245"/>
      <c r="BI88" s="245"/>
      <c r="BJ88" s="245"/>
      <c r="BK88" s="245"/>
      <c r="BL88" s="245"/>
      <c r="BM88" s="245"/>
      <c r="BN88" s="245"/>
      <c r="BO88" s="247"/>
      <c r="BP88" s="263">
        <v>80671</v>
      </c>
      <c r="BQ88" s="245"/>
      <c r="BR88" s="245"/>
    </row>
    <row r="89" spans="1:70" x14ac:dyDescent="0.2">
      <c r="A89" s="14"/>
      <c r="B89" s="190" t="s">
        <v>556</v>
      </c>
      <c r="C89" s="193">
        <v>42312</v>
      </c>
      <c r="D89" s="190">
        <v>1209.71</v>
      </c>
      <c r="E89" s="223">
        <v>1</v>
      </c>
      <c r="F89" s="209"/>
      <c r="G89" s="223" t="s">
        <v>550</v>
      </c>
      <c r="H89" s="223">
        <v>18702.883915549999</v>
      </c>
      <c r="I89" s="164"/>
      <c r="J89" s="157"/>
      <c r="K89" s="228"/>
      <c r="L89" s="228"/>
      <c r="M89" s="228"/>
      <c r="O89" s="241" t="s">
        <v>550</v>
      </c>
      <c r="P89" s="241">
        <v>18278.38859957</v>
      </c>
      <c r="Q89" s="239"/>
      <c r="S89" s="245"/>
      <c r="T89" s="245"/>
      <c r="U89" s="245"/>
      <c r="V89" s="245"/>
      <c r="W89" s="245"/>
      <c r="X89" s="245"/>
      <c r="Y89" s="245"/>
      <c r="Z89" s="245"/>
      <c r="AA89" s="245"/>
      <c r="AB89" s="245"/>
      <c r="AC89" s="245"/>
      <c r="AD89" s="245"/>
      <c r="AE89" s="245"/>
      <c r="AF89" s="245"/>
      <c r="AG89" s="245"/>
      <c r="AH89" s="245"/>
      <c r="AI89" s="245"/>
      <c r="AJ89" s="245"/>
      <c r="AK89" s="245"/>
      <c r="AL89" s="245"/>
      <c r="AM89" s="245"/>
      <c r="AN89" s="245"/>
      <c r="AO89" s="245"/>
      <c r="AP89" s="245"/>
      <c r="AQ89" s="245"/>
      <c r="AR89" s="245"/>
      <c r="AS89" s="245"/>
      <c r="AT89" s="245"/>
      <c r="AU89" s="245"/>
      <c r="AV89" s="245"/>
      <c r="AW89" s="245"/>
      <c r="AX89" s="245"/>
      <c r="AY89" s="245"/>
      <c r="AZ89" s="245"/>
      <c r="BA89" s="245"/>
      <c r="BB89" s="245"/>
      <c r="BC89" s="245"/>
      <c r="BD89" s="245"/>
      <c r="BE89" s="245"/>
      <c r="BF89" s="245"/>
      <c r="BG89" s="245"/>
      <c r="BH89" s="245"/>
      <c r="BI89" s="245"/>
      <c r="BJ89" s="245"/>
      <c r="BK89" s="245"/>
      <c r="BL89" s="245"/>
      <c r="BM89" s="245"/>
      <c r="BN89" s="245"/>
      <c r="BO89" s="247"/>
      <c r="BP89" s="263"/>
      <c r="BQ89" s="245"/>
      <c r="BR89" s="245"/>
    </row>
    <row r="90" spans="1:70" x14ac:dyDescent="0.2">
      <c r="A90" s="149"/>
      <c r="B90" s="190" t="s">
        <v>557</v>
      </c>
      <c r="C90" s="193">
        <v>42594</v>
      </c>
      <c r="D90" s="190">
        <v>1327.18</v>
      </c>
      <c r="E90" s="223">
        <v>1</v>
      </c>
      <c r="F90" s="213"/>
      <c r="G90" s="223" t="s">
        <v>314</v>
      </c>
      <c r="H90" s="223">
        <v>7978.3476493400003</v>
      </c>
      <c r="I90" s="164"/>
      <c r="J90" s="157"/>
      <c r="K90" s="228"/>
      <c r="L90" s="228"/>
      <c r="M90" s="228"/>
      <c r="O90" s="241" t="s">
        <v>314</v>
      </c>
      <c r="P90" s="241">
        <v>7935.9860101100003</v>
      </c>
      <c r="Q90" s="239"/>
      <c r="S90" s="245"/>
      <c r="T90" s="245"/>
      <c r="U90" s="245"/>
      <c r="V90" s="245"/>
      <c r="W90" s="245"/>
      <c r="X90" s="245"/>
      <c r="Y90" s="245"/>
      <c r="Z90" s="245"/>
      <c r="AA90" s="245"/>
      <c r="AB90" s="245"/>
      <c r="AC90" s="245"/>
      <c r="AD90" s="245"/>
      <c r="AE90" s="245"/>
      <c r="AF90" s="245"/>
      <c r="AG90" s="245"/>
      <c r="AH90" s="245"/>
      <c r="AI90" s="245"/>
      <c r="AJ90" s="245"/>
      <c r="AK90" s="245"/>
      <c r="AL90" s="245"/>
      <c r="AM90" s="245"/>
      <c r="AN90" s="245"/>
      <c r="AO90" s="245"/>
      <c r="AP90" s="245"/>
      <c r="AQ90" s="245"/>
      <c r="AR90" s="245"/>
      <c r="AS90" s="245"/>
      <c r="AT90" s="245"/>
      <c r="AU90" s="245"/>
      <c r="AV90" s="245"/>
      <c r="AW90" s="245"/>
      <c r="AX90" s="245"/>
      <c r="AY90" s="245"/>
      <c r="AZ90" s="245"/>
      <c r="BA90" s="245"/>
      <c r="BB90" s="245"/>
      <c r="BC90" s="245"/>
      <c r="BD90" s="245"/>
      <c r="BE90" s="245"/>
      <c r="BF90" s="245"/>
      <c r="BG90" s="245"/>
      <c r="BH90" s="245"/>
      <c r="BI90" s="245"/>
      <c r="BJ90" s="245"/>
      <c r="BK90" s="245"/>
      <c r="BL90" s="245"/>
      <c r="BM90" s="245"/>
      <c r="BN90" s="245"/>
      <c r="BO90" s="256" t="s">
        <v>496</v>
      </c>
      <c r="BP90" s="264" t="s">
        <v>564</v>
      </c>
      <c r="BQ90" s="245"/>
      <c r="BR90" s="245"/>
    </row>
    <row r="91" spans="1:70" x14ac:dyDescent="0.2">
      <c r="A91" s="149"/>
      <c r="B91" s="190" t="s">
        <v>558</v>
      </c>
      <c r="C91" s="193">
        <v>42118</v>
      </c>
      <c r="D91" s="190">
        <v>1238.74</v>
      </c>
      <c r="E91" s="223">
        <v>1</v>
      </c>
      <c r="F91" s="213"/>
      <c r="G91" s="223" t="s">
        <v>315</v>
      </c>
      <c r="H91" s="223">
        <v>29290.8933106</v>
      </c>
      <c r="I91" s="164"/>
      <c r="J91" s="157"/>
      <c r="K91" s="228"/>
      <c r="L91" s="228"/>
      <c r="M91" s="228"/>
      <c r="O91" s="241" t="s">
        <v>315</v>
      </c>
      <c r="P91" s="241">
        <v>27951.17231609</v>
      </c>
      <c r="Q91" s="239"/>
      <c r="S91" s="245"/>
      <c r="T91" s="245"/>
      <c r="U91" s="245"/>
      <c r="V91" s="245"/>
      <c r="W91" s="245"/>
      <c r="X91" s="245"/>
      <c r="Y91" s="245"/>
      <c r="Z91" s="245"/>
      <c r="AA91" s="245"/>
      <c r="AB91" s="245"/>
      <c r="AC91" s="245"/>
      <c r="AD91" s="245"/>
      <c r="AE91" s="245"/>
      <c r="AF91" s="245"/>
      <c r="AG91" s="245"/>
      <c r="AH91" s="245"/>
      <c r="AI91" s="245"/>
      <c r="AJ91" s="245"/>
      <c r="AK91" s="245"/>
      <c r="AL91" s="245"/>
      <c r="AM91" s="245"/>
      <c r="AN91" s="245"/>
      <c r="AO91" s="245"/>
      <c r="AP91" s="245"/>
      <c r="AQ91" s="245"/>
      <c r="AR91" s="245"/>
      <c r="AS91" s="245"/>
      <c r="AT91" s="245"/>
      <c r="AU91" s="245"/>
      <c r="AV91" s="245"/>
      <c r="AW91" s="245"/>
      <c r="AX91" s="245"/>
      <c r="AY91" s="245"/>
      <c r="AZ91" s="245"/>
      <c r="BA91" s="245"/>
      <c r="BB91" s="245"/>
      <c r="BC91" s="245"/>
      <c r="BD91" s="245"/>
      <c r="BE91" s="245"/>
      <c r="BF91" s="245"/>
      <c r="BG91" s="245"/>
      <c r="BH91" s="245"/>
      <c r="BI91" s="245"/>
      <c r="BJ91" s="245"/>
      <c r="BK91" s="245"/>
      <c r="BL91" s="245"/>
      <c r="BM91" s="245"/>
      <c r="BN91" s="245"/>
      <c r="BO91" s="247"/>
      <c r="BP91" s="263">
        <v>53130</v>
      </c>
      <c r="BQ91" s="245"/>
      <c r="BR91" s="245"/>
    </row>
    <row r="92" spans="1:70" x14ac:dyDescent="0.2">
      <c r="A92" s="149"/>
      <c r="B92" s="190" t="s">
        <v>559</v>
      </c>
      <c r="C92" s="193">
        <v>42118</v>
      </c>
      <c r="D92" s="190">
        <v>1315.36</v>
      </c>
      <c r="E92" s="223">
        <v>1</v>
      </c>
      <c r="F92" s="213"/>
      <c r="G92" s="223" t="s">
        <v>316</v>
      </c>
      <c r="H92" s="223">
        <v>5266.5898480599999</v>
      </c>
      <c r="I92" s="164"/>
      <c r="J92" s="157"/>
      <c r="K92" s="228"/>
      <c r="L92" s="228"/>
      <c r="M92" s="228"/>
      <c r="O92" s="241" t="s">
        <v>316</v>
      </c>
      <c r="P92" s="241">
        <v>5146.8182034800002</v>
      </c>
      <c r="Q92" s="239"/>
      <c r="S92" s="245"/>
      <c r="T92" s="245"/>
      <c r="U92" s="245"/>
      <c r="V92" s="245"/>
      <c r="W92" s="245"/>
      <c r="X92" s="245"/>
      <c r="Y92" s="245"/>
      <c r="Z92" s="245"/>
      <c r="AA92" s="245"/>
      <c r="AB92" s="245"/>
      <c r="AC92" s="245"/>
      <c r="AD92" s="245"/>
      <c r="AE92" s="245"/>
      <c r="AF92" s="245"/>
      <c r="AG92" s="245"/>
      <c r="AH92" s="245"/>
      <c r="AI92" s="245"/>
      <c r="AJ92" s="245"/>
      <c r="AK92" s="245"/>
      <c r="AL92" s="245"/>
      <c r="AM92" s="245"/>
      <c r="AN92" s="245"/>
      <c r="AO92" s="245"/>
      <c r="AP92" s="245"/>
      <c r="AQ92" s="245"/>
      <c r="AR92" s="245"/>
      <c r="AS92" s="245"/>
      <c r="AT92" s="245"/>
      <c r="AU92" s="245"/>
      <c r="AV92" s="245"/>
      <c r="AW92" s="245"/>
      <c r="AX92" s="245"/>
      <c r="AY92" s="245"/>
      <c r="AZ92" s="245"/>
      <c r="BA92" s="245"/>
      <c r="BB92" s="245"/>
      <c r="BC92" s="245"/>
      <c r="BD92" s="245"/>
      <c r="BE92" s="245"/>
      <c r="BF92" s="245"/>
      <c r="BG92" s="245"/>
      <c r="BH92" s="245"/>
      <c r="BI92" s="245"/>
      <c r="BJ92" s="245"/>
      <c r="BK92" s="245"/>
      <c r="BL92" s="245"/>
      <c r="BM92" s="245"/>
      <c r="BN92" s="245"/>
      <c r="BO92" s="245"/>
      <c r="BP92" s="245"/>
      <c r="BQ92" s="245"/>
      <c r="BR92" s="245"/>
    </row>
    <row r="93" spans="1:70" x14ac:dyDescent="0.2">
      <c r="A93" s="151"/>
      <c r="B93" s="190" t="s">
        <v>49</v>
      </c>
      <c r="C93" s="193">
        <v>42783</v>
      </c>
      <c r="D93" s="190">
        <v>8292.5284918300003</v>
      </c>
      <c r="E93" s="223">
        <v>1</v>
      </c>
      <c r="F93" s="213"/>
      <c r="G93" s="223" t="s">
        <v>74</v>
      </c>
      <c r="H93" s="223">
        <v>25296.994578760001</v>
      </c>
      <c r="I93" s="164"/>
      <c r="J93" s="157"/>
      <c r="K93" s="228"/>
      <c r="L93" s="228"/>
      <c r="M93" s="228"/>
      <c r="O93" s="241" t="s">
        <v>74</v>
      </c>
      <c r="P93" s="241">
        <v>24222.86883544</v>
      </c>
      <c r="Q93" s="239"/>
      <c r="S93" s="245"/>
      <c r="T93" s="245"/>
      <c r="U93" s="245"/>
      <c r="V93" s="245"/>
      <c r="W93" s="245"/>
      <c r="X93" s="245"/>
      <c r="Y93" s="245"/>
      <c r="Z93" s="245"/>
      <c r="AA93" s="245"/>
      <c r="AB93" s="245"/>
      <c r="AC93" s="245"/>
      <c r="AD93" s="245"/>
      <c r="AE93" s="245"/>
      <c r="AF93" s="245"/>
      <c r="AG93" s="245"/>
      <c r="AH93" s="245"/>
      <c r="AI93" s="245"/>
      <c r="AJ93" s="245"/>
      <c r="AK93" s="245"/>
      <c r="AL93" s="245"/>
      <c r="AM93" s="245"/>
      <c r="AN93" s="245"/>
      <c r="AO93" s="245"/>
      <c r="AP93" s="245"/>
      <c r="AQ93" s="245"/>
      <c r="AR93" s="245"/>
      <c r="AS93" s="245"/>
      <c r="AT93" s="245"/>
      <c r="AU93" s="245"/>
      <c r="AV93" s="245"/>
      <c r="AW93" s="245"/>
      <c r="AX93" s="245"/>
      <c r="AY93" s="245"/>
      <c r="AZ93" s="245"/>
      <c r="BA93" s="245"/>
      <c r="BB93" s="245"/>
      <c r="BC93" s="245"/>
      <c r="BD93" s="245"/>
      <c r="BE93" s="245"/>
      <c r="BF93" s="245"/>
      <c r="BG93" s="245"/>
      <c r="BH93" s="245"/>
      <c r="BI93" s="245"/>
      <c r="BJ93" s="245"/>
      <c r="BK93" s="245"/>
      <c r="BL93" s="245"/>
      <c r="BM93" s="245"/>
      <c r="BN93" s="245"/>
      <c r="BO93" s="245"/>
      <c r="BP93" s="245"/>
      <c r="BQ93" s="245"/>
      <c r="BR93" s="245"/>
    </row>
    <row r="94" spans="1:70" x14ac:dyDescent="0.2">
      <c r="B94" s="190" t="s">
        <v>546</v>
      </c>
      <c r="C94" s="193">
        <v>42972</v>
      </c>
      <c r="D94" s="190">
        <v>55514.49782009</v>
      </c>
      <c r="E94" s="223">
        <v>1</v>
      </c>
      <c r="F94" s="209"/>
      <c r="G94" s="223" t="s">
        <v>76</v>
      </c>
      <c r="H94" s="223">
        <v>48395.076502479998</v>
      </c>
      <c r="I94" s="164"/>
      <c r="J94" s="157"/>
      <c r="K94" s="228"/>
      <c r="L94" s="228"/>
      <c r="M94" s="228"/>
      <c r="O94" s="241" t="s">
        <v>76</v>
      </c>
      <c r="P94" s="241">
        <v>46303.084775030002</v>
      </c>
      <c r="Q94" s="239"/>
      <c r="S94" s="245"/>
      <c r="T94" s="245"/>
      <c r="U94" s="245"/>
      <c r="V94" s="245"/>
      <c r="W94" s="245"/>
      <c r="X94" s="245"/>
      <c r="Y94" s="245"/>
      <c r="Z94" s="245"/>
      <c r="AA94" s="245"/>
      <c r="AB94" s="245"/>
      <c r="AC94" s="245"/>
      <c r="AD94" s="245"/>
      <c r="AE94" s="245"/>
      <c r="AF94" s="245"/>
      <c r="AG94" s="245"/>
      <c r="AH94" s="245"/>
      <c r="AI94" s="245"/>
      <c r="AJ94" s="245"/>
      <c r="AK94" s="245"/>
      <c r="AL94" s="245"/>
      <c r="AM94" s="245"/>
      <c r="AN94" s="245"/>
      <c r="AO94" s="245"/>
      <c r="AP94" s="245"/>
      <c r="AQ94" s="245"/>
      <c r="AR94" s="245"/>
      <c r="AS94" s="245"/>
      <c r="AT94" s="245"/>
      <c r="AU94" s="245"/>
      <c r="AV94" s="245"/>
      <c r="AW94" s="245"/>
      <c r="AX94" s="245"/>
      <c r="AY94" s="245"/>
      <c r="AZ94" s="245"/>
      <c r="BA94" s="245"/>
      <c r="BB94" s="245"/>
      <c r="BC94" s="245"/>
      <c r="BD94" s="245"/>
      <c r="BE94" s="245"/>
      <c r="BF94" s="245"/>
      <c r="BG94" s="245"/>
      <c r="BH94" s="245"/>
      <c r="BI94" s="245"/>
      <c r="BJ94" s="245"/>
      <c r="BK94" s="245"/>
      <c r="BL94" s="245"/>
      <c r="BM94" s="245"/>
      <c r="BN94" s="245"/>
      <c r="BO94" s="245"/>
      <c r="BP94" s="245"/>
      <c r="BQ94" s="245"/>
      <c r="BR94" s="245"/>
    </row>
    <row r="95" spans="1:70" x14ac:dyDescent="0.2">
      <c r="A95" s="14"/>
      <c r="B95" s="190" t="s">
        <v>547</v>
      </c>
      <c r="C95" s="193">
        <v>42972</v>
      </c>
      <c r="D95" s="190">
        <v>54942.510268630002</v>
      </c>
      <c r="E95" s="223">
        <v>1</v>
      </c>
      <c r="F95" s="209"/>
      <c r="G95" s="223" t="s">
        <v>78</v>
      </c>
      <c r="H95" s="223">
        <v>77428.187102070005</v>
      </c>
      <c r="I95" s="164"/>
      <c r="J95" s="157"/>
      <c r="K95" s="228"/>
      <c r="L95" s="228"/>
      <c r="M95" s="228"/>
      <c r="O95" s="241" t="s">
        <v>78</v>
      </c>
      <c r="P95" s="241">
        <v>77155.910027189995</v>
      </c>
      <c r="Q95" s="239"/>
      <c r="S95" s="245"/>
      <c r="T95" s="245"/>
      <c r="U95" s="245"/>
      <c r="V95" s="245"/>
      <c r="W95" s="245"/>
      <c r="X95" s="245"/>
      <c r="Y95" s="245"/>
      <c r="Z95" s="245"/>
      <c r="AA95" s="245"/>
      <c r="AB95" s="245"/>
      <c r="AC95" s="245"/>
      <c r="AD95" s="245"/>
      <c r="AE95" s="245"/>
      <c r="AF95" s="245"/>
      <c r="AG95" s="245"/>
      <c r="AH95" s="245"/>
      <c r="AI95" s="245"/>
      <c r="AJ95" s="245"/>
      <c r="AK95" s="245"/>
      <c r="AL95" s="245"/>
      <c r="AM95" s="245"/>
      <c r="AN95" s="245"/>
      <c r="AO95" s="245"/>
      <c r="AP95" s="245"/>
      <c r="AQ95" s="245"/>
      <c r="AR95" s="245"/>
      <c r="AS95" s="245"/>
      <c r="AT95" s="245"/>
      <c r="AU95" s="245"/>
      <c r="AV95" s="245"/>
      <c r="AW95" s="245"/>
      <c r="AX95" s="245"/>
      <c r="AY95" s="245"/>
      <c r="AZ95" s="245"/>
      <c r="BA95" s="245"/>
      <c r="BB95" s="245"/>
      <c r="BC95" s="245"/>
      <c r="BD95" s="245"/>
      <c r="BE95" s="245"/>
      <c r="BF95" s="245"/>
      <c r="BG95" s="245"/>
      <c r="BH95" s="245"/>
      <c r="BI95" s="245"/>
      <c r="BJ95" s="245"/>
      <c r="BK95" s="245"/>
      <c r="BL95" s="245"/>
      <c r="BM95" s="245"/>
      <c r="BN95" s="245"/>
      <c r="BO95" s="245"/>
      <c r="BP95" s="245"/>
      <c r="BQ95" s="245"/>
      <c r="BR95" s="245"/>
    </row>
    <row r="96" spans="1:70" x14ac:dyDescent="0.2">
      <c r="A96" s="149"/>
      <c r="B96" s="190" t="s">
        <v>282</v>
      </c>
      <c r="C96" s="193">
        <v>40662</v>
      </c>
      <c r="D96" s="190">
        <v>4825.42</v>
      </c>
      <c r="E96" s="223">
        <v>1</v>
      </c>
      <c r="F96" s="213"/>
      <c r="G96" s="223" t="s">
        <v>317</v>
      </c>
      <c r="H96" s="223">
        <v>11637.38640698</v>
      </c>
      <c r="I96" s="164"/>
      <c r="J96" s="157"/>
      <c r="K96" s="228"/>
      <c r="L96" s="228"/>
      <c r="M96" s="228"/>
      <c r="O96" s="241" t="s">
        <v>317</v>
      </c>
      <c r="P96" s="241">
        <v>11455.87275285</v>
      </c>
      <c r="Q96" s="239"/>
      <c r="S96" s="245"/>
      <c r="T96" s="245"/>
      <c r="U96" s="245"/>
      <c r="V96" s="245"/>
      <c r="W96" s="245"/>
      <c r="X96" s="245"/>
      <c r="Y96" s="245"/>
      <c r="Z96" s="245"/>
      <c r="AA96" s="245"/>
      <c r="AB96" s="245"/>
      <c r="AC96" s="245"/>
      <c r="AD96" s="245"/>
      <c r="AE96" s="245"/>
      <c r="AF96" s="245"/>
      <c r="AG96" s="245"/>
      <c r="AH96" s="245"/>
      <c r="AI96" s="245"/>
      <c r="AJ96" s="245"/>
      <c r="AK96" s="245"/>
      <c r="AL96" s="245"/>
      <c r="AM96" s="245"/>
      <c r="AN96" s="245"/>
      <c r="AO96" s="245"/>
      <c r="AP96" s="245"/>
      <c r="AQ96" s="245"/>
      <c r="AR96" s="245"/>
      <c r="AS96" s="245"/>
      <c r="AT96" s="245"/>
      <c r="AU96" s="245"/>
      <c r="AV96" s="245"/>
      <c r="AW96" s="245"/>
      <c r="AX96" s="245"/>
      <c r="AY96" s="245"/>
      <c r="AZ96" s="245"/>
      <c r="BA96" s="245"/>
      <c r="BB96" s="245"/>
      <c r="BC96" s="245"/>
      <c r="BD96" s="245"/>
      <c r="BE96" s="245"/>
      <c r="BF96" s="245"/>
      <c r="BG96" s="245"/>
      <c r="BH96" s="245"/>
      <c r="BI96" s="245"/>
      <c r="BJ96" s="245"/>
      <c r="BK96" s="245"/>
      <c r="BL96" s="245"/>
      <c r="BM96" s="245"/>
      <c r="BN96" s="245"/>
      <c r="BO96" s="245"/>
      <c r="BP96" s="245"/>
      <c r="BQ96" s="245"/>
      <c r="BR96" s="245"/>
    </row>
    <row r="97" spans="1:16" x14ac:dyDescent="0.2">
      <c r="A97" s="149"/>
      <c r="B97" s="190" t="s">
        <v>61</v>
      </c>
      <c r="C97" s="193">
        <v>39590</v>
      </c>
      <c r="D97" s="190">
        <v>77308.45</v>
      </c>
      <c r="E97" s="223">
        <v>1</v>
      </c>
      <c r="F97" s="213"/>
      <c r="G97" s="223" t="s">
        <v>318</v>
      </c>
      <c r="H97" s="223">
        <v>6798.3371452700003</v>
      </c>
      <c r="I97" s="164"/>
      <c r="K97" s="228"/>
      <c r="L97" s="228"/>
      <c r="M97" s="228"/>
      <c r="O97" s="241" t="s">
        <v>318</v>
      </c>
      <c r="P97" s="241">
        <v>6683.38080661</v>
      </c>
    </row>
    <row r="98" spans="1:16" x14ac:dyDescent="0.2">
      <c r="A98" s="149"/>
      <c r="B98" s="190" t="s">
        <v>65</v>
      </c>
      <c r="C98" s="193">
        <v>42971</v>
      </c>
      <c r="D98" s="190">
        <v>76918.317275559995</v>
      </c>
      <c r="E98" s="223">
        <v>1</v>
      </c>
      <c r="F98" s="213"/>
      <c r="G98" s="223" t="s">
        <v>88</v>
      </c>
      <c r="H98" s="223">
        <v>7547.4470531999996</v>
      </c>
      <c r="I98" s="164"/>
      <c r="K98" s="228"/>
      <c r="L98" s="228"/>
      <c r="M98" s="228"/>
      <c r="O98" s="241" t="s">
        <v>88</v>
      </c>
      <c r="P98" s="241">
        <v>7361.3359750299996</v>
      </c>
    </row>
    <row r="99" spans="1:16" x14ac:dyDescent="0.2">
      <c r="A99" s="149"/>
      <c r="B99" s="190" t="s">
        <v>67</v>
      </c>
      <c r="C99" s="193">
        <v>42118</v>
      </c>
      <c r="D99" s="190">
        <v>17911.36431723</v>
      </c>
      <c r="E99" s="223">
        <v>1</v>
      </c>
      <c r="F99" s="213"/>
      <c r="G99" s="223" t="s">
        <v>80</v>
      </c>
      <c r="H99" s="223">
        <v>22102.838314709999</v>
      </c>
      <c r="I99" s="164"/>
      <c r="K99" s="228"/>
      <c r="L99" s="228"/>
      <c r="M99" s="228"/>
      <c r="O99" s="241" t="s">
        <v>80</v>
      </c>
      <c r="P99" s="241">
        <v>21831.918940979998</v>
      </c>
    </row>
    <row r="100" spans="1:16" x14ac:dyDescent="0.2">
      <c r="B100" s="190" t="s">
        <v>69</v>
      </c>
      <c r="C100" s="193">
        <v>42972</v>
      </c>
      <c r="D100" s="190">
        <v>79876.819681349996</v>
      </c>
      <c r="E100" s="223">
        <v>1</v>
      </c>
      <c r="F100" s="209"/>
      <c r="G100" s="223" t="s">
        <v>319</v>
      </c>
      <c r="H100" s="223">
        <v>639.36912159999997</v>
      </c>
      <c r="I100" s="164"/>
      <c r="K100" s="228"/>
      <c r="L100" s="228"/>
      <c r="M100" s="228"/>
      <c r="O100" s="241" t="s">
        <v>319</v>
      </c>
      <c r="P100" s="241">
        <v>632.31194957000002</v>
      </c>
    </row>
    <row r="101" spans="1:16" x14ac:dyDescent="0.2">
      <c r="B101" s="190" t="s">
        <v>111</v>
      </c>
      <c r="C101" s="193">
        <v>42346</v>
      </c>
      <c r="D101" s="190">
        <v>1703.8449540300001</v>
      </c>
      <c r="E101" s="223">
        <v>1</v>
      </c>
      <c r="F101" s="213"/>
      <c r="G101" s="223" t="s">
        <v>86</v>
      </c>
      <c r="H101" s="223">
        <v>7435.0345254100002</v>
      </c>
      <c r="I101" s="164"/>
      <c r="K101" s="228"/>
      <c r="L101" s="228"/>
      <c r="M101" s="228"/>
      <c r="O101" s="241" t="s">
        <v>86</v>
      </c>
      <c r="P101" s="241">
        <v>6989.4061158499999</v>
      </c>
    </row>
    <row r="102" spans="1:16" x14ac:dyDescent="0.2">
      <c r="B102" s="190" t="s">
        <v>113</v>
      </c>
      <c r="C102" s="193">
        <v>38723</v>
      </c>
      <c r="D102" s="190">
        <v>641.64</v>
      </c>
      <c r="E102" s="223">
        <v>1</v>
      </c>
      <c r="F102" s="209"/>
      <c r="G102" s="223" t="s">
        <v>320</v>
      </c>
      <c r="H102" s="223">
        <v>4931.0167734200004</v>
      </c>
      <c r="I102" s="164"/>
      <c r="K102" s="228"/>
      <c r="L102" s="228"/>
      <c r="M102" s="228"/>
      <c r="O102" s="241" t="s">
        <v>320</v>
      </c>
      <c r="P102" s="241">
        <v>4939.4651038399998</v>
      </c>
    </row>
    <row r="103" spans="1:16" x14ac:dyDescent="0.2">
      <c r="A103" s="14"/>
      <c r="B103" s="190" t="s">
        <v>115</v>
      </c>
      <c r="C103" s="193">
        <v>39400</v>
      </c>
      <c r="D103" s="190">
        <v>5041.9399999999996</v>
      </c>
      <c r="E103" s="223">
        <v>1</v>
      </c>
      <c r="F103" s="213"/>
      <c r="G103" s="223" t="s">
        <v>82</v>
      </c>
      <c r="H103" s="223">
        <v>42605.413105489999</v>
      </c>
      <c r="I103" s="164"/>
      <c r="K103" s="228"/>
      <c r="L103" s="228"/>
      <c r="M103" s="228"/>
      <c r="O103" s="241" t="s">
        <v>82</v>
      </c>
      <c r="P103" s="241">
        <v>41791.278225579998</v>
      </c>
    </row>
    <row r="104" spans="1:16" x14ac:dyDescent="0.2">
      <c r="B104" s="190" t="s">
        <v>283</v>
      </c>
      <c r="C104" s="193">
        <v>39400</v>
      </c>
      <c r="D104" s="190">
        <v>2186.16</v>
      </c>
      <c r="E104" s="223">
        <v>1</v>
      </c>
      <c r="F104" s="213"/>
      <c r="G104" s="223" t="s">
        <v>84</v>
      </c>
      <c r="H104" s="223">
        <v>49238.238182250003</v>
      </c>
      <c r="I104" s="164"/>
      <c r="K104" s="228"/>
      <c r="L104" s="228"/>
      <c r="M104" s="228"/>
      <c r="O104" s="241" t="s">
        <v>84</v>
      </c>
      <c r="P104" s="241">
        <v>48637.428502549999</v>
      </c>
    </row>
    <row r="105" spans="1:16" x14ac:dyDescent="0.2">
      <c r="B105" s="190" t="s">
        <v>284</v>
      </c>
      <c r="C105" s="193">
        <v>39381</v>
      </c>
      <c r="D105" s="190">
        <v>90476.79</v>
      </c>
      <c r="E105" s="223">
        <v>1</v>
      </c>
      <c r="F105" s="213"/>
      <c r="G105" s="223" t="s">
        <v>321</v>
      </c>
      <c r="H105" s="223">
        <v>9114.4395316200007</v>
      </c>
      <c r="I105" s="164"/>
      <c r="K105" s="228"/>
      <c r="L105" s="228"/>
      <c r="M105" s="228"/>
      <c r="O105" s="241" t="s">
        <v>321</v>
      </c>
      <c r="P105" s="241">
        <v>8931.6663585900005</v>
      </c>
    </row>
    <row r="106" spans="1:16" x14ac:dyDescent="0.2">
      <c r="B106" s="190" t="s">
        <v>285</v>
      </c>
      <c r="C106" s="193">
        <v>42951</v>
      </c>
      <c r="D106" s="190">
        <v>336.84924486</v>
      </c>
      <c r="E106" s="223">
        <v>1</v>
      </c>
      <c r="F106" s="213"/>
      <c r="G106" s="223" t="s">
        <v>322</v>
      </c>
      <c r="H106" s="223">
        <v>2014.4921014900001</v>
      </c>
      <c r="I106" s="164"/>
      <c r="K106" s="228"/>
      <c r="L106" s="228"/>
      <c r="M106" s="228"/>
      <c r="O106" s="241" t="s">
        <v>322</v>
      </c>
      <c r="P106" s="241">
        <v>2087.9973104199998</v>
      </c>
    </row>
    <row r="107" spans="1:16" x14ac:dyDescent="0.2">
      <c r="B107" s="190" t="s">
        <v>286</v>
      </c>
      <c r="C107" s="193">
        <v>41824</v>
      </c>
      <c r="D107" s="190">
        <v>253.72994224000001</v>
      </c>
      <c r="E107" s="223">
        <v>1</v>
      </c>
      <c r="F107" s="213"/>
      <c r="G107" s="223" t="s">
        <v>323</v>
      </c>
      <c r="H107" s="223">
        <v>244.17647722999999</v>
      </c>
      <c r="I107" s="164"/>
      <c r="K107" s="228"/>
      <c r="L107" s="228"/>
      <c r="M107" s="228"/>
      <c r="O107" s="241" t="s">
        <v>323</v>
      </c>
      <c r="P107" s="241">
        <v>228.18237966999999</v>
      </c>
    </row>
    <row r="108" spans="1:16" x14ac:dyDescent="0.2">
      <c r="B108" s="190" t="s">
        <v>287</v>
      </c>
      <c r="C108" s="193">
        <v>42951</v>
      </c>
      <c r="D108" s="190">
        <v>199.52895914000001</v>
      </c>
      <c r="E108" s="223">
        <v>1</v>
      </c>
      <c r="F108" s="209"/>
      <c r="G108" s="223" t="s">
        <v>324</v>
      </c>
      <c r="H108" s="223">
        <v>8050.3880678599999</v>
      </c>
      <c r="I108" s="164"/>
      <c r="K108" s="228"/>
      <c r="L108" s="228"/>
      <c r="M108" s="228"/>
      <c r="O108" s="241" t="s">
        <v>324</v>
      </c>
      <c r="P108" s="241">
        <v>7752.5107169299999</v>
      </c>
    </row>
    <row r="109" spans="1:16" x14ac:dyDescent="0.2">
      <c r="B109" s="190" t="s">
        <v>288</v>
      </c>
      <c r="C109" s="193">
        <v>42520</v>
      </c>
      <c r="D109" s="190">
        <v>435.48899929999999</v>
      </c>
      <c r="E109" s="223">
        <v>1</v>
      </c>
      <c r="F109" s="209"/>
      <c r="G109" s="223" t="s">
        <v>325</v>
      </c>
      <c r="H109" s="223">
        <v>68458.064157190005</v>
      </c>
      <c r="I109" s="164"/>
      <c r="K109" s="228"/>
      <c r="L109" s="228"/>
      <c r="M109" s="228"/>
      <c r="O109" s="241" t="s">
        <v>325</v>
      </c>
      <c r="P109" s="241">
        <v>64070.404446729997</v>
      </c>
    </row>
    <row r="110" spans="1:16" x14ac:dyDescent="0.2">
      <c r="B110" s="190" t="s">
        <v>289</v>
      </c>
      <c r="C110" s="193">
        <v>39381</v>
      </c>
      <c r="D110" s="190">
        <v>31030.1</v>
      </c>
      <c r="E110" s="223">
        <v>1</v>
      </c>
      <c r="F110" s="209"/>
      <c r="G110" s="223" t="s">
        <v>326</v>
      </c>
      <c r="H110" s="223">
        <v>38272.413209769999</v>
      </c>
      <c r="I110" s="164"/>
      <c r="K110" s="228"/>
      <c r="L110" s="228"/>
      <c r="M110" s="228"/>
      <c r="O110" s="241" t="s">
        <v>326</v>
      </c>
      <c r="P110" s="241">
        <v>36765.836375120001</v>
      </c>
    </row>
    <row r="111" spans="1:16" x14ac:dyDescent="0.2">
      <c r="B111" s="190" t="s">
        <v>290</v>
      </c>
      <c r="C111" s="193">
        <v>40926</v>
      </c>
      <c r="D111" s="190">
        <v>1131.78</v>
      </c>
      <c r="E111" s="223">
        <v>1</v>
      </c>
      <c r="F111" s="209"/>
      <c r="G111" s="223" t="s">
        <v>327</v>
      </c>
      <c r="H111" s="223">
        <v>1502.9086548</v>
      </c>
      <c r="I111" s="164"/>
      <c r="K111" s="228"/>
      <c r="L111" s="228"/>
      <c r="M111" s="228"/>
      <c r="O111" s="241" t="s">
        <v>327</v>
      </c>
      <c r="P111" s="241">
        <v>1462.2189115199999</v>
      </c>
    </row>
    <row r="112" spans="1:16" x14ac:dyDescent="0.2">
      <c r="B112" s="190" t="s">
        <v>95</v>
      </c>
      <c r="C112" s="193">
        <v>42578</v>
      </c>
      <c r="D112" s="190">
        <v>678.08424324999999</v>
      </c>
      <c r="E112" s="223">
        <v>1</v>
      </c>
      <c r="F112" s="209"/>
      <c r="G112" s="223" t="s">
        <v>190</v>
      </c>
      <c r="H112" s="223">
        <v>899.16334211000003</v>
      </c>
      <c r="I112" s="164"/>
      <c r="K112" s="228"/>
      <c r="L112" s="228"/>
      <c r="M112" s="228"/>
      <c r="O112" s="241" t="s">
        <v>190</v>
      </c>
      <c r="P112" s="241">
        <v>913.8228173</v>
      </c>
    </row>
    <row r="113" spans="2:16" x14ac:dyDescent="0.2">
      <c r="B113" s="190" t="s">
        <v>97</v>
      </c>
      <c r="C113" s="193">
        <v>42305</v>
      </c>
      <c r="D113" s="190">
        <v>597.8558587</v>
      </c>
      <c r="E113" s="223">
        <v>1</v>
      </c>
      <c r="F113" s="209"/>
      <c r="G113" s="223" t="s">
        <v>329</v>
      </c>
      <c r="H113" s="223">
        <v>3878.8844334599999</v>
      </c>
      <c r="I113" s="164"/>
      <c r="K113" s="228"/>
      <c r="L113" s="228"/>
      <c r="M113" s="228"/>
      <c r="O113" s="241" t="s">
        <v>329</v>
      </c>
      <c r="P113" s="241">
        <v>3918.7276270699999</v>
      </c>
    </row>
    <row r="114" spans="2:16" x14ac:dyDescent="0.2">
      <c r="B114" s="190" t="s">
        <v>291</v>
      </c>
      <c r="C114" s="193">
        <v>42032</v>
      </c>
      <c r="D114" s="190">
        <v>695.5143372</v>
      </c>
      <c r="E114" s="223">
        <v>1</v>
      </c>
      <c r="F114" s="209"/>
      <c r="G114" s="223" t="s">
        <v>330</v>
      </c>
      <c r="H114" s="223">
        <v>4664.3203457500003</v>
      </c>
      <c r="I114" s="164"/>
      <c r="K114" s="228"/>
      <c r="L114" s="228"/>
      <c r="M114" s="228"/>
      <c r="O114" s="241" t="s">
        <v>330</v>
      </c>
      <c r="P114" s="241">
        <v>4661.5612045199996</v>
      </c>
    </row>
    <row r="115" spans="2:16" x14ac:dyDescent="0.2">
      <c r="B115" s="190" t="s">
        <v>292</v>
      </c>
      <c r="C115" s="193">
        <v>41411</v>
      </c>
      <c r="D115" s="190">
        <v>2240.63</v>
      </c>
      <c r="E115" s="223">
        <v>1</v>
      </c>
      <c r="F115" s="209"/>
      <c r="G115" s="223" t="s">
        <v>331</v>
      </c>
      <c r="H115" s="223">
        <v>1055.57856408</v>
      </c>
      <c r="I115" s="164"/>
      <c r="K115" s="228"/>
      <c r="L115" s="228"/>
      <c r="M115" s="228"/>
      <c r="O115" s="241" t="s">
        <v>331</v>
      </c>
      <c r="P115" s="241">
        <v>1042.6982937299999</v>
      </c>
    </row>
    <row r="116" spans="2:16" x14ac:dyDescent="0.2">
      <c r="B116" s="190" t="s">
        <v>293</v>
      </c>
      <c r="C116" s="193">
        <v>42971</v>
      </c>
      <c r="D116" s="190">
        <v>84792.944095309998</v>
      </c>
      <c r="E116" s="223">
        <v>1</v>
      </c>
      <c r="F116" s="209"/>
      <c r="G116" s="223" t="s">
        <v>333</v>
      </c>
      <c r="H116" s="223">
        <v>72.437945290000002</v>
      </c>
      <c r="I116" s="164"/>
      <c r="K116" s="228"/>
      <c r="L116" s="228"/>
      <c r="M116" s="228"/>
      <c r="O116" s="241" t="s">
        <v>333</v>
      </c>
      <c r="P116" s="241">
        <v>71.903911899999997</v>
      </c>
    </row>
    <row r="117" spans="2:16" x14ac:dyDescent="0.2">
      <c r="B117" s="190" t="s">
        <v>99</v>
      </c>
      <c r="C117" s="193">
        <v>39590</v>
      </c>
      <c r="D117" s="190">
        <v>42495.61</v>
      </c>
      <c r="E117" s="223">
        <v>1</v>
      </c>
      <c r="F117" s="209"/>
      <c r="G117" s="223" t="s">
        <v>334</v>
      </c>
      <c r="H117" s="223">
        <v>121.97600968</v>
      </c>
      <c r="I117" s="164"/>
      <c r="K117" s="228"/>
      <c r="L117" s="228"/>
      <c r="M117" s="228"/>
      <c r="O117" s="241" t="s">
        <v>334</v>
      </c>
      <c r="P117" s="241">
        <v>122.90491249</v>
      </c>
    </row>
    <row r="118" spans="2:16" x14ac:dyDescent="0.2">
      <c r="B118" s="190" t="s">
        <v>294</v>
      </c>
      <c r="C118" s="193">
        <v>42048</v>
      </c>
      <c r="D118" s="190">
        <v>246.82307969999999</v>
      </c>
      <c r="E118" s="223">
        <v>1</v>
      </c>
      <c r="F118" s="209"/>
      <c r="G118" s="223" t="s">
        <v>335</v>
      </c>
      <c r="H118" s="223">
        <v>53.348020169999998</v>
      </c>
      <c r="I118" s="164"/>
      <c r="K118" s="228"/>
      <c r="L118" s="228"/>
      <c r="M118" s="228"/>
      <c r="O118" s="241" t="s">
        <v>335</v>
      </c>
      <c r="P118" s="241">
        <v>53.85228824</v>
      </c>
    </row>
    <row r="119" spans="2:16" x14ac:dyDescent="0.2">
      <c r="B119" s="190" t="s">
        <v>295</v>
      </c>
      <c r="C119" s="193">
        <v>42978</v>
      </c>
      <c r="D119" s="190">
        <v>10546.325617189999</v>
      </c>
      <c r="E119" s="223">
        <v>1</v>
      </c>
      <c r="F119" s="209"/>
      <c r="G119" s="223" t="s">
        <v>336</v>
      </c>
      <c r="H119" s="223">
        <v>86.088729029999996</v>
      </c>
      <c r="I119" s="164"/>
      <c r="K119" s="228"/>
      <c r="L119" s="228"/>
      <c r="M119" s="228"/>
      <c r="O119" s="241" t="s">
        <v>336</v>
      </c>
      <c r="P119" s="241">
        <v>88.214621609999995</v>
      </c>
    </row>
    <row r="120" spans="2:16" x14ac:dyDescent="0.2">
      <c r="B120" s="190" t="s">
        <v>296</v>
      </c>
      <c r="C120" s="193">
        <v>42978</v>
      </c>
      <c r="D120" s="190">
        <v>9960.6663038299994</v>
      </c>
      <c r="E120" s="223">
        <v>1</v>
      </c>
      <c r="F120" s="209"/>
      <c r="G120" s="223" t="s">
        <v>337</v>
      </c>
      <c r="H120" s="223">
        <v>49997.269851260004</v>
      </c>
      <c r="I120" s="164"/>
      <c r="K120" s="228"/>
      <c r="L120" s="228"/>
      <c r="M120" s="228"/>
      <c r="O120" s="241" t="s">
        <v>337</v>
      </c>
      <c r="P120" s="241">
        <v>48873.133677509999</v>
      </c>
    </row>
    <row r="121" spans="2:16" x14ac:dyDescent="0.2">
      <c r="B121" s="190" t="s">
        <v>297</v>
      </c>
      <c r="C121" s="193">
        <v>41009</v>
      </c>
      <c r="D121" s="190">
        <v>91356.97</v>
      </c>
      <c r="E121" s="223">
        <v>1</v>
      </c>
      <c r="F121" s="209"/>
      <c r="G121" s="223" t="s">
        <v>338</v>
      </c>
      <c r="H121" s="223">
        <v>4134.9448578399997</v>
      </c>
      <c r="I121" s="164"/>
      <c r="K121" s="228"/>
      <c r="L121" s="228"/>
      <c r="M121" s="228"/>
      <c r="O121" s="241" t="s">
        <v>338</v>
      </c>
      <c r="P121" s="241">
        <v>3981.8527361199999</v>
      </c>
    </row>
    <row r="122" spans="2:16" x14ac:dyDescent="0.2">
      <c r="B122" s="190" t="s">
        <v>298</v>
      </c>
      <c r="C122" s="193">
        <v>39226</v>
      </c>
      <c r="D122" s="190">
        <v>30904.43</v>
      </c>
      <c r="E122" s="223">
        <v>1</v>
      </c>
      <c r="F122" s="209"/>
      <c r="G122" s="223" t="s">
        <v>339</v>
      </c>
      <c r="H122" s="223">
        <v>56522.113845200001</v>
      </c>
      <c r="I122" s="164"/>
      <c r="K122" s="228"/>
      <c r="L122" s="228"/>
      <c r="M122" s="228"/>
      <c r="O122" s="241" t="s">
        <v>339</v>
      </c>
      <c r="P122" s="241">
        <v>55207.40675129</v>
      </c>
    </row>
    <row r="123" spans="2:16" x14ac:dyDescent="0.2">
      <c r="B123" s="190" t="s">
        <v>299</v>
      </c>
      <c r="C123" s="193">
        <v>39381</v>
      </c>
      <c r="D123" s="190">
        <v>70277.3</v>
      </c>
      <c r="E123" s="223">
        <v>1</v>
      </c>
      <c r="F123" s="209"/>
      <c r="G123" s="223" t="s">
        <v>340</v>
      </c>
      <c r="H123" s="223">
        <v>12474.605410579999</v>
      </c>
      <c r="I123" s="164"/>
      <c r="K123" s="228"/>
      <c r="L123" s="228"/>
      <c r="M123" s="228"/>
      <c r="O123" s="241" t="s">
        <v>340</v>
      </c>
      <c r="P123" s="241">
        <v>12209.449871700001</v>
      </c>
    </row>
    <row r="124" spans="2:16" x14ac:dyDescent="0.2">
      <c r="B124" s="190" t="s">
        <v>300</v>
      </c>
      <c r="C124" s="193">
        <v>41800</v>
      </c>
      <c r="D124" s="190">
        <v>210.35973263</v>
      </c>
      <c r="E124" s="223">
        <v>1</v>
      </c>
      <c r="F124" s="209"/>
      <c r="G124" s="223" t="s">
        <v>341</v>
      </c>
      <c r="H124" s="223">
        <v>881.61322364</v>
      </c>
      <c r="I124" s="164"/>
      <c r="K124" s="228"/>
      <c r="L124" s="228"/>
      <c r="M124" s="228"/>
      <c r="O124" s="241" t="s">
        <v>341</v>
      </c>
      <c r="P124" s="241">
        <v>896.37903967</v>
      </c>
    </row>
    <row r="125" spans="2:16" x14ac:dyDescent="0.2">
      <c r="B125" s="190" t="s">
        <v>301</v>
      </c>
      <c r="C125" s="193">
        <v>42193</v>
      </c>
      <c r="D125" s="190">
        <v>3470.8482101700001</v>
      </c>
      <c r="E125" s="223">
        <v>1</v>
      </c>
      <c r="F125" s="209"/>
      <c r="G125" s="223" t="s">
        <v>342</v>
      </c>
      <c r="H125" s="223">
        <v>10546.325617189999</v>
      </c>
      <c r="I125" s="164"/>
      <c r="K125" s="228"/>
      <c r="L125" s="228"/>
      <c r="M125" s="228"/>
      <c r="O125" s="241" t="s">
        <v>342</v>
      </c>
      <c r="P125" s="241">
        <v>10219.984395150001</v>
      </c>
    </row>
    <row r="126" spans="2:16" x14ac:dyDescent="0.2">
      <c r="B126" s="190" t="s">
        <v>302</v>
      </c>
      <c r="C126" s="193">
        <v>42978</v>
      </c>
      <c r="D126" s="190">
        <v>10402.56049287</v>
      </c>
      <c r="E126" s="223">
        <v>1</v>
      </c>
      <c r="F126" s="209"/>
      <c r="G126" s="223" t="s">
        <v>343</v>
      </c>
      <c r="H126" s="223">
        <v>3187.6251511800001</v>
      </c>
      <c r="I126" s="164"/>
      <c r="K126" s="228"/>
      <c r="L126" s="228"/>
      <c r="M126" s="228"/>
      <c r="O126" s="241" t="s">
        <v>343</v>
      </c>
      <c r="P126" s="241">
        <v>3097.6921577600001</v>
      </c>
    </row>
    <row r="127" spans="2:16" x14ac:dyDescent="0.2">
      <c r="B127" s="190" t="s">
        <v>303</v>
      </c>
      <c r="C127" s="193">
        <v>42970</v>
      </c>
      <c r="D127" s="190">
        <v>11705.088299999999</v>
      </c>
      <c r="E127" s="223">
        <v>1</v>
      </c>
      <c r="F127" s="209"/>
      <c r="G127" s="223" t="s">
        <v>344</v>
      </c>
      <c r="H127" s="223">
        <v>11198.96757549</v>
      </c>
      <c r="I127" s="164"/>
      <c r="K127" s="228"/>
      <c r="L127" s="228"/>
      <c r="M127" s="228"/>
      <c r="O127" s="241" t="s">
        <v>344</v>
      </c>
      <c r="P127" s="241">
        <v>10970.556661619999</v>
      </c>
    </row>
    <row r="128" spans="2:16" x14ac:dyDescent="0.2">
      <c r="B128" s="190" t="s">
        <v>304</v>
      </c>
      <c r="C128" s="193">
        <v>42122</v>
      </c>
      <c r="D128" s="190">
        <v>26558.425318059999</v>
      </c>
      <c r="E128" s="223">
        <v>1</v>
      </c>
      <c r="F128" s="209"/>
      <c r="G128" s="223" t="s">
        <v>346</v>
      </c>
      <c r="H128" s="223">
        <v>7767.29</v>
      </c>
      <c r="I128" s="164"/>
      <c r="K128" s="228"/>
      <c r="L128" s="228"/>
      <c r="M128" s="228"/>
      <c r="O128" s="241" t="s">
        <v>346</v>
      </c>
      <c r="P128" s="241">
        <v>7829.25</v>
      </c>
    </row>
    <row r="129" spans="2:16" x14ac:dyDescent="0.2">
      <c r="B129" s="190" t="s">
        <v>58</v>
      </c>
      <c r="C129" s="193">
        <v>42975</v>
      </c>
      <c r="D129" s="190">
        <v>26240.287589439999</v>
      </c>
      <c r="E129" s="223">
        <v>1</v>
      </c>
      <c r="F129" s="209"/>
      <c r="G129" s="223" t="s">
        <v>347</v>
      </c>
      <c r="H129" s="223">
        <v>15720.91</v>
      </c>
      <c r="I129" s="164"/>
      <c r="K129" s="228"/>
      <c r="L129" s="228"/>
      <c r="M129" s="228"/>
      <c r="O129" s="241" t="s">
        <v>347</v>
      </c>
      <c r="P129" s="241">
        <v>15417.99</v>
      </c>
    </row>
    <row r="130" spans="2:16" x14ac:dyDescent="0.2">
      <c r="B130" s="190" t="s">
        <v>51</v>
      </c>
      <c r="C130" s="193">
        <v>42972</v>
      </c>
      <c r="D130" s="190">
        <v>28567.939084289999</v>
      </c>
      <c r="E130" s="223">
        <v>1</v>
      </c>
      <c r="F130" s="209"/>
      <c r="G130" s="223" t="s">
        <v>348</v>
      </c>
      <c r="H130" s="223">
        <v>3210.15</v>
      </c>
      <c r="I130" s="164"/>
      <c r="K130" s="228"/>
      <c r="L130" s="228"/>
      <c r="M130" s="228"/>
      <c r="O130" s="241" t="s">
        <v>348</v>
      </c>
      <c r="P130" s="241">
        <v>3082.97</v>
      </c>
    </row>
    <row r="131" spans="2:16" x14ac:dyDescent="0.2">
      <c r="B131" s="190" t="s">
        <v>305</v>
      </c>
      <c r="C131" s="193">
        <v>40588</v>
      </c>
      <c r="D131" s="190">
        <v>24209.279999999999</v>
      </c>
      <c r="E131" s="223">
        <v>1</v>
      </c>
      <c r="F131" s="209"/>
      <c r="G131" s="223" t="s">
        <v>349</v>
      </c>
      <c r="H131" s="223">
        <v>4356.04</v>
      </c>
      <c r="I131" s="164"/>
      <c r="K131" s="228"/>
      <c r="L131" s="228"/>
      <c r="M131" s="228"/>
      <c r="O131" s="241" t="s">
        <v>349</v>
      </c>
      <c r="P131" s="241">
        <v>4003.85</v>
      </c>
    </row>
    <row r="132" spans="2:16" x14ac:dyDescent="0.2">
      <c r="B132" s="190" t="s">
        <v>548</v>
      </c>
      <c r="C132" s="193">
        <v>42971</v>
      </c>
      <c r="D132" s="190">
        <v>76467.384013169998</v>
      </c>
      <c r="E132" s="223">
        <v>1</v>
      </c>
      <c r="F132" s="209"/>
      <c r="G132" s="223" t="s">
        <v>350</v>
      </c>
      <c r="H132" s="223">
        <v>2762.53</v>
      </c>
      <c r="I132" s="164"/>
      <c r="K132" s="228"/>
      <c r="L132" s="228"/>
      <c r="M132" s="228"/>
      <c r="O132" s="241" t="s">
        <v>350</v>
      </c>
      <c r="P132" s="241">
        <v>2669.39</v>
      </c>
    </row>
    <row r="133" spans="2:16" x14ac:dyDescent="0.2">
      <c r="B133" s="190" t="s">
        <v>101</v>
      </c>
      <c r="C133" s="193">
        <v>42129</v>
      </c>
      <c r="D133" s="190">
        <v>431.46959335999998</v>
      </c>
      <c r="E133" s="223">
        <v>1</v>
      </c>
      <c r="F133" s="209"/>
      <c r="G133" s="223" t="s">
        <v>351</v>
      </c>
      <c r="H133" s="223">
        <v>21128.02</v>
      </c>
      <c r="I133" s="164"/>
      <c r="K133" s="228"/>
      <c r="L133" s="228"/>
      <c r="M133" s="228"/>
      <c r="O133" s="241" t="s">
        <v>351</v>
      </c>
      <c r="P133" s="241">
        <v>20565.060000000001</v>
      </c>
    </row>
    <row r="134" spans="2:16" x14ac:dyDescent="0.2">
      <c r="B134" s="190" t="s">
        <v>103</v>
      </c>
      <c r="C134" s="193">
        <v>42972</v>
      </c>
      <c r="D134" s="190">
        <v>668.9655262</v>
      </c>
      <c r="E134" s="223">
        <v>1</v>
      </c>
      <c r="F134" s="209"/>
      <c r="G134" s="223" t="s">
        <v>352</v>
      </c>
      <c r="H134" s="223">
        <v>2912.4</v>
      </c>
      <c r="I134" s="164"/>
      <c r="K134" s="228"/>
      <c r="L134" s="228"/>
      <c r="M134" s="228"/>
      <c r="O134" s="241" t="s">
        <v>352</v>
      </c>
      <c r="P134" s="241">
        <v>3058.44</v>
      </c>
    </row>
    <row r="135" spans="2:16" x14ac:dyDescent="0.2">
      <c r="B135" s="190" t="s">
        <v>306</v>
      </c>
      <c r="C135" s="193">
        <v>41689</v>
      </c>
      <c r="D135" s="190">
        <v>10314.608568510001</v>
      </c>
      <c r="E135" s="223">
        <v>1</v>
      </c>
      <c r="F135" s="209"/>
      <c r="G135" s="223" t="s">
        <v>353</v>
      </c>
      <c r="H135" s="223">
        <v>8616.9599999999991</v>
      </c>
      <c r="I135" s="164"/>
      <c r="K135" s="228"/>
      <c r="L135" s="228"/>
      <c r="M135" s="228"/>
      <c r="O135" s="241" t="s">
        <v>353</v>
      </c>
      <c r="P135" s="241">
        <v>9294.5</v>
      </c>
    </row>
    <row r="136" spans="2:16" x14ac:dyDescent="0.2">
      <c r="B136" s="190" t="s">
        <v>307</v>
      </c>
      <c r="C136" s="193">
        <v>40581</v>
      </c>
      <c r="D136" s="190">
        <v>82132.160000000003</v>
      </c>
      <c r="E136" s="223">
        <v>1</v>
      </c>
      <c r="F136" s="209"/>
      <c r="G136" s="223" t="s">
        <v>354</v>
      </c>
      <c r="H136" s="223">
        <v>6607.5</v>
      </c>
      <c r="I136" s="164"/>
      <c r="K136" s="228"/>
      <c r="L136" s="228"/>
      <c r="M136" s="228"/>
      <c r="O136" s="241" t="s">
        <v>354</v>
      </c>
      <c r="P136" s="241">
        <v>5679.39</v>
      </c>
    </row>
    <row r="137" spans="2:16" x14ac:dyDescent="0.2">
      <c r="B137" s="190" t="s">
        <v>308</v>
      </c>
      <c r="C137" s="193">
        <v>41893</v>
      </c>
      <c r="D137" s="190">
        <v>83071.234493240001</v>
      </c>
      <c r="E137" s="223">
        <v>1</v>
      </c>
      <c r="F137" s="209"/>
      <c r="G137" s="223" t="s">
        <v>355</v>
      </c>
      <c r="H137" s="223">
        <v>5322.5</v>
      </c>
      <c r="I137" s="164"/>
      <c r="K137" s="228"/>
      <c r="L137" s="228"/>
      <c r="M137" s="228"/>
      <c r="O137" s="241" t="s">
        <v>355</v>
      </c>
      <c r="P137" s="241">
        <v>5282.05</v>
      </c>
    </row>
    <row r="138" spans="2:16" x14ac:dyDescent="0.2">
      <c r="B138" s="190" t="s">
        <v>309</v>
      </c>
      <c r="C138" s="193">
        <v>42460</v>
      </c>
      <c r="D138" s="190">
        <v>664.66121383999996</v>
      </c>
      <c r="E138" s="223">
        <v>1</v>
      </c>
      <c r="F138" s="209"/>
      <c r="G138" s="223" t="s">
        <v>356</v>
      </c>
      <c r="H138" s="223">
        <v>7881.45</v>
      </c>
      <c r="I138" s="164"/>
      <c r="K138" s="228"/>
      <c r="L138" s="228"/>
      <c r="M138" s="228"/>
      <c r="O138" s="241" t="s">
        <v>356</v>
      </c>
      <c r="P138" s="241">
        <v>7797.01</v>
      </c>
    </row>
    <row r="139" spans="2:16" x14ac:dyDescent="0.2">
      <c r="B139" s="190" t="s">
        <v>310</v>
      </c>
      <c r="C139" s="193">
        <v>38840</v>
      </c>
      <c r="D139" s="190">
        <v>2905.13</v>
      </c>
      <c r="E139" s="223">
        <v>1</v>
      </c>
      <c r="F139" s="209"/>
      <c r="G139" s="223" t="s">
        <v>357</v>
      </c>
      <c r="H139" s="223">
        <v>21588.92</v>
      </c>
      <c r="I139" s="164"/>
      <c r="K139" s="228"/>
      <c r="L139" s="228"/>
      <c r="M139" s="228"/>
      <c r="O139" s="241" t="s">
        <v>357</v>
      </c>
      <c r="P139" s="241">
        <v>22698.61</v>
      </c>
    </row>
    <row r="140" spans="2:16" x14ac:dyDescent="0.2">
      <c r="B140" s="190" t="s">
        <v>311</v>
      </c>
      <c r="C140" s="193">
        <v>42312</v>
      </c>
      <c r="D140" s="190">
        <v>1204.3085317499999</v>
      </c>
      <c r="E140" s="223">
        <v>1</v>
      </c>
      <c r="F140" s="209"/>
      <c r="G140" s="223" t="s">
        <v>358</v>
      </c>
      <c r="H140" s="223">
        <v>14493.6</v>
      </c>
      <c r="I140" s="164"/>
      <c r="K140" s="228"/>
      <c r="L140" s="228"/>
      <c r="M140" s="228"/>
      <c r="O140" s="241" t="s">
        <v>358</v>
      </c>
      <c r="P140" s="241">
        <v>14582.44</v>
      </c>
    </row>
    <row r="141" spans="2:16" x14ac:dyDescent="0.2">
      <c r="B141" s="190" t="s">
        <v>312</v>
      </c>
      <c r="C141" s="193">
        <v>42521</v>
      </c>
      <c r="D141" s="190">
        <v>12393.618495070001</v>
      </c>
      <c r="E141" s="223">
        <v>1</v>
      </c>
      <c r="F141" s="209"/>
      <c r="G141" s="223" t="s">
        <v>359</v>
      </c>
      <c r="H141" s="223">
        <v>16669.63</v>
      </c>
      <c r="I141" s="164"/>
      <c r="K141" s="228"/>
      <c r="L141" s="228"/>
      <c r="M141" s="228"/>
      <c r="O141" s="241" t="s">
        <v>359</v>
      </c>
      <c r="P141" s="241">
        <v>17502.32</v>
      </c>
    </row>
    <row r="142" spans="2:16" x14ac:dyDescent="0.2">
      <c r="B142" s="190" t="s">
        <v>313</v>
      </c>
      <c r="C142" s="193">
        <v>40934</v>
      </c>
      <c r="D142" s="190">
        <v>2257.3200000000002</v>
      </c>
      <c r="E142" s="223">
        <v>1</v>
      </c>
      <c r="F142" s="209"/>
      <c r="G142" s="223" t="s">
        <v>360</v>
      </c>
      <c r="H142" s="223">
        <v>44675.76</v>
      </c>
      <c r="I142" s="164"/>
      <c r="K142" s="228"/>
      <c r="L142" s="228"/>
      <c r="M142" s="228"/>
      <c r="O142" s="241" t="s">
        <v>360</v>
      </c>
      <c r="P142" s="241">
        <v>43282.53</v>
      </c>
    </row>
    <row r="143" spans="2:16" x14ac:dyDescent="0.2">
      <c r="B143" s="190" t="s">
        <v>60</v>
      </c>
      <c r="C143" s="193">
        <v>42972</v>
      </c>
      <c r="D143" s="190">
        <v>11273.33627779</v>
      </c>
      <c r="E143" s="223">
        <v>1</v>
      </c>
      <c r="F143" s="209"/>
      <c r="G143" s="223" t="s">
        <v>361</v>
      </c>
      <c r="H143" s="223">
        <v>10131.36</v>
      </c>
      <c r="I143" s="164"/>
      <c r="K143" s="228"/>
      <c r="L143" s="228"/>
      <c r="M143" s="228"/>
      <c r="O143" s="241" t="s">
        <v>361</v>
      </c>
      <c r="P143" s="241">
        <v>10353.69</v>
      </c>
    </row>
    <row r="144" spans="2:16" x14ac:dyDescent="0.2">
      <c r="B144" s="190" t="s">
        <v>53</v>
      </c>
      <c r="C144" s="193">
        <v>42972</v>
      </c>
      <c r="D144" s="190">
        <v>12529.92449967</v>
      </c>
      <c r="E144" s="223">
        <v>1</v>
      </c>
      <c r="F144" s="209"/>
      <c r="G144" s="223" t="s">
        <v>362</v>
      </c>
      <c r="H144" s="223">
        <v>16932.37</v>
      </c>
      <c r="I144" s="164"/>
      <c r="K144" s="228"/>
      <c r="L144" s="228"/>
      <c r="M144" s="228"/>
      <c r="O144" s="241" t="s">
        <v>362</v>
      </c>
      <c r="P144" s="241">
        <v>16842.47</v>
      </c>
    </row>
    <row r="145" spans="2:16" x14ac:dyDescent="0.2">
      <c r="B145" s="190" t="s">
        <v>549</v>
      </c>
      <c r="C145" s="193">
        <v>42118</v>
      </c>
      <c r="D145" s="190">
        <v>19023.287199980001</v>
      </c>
      <c r="E145" s="223">
        <v>1</v>
      </c>
      <c r="F145" s="209"/>
      <c r="G145" s="223" t="s">
        <v>363</v>
      </c>
      <c r="H145" s="223">
        <v>25189.43</v>
      </c>
      <c r="I145" s="164"/>
      <c r="K145" s="228"/>
      <c r="L145" s="228"/>
      <c r="M145" s="228"/>
      <c r="O145" s="241" t="s">
        <v>363</v>
      </c>
      <c r="P145" s="241">
        <v>24037.3</v>
      </c>
    </row>
    <row r="146" spans="2:16" x14ac:dyDescent="0.2">
      <c r="B146" s="190" t="s">
        <v>550</v>
      </c>
      <c r="C146" s="193">
        <v>42118</v>
      </c>
      <c r="D146" s="190">
        <v>19104.233152519999</v>
      </c>
      <c r="E146" s="223">
        <v>1</v>
      </c>
      <c r="F146" s="209"/>
      <c r="G146" s="223" t="s">
        <v>364</v>
      </c>
      <c r="H146" s="223">
        <v>30263.08</v>
      </c>
      <c r="I146" s="164"/>
      <c r="K146" s="228"/>
      <c r="L146" s="228"/>
      <c r="M146" s="228"/>
      <c r="O146" s="241" t="s">
        <v>364</v>
      </c>
      <c r="P146" s="241">
        <v>29791.07</v>
      </c>
    </row>
    <row r="147" spans="2:16" x14ac:dyDescent="0.2">
      <c r="B147" s="190" t="s">
        <v>314</v>
      </c>
      <c r="C147" s="193">
        <v>39381</v>
      </c>
      <c r="D147" s="190">
        <v>30836.11</v>
      </c>
      <c r="E147" s="223">
        <v>1</v>
      </c>
      <c r="F147" s="209"/>
      <c r="G147" s="223" t="s">
        <v>365</v>
      </c>
      <c r="H147" s="223">
        <v>11622.44</v>
      </c>
      <c r="I147" s="164"/>
      <c r="K147" s="228"/>
      <c r="L147" s="228"/>
      <c r="M147" s="228"/>
      <c r="O147" s="241" t="s">
        <v>365</v>
      </c>
      <c r="P147" s="241">
        <v>11425.91</v>
      </c>
    </row>
    <row r="148" spans="2:16" x14ac:dyDescent="0.2">
      <c r="B148" s="190" t="s">
        <v>315</v>
      </c>
      <c r="C148" s="193">
        <v>42030</v>
      </c>
      <c r="D148" s="190">
        <v>42581.471937620001</v>
      </c>
      <c r="E148" s="223">
        <v>1</v>
      </c>
      <c r="F148" s="209"/>
      <c r="G148" s="223" t="s">
        <v>366</v>
      </c>
      <c r="H148" s="223">
        <v>87982.7</v>
      </c>
      <c r="I148" s="164"/>
      <c r="K148" s="228"/>
      <c r="L148" s="228"/>
      <c r="M148" s="228"/>
      <c r="O148" s="241" t="s">
        <v>366</v>
      </c>
      <c r="P148" s="241">
        <v>87011.57</v>
      </c>
    </row>
    <row r="149" spans="2:16" x14ac:dyDescent="0.2">
      <c r="B149" s="190" t="s">
        <v>316</v>
      </c>
      <c r="C149" s="193">
        <v>42221</v>
      </c>
      <c r="D149" s="190">
        <v>5959.86148727</v>
      </c>
      <c r="E149" s="223">
        <v>1</v>
      </c>
      <c r="F149" s="209"/>
      <c r="G149" s="223" t="s">
        <v>367</v>
      </c>
      <c r="H149" s="223">
        <v>6582.13</v>
      </c>
      <c r="I149" s="164"/>
      <c r="K149" s="228"/>
      <c r="L149" s="228"/>
      <c r="M149" s="228"/>
      <c r="O149" s="241" t="s">
        <v>367</v>
      </c>
      <c r="P149" s="241">
        <v>6593.4</v>
      </c>
    </row>
    <row r="150" spans="2:16" x14ac:dyDescent="0.2">
      <c r="B150" s="190" t="s">
        <v>72</v>
      </c>
      <c r="C150" s="193">
        <v>39381</v>
      </c>
      <c r="D150" s="190">
        <v>24943.07</v>
      </c>
      <c r="E150" s="223">
        <v>1</v>
      </c>
      <c r="F150" s="209"/>
      <c r="G150" s="223" t="s">
        <v>368</v>
      </c>
      <c r="H150" s="223">
        <v>5898.87</v>
      </c>
      <c r="I150" s="164"/>
      <c r="K150" s="228"/>
      <c r="L150" s="228"/>
      <c r="M150" s="228"/>
      <c r="O150" s="241" t="s">
        <v>368</v>
      </c>
      <c r="P150" s="241">
        <v>6114.1</v>
      </c>
    </row>
    <row r="151" spans="2:16" x14ac:dyDescent="0.2">
      <c r="B151" s="190" t="s">
        <v>74</v>
      </c>
      <c r="C151" s="193">
        <v>39590</v>
      </c>
      <c r="D151" s="190">
        <v>42763.39</v>
      </c>
      <c r="E151" s="223">
        <v>1</v>
      </c>
      <c r="F151" s="209"/>
      <c r="G151" s="223" t="s">
        <v>369</v>
      </c>
      <c r="H151" s="223">
        <v>9435.2800000000007</v>
      </c>
      <c r="I151" s="164"/>
      <c r="K151" s="228"/>
      <c r="L151" s="228"/>
      <c r="M151" s="228"/>
      <c r="O151" s="241" t="s">
        <v>369</v>
      </c>
      <c r="P151" s="241">
        <v>8817.25</v>
      </c>
    </row>
    <row r="152" spans="2:16" x14ac:dyDescent="0.2">
      <c r="B152" s="190" t="s">
        <v>76</v>
      </c>
      <c r="C152" s="193">
        <v>42594</v>
      </c>
      <c r="D152" s="190">
        <v>49802.0548605</v>
      </c>
      <c r="E152" s="223">
        <v>1</v>
      </c>
      <c r="F152" s="209"/>
      <c r="G152" s="223" t="s">
        <v>370</v>
      </c>
      <c r="H152" s="223">
        <v>10880.07</v>
      </c>
      <c r="I152" s="164"/>
      <c r="K152" s="228"/>
      <c r="L152" s="228"/>
      <c r="M152" s="228"/>
      <c r="O152" s="241" t="s">
        <v>370</v>
      </c>
      <c r="P152" s="241">
        <v>10477.49</v>
      </c>
    </row>
    <row r="153" spans="2:16" x14ac:dyDescent="0.2">
      <c r="B153" s="190" t="s">
        <v>78</v>
      </c>
      <c r="C153" s="193">
        <v>42520</v>
      </c>
      <c r="D153" s="190">
        <v>82900.72771716</v>
      </c>
      <c r="E153" s="223">
        <v>1</v>
      </c>
      <c r="F153" s="209"/>
      <c r="G153" s="223" t="s">
        <v>371</v>
      </c>
      <c r="H153" s="223">
        <v>16174.87</v>
      </c>
      <c r="I153" s="164"/>
      <c r="K153" s="228"/>
      <c r="L153" s="228"/>
      <c r="M153" s="228"/>
      <c r="O153" s="241" t="s">
        <v>371</v>
      </c>
      <c r="P153" s="241">
        <v>15138.18</v>
      </c>
    </row>
    <row r="154" spans="2:16" x14ac:dyDescent="0.2">
      <c r="B154" s="190" t="s">
        <v>317</v>
      </c>
      <c r="C154" s="193">
        <v>41250</v>
      </c>
      <c r="D154" s="190">
        <v>94719.679999999993</v>
      </c>
      <c r="E154" s="223">
        <v>1</v>
      </c>
      <c r="F154" s="209"/>
      <c r="G154" s="223" t="s">
        <v>372</v>
      </c>
      <c r="H154" s="223">
        <v>12110.93</v>
      </c>
      <c r="I154" s="164"/>
      <c r="K154" s="228"/>
      <c r="L154" s="228"/>
      <c r="M154" s="228"/>
      <c r="O154" s="241" t="s">
        <v>372</v>
      </c>
      <c r="P154" s="241">
        <v>11579.61</v>
      </c>
    </row>
    <row r="155" spans="2:16" x14ac:dyDescent="0.2">
      <c r="B155" s="190" t="s">
        <v>318</v>
      </c>
      <c r="C155" s="193">
        <v>39381</v>
      </c>
      <c r="D155" s="190">
        <v>31088.74</v>
      </c>
      <c r="E155" s="223">
        <v>1</v>
      </c>
      <c r="F155" s="209"/>
      <c r="G155" s="223" t="s">
        <v>373</v>
      </c>
      <c r="H155" s="223">
        <v>11280.58</v>
      </c>
      <c r="I155" s="164"/>
      <c r="K155" s="228"/>
      <c r="L155" s="228"/>
      <c r="M155" s="228"/>
      <c r="O155" s="241" t="s">
        <v>373</v>
      </c>
      <c r="P155" s="241">
        <v>10975.17</v>
      </c>
    </row>
    <row r="156" spans="2:16" x14ac:dyDescent="0.2">
      <c r="B156" s="190" t="s">
        <v>88</v>
      </c>
      <c r="C156" s="193">
        <v>41893</v>
      </c>
      <c r="D156" s="190">
        <v>95446.135778840006</v>
      </c>
      <c r="E156" s="223">
        <v>1</v>
      </c>
      <c r="F156" s="209"/>
      <c r="G156" s="223" t="s">
        <v>374</v>
      </c>
      <c r="H156" s="223">
        <v>7123.34</v>
      </c>
      <c r="I156" s="164"/>
      <c r="K156" s="228"/>
      <c r="L156" s="228"/>
      <c r="M156" s="228"/>
      <c r="O156" s="241" t="s">
        <v>374</v>
      </c>
      <c r="P156" s="241">
        <v>7220.2</v>
      </c>
    </row>
    <row r="157" spans="2:16" x14ac:dyDescent="0.2">
      <c r="B157" s="190" t="s">
        <v>80</v>
      </c>
      <c r="C157" s="193">
        <v>39381</v>
      </c>
      <c r="D157" s="190">
        <v>35813.949999999997</v>
      </c>
      <c r="E157" s="223">
        <v>1</v>
      </c>
      <c r="F157" s="209"/>
      <c r="G157" s="223" t="s">
        <v>375</v>
      </c>
      <c r="H157" s="223">
        <v>8597.66</v>
      </c>
      <c r="I157" s="164"/>
      <c r="K157" s="228"/>
      <c r="L157" s="228"/>
      <c r="M157" s="228"/>
      <c r="O157" s="241" t="s">
        <v>375</v>
      </c>
      <c r="P157" s="241">
        <v>8688.36</v>
      </c>
    </row>
    <row r="158" spans="2:16" x14ac:dyDescent="0.2">
      <c r="B158" s="190" t="s">
        <v>319</v>
      </c>
      <c r="C158" s="193">
        <v>40581</v>
      </c>
      <c r="D158" s="190">
        <v>88089.14</v>
      </c>
      <c r="E158" s="223">
        <v>1</v>
      </c>
      <c r="F158" s="209"/>
      <c r="G158" s="223" t="s">
        <v>376</v>
      </c>
      <c r="H158" s="223">
        <v>10586.43</v>
      </c>
      <c r="I158" s="164"/>
      <c r="K158" s="228"/>
      <c r="L158" s="228"/>
      <c r="M158" s="228"/>
      <c r="O158" s="241" t="s">
        <v>376</v>
      </c>
      <c r="P158" s="241">
        <v>10580.17</v>
      </c>
    </row>
    <row r="159" spans="2:16" x14ac:dyDescent="0.2">
      <c r="B159" s="190" t="s">
        <v>86</v>
      </c>
      <c r="C159" s="193">
        <v>39381</v>
      </c>
      <c r="D159" s="190">
        <v>65291.38</v>
      </c>
      <c r="E159" s="223">
        <v>1</v>
      </c>
      <c r="F159" s="209"/>
      <c r="G159" s="223" t="s">
        <v>377</v>
      </c>
      <c r="H159" s="223">
        <v>19451.88</v>
      </c>
      <c r="I159" s="164"/>
      <c r="K159" s="228"/>
      <c r="L159" s="228"/>
      <c r="M159" s="228"/>
      <c r="O159" s="241" t="s">
        <v>377</v>
      </c>
      <c r="P159" s="241">
        <v>19214.52</v>
      </c>
    </row>
    <row r="160" spans="2:16" x14ac:dyDescent="0.2">
      <c r="B160" s="190" t="s">
        <v>320</v>
      </c>
      <c r="C160" s="193">
        <v>42655</v>
      </c>
      <c r="D160" s="190">
        <v>6829.7257960500001</v>
      </c>
      <c r="E160" s="223">
        <v>1</v>
      </c>
      <c r="F160" s="209"/>
      <c r="G160" s="223" t="s">
        <v>380</v>
      </c>
      <c r="H160" s="223">
        <v>5068.1499999999996</v>
      </c>
      <c r="I160" s="164"/>
      <c r="K160" s="228"/>
      <c r="L160" s="228"/>
      <c r="M160" s="228"/>
      <c r="O160" s="241" t="s">
        <v>380</v>
      </c>
      <c r="P160" s="241">
        <v>4836.92</v>
      </c>
    </row>
    <row r="161" spans="2:16" x14ac:dyDescent="0.2">
      <c r="B161" s="190" t="s">
        <v>82</v>
      </c>
      <c r="C161" s="193">
        <v>42117</v>
      </c>
      <c r="D161" s="190">
        <v>46982.462386940002</v>
      </c>
      <c r="E161" s="223">
        <v>1</v>
      </c>
      <c r="F161" s="209"/>
      <c r="G161" s="223" t="s">
        <v>381</v>
      </c>
      <c r="H161" s="223">
        <v>10810.92</v>
      </c>
      <c r="I161" s="164"/>
      <c r="K161" s="228"/>
      <c r="L161" s="228"/>
      <c r="M161" s="228"/>
      <c r="O161" s="241" t="s">
        <v>381</v>
      </c>
      <c r="P161" s="241">
        <v>10343.57</v>
      </c>
    </row>
    <row r="162" spans="2:16" x14ac:dyDescent="0.2">
      <c r="B162" s="190" t="s">
        <v>84</v>
      </c>
      <c r="C162" s="193">
        <v>42222</v>
      </c>
      <c r="D162" s="190">
        <v>71088.506129760004</v>
      </c>
      <c r="E162" s="223">
        <v>1</v>
      </c>
      <c r="F162" s="209"/>
      <c r="G162" s="223" t="s">
        <v>382</v>
      </c>
      <c r="H162" s="223">
        <v>22303.09</v>
      </c>
      <c r="I162" s="164"/>
      <c r="K162" s="228"/>
      <c r="L162" s="228"/>
      <c r="M162" s="228"/>
      <c r="O162" s="241" t="s">
        <v>382</v>
      </c>
      <c r="P162" s="241">
        <v>22703.56</v>
      </c>
    </row>
    <row r="163" spans="2:16" x14ac:dyDescent="0.2">
      <c r="B163" s="190" t="s">
        <v>321</v>
      </c>
      <c r="C163" s="193">
        <v>42577</v>
      </c>
      <c r="D163" s="190">
        <v>9766.8870944299997</v>
      </c>
      <c r="E163" s="223">
        <v>1</v>
      </c>
      <c r="F163" s="209"/>
      <c r="G163" s="223" t="s">
        <v>383</v>
      </c>
      <c r="H163" s="223">
        <v>20837.169999999998</v>
      </c>
      <c r="I163" s="164"/>
      <c r="K163" s="228"/>
      <c r="L163" s="228"/>
      <c r="M163" s="228"/>
      <c r="O163" s="241" t="s">
        <v>383</v>
      </c>
      <c r="P163" s="241">
        <v>20323.349999999999</v>
      </c>
    </row>
    <row r="164" spans="2:16" x14ac:dyDescent="0.2">
      <c r="B164" s="190" t="s">
        <v>322</v>
      </c>
      <c r="C164" s="193">
        <v>42066</v>
      </c>
      <c r="D164" s="190">
        <v>2714.9080461899998</v>
      </c>
      <c r="E164" s="223">
        <v>1</v>
      </c>
      <c r="F164" s="209"/>
      <c r="G164" s="223" t="s">
        <v>384</v>
      </c>
      <c r="H164" s="223">
        <v>37309.78</v>
      </c>
      <c r="I164" s="164"/>
      <c r="K164" s="228"/>
      <c r="L164" s="228"/>
      <c r="M164" s="228"/>
      <c r="O164" s="241" t="s">
        <v>384</v>
      </c>
      <c r="P164" s="241">
        <v>36852.47</v>
      </c>
    </row>
    <row r="165" spans="2:16" x14ac:dyDescent="0.2">
      <c r="B165" s="190" t="s">
        <v>323</v>
      </c>
      <c r="C165" s="193">
        <v>41887</v>
      </c>
      <c r="D165" s="190">
        <v>417.67220522999997</v>
      </c>
      <c r="E165" s="223">
        <v>1</v>
      </c>
      <c r="F165" s="209"/>
      <c r="G165" s="223" t="s">
        <v>385</v>
      </c>
      <c r="H165" s="223">
        <v>8552.06</v>
      </c>
      <c r="I165" s="164"/>
      <c r="K165" s="228"/>
      <c r="L165" s="228"/>
      <c r="M165" s="228"/>
      <c r="O165" s="241" t="s">
        <v>385</v>
      </c>
      <c r="P165" s="241">
        <v>8039.48</v>
      </c>
    </row>
    <row r="166" spans="2:16" x14ac:dyDescent="0.2">
      <c r="B166" s="190" t="s">
        <v>324</v>
      </c>
      <c r="C166" s="193">
        <v>39381</v>
      </c>
      <c r="D166" s="190">
        <v>42355.94</v>
      </c>
      <c r="E166" s="223">
        <v>1</v>
      </c>
      <c r="F166" s="209"/>
      <c r="G166" s="223" t="s">
        <v>386</v>
      </c>
      <c r="H166" s="223">
        <v>10279.91</v>
      </c>
      <c r="I166" s="164"/>
      <c r="K166" s="228"/>
      <c r="L166" s="228"/>
      <c r="M166" s="228"/>
      <c r="O166" s="241" t="s">
        <v>386</v>
      </c>
      <c r="P166" s="241">
        <v>10068.280000000001</v>
      </c>
    </row>
    <row r="167" spans="2:16" x14ac:dyDescent="0.2">
      <c r="B167" s="190" t="s">
        <v>325</v>
      </c>
      <c r="C167" s="193">
        <v>42814</v>
      </c>
      <c r="D167" s="190">
        <v>69251.014707270006</v>
      </c>
      <c r="E167" s="223">
        <v>1</v>
      </c>
      <c r="F167" s="209"/>
      <c r="G167" s="223" t="s">
        <v>387</v>
      </c>
      <c r="H167" s="223">
        <v>18089.82</v>
      </c>
      <c r="I167" s="164"/>
      <c r="K167" s="228"/>
      <c r="L167" s="228"/>
      <c r="M167" s="228"/>
      <c r="O167" s="241" t="s">
        <v>387</v>
      </c>
      <c r="P167" s="241">
        <v>17869.080000000002</v>
      </c>
    </row>
    <row r="168" spans="2:16" x14ac:dyDescent="0.2">
      <c r="B168" s="190" t="s">
        <v>326</v>
      </c>
      <c r="C168" s="193">
        <v>42110</v>
      </c>
      <c r="D168" s="190">
        <v>45023.057854029998</v>
      </c>
      <c r="E168" s="223">
        <v>1</v>
      </c>
      <c r="F168" s="209"/>
      <c r="G168" s="223" t="s">
        <v>388</v>
      </c>
      <c r="H168" s="223">
        <v>3675.64</v>
      </c>
      <c r="I168" s="164"/>
      <c r="K168" s="228"/>
      <c r="L168" s="228"/>
      <c r="M168" s="228"/>
      <c r="O168" s="241" t="s">
        <v>388</v>
      </c>
      <c r="P168" s="241">
        <v>3542.34</v>
      </c>
    </row>
    <row r="169" spans="2:16" x14ac:dyDescent="0.2">
      <c r="B169" s="190" t="s">
        <v>327</v>
      </c>
      <c r="C169" s="193">
        <v>42374</v>
      </c>
      <c r="D169" s="190">
        <v>1792.3439825099999</v>
      </c>
      <c r="E169" s="223">
        <v>1</v>
      </c>
      <c r="F169" s="209"/>
      <c r="G169" s="223" t="s">
        <v>389</v>
      </c>
      <c r="H169" s="223">
        <v>20672.13</v>
      </c>
      <c r="I169" s="164"/>
      <c r="K169" s="228"/>
      <c r="L169" s="228"/>
      <c r="M169" s="228"/>
      <c r="O169" s="241" t="s">
        <v>389</v>
      </c>
      <c r="P169" s="241">
        <v>20366.759999999998</v>
      </c>
    </row>
    <row r="170" spans="2:16" x14ac:dyDescent="0.2">
      <c r="B170" s="190" t="s">
        <v>190</v>
      </c>
      <c r="C170" s="193">
        <v>42303</v>
      </c>
      <c r="D170" s="190">
        <v>1035.8389392900001</v>
      </c>
      <c r="E170" s="223">
        <v>1</v>
      </c>
      <c r="F170" s="209"/>
      <c r="G170" s="223" t="s">
        <v>390</v>
      </c>
      <c r="H170" s="223">
        <v>13078.91</v>
      </c>
      <c r="I170" s="164"/>
      <c r="K170" s="228"/>
      <c r="L170" s="228"/>
      <c r="M170" s="228"/>
      <c r="O170" s="241" t="s">
        <v>390</v>
      </c>
      <c r="P170" s="241">
        <v>12624.39</v>
      </c>
    </row>
    <row r="171" spans="2:16" x14ac:dyDescent="0.2">
      <c r="B171" s="190" t="s">
        <v>328</v>
      </c>
      <c r="C171" s="193">
        <v>39209</v>
      </c>
      <c r="D171" s="190">
        <v>910.48</v>
      </c>
      <c r="E171" s="223">
        <v>1</v>
      </c>
      <c r="F171" s="209"/>
      <c r="G171" s="223" t="s">
        <v>391</v>
      </c>
      <c r="H171" s="223">
        <v>18282.240000000002</v>
      </c>
      <c r="I171" s="164"/>
      <c r="K171" s="228"/>
      <c r="L171" s="228"/>
      <c r="M171" s="228"/>
      <c r="O171" s="241" t="s">
        <v>391</v>
      </c>
      <c r="P171" s="241">
        <v>17930.52</v>
      </c>
    </row>
    <row r="172" spans="2:16" x14ac:dyDescent="0.2">
      <c r="B172" s="190" t="s">
        <v>329</v>
      </c>
      <c r="C172" s="193">
        <v>42334</v>
      </c>
      <c r="D172" s="190">
        <v>5012.4318484900004</v>
      </c>
      <c r="E172" s="223">
        <v>1</v>
      </c>
      <c r="F172" s="209"/>
      <c r="G172" s="223" t="s">
        <v>392</v>
      </c>
      <c r="H172" s="223">
        <v>4008</v>
      </c>
      <c r="I172" s="164"/>
      <c r="K172" s="228"/>
      <c r="L172" s="228"/>
      <c r="M172" s="228"/>
      <c r="O172" s="241" t="s">
        <v>392</v>
      </c>
      <c r="P172" s="241">
        <v>3825.14</v>
      </c>
    </row>
    <row r="173" spans="2:16" x14ac:dyDescent="0.2">
      <c r="B173" s="190" t="s">
        <v>330</v>
      </c>
      <c r="C173" s="193">
        <v>42877</v>
      </c>
      <c r="D173" s="190">
        <v>5389.3519094800004</v>
      </c>
      <c r="E173" s="223">
        <v>1</v>
      </c>
      <c r="F173" s="209"/>
      <c r="G173" s="223" t="s">
        <v>393</v>
      </c>
      <c r="H173" s="223">
        <v>18864.740000000002</v>
      </c>
      <c r="I173" s="164"/>
      <c r="K173" s="228"/>
      <c r="L173" s="228"/>
      <c r="M173" s="228"/>
      <c r="O173" s="241" t="s">
        <v>393</v>
      </c>
      <c r="P173" s="241">
        <v>18573.22</v>
      </c>
    </row>
    <row r="174" spans="2:16" x14ac:dyDescent="0.2">
      <c r="B174" s="190" t="s">
        <v>331</v>
      </c>
      <c r="C174" s="193">
        <v>42222</v>
      </c>
      <c r="D174" s="190">
        <v>1524.0086971600001</v>
      </c>
      <c r="E174" s="223">
        <v>1</v>
      </c>
      <c r="F174" s="209"/>
      <c r="G174" s="223" t="s">
        <v>394</v>
      </c>
      <c r="H174" s="223">
        <v>13439.71</v>
      </c>
      <c r="I174" s="164"/>
      <c r="K174" s="228"/>
      <c r="L174" s="228"/>
      <c r="M174" s="228"/>
      <c r="O174" s="241" t="s">
        <v>394</v>
      </c>
      <c r="P174" s="241">
        <v>13163.03</v>
      </c>
    </row>
    <row r="175" spans="2:16" x14ac:dyDescent="0.2">
      <c r="B175" s="190" t="s">
        <v>332</v>
      </c>
      <c r="C175" s="193">
        <v>41492</v>
      </c>
      <c r="D175" s="190">
        <v>4293.55</v>
      </c>
      <c r="E175" s="223">
        <v>1</v>
      </c>
      <c r="F175" s="209"/>
      <c r="G175" s="223" t="s">
        <v>395</v>
      </c>
      <c r="H175" s="223">
        <v>16909.53</v>
      </c>
      <c r="I175" s="164"/>
      <c r="K175" s="228"/>
      <c r="L175" s="228"/>
      <c r="M175" s="228"/>
      <c r="O175" s="241" t="s">
        <v>395</v>
      </c>
      <c r="P175" s="241">
        <v>16619.77</v>
      </c>
    </row>
    <row r="176" spans="2:16" x14ac:dyDescent="0.2">
      <c r="B176" s="190" t="s">
        <v>333</v>
      </c>
      <c r="C176" s="193">
        <v>41849</v>
      </c>
      <c r="D176" s="190">
        <v>92.959638409999997</v>
      </c>
      <c r="E176" s="223">
        <v>1</v>
      </c>
      <c r="F176" s="209"/>
      <c r="G176" s="223" t="s">
        <v>396</v>
      </c>
      <c r="H176" s="223">
        <v>43664.306082989999</v>
      </c>
      <c r="I176" s="164"/>
      <c r="K176" s="228"/>
      <c r="L176" s="228"/>
      <c r="M176" s="228"/>
      <c r="O176" s="241" t="s">
        <v>396</v>
      </c>
      <c r="P176" s="241">
        <v>43519.557706899999</v>
      </c>
    </row>
    <row r="177" spans="2:16" x14ac:dyDescent="0.2">
      <c r="B177" s="190" t="s">
        <v>334</v>
      </c>
      <c r="C177" s="193">
        <v>41901</v>
      </c>
      <c r="D177" s="190">
        <v>131.8028965</v>
      </c>
      <c r="E177" s="223">
        <v>1</v>
      </c>
      <c r="F177" s="209"/>
      <c r="G177" s="223"/>
      <c r="H177" s="223"/>
      <c r="I177" s="164"/>
      <c r="K177" s="228"/>
      <c r="L177" s="228"/>
      <c r="M177" s="228"/>
      <c r="O177" s="241"/>
      <c r="P177" s="241"/>
    </row>
    <row r="178" spans="2:16" x14ac:dyDescent="0.2">
      <c r="B178" s="190" t="s">
        <v>335</v>
      </c>
      <c r="C178" s="193">
        <v>41901</v>
      </c>
      <c r="D178" s="190">
        <v>76.32416241</v>
      </c>
      <c r="E178" s="223">
        <v>1</v>
      </c>
      <c r="F178" s="209"/>
      <c r="G178" s="223"/>
      <c r="H178" s="223"/>
      <c r="I178" s="164"/>
      <c r="K178" s="228"/>
      <c r="L178" s="228"/>
      <c r="M178" s="228"/>
      <c r="O178" s="241"/>
      <c r="P178" s="241"/>
    </row>
    <row r="179" spans="2:16" x14ac:dyDescent="0.2">
      <c r="B179" s="190" t="s">
        <v>336</v>
      </c>
      <c r="C179" s="193">
        <v>41912</v>
      </c>
      <c r="D179" s="190">
        <v>106.4349371</v>
      </c>
      <c r="E179" s="223">
        <v>1</v>
      </c>
      <c r="F179" s="209"/>
      <c r="G179" s="223"/>
      <c r="H179" s="223"/>
      <c r="I179" s="164"/>
      <c r="K179" s="228"/>
      <c r="L179" s="228"/>
      <c r="M179" s="228"/>
      <c r="O179" s="241"/>
      <c r="P179" s="241"/>
    </row>
    <row r="180" spans="2:16" x14ac:dyDescent="0.2">
      <c r="B180" s="190" t="s">
        <v>337</v>
      </c>
      <c r="C180" s="193">
        <v>42972</v>
      </c>
      <c r="D180" s="190">
        <v>50175.32536409</v>
      </c>
      <c r="E180" s="223">
        <v>1</v>
      </c>
      <c r="F180" s="209"/>
      <c r="G180" s="223"/>
      <c r="H180" s="223"/>
      <c r="I180" s="164"/>
      <c r="K180" s="228"/>
      <c r="L180" s="228"/>
      <c r="M180" s="228"/>
      <c r="O180" s="241"/>
      <c r="P180" s="241"/>
    </row>
    <row r="181" spans="2:16" x14ac:dyDescent="0.2">
      <c r="B181" s="190" t="s">
        <v>338</v>
      </c>
      <c r="C181" s="193">
        <v>41849</v>
      </c>
      <c r="D181" s="190">
        <v>4781.8624027899996</v>
      </c>
      <c r="E181" s="223">
        <v>1</v>
      </c>
      <c r="F181" s="209"/>
      <c r="G181" s="223"/>
      <c r="H181" s="223"/>
      <c r="I181" s="164"/>
      <c r="K181" s="228"/>
      <c r="L181" s="228"/>
      <c r="M181" s="228"/>
      <c r="O181" s="241"/>
      <c r="P181" s="241"/>
    </row>
    <row r="182" spans="2:16" x14ac:dyDescent="0.2">
      <c r="B182" s="190" t="s">
        <v>339</v>
      </c>
      <c r="C182" s="193">
        <v>42972</v>
      </c>
      <c r="D182" s="190">
        <v>56655.884673820001</v>
      </c>
      <c r="E182" s="223">
        <v>1</v>
      </c>
      <c r="F182" s="209"/>
      <c r="G182" s="223"/>
      <c r="H182" s="223"/>
      <c r="I182" s="164"/>
      <c r="K182" s="228"/>
      <c r="L182" s="228"/>
      <c r="M182" s="228"/>
      <c r="O182" s="241"/>
      <c r="P182" s="241"/>
    </row>
    <row r="183" spans="2:16" x14ac:dyDescent="0.2">
      <c r="B183" s="190" t="s">
        <v>340</v>
      </c>
      <c r="C183" s="193">
        <v>42972</v>
      </c>
      <c r="D183" s="190">
        <v>12529.92449967</v>
      </c>
      <c r="E183" s="223">
        <v>1</v>
      </c>
      <c r="F183" s="209"/>
      <c r="G183" s="223"/>
      <c r="H183" s="223"/>
      <c r="I183" s="164"/>
      <c r="K183" s="228"/>
      <c r="L183" s="228"/>
      <c r="M183" s="228"/>
      <c r="O183" s="241"/>
      <c r="P183" s="241"/>
    </row>
    <row r="184" spans="2:16" x14ac:dyDescent="0.2">
      <c r="B184" s="190" t="s">
        <v>341</v>
      </c>
      <c r="C184" s="193">
        <v>41065</v>
      </c>
      <c r="D184" s="190">
        <v>1120.92</v>
      </c>
      <c r="E184" s="223">
        <v>1</v>
      </c>
      <c r="F184" s="209"/>
      <c r="G184" s="223"/>
      <c r="H184" s="223"/>
      <c r="I184" s="164"/>
      <c r="K184" s="228"/>
      <c r="L184" s="228"/>
      <c r="M184" s="228"/>
      <c r="O184" s="241"/>
      <c r="P184" s="241"/>
    </row>
    <row r="185" spans="2:16" x14ac:dyDescent="0.2">
      <c r="B185" s="190" t="s">
        <v>342</v>
      </c>
      <c r="C185" s="193">
        <v>42978</v>
      </c>
      <c r="D185" s="190">
        <v>10546.325617189999</v>
      </c>
      <c r="E185" s="223">
        <v>1</v>
      </c>
      <c r="F185" s="209"/>
      <c r="G185" s="223"/>
      <c r="H185" s="223"/>
      <c r="I185" s="164"/>
      <c r="K185" s="228"/>
      <c r="L185" s="228"/>
      <c r="M185" s="228"/>
      <c r="O185" s="241"/>
      <c r="P185" s="241"/>
    </row>
    <row r="186" spans="2:16" x14ac:dyDescent="0.2">
      <c r="B186" s="190" t="s">
        <v>343</v>
      </c>
      <c r="C186" s="193">
        <v>41849</v>
      </c>
      <c r="D186" s="190">
        <v>4482.8823280400002</v>
      </c>
      <c r="E186" s="223">
        <v>1</v>
      </c>
      <c r="F186" s="209"/>
      <c r="G186" s="223"/>
      <c r="H186" s="223"/>
      <c r="I186" s="164"/>
      <c r="K186" s="228"/>
      <c r="L186" s="228"/>
      <c r="M186" s="228"/>
      <c r="O186" s="241"/>
      <c r="P186" s="241"/>
    </row>
    <row r="187" spans="2:16" x14ac:dyDescent="0.2">
      <c r="B187" s="190" t="s">
        <v>344</v>
      </c>
      <c r="C187" s="193">
        <v>42972</v>
      </c>
      <c r="D187" s="190">
        <v>11273.33627779</v>
      </c>
      <c r="E187" s="223">
        <v>1</v>
      </c>
      <c r="F187" s="209"/>
      <c r="G187" s="223"/>
      <c r="H187" s="223"/>
      <c r="I187" s="164"/>
      <c r="K187" s="228"/>
      <c r="L187" s="228"/>
      <c r="M187" s="228"/>
      <c r="O187" s="241"/>
      <c r="P187" s="241"/>
    </row>
    <row r="188" spans="2:16" x14ac:dyDescent="0.2">
      <c r="B188" s="190" t="s">
        <v>345</v>
      </c>
      <c r="C188" s="193">
        <v>42195</v>
      </c>
      <c r="D188" s="190">
        <v>28365.040000000001</v>
      </c>
      <c r="E188" s="223">
        <v>1</v>
      </c>
      <c r="F188" s="209"/>
      <c r="G188" s="223"/>
      <c r="H188" s="223"/>
      <c r="I188" s="164"/>
      <c r="K188" s="228"/>
      <c r="L188" s="228"/>
      <c r="M188" s="228"/>
      <c r="O188" s="241"/>
      <c r="P188" s="241"/>
    </row>
    <row r="189" spans="2:16" x14ac:dyDescent="0.2">
      <c r="B189" s="190" t="s">
        <v>346</v>
      </c>
      <c r="C189" s="193">
        <v>41967</v>
      </c>
      <c r="D189" s="190">
        <v>9721.7199999999993</v>
      </c>
      <c r="E189" s="223">
        <v>1</v>
      </c>
      <c r="F189" s="209"/>
      <c r="G189" s="223"/>
      <c r="H189" s="223"/>
      <c r="I189" s="164"/>
      <c r="K189" s="228"/>
      <c r="L189" s="228"/>
      <c r="M189" s="228"/>
      <c r="O189" s="241"/>
      <c r="P189" s="241"/>
    </row>
    <row r="190" spans="2:16" x14ac:dyDescent="0.2">
      <c r="B190" s="190" t="s">
        <v>347</v>
      </c>
      <c r="C190" s="193">
        <v>42860</v>
      </c>
      <c r="D190" s="190">
        <v>16787.900000000001</v>
      </c>
      <c r="E190" s="223">
        <v>1</v>
      </c>
      <c r="F190" s="209"/>
      <c r="G190" s="223"/>
      <c r="H190" s="223"/>
      <c r="I190" s="164"/>
      <c r="K190" s="228"/>
      <c r="L190" s="228"/>
      <c r="M190" s="228"/>
      <c r="O190" s="241"/>
      <c r="P190" s="241"/>
    </row>
    <row r="191" spans="2:16" x14ac:dyDescent="0.2">
      <c r="B191" s="190" t="s">
        <v>348</v>
      </c>
      <c r="C191" s="193">
        <v>41929</v>
      </c>
      <c r="D191" s="190">
        <v>4841.3999999999996</v>
      </c>
      <c r="E191" s="223">
        <v>1</v>
      </c>
      <c r="F191" s="209"/>
      <c r="G191" s="223"/>
      <c r="H191" s="223"/>
      <c r="I191" s="164"/>
      <c r="K191" s="228"/>
      <c r="L191" s="228"/>
      <c r="M191" s="228"/>
      <c r="O191" s="241"/>
      <c r="P191" s="241"/>
    </row>
    <row r="192" spans="2:16" x14ac:dyDescent="0.2">
      <c r="B192" s="190" t="s">
        <v>349</v>
      </c>
      <c r="C192" s="193">
        <v>41904</v>
      </c>
      <c r="D192" s="190">
        <v>4959.92</v>
      </c>
      <c r="E192" s="223">
        <v>1</v>
      </c>
      <c r="F192" s="209"/>
      <c r="G192" s="223"/>
      <c r="H192" s="223"/>
      <c r="I192" s="164"/>
      <c r="K192" s="228"/>
      <c r="L192" s="228"/>
      <c r="M192" s="228"/>
      <c r="O192" s="241"/>
      <c r="P192" s="241"/>
    </row>
    <row r="193" spans="2:16" x14ac:dyDescent="0.2">
      <c r="B193" s="190" t="s">
        <v>350</v>
      </c>
      <c r="C193" s="193">
        <v>41904</v>
      </c>
      <c r="D193" s="190">
        <v>5684.71</v>
      </c>
      <c r="E193" s="223">
        <v>1</v>
      </c>
      <c r="F193" s="209"/>
      <c r="G193" s="223"/>
      <c r="H193" s="223"/>
      <c r="I193" s="164"/>
      <c r="K193" s="228"/>
      <c r="L193" s="228"/>
      <c r="M193" s="228"/>
      <c r="O193" s="241"/>
      <c r="P193" s="241"/>
    </row>
    <row r="194" spans="2:16" x14ac:dyDescent="0.2">
      <c r="B194" s="190" t="s">
        <v>351</v>
      </c>
      <c r="C194" s="193">
        <v>42594</v>
      </c>
      <c r="D194" s="190">
        <v>22629.39</v>
      </c>
      <c r="E194" s="223">
        <v>1</v>
      </c>
      <c r="F194" s="209"/>
      <c r="G194" s="223"/>
      <c r="H194" s="223"/>
      <c r="I194" s="164"/>
      <c r="K194" s="228"/>
      <c r="L194" s="228"/>
      <c r="M194" s="228"/>
      <c r="O194" s="241"/>
      <c r="P194" s="241"/>
    </row>
    <row r="195" spans="2:16" x14ac:dyDescent="0.2">
      <c r="B195" s="190" t="s">
        <v>352</v>
      </c>
      <c r="C195" s="193">
        <v>41904</v>
      </c>
      <c r="D195" s="190">
        <v>4598.12</v>
      </c>
      <c r="E195" s="223">
        <v>1</v>
      </c>
      <c r="F195" s="209"/>
      <c r="G195" s="223"/>
      <c r="H195" s="223"/>
      <c r="I195" s="164"/>
      <c r="K195" s="228"/>
      <c r="L195" s="228"/>
      <c r="M195" s="228"/>
      <c r="O195" s="241"/>
      <c r="P195" s="241"/>
    </row>
    <row r="196" spans="2:16" x14ac:dyDescent="0.2">
      <c r="B196" s="190" t="s">
        <v>353</v>
      </c>
      <c r="C196" s="193">
        <v>42146</v>
      </c>
      <c r="D196" s="190">
        <v>12996.36</v>
      </c>
      <c r="E196" s="223">
        <v>1</v>
      </c>
      <c r="F196" s="209"/>
      <c r="G196" s="223"/>
      <c r="H196" s="223"/>
      <c r="I196" s="164"/>
      <c r="K196" s="228"/>
      <c r="L196" s="228"/>
      <c r="M196" s="228"/>
      <c r="O196" s="241"/>
      <c r="P196" s="241"/>
    </row>
    <row r="197" spans="2:16" x14ac:dyDescent="0.2">
      <c r="B197" s="190" t="s">
        <v>354</v>
      </c>
      <c r="C197" s="193">
        <v>41964</v>
      </c>
      <c r="D197" s="190">
        <v>7319.54</v>
      </c>
      <c r="E197" s="223">
        <v>1</v>
      </c>
      <c r="F197" s="209"/>
      <c r="G197" s="209"/>
      <c r="H197" s="209"/>
      <c r="K197" s="228"/>
      <c r="L197" s="228"/>
      <c r="M197" s="228"/>
      <c r="O197" s="239"/>
      <c r="P197" s="239"/>
    </row>
    <row r="198" spans="2:16" x14ac:dyDescent="0.2">
      <c r="B198" s="190" t="s">
        <v>355</v>
      </c>
      <c r="C198" s="193">
        <v>42193</v>
      </c>
      <c r="D198" s="190">
        <v>9363.98</v>
      </c>
      <c r="E198" s="223">
        <v>1</v>
      </c>
      <c r="F198" s="209"/>
      <c r="G198" s="209"/>
      <c r="H198" s="209"/>
      <c r="K198" s="228"/>
      <c r="L198" s="228"/>
      <c r="M198" s="228"/>
      <c r="O198" s="239"/>
      <c r="P198" s="239"/>
    </row>
    <row r="199" spans="2:16" x14ac:dyDescent="0.2">
      <c r="B199" s="190" t="s">
        <v>356</v>
      </c>
      <c r="C199" s="193">
        <v>41948</v>
      </c>
      <c r="D199" s="190">
        <v>15682.48</v>
      </c>
      <c r="E199" s="223">
        <v>1</v>
      </c>
      <c r="F199" s="209"/>
      <c r="G199" s="209"/>
      <c r="H199" s="209"/>
      <c r="K199" s="228"/>
      <c r="L199" s="228"/>
      <c r="M199" s="228"/>
      <c r="O199" s="239"/>
      <c r="P199" s="239"/>
    </row>
    <row r="200" spans="2:16" x14ac:dyDescent="0.2">
      <c r="B200" s="190" t="s">
        <v>357</v>
      </c>
      <c r="C200" s="193">
        <v>42520</v>
      </c>
      <c r="D200" s="190">
        <v>31469.57</v>
      </c>
      <c r="E200" s="223">
        <v>1</v>
      </c>
      <c r="F200" s="209"/>
      <c r="G200" s="209"/>
      <c r="H200" s="209"/>
      <c r="K200" s="228"/>
      <c r="L200" s="228"/>
      <c r="M200" s="228"/>
      <c r="O200" s="239"/>
      <c r="P200" s="239"/>
    </row>
    <row r="201" spans="2:16" x14ac:dyDescent="0.2">
      <c r="B201" s="190" t="s">
        <v>358</v>
      </c>
      <c r="C201" s="193">
        <v>42817</v>
      </c>
      <c r="D201" s="190">
        <v>16210.1</v>
      </c>
      <c r="E201" s="223">
        <v>1</v>
      </c>
      <c r="F201" s="209"/>
      <c r="G201" s="209"/>
      <c r="H201" s="209"/>
      <c r="K201" s="228"/>
      <c r="L201" s="228"/>
      <c r="M201" s="228"/>
      <c r="O201" s="239"/>
      <c r="P201" s="239"/>
    </row>
    <row r="202" spans="2:16" x14ac:dyDescent="0.2">
      <c r="B202" s="190" t="s">
        <v>359</v>
      </c>
      <c r="C202" s="193">
        <v>42460</v>
      </c>
      <c r="D202" s="190">
        <v>25683.33</v>
      </c>
      <c r="E202" s="223">
        <v>1</v>
      </c>
      <c r="F202" s="209"/>
      <c r="G202" s="209"/>
      <c r="H202" s="209"/>
      <c r="K202" s="228"/>
      <c r="L202" s="228"/>
      <c r="M202" s="228"/>
      <c r="O202" s="239"/>
      <c r="P202" s="239"/>
    </row>
    <row r="203" spans="2:16" x14ac:dyDescent="0.2">
      <c r="B203" s="190" t="s">
        <v>360</v>
      </c>
      <c r="C203" s="193">
        <v>42312</v>
      </c>
      <c r="D203" s="190">
        <v>46535.96</v>
      </c>
      <c r="E203" s="223">
        <v>1</v>
      </c>
      <c r="F203" s="209"/>
      <c r="G203" s="209"/>
      <c r="H203" s="209"/>
      <c r="K203" s="228"/>
      <c r="L203" s="228"/>
      <c r="M203" s="228"/>
      <c r="O203" s="239"/>
      <c r="P203" s="239"/>
    </row>
    <row r="204" spans="2:16" x14ac:dyDescent="0.2">
      <c r="B204" s="190" t="s">
        <v>361</v>
      </c>
      <c r="C204" s="193">
        <v>42521</v>
      </c>
      <c r="D204" s="190">
        <v>12168.93</v>
      </c>
      <c r="E204" s="223">
        <v>1</v>
      </c>
      <c r="F204" s="209"/>
      <c r="G204" s="209"/>
      <c r="H204" s="209"/>
      <c r="K204" s="228"/>
      <c r="L204" s="228"/>
      <c r="M204" s="228"/>
      <c r="O204" s="239"/>
      <c r="P204" s="239"/>
    </row>
    <row r="205" spans="2:16" x14ac:dyDescent="0.2">
      <c r="B205" s="190" t="s">
        <v>362</v>
      </c>
      <c r="C205" s="193">
        <v>42117</v>
      </c>
      <c r="D205" s="190">
        <v>27409.74</v>
      </c>
      <c r="E205" s="223">
        <v>1</v>
      </c>
      <c r="F205" s="209"/>
      <c r="G205" s="209"/>
      <c r="H205" s="209"/>
      <c r="K205" s="228"/>
      <c r="L205" s="228"/>
      <c r="M205" s="228"/>
      <c r="O205" s="239"/>
      <c r="P205" s="239"/>
    </row>
    <row r="206" spans="2:16" x14ac:dyDescent="0.2">
      <c r="B206" s="190" t="s">
        <v>363</v>
      </c>
      <c r="C206" s="193">
        <v>42030</v>
      </c>
      <c r="D206" s="190">
        <v>36618.99</v>
      </c>
      <c r="E206" s="223">
        <v>1</v>
      </c>
      <c r="F206" s="209"/>
      <c r="G206" s="209"/>
      <c r="H206" s="209"/>
      <c r="K206" s="228"/>
      <c r="L206" s="228"/>
      <c r="M206" s="228"/>
      <c r="O206" s="239"/>
      <c r="P206" s="239"/>
    </row>
    <row r="207" spans="2:16" x14ac:dyDescent="0.2">
      <c r="B207" s="190" t="s">
        <v>364</v>
      </c>
      <c r="C207" s="193">
        <v>42969</v>
      </c>
      <c r="D207" s="190">
        <v>30556.59</v>
      </c>
      <c r="E207" s="223">
        <v>1</v>
      </c>
      <c r="F207" s="209"/>
      <c r="G207" s="209"/>
      <c r="H207" s="209"/>
      <c r="K207" s="228"/>
      <c r="L207" s="228"/>
      <c r="M207" s="228"/>
      <c r="O207" s="239"/>
      <c r="P207" s="239"/>
    </row>
    <row r="208" spans="2:16" x14ac:dyDescent="0.2">
      <c r="B208" s="190" t="s">
        <v>365</v>
      </c>
      <c r="C208" s="193">
        <v>42104</v>
      </c>
      <c r="D208" s="190">
        <v>15204.51</v>
      </c>
      <c r="E208" s="223">
        <v>1</v>
      </c>
      <c r="F208" s="209"/>
      <c r="G208" s="209"/>
      <c r="H208" s="209"/>
      <c r="K208" s="228"/>
      <c r="L208" s="228"/>
      <c r="M208" s="228"/>
      <c r="O208" s="239"/>
      <c r="P208" s="239"/>
    </row>
    <row r="209" spans="2:5" x14ac:dyDescent="0.2">
      <c r="B209" s="190" t="s">
        <v>366</v>
      </c>
      <c r="C209" s="193">
        <v>42971</v>
      </c>
      <c r="D209" s="190">
        <v>90257.38</v>
      </c>
      <c r="E209" s="223">
        <v>1</v>
      </c>
    </row>
    <row r="210" spans="2:5" x14ac:dyDescent="0.2">
      <c r="B210" s="190" t="s">
        <v>367</v>
      </c>
      <c r="C210" s="193">
        <v>42655</v>
      </c>
      <c r="D210" s="190">
        <v>9116.6</v>
      </c>
      <c r="E210" s="223">
        <v>1</v>
      </c>
    </row>
    <row r="211" spans="2:5" x14ac:dyDescent="0.2">
      <c r="B211" s="190" t="s">
        <v>368</v>
      </c>
      <c r="C211" s="193">
        <v>42066</v>
      </c>
      <c r="D211" s="190">
        <v>7949.83</v>
      </c>
      <c r="E211" s="223">
        <v>1</v>
      </c>
    </row>
    <row r="212" spans="2:5" x14ac:dyDescent="0.2">
      <c r="B212" s="190" t="s">
        <v>369</v>
      </c>
      <c r="C212" s="193">
        <v>42122</v>
      </c>
      <c r="D212" s="190">
        <v>15553.66</v>
      </c>
      <c r="E212" s="223">
        <v>1</v>
      </c>
    </row>
    <row r="213" spans="2:5" x14ac:dyDescent="0.2">
      <c r="B213" s="190" t="s">
        <v>370</v>
      </c>
      <c r="C213" s="193">
        <v>42117</v>
      </c>
      <c r="D213" s="190">
        <v>11507.83</v>
      </c>
      <c r="E213" s="223">
        <v>1</v>
      </c>
    </row>
    <row r="214" spans="2:5" x14ac:dyDescent="0.2">
      <c r="B214" s="190" t="s">
        <v>371</v>
      </c>
      <c r="C214" s="193">
        <v>42814</v>
      </c>
      <c r="D214" s="190">
        <v>16362.23</v>
      </c>
      <c r="E214" s="223">
        <v>1</v>
      </c>
    </row>
    <row r="215" spans="2:5" x14ac:dyDescent="0.2">
      <c r="B215" s="190" t="s">
        <v>372</v>
      </c>
      <c r="C215" s="193">
        <v>42104</v>
      </c>
      <c r="D215" s="190">
        <v>14152.32</v>
      </c>
      <c r="E215" s="223">
        <v>1</v>
      </c>
    </row>
    <row r="216" spans="2:5" x14ac:dyDescent="0.2">
      <c r="B216" s="190" t="s">
        <v>373</v>
      </c>
      <c r="C216" s="193">
        <v>42374</v>
      </c>
      <c r="D216" s="190">
        <v>13453.03</v>
      </c>
      <c r="E216" s="223">
        <v>1</v>
      </c>
    </row>
    <row r="217" spans="2:5" x14ac:dyDescent="0.2">
      <c r="B217" s="190" t="s">
        <v>374</v>
      </c>
      <c r="C217" s="193">
        <v>42303</v>
      </c>
      <c r="D217" s="190">
        <v>7915.02</v>
      </c>
      <c r="E217" s="223">
        <v>1</v>
      </c>
    </row>
    <row r="218" spans="2:5" x14ac:dyDescent="0.2">
      <c r="B218" s="190" t="s">
        <v>375</v>
      </c>
      <c r="C218" s="193">
        <v>42310</v>
      </c>
      <c r="D218" s="190">
        <v>11222.21</v>
      </c>
      <c r="E218" s="223">
        <v>1</v>
      </c>
    </row>
    <row r="219" spans="2:5" x14ac:dyDescent="0.2">
      <c r="B219" s="190" t="s">
        <v>376</v>
      </c>
      <c r="C219" s="193">
        <v>42877</v>
      </c>
      <c r="D219" s="190">
        <v>12232.01</v>
      </c>
      <c r="E219" s="223">
        <v>1</v>
      </c>
    </row>
    <row r="220" spans="2:5" x14ac:dyDescent="0.2">
      <c r="B220" s="190" t="s">
        <v>377</v>
      </c>
      <c r="C220" s="193">
        <v>42222</v>
      </c>
      <c r="D220" s="190">
        <v>28083.96</v>
      </c>
      <c r="E220" s="223">
        <v>1</v>
      </c>
    </row>
    <row r="221" spans="2:5" x14ac:dyDescent="0.2">
      <c r="B221" s="190" t="s">
        <v>378</v>
      </c>
      <c r="C221" s="193">
        <v>41947</v>
      </c>
      <c r="D221" s="190">
        <v>7127.6</v>
      </c>
      <c r="E221" s="223">
        <v>1</v>
      </c>
    </row>
    <row r="222" spans="2:5" x14ac:dyDescent="0.2">
      <c r="B222" s="190" t="s">
        <v>379</v>
      </c>
      <c r="C222" s="193">
        <v>42195</v>
      </c>
      <c r="D222" s="190">
        <v>28365.040000000001</v>
      </c>
      <c r="E222" s="223">
        <v>1</v>
      </c>
    </row>
    <row r="223" spans="2:5" x14ac:dyDescent="0.2">
      <c r="B223" s="190" t="s">
        <v>380</v>
      </c>
      <c r="C223" s="193">
        <v>41904</v>
      </c>
      <c r="D223" s="190">
        <v>5480.24</v>
      </c>
      <c r="E223" s="223">
        <v>1</v>
      </c>
    </row>
    <row r="224" spans="2:5" x14ac:dyDescent="0.2">
      <c r="B224" s="190" t="s">
        <v>381</v>
      </c>
      <c r="C224" s="193">
        <v>42594</v>
      </c>
      <c r="D224" s="190">
        <v>11125.17</v>
      </c>
      <c r="E224" s="223">
        <v>1</v>
      </c>
    </row>
    <row r="225" spans="2:5" x14ac:dyDescent="0.2">
      <c r="B225" s="190" t="s">
        <v>382</v>
      </c>
      <c r="C225" s="193">
        <v>42520</v>
      </c>
      <c r="D225" s="190">
        <v>26408.99</v>
      </c>
      <c r="E225" s="223">
        <v>1</v>
      </c>
    </row>
    <row r="226" spans="2:5" x14ac:dyDescent="0.2">
      <c r="B226" s="190" t="s">
        <v>383</v>
      </c>
      <c r="C226" s="193">
        <v>42069</v>
      </c>
      <c r="D226" s="190">
        <v>31823.85</v>
      </c>
      <c r="E226" s="223">
        <v>1</v>
      </c>
    </row>
    <row r="227" spans="2:5" x14ac:dyDescent="0.2">
      <c r="B227" s="190" t="s">
        <v>384</v>
      </c>
      <c r="C227" s="193">
        <v>42971</v>
      </c>
      <c r="D227" s="190">
        <v>38146.160000000003</v>
      </c>
      <c r="E227" s="223">
        <v>1</v>
      </c>
    </row>
    <row r="228" spans="2:5" x14ac:dyDescent="0.2">
      <c r="B228" s="190" t="s">
        <v>385</v>
      </c>
      <c r="C228" s="193">
        <v>42122</v>
      </c>
      <c r="D228" s="190">
        <v>13908.83</v>
      </c>
      <c r="E228" s="223">
        <v>1</v>
      </c>
    </row>
    <row r="229" spans="2:5" x14ac:dyDescent="0.2">
      <c r="B229" s="190" t="s">
        <v>386</v>
      </c>
      <c r="C229" s="193">
        <v>42117</v>
      </c>
      <c r="D229" s="190">
        <v>11227.41</v>
      </c>
      <c r="E229" s="223">
        <v>1</v>
      </c>
    </row>
    <row r="230" spans="2:5" x14ac:dyDescent="0.2">
      <c r="B230" s="190" t="s">
        <v>387</v>
      </c>
      <c r="C230" s="193">
        <v>42222</v>
      </c>
      <c r="D230" s="190">
        <v>26117.47</v>
      </c>
      <c r="E230" s="223">
        <v>1</v>
      </c>
    </row>
    <row r="231" spans="2:5" x14ac:dyDescent="0.2">
      <c r="B231" s="190" t="s">
        <v>388</v>
      </c>
      <c r="C231" s="193">
        <v>41904</v>
      </c>
      <c r="D231" s="190">
        <v>6904.09</v>
      </c>
      <c r="E231" s="223">
        <v>1</v>
      </c>
    </row>
    <row r="232" spans="2:5" x14ac:dyDescent="0.2">
      <c r="B232" s="190" t="s">
        <v>389</v>
      </c>
      <c r="C232" s="193">
        <v>42971</v>
      </c>
      <c r="D232" s="190">
        <v>20897.330000000002</v>
      </c>
      <c r="E232" s="223">
        <v>1</v>
      </c>
    </row>
    <row r="233" spans="2:5" x14ac:dyDescent="0.2">
      <c r="B233" s="190" t="s">
        <v>390</v>
      </c>
      <c r="C233" s="193">
        <v>42118</v>
      </c>
      <c r="D233" s="190">
        <v>14632.12</v>
      </c>
      <c r="E233" s="223">
        <v>1</v>
      </c>
    </row>
    <row r="234" spans="2:5" x14ac:dyDescent="0.2">
      <c r="B234" s="190" t="s">
        <v>391</v>
      </c>
      <c r="C234" s="193">
        <v>42972</v>
      </c>
      <c r="D234" s="190">
        <v>18463.919999999998</v>
      </c>
      <c r="E234" s="223">
        <v>1</v>
      </c>
    </row>
    <row r="235" spans="2:5" x14ac:dyDescent="0.2">
      <c r="B235" s="190" t="s">
        <v>392</v>
      </c>
      <c r="C235" s="193">
        <v>41904</v>
      </c>
      <c r="D235" s="190">
        <v>6817.36</v>
      </c>
      <c r="E235" s="223">
        <v>1</v>
      </c>
    </row>
    <row r="236" spans="2:5" x14ac:dyDescent="0.2">
      <c r="B236" s="190" t="s">
        <v>393</v>
      </c>
      <c r="C236" s="193">
        <v>42971</v>
      </c>
      <c r="D236" s="190">
        <v>19033.310000000001</v>
      </c>
      <c r="E236" s="223">
        <v>1</v>
      </c>
    </row>
    <row r="237" spans="2:5" x14ac:dyDescent="0.2">
      <c r="B237" s="190" t="s">
        <v>394</v>
      </c>
      <c r="C237" s="193">
        <v>42117</v>
      </c>
      <c r="D237" s="190">
        <v>14678.45</v>
      </c>
      <c r="E237" s="223">
        <v>1</v>
      </c>
    </row>
    <row r="238" spans="2:5" x14ac:dyDescent="0.2">
      <c r="B238" s="190" t="s">
        <v>395</v>
      </c>
      <c r="C238" s="193">
        <v>42971</v>
      </c>
      <c r="D238" s="190">
        <v>17064.759999999998</v>
      </c>
      <c r="E238" s="223">
        <v>1</v>
      </c>
    </row>
    <row r="239" spans="2:5" x14ac:dyDescent="0.2">
      <c r="B239" s="190" t="s">
        <v>396</v>
      </c>
      <c r="C239" s="193">
        <v>42949</v>
      </c>
      <c r="D239" s="190">
        <v>44042.561857170003</v>
      </c>
      <c r="E239" s="223">
        <v>1</v>
      </c>
    </row>
    <row r="240" spans="2:5" x14ac:dyDescent="0.2">
      <c r="B240" s="190" t="s">
        <v>397</v>
      </c>
      <c r="C240" s="193">
        <v>37469</v>
      </c>
      <c r="D240" s="190">
        <v>394.88</v>
      </c>
      <c r="E240" s="223">
        <v>1</v>
      </c>
    </row>
    <row r="241" spans="2:5" x14ac:dyDescent="0.2">
      <c r="B241" s="190" t="s">
        <v>398</v>
      </c>
      <c r="C241" s="193">
        <v>37469</v>
      </c>
      <c r="D241" s="190">
        <v>394.88</v>
      </c>
      <c r="E241" s="223">
        <v>1</v>
      </c>
    </row>
    <row r="242" spans="2:5" x14ac:dyDescent="0.2">
      <c r="B242" s="190" t="s">
        <v>399</v>
      </c>
      <c r="C242" s="193">
        <v>38665</v>
      </c>
      <c r="D242" s="190">
        <v>225.62</v>
      </c>
      <c r="E242" s="223">
        <v>1</v>
      </c>
    </row>
    <row r="243" spans="2:5" x14ac:dyDescent="0.2">
      <c r="B243" s="190" t="s">
        <v>400</v>
      </c>
      <c r="C243" s="193">
        <v>38665</v>
      </c>
      <c r="D243" s="190">
        <v>225.62</v>
      </c>
      <c r="E243" s="223">
        <v>1</v>
      </c>
    </row>
    <row r="244" spans="2:5" x14ac:dyDescent="0.2">
      <c r="B244" s="190" t="s">
        <v>401</v>
      </c>
      <c r="C244" s="193">
        <v>38624</v>
      </c>
      <c r="D244" s="190">
        <v>173.45</v>
      </c>
      <c r="E244" s="223">
        <v>1</v>
      </c>
    </row>
    <row r="245" spans="2:5" x14ac:dyDescent="0.2">
      <c r="B245" s="190" t="s">
        <v>402</v>
      </c>
      <c r="C245" s="193">
        <v>38624</v>
      </c>
      <c r="D245" s="190">
        <v>173.45</v>
      </c>
      <c r="E245" s="223">
        <v>1</v>
      </c>
    </row>
    <row r="246" spans="2:5" x14ac:dyDescent="0.2">
      <c r="B246" s="190" t="s">
        <v>403</v>
      </c>
      <c r="C246" s="193">
        <v>38027</v>
      </c>
      <c r="D246" s="190">
        <v>108.65</v>
      </c>
      <c r="E246" s="223">
        <v>1</v>
      </c>
    </row>
    <row r="247" spans="2:5" x14ac:dyDescent="0.2">
      <c r="B247" s="190" t="s">
        <v>404</v>
      </c>
      <c r="C247" s="193">
        <v>37757</v>
      </c>
      <c r="D247" s="190">
        <v>125</v>
      </c>
      <c r="E247" s="223">
        <v>1</v>
      </c>
    </row>
    <row r="248" spans="2:5" x14ac:dyDescent="0.2">
      <c r="B248" s="190" t="s">
        <v>405</v>
      </c>
      <c r="C248" s="193">
        <v>38006</v>
      </c>
      <c r="D248" s="190">
        <v>106.83</v>
      </c>
      <c r="E248" s="223">
        <v>1</v>
      </c>
    </row>
    <row r="249" spans="2:5" x14ac:dyDescent="0.2">
      <c r="B249" s="190" t="s">
        <v>406</v>
      </c>
      <c r="C249" s="193">
        <v>38715</v>
      </c>
      <c r="D249" s="190">
        <v>508.88</v>
      </c>
      <c r="E249" s="223">
        <v>1</v>
      </c>
    </row>
    <row r="250" spans="2:5" x14ac:dyDescent="0.2">
      <c r="B250" s="190" t="s">
        <v>407</v>
      </c>
      <c r="C250" s="193">
        <v>38715</v>
      </c>
      <c r="D250" s="190">
        <v>510.55</v>
      </c>
      <c r="E250" s="223">
        <v>1</v>
      </c>
    </row>
    <row r="251" spans="2:5" x14ac:dyDescent="0.2">
      <c r="B251" s="190" t="s">
        <v>408</v>
      </c>
      <c r="C251" s="193">
        <v>38260</v>
      </c>
      <c r="D251" s="190">
        <v>730.16</v>
      </c>
      <c r="E251" s="223">
        <v>1</v>
      </c>
    </row>
    <row r="252" spans="2:5" x14ac:dyDescent="0.2">
      <c r="B252" s="190" t="s">
        <v>409</v>
      </c>
      <c r="C252" s="193">
        <v>38716</v>
      </c>
      <c r="D252" s="190">
        <v>250.34</v>
      </c>
      <c r="E252" s="223">
        <v>1</v>
      </c>
    </row>
    <row r="253" spans="2:5" x14ac:dyDescent="0.2">
      <c r="B253" s="190" t="s">
        <v>410</v>
      </c>
      <c r="C253" s="193">
        <v>38716</v>
      </c>
      <c r="D253" s="190">
        <v>250.34</v>
      </c>
      <c r="E253" s="223">
        <v>1</v>
      </c>
    </row>
    <row r="254" spans="2:5" x14ac:dyDescent="0.2">
      <c r="B254" s="190" t="s">
        <v>411</v>
      </c>
      <c r="C254" s="193">
        <v>38713</v>
      </c>
      <c r="D254" s="190">
        <v>185.77</v>
      </c>
      <c r="E254" s="223">
        <v>1</v>
      </c>
    </row>
    <row r="255" spans="2:5" x14ac:dyDescent="0.2">
      <c r="B255" s="190" t="s">
        <v>412</v>
      </c>
      <c r="C255" s="193">
        <v>38713</v>
      </c>
      <c r="D255" s="190">
        <v>232.72</v>
      </c>
      <c r="E255" s="223">
        <v>1</v>
      </c>
    </row>
    <row r="256" spans="2:5" x14ac:dyDescent="0.2">
      <c r="B256" s="190" t="s">
        <v>413</v>
      </c>
      <c r="C256" s="193">
        <v>38713</v>
      </c>
      <c r="D256" s="190">
        <v>137.76</v>
      </c>
      <c r="E256" s="223">
        <v>1</v>
      </c>
    </row>
    <row r="257" spans="2:5" x14ac:dyDescent="0.2">
      <c r="B257" s="190" t="s">
        <v>414</v>
      </c>
      <c r="C257" s="193">
        <v>38713</v>
      </c>
      <c r="D257" s="190">
        <v>141.75</v>
      </c>
      <c r="E257" s="223">
        <v>1</v>
      </c>
    </row>
    <row r="258" spans="2:5" x14ac:dyDescent="0.2">
      <c r="B258" s="190" t="s">
        <v>415</v>
      </c>
      <c r="C258" s="193">
        <v>38370</v>
      </c>
      <c r="D258" s="190">
        <v>242.71</v>
      </c>
      <c r="E258" s="223">
        <v>1</v>
      </c>
    </row>
    <row r="259" spans="2:5" x14ac:dyDescent="0.2">
      <c r="B259" s="190" t="s">
        <v>416</v>
      </c>
      <c r="C259" s="193">
        <v>38706</v>
      </c>
      <c r="D259" s="190">
        <v>128.63</v>
      </c>
      <c r="E259" s="223">
        <v>1</v>
      </c>
    </row>
    <row r="260" spans="2:5" x14ac:dyDescent="0.2">
      <c r="B260" s="190" t="s">
        <v>417</v>
      </c>
      <c r="C260" s="193">
        <v>38705</v>
      </c>
      <c r="D260" s="190">
        <v>217.85</v>
      </c>
      <c r="E260" s="223">
        <v>1</v>
      </c>
    </row>
    <row r="261" spans="2:5" x14ac:dyDescent="0.2">
      <c r="B261" s="190" t="s">
        <v>418</v>
      </c>
      <c r="C261" s="193">
        <v>42129</v>
      </c>
      <c r="D261" s="190">
        <v>1211.2244297899999</v>
      </c>
      <c r="E261" s="223">
        <v>1</v>
      </c>
    </row>
    <row r="262" spans="2:5" x14ac:dyDescent="0.2">
      <c r="B262" s="190" t="s">
        <v>419</v>
      </c>
      <c r="C262" s="193">
        <v>42552</v>
      </c>
      <c r="D262" s="190">
        <v>532.75119029999996</v>
      </c>
      <c r="E262" s="223">
        <v>1</v>
      </c>
    </row>
    <row r="263" spans="2:5" x14ac:dyDescent="0.2">
      <c r="B263" s="190" t="s">
        <v>420</v>
      </c>
      <c r="C263" s="193">
        <v>39329</v>
      </c>
      <c r="D263" s="190">
        <v>321.83999999999997</v>
      </c>
      <c r="E263" s="223">
        <v>1</v>
      </c>
    </row>
    <row r="264" spans="2:5" x14ac:dyDescent="0.2">
      <c r="B264" s="190" t="s">
        <v>421</v>
      </c>
      <c r="C264" s="193">
        <v>40577</v>
      </c>
      <c r="D264" s="190">
        <v>493.46</v>
      </c>
      <c r="E264" s="223">
        <v>1</v>
      </c>
    </row>
    <row r="265" spans="2:5" x14ac:dyDescent="0.2">
      <c r="B265" s="190" t="s">
        <v>422</v>
      </c>
      <c r="C265" s="193">
        <v>39618</v>
      </c>
      <c r="D265" s="190">
        <v>303</v>
      </c>
      <c r="E265" s="223">
        <v>1</v>
      </c>
    </row>
    <row r="266" spans="2:5" x14ac:dyDescent="0.2">
      <c r="B266" s="190" t="s">
        <v>423</v>
      </c>
      <c r="C266" s="193">
        <v>39394</v>
      </c>
      <c r="D266" s="190">
        <v>363.69</v>
      </c>
      <c r="E266" s="223">
        <v>1</v>
      </c>
    </row>
    <row r="267" spans="2:5" x14ac:dyDescent="0.2">
      <c r="B267" s="190" t="s">
        <v>424</v>
      </c>
      <c r="C267" s="193">
        <v>40478</v>
      </c>
      <c r="D267" s="190">
        <v>148.34</v>
      </c>
      <c r="E267" s="223">
        <v>1</v>
      </c>
    </row>
    <row r="268" spans="2:5" x14ac:dyDescent="0.2">
      <c r="B268" s="190" t="s">
        <v>425</v>
      </c>
      <c r="C268" s="193">
        <v>42552</v>
      </c>
      <c r="D268" s="190">
        <v>1062.7544994699999</v>
      </c>
      <c r="E268" s="223">
        <v>1</v>
      </c>
    </row>
    <row r="269" spans="2:5" x14ac:dyDescent="0.2">
      <c r="B269" s="190" t="s">
        <v>426</v>
      </c>
      <c r="C269" s="193">
        <v>42227</v>
      </c>
      <c r="D269" s="190">
        <v>4757.8587041199999</v>
      </c>
      <c r="E269" s="223">
        <v>1</v>
      </c>
    </row>
    <row r="270" spans="2:5" x14ac:dyDescent="0.2">
      <c r="B270" s="190" t="s">
        <v>427</v>
      </c>
      <c r="C270" s="193">
        <v>42550</v>
      </c>
      <c r="D270" s="190">
        <v>147.67885862</v>
      </c>
      <c r="E270" s="223">
        <v>1</v>
      </c>
    </row>
    <row r="271" spans="2:5" x14ac:dyDescent="0.2">
      <c r="B271" s="190" t="s">
        <v>428</v>
      </c>
      <c r="C271" s="193">
        <v>39618</v>
      </c>
      <c r="D271" s="190">
        <v>562.29</v>
      </c>
      <c r="E271" s="223">
        <v>1</v>
      </c>
    </row>
    <row r="272" spans="2:5" x14ac:dyDescent="0.2">
      <c r="B272" s="190" t="s">
        <v>429</v>
      </c>
      <c r="C272" s="193">
        <v>39394</v>
      </c>
      <c r="D272" s="190">
        <v>363.69</v>
      </c>
      <c r="E272" s="223">
        <v>1</v>
      </c>
    </row>
    <row r="273" spans="2:5" x14ac:dyDescent="0.2">
      <c r="B273" s="190" t="s">
        <v>430</v>
      </c>
      <c r="C273" s="193">
        <v>42227</v>
      </c>
      <c r="D273" s="190">
        <v>4215.8333879900001</v>
      </c>
      <c r="E273" s="223">
        <v>1</v>
      </c>
    </row>
    <row r="274" spans="2:5" x14ac:dyDescent="0.2">
      <c r="B274" s="10" t="s">
        <v>431</v>
      </c>
      <c r="C274" s="126">
        <v>41277</v>
      </c>
      <c r="D274" s="10">
        <v>2807.39</v>
      </c>
      <c r="E274" s="10">
        <v>1</v>
      </c>
    </row>
    <row r="275" spans="2:5" x14ac:dyDescent="0.2">
      <c r="B275" s="10" t="s">
        <v>432</v>
      </c>
      <c r="C275" s="126">
        <v>41283</v>
      </c>
      <c r="D275" s="10">
        <v>2316.58</v>
      </c>
      <c r="E275" s="10">
        <v>1</v>
      </c>
    </row>
    <row r="276" spans="2:5" x14ac:dyDescent="0.2">
      <c r="B276" s="10" t="s">
        <v>433</v>
      </c>
      <c r="C276" s="126">
        <v>42550</v>
      </c>
      <c r="D276" s="10">
        <v>130.66139737</v>
      </c>
      <c r="E276" s="10">
        <v>1</v>
      </c>
    </row>
    <row r="277" spans="2:5" x14ac:dyDescent="0.2">
      <c r="B277" s="10" t="s">
        <v>434</v>
      </c>
      <c r="C277" s="126">
        <v>41281</v>
      </c>
      <c r="D277" s="10">
        <v>3365.22</v>
      </c>
      <c r="E277" s="10">
        <v>1</v>
      </c>
    </row>
    <row r="278" spans="2:5" x14ac:dyDescent="0.2">
      <c r="B278" s="10" t="s">
        <v>435</v>
      </c>
      <c r="C278" s="126">
        <v>42110</v>
      </c>
      <c r="D278" s="10">
        <v>522.89537319999999</v>
      </c>
      <c r="E278" s="10">
        <v>1</v>
      </c>
    </row>
    <row r="279" spans="2:5" x14ac:dyDescent="0.2">
      <c r="B279" s="10" t="s">
        <v>436</v>
      </c>
      <c r="C279" s="126">
        <v>42117</v>
      </c>
      <c r="D279" s="10">
        <v>650.14363865999997</v>
      </c>
      <c r="E279" s="10">
        <v>1</v>
      </c>
    </row>
    <row r="280" spans="2:5" x14ac:dyDescent="0.2">
      <c r="B280" s="10" t="s">
        <v>437</v>
      </c>
      <c r="C280" s="126">
        <v>42479</v>
      </c>
      <c r="D280" s="10">
        <v>517.55154836999998</v>
      </c>
      <c r="E280" s="10">
        <v>1</v>
      </c>
    </row>
    <row r="281" spans="2:5" x14ac:dyDescent="0.2">
      <c r="B281" s="10" t="s">
        <v>438</v>
      </c>
      <c r="C281" s="126">
        <v>42110</v>
      </c>
      <c r="D281" s="10">
        <v>419.85620591000003</v>
      </c>
      <c r="E281" s="10">
        <v>1</v>
      </c>
    </row>
    <row r="282" spans="2:5" x14ac:dyDescent="0.2">
      <c r="B282" s="10" t="s">
        <v>439</v>
      </c>
      <c r="C282" s="126">
        <v>41444</v>
      </c>
      <c r="D282" s="10">
        <v>1386.8</v>
      </c>
      <c r="E282" s="10">
        <v>1</v>
      </c>
    </row>
    <row r="283" spans="2:5" x14ac:dyDescent="0.2">
      <c r="B283" s="10" t="s">
        <v>440</v>
      </c>
      <c r="C283" s="126">
        <v>42030</v>
      </c>
      <c r="D283" s="10">
        <v>227.86509369000001</v>
      </c>
      <c r="E283" s="10">
        <v>1</v>
      </c>
    </row>
    <row r="284" spans="2:5" x14ac:dyDescent="0.2">
      <c r="B284" s="10" t="s">
        <v>441</v>
      </c>
      <c r="C284" s="126">
        <v>39604</v>
      </c>
      <c r="D284" s="10">
        <v>233.37</v>
      </c>
      <c r="E284" s="10">
        <v>1</v>
      </c>
    </row>
    <row r="285" spans="2:5" x14ac:dyDescent="0.2">
      <c r="B285" s="10" t="s">
        <v>442</v>
      </c>
      <c r="C285" s="126">
        <v>42339</v>
      </c>
      <c r="D285" s="10">
        <v>487.53221783999999</v>
      </c>
      <c r="E285" s="10">
        <v>1</v>
      </c>
    </row>
    <row r="286" spans="2:5" x14ac:dyDescent="0.2">
      <c r="B286" s="10" t="s">
        <v>443</v>
      </c>
      <c r="C286" s="126">
        <v>38866</v>
      </c>
      <c r="D286" s="10">
        <v>203.88</v>
      </c>
      <c r="E286" s="10">
        <v>1</v>
      </c>
    </row>
  </sheetData>
  <pageMargins left="0.70866141732283472" right="0.70866141732283472" top="0.74803149606299213" bottom="0.74803149606299213" header="0.31496062992125984" footer="0.31496062992125984"/>
  <pageSetup paperSize="9" scale="81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62"/>
  <sheetViews>
    <sheetView zoomScaleNormal="100" workbookViewId="0">
      <selection activeCell="A24" sqref="A24:I58"/>
    </sheetView>
  </sheetViews>
  <sheetFormatPr defaultColWidth="9.140625" defaultRowHeight="12.75" x14ac:dyDescent="0.2"/>
  <cols>
    <col min="1" max="1" width="39.85546875" style="10" customWidth="1"/>
    <col min="2" max="2" width="17.85546875" style="10" bestFit="1" customWidth="1"/>
    <col min="3" max="3" width="15" style="10" bestFit="1" customWidth="1"/>
    <col min="4" max="4" width="11.42578125" style="10" bestFit="1" customWidth="1"/>
    <col min="5" max="5" width="10.5703125" style="10" bestFit="1" customWidth="1"/>
    <col min="6" max="6" width="13.42578125" style="10" bestFit="1" customWidth="1"/>
    <col min="7" max="7" width="11.140625" style="10" bestFit="1" customWidth="1"/>
    <col min="8" max="9" width="11.28515625" style="10" bestFit="1" customWidth="1"/>
    <col min="10" max="10" width="10.28515625" style="10" bestFit="1" customWidth="1"/>
    <col min="11" max="16384" width="9.140625" style="10"/>
  </cols>
  <sheetData>
    <row r="1" spans="1:13" s="35" customFormat="1" x14ac:dyDescent="0.2">
      <c r="A1" s="61"/>
    </row>
    <row r="2" spans="1:13" s="56" customFormat="1" x14ac:dyDescent="0.2">
      <c r="F2" s="392"/>
      <c r="G2" s="392"/>
      <c r="H2" s="392"/>
      <c r="I2" s="392"/>
    </row>
    <row r="3" spans="1:13" s="56" customFormat="1" x14ac:dyDescent="0.2">
      <c r="B3" s="11"/>
      <c r="C3" s="24"/>
      <c r="D3" s="11"/>
      <c r="E3" s="24"/>
      <c r="G3" s="24"/>
      <c r="I3" s="24"/>
      <c r="K3" s="10"/>
    </row>
    <row r="4" spans="1:13" x14ac:dyDescent="0.2">
      <c r="B4" s="27"/>
      <c r="C4" s="48"/>
      <c r="D4" s="27"/>
      <c r="E4" s="48"/>
      <c r="G4" s="48"/>
      <c r="I4" s="48"/>
      <c r="J4" s="44"/>
    </row>
    <row r="5" spans="1:13" x14ac:dyDescent="0.2">
      <c r="B5" s="27"/>
      <c r="C5" s="48"/>
      <c r="D5" s="27"/>
      <c r="E5" s="48"/>
      <c r="G5" s="48"/>
      <c r="I5" s="48"/>
      <c r="J5" s="44"/>
    </row>
    <row r="6" spans="1:13" x14ac:dyDescent="0.2">
      <c r="B6" s="57"/>
      <c r="C6" s="48"/>
      <c r="D6" s="57"/>
      <c r="E6" s="48"/>
      <c r="G6" s="48"/>
      <c r="I6" s="48"/>
      <c r="J6" s="44"/>
    </row>
    <row r="7" spans="1:13" x14ac:dyDescent="0.2">
      <c r="B7" s="57"/>
      <c r="C7" s="48"/>
      <c r="D7" s="57"/>
      <c r="E7" s="48"/>
      <c r="G7" s="48"/>
      <c r="I7" s="48"/>
    </row>
    <row r="8" spans="1:13" x14ac:dyDescent="0.2">
      <c r="A8" s="18"/>
      <c r="B8" s="18"/>
      <c r="D8" s="27"/>
      <c r="E8" s="49"/>
    </row>
    <row r="9" spans="1:13" x14ac:dyDescent="0.2">
      <c r="A9" s="18"/>
      <c r="B9" s="36"/>
      <c r="J9" s="27"/>
    </row>
    <row r="10" spans="1:13" x14ac:dyDescent="0.2">
      <c r="J10" s="27"/>
    </row>
    <row r="11" spans="1:13" x14ac:dyDescent="0.2">
      <c r="A11" s="35"/>
      <c r="J11" s="27"/>
      <c r="K11" s="27"/>
    </row>
    <row r="12" spans="1:13" s="56" customFormat="1" x14ac:dyDescent="0.2">
      <c r="J12" s="33"/>
      <c r="K12" s="33"/>
    </row>
    <row r="13" spans="1:13" s="56" customFormat="1" x14ac:dyDescent="0.2">
      <c r="B13" s="24"/>
      <c r="C13" s="24"/>
      <c r="D13" s="24"/>
      <c r="E13" s="24"/>
      <c r="F13" s="16"/>
    </row>
    <row r="14" spans="1:13" s="56" customFormat="1" x14ac:dyDescent="0.2">
      <c r="B14" s="24"/>
      <c r="C14" s="24"/>
      <c r="D14" s="24"/>
      <c r="E14" s="24"/>
      <c r="F14" s="16"/>
    </row>
    <row r="15" spans="1:13" s="56" customFormat="1" x14ac:dyDescent="0.2">
      <c r="B15" s="25"/>
      <c r="C15" s="25"/>
      <c r="D15" s="25"/>
      <c r="E15" s="24"/>
      <c r="F15" s="24"/>
      <c r="G15" s="24"/>
      <c r="H15" s="24"/>
      <c r="I15" s="24"/>
      <c r="J15" s="24"/>
      <c r="M15" s="10"/>
    </row>
    <row r="16" spans="1:13" ht="15" x14ac:dyDescent="0.25">
      <c r="B16" s="88"/>
      <c r="C16" s="72"/>
      <c r="D16" s="27"/>
      <c r="E16" s="28"/>
      <c r="F16" s="45"/>
      <c r="G16" s="27"/>
      <c r="H16" s="27"/>
      <c r="I16" s="27"/>
      <c r="J16" s="27"/>
      <c r="K16" s="49"/>
      <c r="L16" s="16"/>
    </row>
    <row r="17" spans="1:12" ht="15" x14ac:dyDescent="0.25">
      <c r="B17" s="88"/>
      <c r="C17" s="72"/>
      <c r="D17" s="27"/>
      <c r="E17" s="28"/>
      <c r="F17" s="45"/>
      <c r="G17" s="27"/>
      <c r="H17" s="27"/>
      <c r="I17" s="27"/>
      <c r="J17" s="27"/>
      <c r="K17" s="49"/>
      <c r="L17" s="19"/>
    </row>
    <row r="18" spans="1:12" x14ac:dyDescent="0.2">
      <c r="A18" s="43"/>
      <c r="B18" s="3"/>
      <c r="C18" s="27"/>
      <c r="D18" s="27"/>
      <c r="E18" s="28"/>
      <c r="F18" s="45"/>
      <c r="G18" s="2"/>
      <c r="H18" s="2"/>
      <c r="I18" s="2"/>
      <c r="J18" s="2"/>
      <c r="K18" s="49"/>
      <c r="L18" s="19"/>
    </row>
    <row r="19" spans="1:12" ht="15" x14ac:dyDescent="0.25">
      <c r="B19" s="88"/>
      <c r="C19" s="73"/>
      <c r="D19" s="27"/>
      <c r="E19" s="28"/>
      <c r="F19" s="45"/>
      <c r="G19" s="27"/>
      <c r="H19" s="27"/>
      <c r="I19" s="27"/>
      <c r="J19" s="27"/>
      <c r="K19" s="49"/>
      <c r="L19" s="19"/>
    </row>
    <row r="20" spans="1:12" ht="15" x14ac:dyDescent="0.25">
      <c r="B20" s="88"/>
      <c r="C20" s="73"/>
      <c r="D20" s="27"/>
      <c r="E20" s="28"/>
      <c r="F20" s="45"/>
      <c r="G20" s="27"/>
      <c r="H20" s="27"/>
      <c r="I20" s="27"/>
      <c r="J20" s="27"/>
      <c r="K20" s="49"/>
      <c r="L20" s="19"/>
    </row>
    <row r="21" spans="1:12" s="60" customFormat="1" x14ac:dyDescent="0.2">
      <c r="B21" s="33"/>
      <c r="C21" s="33"/>
      <c r="D21" s="33"/>
      <c r="E21" s="34"/>
      <c r="F21" s="33"/>
      <c r="G21" s="33"/>
      <c r="H21" s="33"/>
      <c r="I21" s="33"/>
      <c r="J21" s="33"/>
      <c r="K21" s="50"/>
      <c r="L21" s="16"/>
    </row>
    <row r="22" spans="1:12" x14ac:dyDescent="0.2">
      <c r="A22" s="18"/>
      <c r="B22" s="27"/>
      <c r="D22" s="28"/>
      <c r="E22" s="28"/>
      <c r="F22" s="28"/>
    </row>
    <row r="24" spans="1:12" x14ac:dyDescent="0.2">
      <c r="A24" s="35"/>
    </row>
    <row r="25" spans="1:12" s="56" customFormat="1" x14ac:dyDescent="0.2">
      <c r="B25" s="24"/>
      <c r="C25" s="24"/>
      <c r="D25" s="24"/>
      <c r="E25" s="24"/>
      <c r="F25" s="24"/>
      <c r="G25" s="65"/>
      <c r="H25" s="65"/>
      <c r="I25" s="65"/>
    </row>
    <row r="26" spans="1:12" s="56" customFormat="1" x14ac:dyDescent="0.2">
      <c r="B26" s="24"/>
      <c r="C26" s="24"/>
      <c r="D26" s="24"/>
      <c r="E26" s="24"/>
      <c r="F26" s="24"/>
      <c r="G26" s="65"/>
      <c r="H26" s="65"/>
      <c r="I26" s="65"/>
    </row>
    <row r="27" spans="1:12" s="56" customFormat="1" x14ac:dyDescent="0.2">
      <c r="B27" s="25"/>
      <c r="C27" s="25"/>
      <c r="D27" s="25"/>
      <c r="E27" s="24"/>
      <c r="F27" s="24"/>
      <c r="G27" s="24"/>
      <c r="H27" s="24"/>
      <c r="I27" s="24"/>
      <c r="J27" s="24"/>
    </row>
    <row r="28" spans="1:12" ht="13.5" customHeight="1" x14ac:dyDescent="0.2">
      <c r="A28" s="43"/>
      <c r="B28" s="37"/>
      <c r="C28" s="37"/>
      <c r="D28" s="37"/>
      <c r="E28" s="28"/>
      <c r="F28" s="53"/>
      <c r="G28" s="53"/>
      <c r="H28" s="53"/>
      <c r="I28" s="53"/>
      <c r="J28" s="53"/>
      <c r="K28" s="43"/>
    </row>
    <row r="29" spans="1:12" x14ac:dyDescent="0.2">
      <c r="A29" s="43"/>
      <c r="B29" s="57"/>
      <c r="C29" s="57"/>
      <c r="D29" s="37"/>
      <c r="E29" s="28"/>
      <c r="F29" s="53"/>
      <c r="G29" s="53"/>
      <c r="H29" s="53"/>
      <c r="I29" s="53"/>
      <c r="J29" s="53"/>
      <c r="K29" s="43"/>
    </row>
    <row r="30" spans="1:12" x14ac:dyDescent="0.2">
      <c r="A30" s="18"/>
      <c r="B30" s="37"/>
      <c r="C30" s="53"/>
      <c r="D30" s="46"/>
      <c r="E30" s="53"/>
      <c r="F30" s="53"/>
      <c r="G30" s="53"/>
      <c r="H30" s="37"/>
      <c r="I30" s="37"/>
    </row>
    <row r="32" spans="1:12" s="56" customFormat="1" x14ac:dyDescent="0.2">
      <c r="A32" s="35"/>
      <c r="F32" s="84"/>
      <c r="G32" s="65"/>
      <c r="H32" s="65"/>
      <c r="I32" s="65"/>
      <c r="J32" s="65"/>
    </row>
    <row r="33" spans="1:11" s="56" customFormat="1" x14ac:dyDescent="0.2">
      <c r="F33" s="84"/>
      <c r="G33" s="65"/>
      <c r="H33" s="65"/>
      <c r="I33" s="65"/>
      <c r="J33" s="65"/>
    </row>
    <row r="34" spans="1:11" s="56" customFormat="1" x14ac:dyDescent="0.2">
      <c r="B34" s="24"/>
      <c r="C34" s="24"/>
      <c r="D34" s="24"/>
      <c r="E34" s="24"/>
      <c r="F34" s="84"/>
      <c r="G34" s="65"/>
      <c r="H34" s="65"/>
      <c r="I34" s="65"/>
      <c r="J34" s="65"/>
    </row>
    <row r="35" spans="1:11" s="56" customFormat="1" x14ac:dyDescent="0.2">
      <c r="B35" s="24"/>
      <c r="C35" s="24"/>
      <c r="D35" s="24"/>
      <c r="E35" s="24"/>
      <c r="F35" s="84"/>
      <c r="G35" s="65"/>
      <c r="H35" s="65"/>
      <c r="I35" s="65"/>
      <c r="J35" s="65"/>
    </row>
    <row r="36" spans="1:11" s="56" customFormat="1" x14ac:dyDescent="0.2">
      <c r="B36" s="25"/>
      <c r="C36" s="25"/>
      <c r="D36" s="25"/>
      <c r="E36" s="24"/>
      <c r="F36" s="24"/>
      <c r="G36" s="24"/>
      <c r="H36" s="24"/>
      <c r="I36" s="24"/>
      <c r="J36" s="24"/>
    </row>
    <row r="37" spans="1:11" x14ac:dyDescent="0.2">
      <c r="A37" s="35"/>
      <c r="E37" s="28"/>
      <c r="F37" s="28"/>
      <c r="G37" s="28"/>
      <c r="H37" s="28"/>
      <c r="I37" s="28"/>
      <c r="J37" s="28"/>
    </row>
    <row r="38" spans="1:11" x14ac:dyDescent="0.2">
      <c r="B38" s="27"/>
      <c r="C38" s="27"/>
      <c r="E38" s="28"/>
      <c r="F38" s="27"/>
      <c r="G38" s="27"/>
      <c r="H38" s="27"/>
      <c r="I38" s="27"/>
      <c r="J38" s="27"/>
      <c r="K38" s="49"/>
    </row>
    <row r="39" spans="1:11" x14ac:dyDescent="0.2">
      <c r="B39" s="27"/>
      <c r="C39" s="27"/>
      <c r="D39" s="27"/>
      <c r="E39" s="28"/>
      <c r="F39" s="27"/>
      <c r="G39" s="27"/>
      <c r="H39" s="27"/>
      <c r="I39" s="27"/>
      <c r="J39" s="27"/>
      <c r="K39" s="49"/>
    </row>
    <row r="40" spans="1:11" x14ac:dyDescent="0.2">
      <c r="B40" s="27"/>
      <c r="C40" s="27"/>
      <c r="D40" s="27"/>
      <c r="E40" s="28"/>
      <c r="F40" s="27"/>
      <c r="G40" s="27"/>
      <c r="H40" s="27"/>
      <c r="I40" s="27"/>
      <c r="J40" s="27"/>
      <c r="K40" s="49"/>
    </row>
    <row r="41" spans="1:11" ht="14.25" x14ac:dyDescent="0.2">
      <c r="A41" s="21"/>
      <c r="B41" s="40"/>
      <c r="C41" s="40"/>
      <c r="D41" s="40"/>
      <c r="E41" s="28"/>
      <c r="F41" s="27"/>
      <c r="G41" s="27"/>
      <c r="H41" s="40"/>
      <c r="I41" s="40"/>
      <c r="J41" s="40"/>
      <c r="K41" s="27"/>
    </row>
    <row r="42" spans="1:11" x14ac:dyDescent="0.2">
      <c r="A42" s="56"/>
      <c r="B42" s="27"/>
      <c r="C42" s="27"/>
      <c r="D42" s="27"/>
      <c r="E42" s="28"/>
      <c r="F42" s="27"/>
      <c r="G42" s="27"/>
      <c r="H42" s="27"/>
      <c r="I42" s="27"/>
      <c r="J42" s="27"/>
      <c r="K42" s="27"/>
    </row>
    <row r="43" spans="1:11" x14ac:dyDescent="0.2">
      <c r="B43" s="27"/>
      <c r="C43" s="27"/>
      <c r="D43" s="27"/>
      <c r="E43" s="28"/>
      <c r="F43" s="27"/>
      <c r="G43" s="27"/>
      <c r="H43" s="27"/>
      <c r="I43" s="27"/>
      <c r="J43" s="27"/>
      <c r="K43" s="49"/>
    </row>
    <row r="44" spans="1:11" x14ac:dyDescent="0.2">
      <c r="B44" s="27"/>
      <c r="C44" s="27"/>
      <c r="D44" s="27"/>
      <c r="E44" s="28"/>
      <c r="F44" s="27"/>
      <c r="G44" s="27"/>
      <c r="H44" s="27"/>
      <c r="I44" s="27"/>
      <c r="J44" s="27"/>
      <c r="K44" s="49"/>
    </row>
    <row r="45" spans="1:11" x14ac:dyDescent="0.2">
      <c r="B45" s="27"/>
      <c r="C45" s="27"/>
      <c r="D45" s="27"/>
      <c r="E45" s="28"/>
      <c r="F45" s="27"/>
      <c r="G45" s="27"/>
      <c r="H45" s="27"/>
      <c r="I45" s="27"/>
      <c r="J45" s="27"/>
      <c r="K45" s="49"/>
    </row>
    <row r="46" spans="1:11" ht="14.25" x14ac:dyDescent="0.2">
      <c r="A46" s="21"/>
      <c r="B46" s="40"/>
      <c r="C46" s="40"/>
      <c r="D46" s="40"/>
      <c r="E46" s="28"/>
      <c r="F46" s="40"/>
      <c r="G46" s="40"/>
      <c r="H46" s="40"/>
      <c r="I46" s="40"/>
      <c r="J46" s="40"/>
      <c r="K46" s="27"/>
    </row>
    <row r="47" spans="1:11" x14ac:dyDescent="0.2">
      <c r="A47" s="56"/>
      <c r="B47" s="27"/>
      <c r="C47" s="27"/>
      <c r="D47" s="27"/>
      <c r="E47" s="28"/>
      <c r="F47" s="27"/>
      <c r="G47" s="27"/>
      <c r="H47" s="27"/>
      <c r="I47" s="27"/>
      <c r="J47" s="27"/>
      <c r="K47" s="27"/>
    </row>
    <row r="48" spans="1:11" x14ac:dyDescent="0.2">
      <c r="B48" s="27"/>
      <c r="C48" s="27"/>
      <c r="D48" s="27"/>
      <c r="E48" s="28"/>
      <c r="F48" s="27"/>
      <c r="G48" s="27"/>
      <c r="H48" s="27"/>
      <c r="I48" s="27"/>
      <c r="J48" s="27"/>
      <c r="K48" s="49"/>
    </row>
    <row r="49" spans="1:11" x14ac:dyDescent="0.2">
      <c r="B49" s="27"/>
      <c r="C49" s="27"/>
      <c r="D49" s="27"/>
      <c r="E49" s="28"/>
      <c r="F49" s="27"/>
      <c r="G49" s="27"/>
      <c r="H49" s="27"/>
      <c r="I49" s="27"/>
      <c r="J49" s="27"/>
      <c r="K49" s="49"/>
    </row>
    <row r="50" spans="1:11" x14ac:dyDescent="0.2">
      <c r="B50" s="27"/>
      <c r="C50" s="27"/>
      <c r="D50" s="27"/>
      <c r="E50" s="28"/>
      <c r="F50" s="27"/>
      <c r="G50" s="27"/>
      <c r="H50" s="27"/>
      <c r="I50" s="27"/>
      <c r="J50" s="27"/>
      <c r="K50" s="49"/>
    </row>
    <row r="51" spans="1:11" x14ac:dyDescent="0.2">
      <c r="B51" s="27"/>
      <c r="C51" s="27"/>
      <c r="D51" s="27"/>
      <c r="E51" s="28"/>
      <c r="F51" s="27"/>
      <c r="G51" s="27"/>
      <c r="H51" s="27"/>
      <c r="I51" s="27"/>
      <c r="J51" s="27"/>
      <c r="K51" s="49"/>
    </row>
    <row r="52" spans="1:11" s="56" customFormat="1" x14ac:dyDescent="0.2">
      <c r="B52" s="33"/>
      <c r="C52" s="33"/>
      <c r="D52" s="33"/>
      <c r="E52" s="34"/>
      <c r="F52" s="33"/>
      <c r="G52" s="33"/>
      <c r="H52" s="33"/>
      <c r="I52" s="33"/>
      <c r="J52" s="33"/>
      <c r="K52" s="50"/>
    </row>
    <row r="53" spans="1:11" s="56" customFormat="1" x14ac:dyDescent="0.2">
      <c r="B53" s="27"/>
      <c r="C53" s="27"/>
      <c r="D53" s="33"/>
      <c r="E53" s="28"/>
      <c r="F53" s="27"/>
      <c r="G53" s="27"/>
      <c r="H53" s="27"/>
      <c r="I53" s="27"/>
      <c r="J53" s="27"/>
      <c r="K53" s="33"/>
    </row>
    <row r="54" spans="1:11" s="56" customFormat="1" x14ac:dyDescent="0.2">
      <c r="B54" s="33"/>
      <c r="C54" s="33"/>
      <c r="D54" s="33"/>
      <c r="E54" s="34"/>
      <c r="F54" s="33"/>
      <c r="G54" s="33"/>
      <c r="H54" s="33"/>
      <c r="I54" s="33"/>
      <c r="J54" s="33"/>
      <c r="K54" s="50"/>
    </row>
    <row r="55" spans="1:11" s="56" customFormat="1" x14ac:dyDescent="0.2">
      <c r="B55" s="27"/>
      <c r="C55" s="27"/>
      <c r="D55" s="27"/>
      <c r="E55" s="28"/>
      <c r="F55" s="28"/>
      <c r="G55" s="28"/>
      <c r="H55" s="28"/>
      <c r="I55" s="28"/>
      <c r="J55" s="28"/>
      <c r="K55" s="33"/>
    </row>
    <row r="56" spans="1:11" s="56" customFormat="1" x14ac:dyDescent="0.2">
      <c r="B56" s="23"/>
      <c r="C56" s="23"/>
      <c r="D56" s="23"/>
      <c r="E56" s="34"/>
      <c r="F56" s="38"/>
      <c r="G56" s="38"/>
      <c r="H56" s="23"/>
      <c r="I56" s="23"/>
      <c r="J56" s="23"/>
      <c r="K56" s="51"/>
    </row>
    <row r="57" spans="1:11" x14ac:dyDescent="0.2">
      <c r="B57" s="37"/>
      <c r="C57" s="37"/>
      <c r="D57" s="37"/>
      <c r="E57" s="37"/>
      <c r="F57" s="27"/>
      <c r="G57" s="37"/>
      <c r="H57" s="37"/>
      <c r="I57" s="37"/>
    </row>
    <row r="58" spans="1:11" x14ac:dyDescent="0.2">
      <c r="A58" s="18"/>
      <c r="B58" s="47"/>
      <c r="C58" s="27"/>
      <c r="D58" s="27"/>
      <c r="E58" s="27"/>
      <c r="F58" s="27"/>
      <c r="G58" s="27"/>
      <c r="H58" s="27"/>
      <c r="I58" s="27"/>
    </row>
    <row r="59" spans="1:11" x14ac:dyDescent="0.2">
      <c r="A59" s="18"/>
    </row>
    <row r="60" spans="1:11" x14ac:dyDescent="0.2">
      <c r="A60" s="18"/>
      <c r="B60" s="37"/>
    </row>
    <row r="61" spans="1:11" x14ac:dyDescent="0.2">
      <c r="A61" s="18"/>
    </row>
    <row r="62" spans="1:11" x14ac:dyDescent="0.2">
      <c r="A62" s="18"/>
    </row>
  </sheetData>
  <mergeCells count="1">
    <mergeCell ref="F2:I2"/>
  </mergeCells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3:F66"/>
  <sheetViews>
    <sheetView topLeftCell="A67" zoomScaleNormal="100" workbookViewId="0">
      <selection activeCell="M12" sqref="M12"/>
    </sheetView>
  </sheetViews>
  <sheetFormatPr defaultRowHeight="12.75" x14ac:dyDescent="0.2"/>
  <cols>
    <col min="1" max="1" width="31" customWidth="1"/>
    <col min="2" max="2" width="11.42578125" bestFit="1" customWidth="1"/>
    <col min="3" max="3" width="12.5703125" style="43" customWidth="1"/>
    <col min="4" max="4" width="11.140625" style="2" customWidth="1"/>
    <col min="5" max="5" width="21" style="2" customWidth="1"/>
    <col min="6" max="6" width="15.28515625" style="6" customWidth="1"/>
  </cols>
  <sheetData>
    <row r="3" spans="1:6" x14ac:dyDescent="0.2">
      <c r="D3" s="5"/>
      <c r="E3" s="5"/>
    </row>
    <row r="6" spans="1:6" s="1" customFormat="1" x14ac:dyDescent="0.2">
      <c r="C6" s="64"/>
      <c r="D6" s="5"/>
      <c r="E6" s="5"/>
      <c r="F6" s="7"/>
    </row>
    <row r="7" spans="1:6" s="1" customFormat="1" x14ac:dyDescent="0.2">
      <c r="A7" s="17"/>
      <c r="B7" s="17"/>
      <c r="C7" s="64"/>
      <c r="D7" s="5"/>
      <c r="E7" s="5"/>
      <c r="F7" s="7"/>
    </row>
    <row r="8" spans="1:6" s="1" customFormat="1" x14ac:dyDescent="0.2">
      <c r="A8" s="17"/>
      <c r="B8" s="17"/>
      <c r="C8" s="64"/>
      <c r="D8" s="5"/>
      <c r="E8" s="5"/>
      <c r="F8" s="7"/>
    </row>
    <row r="9" spans="1:6" s="1" customFormat="1" x14ac:dyDescent="0.2">
      <c r="A9" s="17"/>
      <c r="B9" s="17"/>
      <c r="C9" s="64"/>
      <c r="D9" s="5"/>
      <c r="E9" s="5"/>
      <c r="F9" s="7"/>
    </row>
    <row r="10" spans="1:6" s="1" customFormat="1" x14ac:dyDescent="0.2">
      <c r="A10" s="85"/>
      <c r="B10" s="85"/>
      <c r="C10" s="85"/>
      <c r="D10" s="86"/>
      <c r="E10" s="86"/>
      <c r="F10" s="87"/>
    </row>
    <row r="11" spans="1:6" x14ac:dyDescent="0.2">
      <c r="A11" s="10"/>
      <c r="B11" s="10"/>
      <c r="C11" s="2"/>
      <c r="F11" s="12"/>
    </row>
    <row r="12" spans="1:6" x14ac:dyDescent="0.2">
      <c r="A12" s="10"/>
      <c r="B12" s="10"/>
      <c r="C12" s="2"/>
      <c r="F12" s="12"/>
    </row>
    <row r="13" spans="1:6" x14ac:dyDescent="0.2">
      <c r="A13" s="10"/>
      <c r="B13" s="10"/>
      <c r="C13" s="2"/>
      <c r="F13" s="12"/>
    </row>
    <row r="14" spans="1:6" x14ac:dyDescent="0.2">
      <c r="A14" s="10"/>
      <c r="B14" s="10"/>
      <c r="C14" s="2"/>
      <c r="F14" s="12"/>
    </row>
    <row r="15" spans="1:6" x14ac:dyDescent="0.2">
      <c r="A15" s="10"/>
      <c r="B15" s="10"/>
      <c r="C15" s="2"/>
      <c r="F15" s="12"/>
    </row>
    <row r="16" spans="1:6" x14ac:dyDescent="0.2">
      <c r="A16" s="10"/>
      <c r="B16" s="10"/>
      <c r="C16" s="2"/>
      <c r="F16" s="12"/>
    </row>
    <row r="17" spans="1:6" x14ac:dyDescent="0.2">
      <c r="A17" s="10"/>
      <c r="B17" s="10"/>
      <c r="C17" s="2"/>
      <c r="F17" s="12"/>
    </row>
    <row r="18" spans="1:6" s="1" customFormat="1" x14ac:dyDescent="0.2">
      <c r="A18" s="26"/>
      <c r="B18" s="26"/>
      <c r="C18" s="2"/>
      <c r="D18" s="2"/>
      <c r="E18" s="2"/>
      <c r="F18" s="7"/>
    </row>
    <row r="19" spans="1:6" x14ac:dyDescent="0.2">
      <c r="A19" s="10"/>
      <c r="B19" s="10"/>
      <c r="C19" s="2"/>
      <c r="F19" s="12"/>
    </row>
    <row r="20" spans="1:6" x14ac:dyDescent="0.2">
      <c r="A20" s="10"/>
      <c r="B20" s="10"/>
      <c r="C20" s="2"/>
      <c r="F20" s="12"/>
    </row>
    <row r="21" spans="1:6" x14ac:dyDescent="0.2">
      <c r="A21" s="10"/>
      <c r="B21" s="10"/>
      <c r="C21" s="2"/>
      <c r="F21" s="12"/>
    </row>
    <row r="22" spans="1:6" x14ac:dyDescent="0.2">
      <c r="A22" s="10"/>
      <c r="B22" s="10"/>
      <c r="C22" s="2"/>
      <c r="F22" s="12"/>
    </row>
    <row r="23" spans="1:6" x14ac:dyDescent="0.2">
      <c r="A23" s="10"/>
      <c r="B23" s="10"/>
      <c r="C23" s="2"/>
      <c r="F23" s="12"/>
    </row>
    <row r="24" spans="1:6" x14ac:dyDescent="0.2">
      <c r="A24" s="10"/>
      <c r="B24" s="10"/>
      <c r="C24" s="2"/>
      <c r="F24" s="12"/>
    </row>
    <row r="25" spans="1:6" x14ac:dyDescent="0.2">
      <c r="A25" s="10"/>
      <c r="B25" s="10"/>
      <c r="C25" s="2"/>
      <c r="F25" s="12"/>
    </row>
    <row r="26" spans="1:6" x14ac:dyDescent="0.2">
      <c r="A26" s="10"/>
      <c r="B26" s="10"/>
      <c r="C26" s="2"/>
      <c r="F26" s="12"/>
    </row>
    <row r="27" spans="1:6" x14ac:dyDescent="0.2">
      <c r="A27" s="10"/>
      <c r="B27" s="10"/>
      <c r="C27" s="2"/>
      <c r="F27" s="12"/>
    </row>
    <row r="28" spans="1:6" s="1" customFormat="1" x14ac:dyDescent="0.2">
      <c r="A28" s="26"/>
      <c r="B28" s="26"/>
      <c r="C28" s="2"/>
      <c r="D28" s="2"/>
      <c r="E28" s="2"/>
      <c r="F28" s="7"/>
    </row>
    <row r="29" spans="1:6" x14ac:dyDescent="0.2">
      <c r="A29" s="10"/>
      <c r="B29" s="10"/>
      <c r="C29" s="2"/>
      <c r="F29" s="12"/>
    </row>
    <row r="30" spans="1:6" x14ac:dyDescent="0.2">
      <c r="A30" s="10"/>
      <c r="B30" s="10"/>
      <c r="C30" s="2"/>
      <c r="F30" s="12"/>
    </row>
    <row r="31" spans="1:6" x14ac:dyDescent="0.2">
      <c r="A31" s="10"/>
      <c r="B31" s="10"/>
      <c r="C31" s="2"/>
      <c r="F31" s="12"/>
    </row>
    <row r="32" spans="1:6" x14ac:dyDescent="0.2">
      <c r="A32" s="10"/>
      <c r="B32" s="10"/>
      <c r="C32" s="2"/>
      <c r="F32" s="12"/>
    </row>
    <row r="33" spans="1:6" x14ac:dyDescent="0.2">
      <c r="A33" s="10"/>
      <c r="B33" s="10"/>
      <c r="C33" s="2"/>
      <c r="F33" s="12"/>
    </row>
    <row r="34" spans="1:6" x14ac:dyDescent="0.2">
      <c r="A34" s="10"/>
      <c r="B34" s="10"/>
      <c r="C34" s="2"/>
      <c r="F34" s="12"/>
    </row>
    <row r="35" spans="1:6" x14ac:dyDescent="0.2">
      <c r="A35" s="10"/>
      <c r="B35" s="10"/>
      <c r="C35" s="2"/>
      <c r="F35" s="12"/>
    </row>
    <row r="36" spans="1:6" x14ac:dyDescent="0.2">
      <c r="A36" s="10"/>
      <c r="B36" s="10"/>
      <c r="C36" s="2"/>
      <c r="F36" s="12"/>
    </row>
    <row r="37" spans="1:6" x14ac:dyDescent="0.2">
      <c r="A37" s="10"/>
      <c r="B37" s="10"/>
      <c r="C37" s="2"/>
      <c r="F37" s="12"/>
    </row>
    <row r="38" spans="1:6" x14ac:dyDescent="0.2">
      <c r="A38" s="10"/>
      <c r="B38" s="10"/>
      <c r="C38" s="2"/>
      <c r="F38" s="12"/>
    </row>
    <row r="39" spans="1:6" s="1" customFormat="1" x14ac:dyDescent="0.2">
      <c r="A39" s="26"/>
      <c r="B39" s="26"/>
      <c r="C39" s="2"/>
      <c r="D39" s="2"/>
      <c r="E39" s="2"/>
      <c r="F39" s="7"/>
    </row>
    <row r="40" spans="1:6" x14ac:dyDescent="0.2">
      <c r="A40" s="10"/>
      <c r="B40" s="10"/>
      <c r="C40" s="2"/>
      <c r="F40" s="12"/>
    </row>
    <row r="41" spans="1:6" x14ac:dyDescent="0.2">
      <c r="A41" s="10"/>
      <c r="B41" s="10"/>
      <c r="C41" s="2"/>
      <c r="F41" s="12"/>
    </row>
    <row r="42" spans="1:6" x14ac:dyDescent="0.2">
      <c r="A42" s="10"/>
      <c r="B42" s="10"/>
      <c r="C42" s="2"/>
      <c r="F42" s="12"/>
    </row>
    <row r="43" spans="1:6" x14ac:dyDescent="0.2">
      <c r="A43" s="10"/>
      <c r="B43" s="10"/>
      <c r="C43" s="2"/>
      <c r="F43" s="12"/>
    </row>
    <row r="44" spans="1:6" x14ac:dyDescent="0.2">
      <c r="A44" s="10"/>
      <c r="B44" s="10"/>
      <c r="C44" s="2"/>
      <c r="F44" s="12"/>
    </row>
    <row r="45" spans="1:6" x14ac:dyDescent="0.2">
      <c r="A45" s="10"/>
      <c r="B45" s="10"/>
      <c r="C45" s="2"/>
      <c r="F45" s="12"/>
    </row>
    <row r="46" spans="1:6" x14ac:dyDescent="0.2">
      <c r="A46" s="10"/>
      <c r="B46" s="10"/>
      <c r="C46" s="2"/>
      <c r="F46" s="12"/>
    </row>
    <row r="47" spans="1:6" x14ac:dyDescent="0.2">
      <c r="A47" s="10"/>
      <c r="B47" s="10"/>
      <c r="C47" s="2"/>
      <c r="F47" s="12"/>
    </row>
    <row r="48" spans="1:6" x14ac:dyDescent="0.2">
      <c r="A48" s="10"/>
      <c r="B48" s="10"/>
      <c r="C48" s="2"/>
      <c r="F48" s="12"/>
    </row>
    <row r="49" spans="1:6" s="74" customFormat="1" x14ac:dyDescent="0.2">
      <c r="C49" s="5"/>
      <c r="D49" s="5"/>
      <c r="E49" s="5"/>
      <c r="F49" s="7"/>
    </row>
    <row r="50" spans="1:6" s="1" customFormat="1" x14ac:dyDescent="0.2">
      <c r="A50" s="10"/>
      <c r="B50" s="10"/>
      <c r="C50" s="2"/>
      <c r="D50" s="2"/>
      <c r="E50" s="2"/>
      <c r="F50" s="12"/>
    </row>
    <row r="51" spans="1:6" x14ac:dyDescent="0.2">
      <c r="A51" s="10"/>
      <c r="B51" s="10"/>
      <c r="C51" s="2"/>
      <c r="F51" s="12"/>
    </row>
    <row r="52" spans="1:6" x14ac:dyDescent="0.2">
      <c r="A52" s="10"/>
      <c r="B52" s="10"/>
      <c r="C52" s="2"/>
      <c r="F52" s="12"/>
    </row>
    <row r="53" spans="1:6" s="74" customFormat="1" x14ac:dyDescent="0.2">
      <c r="C53" s="5"/>
      <c r="D53" s="5"/>
      <c r="E53" s="5"/>
      <c r="F53" s="7"/>
    </row>
    <row r="54" spans="1:6" s="1" customFormat="1" x14ac:dyDescent="0.2">
      <c r="A54" s="10"/>
      <c r="B54" s="10"/>
      <c r="C54" s="2"/>
      <c r="D54" s="2"/>
      <c r="E54" s="2"/>
      <c r="F54" s="12"/>
    </row>
    <row r="55" spans="1:6" x14ac:dyDescent="0.2">
      <c r="A55" s="10"/>
      <c r="B55" s="10"/>
      <c r="C55" s="2"/>
      <c r="F55" s="12"/>
    </row>
    <row r="56" spans="1:6" x14ac:dyDescent="0.2">
      <c r="A56" s="10"/>
      <c r="B56" s="10"/>
      <c r="C56" s="2"/>
      <c r="F56" s="12"/>
    </row>
    <row r="57" spans="1:6" x14ac:dyDescent="0.2">
      <c r="A57" s="10"/>
      <c r="B57" s="10"/>
      <c r="C57" s="2"/>
      <c r="F57" s="12"/>
    </row>
    <row r="58" spans="1:6" x14ac:dyDescent="0.2">
      <c r="A58" s="10"/>
      <c r="B58" s="10"/>
      <c r="C58" s="10"/>
      <c r="F58" s="12"/>
    </row>
    <row r="59" spans="1:6" x14ac:dyDescent="0.2">
      <c r="A59" s="18"/>
      <c r="B59" s="10"/>
      <c r="C59" s="10"/>
      <c r="F59" s="12"/>
    </row>
    <row r="60" spans="1:6" x14ac:dyDescent="0.2">
      <c r="A60" s="18"/>
      <c r="B60" s="10"/>
      <c r="C60" s="10"/>
      <c r="F60" s="12"/>
    </row>
    <row r="61" spans="1:6" x14ac:dyDescent="0.2">
      <c r="A61" s="10"/>
      <c r="B61" s="10"/>
      <c r="C61" s="10"/>
      <c r="F61" s="12"/>
    </row>
    <row r="62" spans="1:6" x14ac:dyDescent="0.2">
      <c r="A62" s="10"/>
      <c r="B62" s="10"/>
      <c r="C62" s="10"/>
      <c r="F62" s="12"/>
    </row>
    <row r="63" spans="1:6" x14ac:dyDescent="0.2">
      <c r="A63" s="10"/>
      <c r="B63" s="10"/>
      <c r="C63" s="10"/>
      <c r="F63" s="12"/>
    </row>
    <row r="64" spans="1:6" x14ac:dyDescent="0.2">
      <c r="A64" s="10"/>
      <c r="B64" s="10"/>
      <c r="C64" s="10"/>
      <c r="F64" s="12"/>
    </row>
    <row r="65" spans="1:6" x14ac:dyDescent="0.2">
      <c r="A65" s="10"/>
      <c r="B65" s="10"/>
      <c r="C65" s="10"/>
      <c r="F65" s="12"/>
    </row>
    <row r="66" spans="1:6" x14ac:dyDescent="0.2">
      <c r="A66" s="10"/>
      <c r="B66" s="10"/>
      <c r="C66" s="10"/>
      <c r="F66" s="12"/>
    </row>
  </sheetData>
  <pageMargins left="0.70866141732283472" right="0.70866141732283472" top="0.74803149606299213" bottom="0.74803149606299213" header="0.31496062992125984" footer="0.31496062992125984"/>
  <pageSetup paperSize="9" scale="80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P94"/>
  <sheetViews>
    <sheetView zoomScaleNormal="100" workbookViewId="0">
      <selection activeCell="A3" sqref="A3:F73"/>
    </sheetView>
  </sheetViews>
  <sheetFormatPr defaultColWidth="9.140625" defaultRowHeight="12.75" x14ac:dyDescent="0.2"/>
  <cols>
    <col min="1" max="1" width="28.7109375" style="43" bestFit="1" customWidth="1"/>
    <col min="2" max="2" width="18.7109375" style="27" bestFit="1" customWidth="1"/>
    <col min="3" max="3" width="16" style="43" bestFit="1" customWidth="1"/>
    <col min="4" max="4" width="12.85546875" style="28" bestFit="1" customWidth="1"/>
    <col min="5" max="5" width="12.85546875" style="43" bestFit="1" customWidth="1"/>
    <col min="6" max="6" width="12.85546875" style="28" bestFit="1" customWidth="1"/>
    <col min="7" max="7" width="34" style="43" bestFit="1" customWidth="1"/>
    <col min="8" max="8" width="33" style="43" customWidth="1"/>
    <col min="9" max="9" width="30" style="43" bestFit="1" customWidth="1"/>
    <col min="10" max="10" width="19" style="43" bestFit="1" customWidth="1"/>
    <col min="11" max="11" width="18.42578125" style="43" bestFit="1" customWidth="1"/>
    <col min="12" max="12" width="18.42578125" style="43" customWidth="1"/>
    <col min="13" max="13" width="12.85546875" style="43" bestFit="1" customWidth="1"/>
    <col min="14" max="16384" width="9.140625" style="43"/>
  </cols>
  <sheetData>
    <row r="1" spans="1:16" ht="12.75" customHeight="1" x14ac:dyDescent="0.2"/>
    <row r="2" spans="1:16" ht="12.75" customHeight="1" x14ac:dyDescent="0.2"/>
    <row r="3" spans="1:16" s="65" customFormat="1" ht="12.75" customHeight="1" x14ac:dyDescent="0.2">
      <c r="B3" s="33"/>
      <c r="D3" s="39"/>
      <c r="F3" s="39"/>
      <c r="M3" s="20"/>
      <c r="N3" s="43"/>
      <c r="O3" s="43"/>
      <c r="P3" s="43"/>
    </row>
    <row r="4" spans="1:16" s="65" customFormat="1" ht="12.75" customHeight="1" x14ac:dyDescent="0.2">
      <c r="B4" s="33"/>
      <c r="D4" s="39"/>
      <c r="F4" s="24"/>
      <c r="H4" s="43"/>
      <c r="M4" s="20"/>
      <c r="N4" s="43"/>
      <c r="O4" s="43"/>
      <c r="P4" s="43"/>
    </row>
    <row r="5" spans="1:16" s="65" customFormat="1" ht="12.75" customHeight="1" x14ac:dyDescent="0.2">
      <c r="B5" s="66"/>
      <c r="C5" s="66"/>
      <c r="D5" s="39"/>
      <c r="E5" s="66"/>
      <c r="F5" s="24"/>
      <c r="H5" s="43"/>
      <c r="I5" s="43"/>
      <c r="J5" s="43"/>
      <c r="K5" s="43"/>
      <c r="L5" s="43"/>
      <c r="M5" s="20"/>
    </row>
    <row r="6" spans="1:16" s="65" customFormat="1" ht="12.75" customHeight="1" x14ac:dyDescent="0.2">
      <c r="B6" s="33"/>
      <c r="C6" s="33"/>
      <c r="D6" s="34"/>
      <c r="E6" s="33"/>
      <c r="F6" s="34"/>
      <c r="G6" s="62"/>
      <c r="H6" s="62"/>
      <c r="I6" s="62"/>
      <c r="J6" s="62"/>
      <c r="K6" s="43"/>
      <c r="L6" s="43"/>
      <c r="M6" s="20"/>
      <c r="N6" s="43"/>
      <c r="O6" s="43"/>
      <c r="P6" s="43"/>
    </row>
    <row r="7" spans="1:16" s="65" customFormat="1" ht="12.75" customHeight="1" x14ac:dyDescent="0.2">
      <c r="A7" s="10"/>
      <c r="B7" s="27"/>
      <c r="C7" s="27"/>
      <c r="D7" s="28"/>
      <c r="E7" s="27"/>
      <c r="F7" s="28"/>
      <c r="G7" s="62"/>
      <c r="H7" s="62"/>
      <c r="I7" s="62"/>
      <c r="J7" s="62"/>
      <c r="K7" s="43"/>
      <c r="L7" s="43"/>
      <c r="M7" s="20"/>
      <c r="N7" s="43"/>
      <c r="O7" s="43"/>
      <c r="P7" s="43"/>
    </row>
    <row r="8" spans="1:16" ht="12.75" customHeight="1" x14ac:dyDescent="0.2">
      <c r="A8" s="10"/>
      <c r="C8" s="27"/>
      <c r="E8" s="27"/>
      <c r="G8" s="62"/>
      <c r="H8" s="62"/>
      <c r="I8" s="62"/>
      <c r="J8" s="62"/>
      <c r="K8" s="65"/>
      <c r="L8" s="65"/>
      <c r="M8" s="65"/>
      <c r="N8" s="65"/>
      <c r="O8" s="65"/>
      <c r="P8" s="65"/>
    </row>
    <row r="9" spans="1:16" ht="12.75" customHeight="1" x14ac:dyDescent="0.2">
      <c r="A9" s="10"/>
      <c r="C9" s="27"/>
      <c r="E9" s="27"/>
      <c r="G9" s="62"/>
      <c r="H9" s="62"/>
      <c r="I9" s="62"/>
      <c r="J9" s="62"/>
    </row>
    <row r="10" spans="1:16" ht="12.75" customHeight="1" x14ac:dyDescent="0.2">
      <c r="A10" s="10"/>
      <c r="C10" s="27"/>
      <c r="E10" s="27"/>
      <c r="G10" s="62"/>
      <c r="H10" s="62"/>
      <c r="I10" s="62"/>
      <c r="J10" s="62"/>
    </row>
    <row r="11" spans="1:16" ht="12.75" customHeight="1" x14ac:dyDescent="0.2">
      <c r="A11" s="10"/>
      <c r="C11" s="27"/>
      <c r="E11" s="27"/>
      <c r="G11" s="62"/>
      <c r="H11" s="62"/>
      <c r="I11" s="62"/>
      <c r="J11" s="62"/>
    </row>
    <row r="12" spans="1:16" ht="12.75" customHeight="1" x14ac:dyDescent="0.2">
      <c r="A12" s="10"/>
      <c r="C12" s="27"/>
      <c r="E12" s="27"/>
      <c r="G12" s="62"/>
      <c r="H12" s="62"/>
      <c r="I12" s="62"/>
      <c r="J12" s="62"/>
    </row>
    <row r="13" spans="1:16" ht="12.75" customHeight="1" x14ac:dyDescent="0.2">
      <c r="A13" s="10"/>
      <c r="C13" s="27"/>
      <c r="E13" s="27"/>
      <c r="G13" s="62"/>
      <c r="H13" s="62"/>
      <c r="I13" s="62"/>
      <c r="J13" s="62"/>
      <c r="K13" s="65"/>
      <c r="L13" s="65"/>
      <c r="M13" s="20"/>
    </row>
    <row r="14" spans="1:16" ht="12.75" customHeight="1" x14ac:dyDescent="0.2">
      <c r="A14" s="10"/>
      <c r="C14" s="27"/>
      <c r="E14" s="27"/>
      <c r="G14" s="62"/>
      <c r="H14" s="62"/>
      <c r="I14" s="62"/>
      <c r="J14" s="62"/>
      <c r="K14" s="65"/>
      <c r="L14" s="65"/>
      <c r="M14" s="20"/>
    </row>
    <row r="15" spans="1:16" s="65" customFormat="1" ht="12.75" customHeight="1" x14ac:dyDescent="0.2">
      <c r="B15" s="33"/>
      <c r="C15" s="33"/>
      <c r="D15" s="34"/>
      <c r="E15" s="33"/>
      <c r="F15" s="34"/>
      <c r="G15" s="62"/>
      <c r="H15" s="62"/>
      <c r="I15" s="62"/>
      <c r="J15" s="62"/>
      <c r="K15" s="43"/>
      <c r="L15" s="43"/>
      <c r="M15" s="20"/>
    </row>
    <row r="16" spans="1:16" ht="12.75" customHeight="1" x14ac:dyDescent="0.2">
      <c r="A16" s="10"/>
      <c r="C16" s="27"/>
      <c r="E16" s="27"/>
      <c r="G16" s="62"/>
      <c r="H16" s="62"/>
      <c r="I16" s="62"/>
      <c r="J16" s="62"/>
      <c r="M16" s="20"/>
    </row>
    <row r="17" spans="1:15" s="65" customFormat="1" ht="12.75" customHeight="1" x14ac:dyDescent="0.25">
      <c r="B17" s="33"/>
      <c r="C17" s="33"/>
      <c r="D17" s="28"/>
      <c r="E17" s="33"/>
      <c r="F17" s="34"/>
      <c r="G17" s="67"/>
      <c r="H17" s="27"/>
      <c r="I17" s="67"/>
    </row>
    <row r="18" spans="1:15" ht="12.75" customHeight="1" x14ac:dyDescent="0.25">
      <c r="A18" s="10"/>
      <c r="B18" s="78"/>
      <c r="C18" s="80"/>
      <c r="E18" s="27"/>
      <c r="G18" s="67"/>
      <c r="H18" s="54"/>
      <c r="I18" s="67"/>
    </row>
    <row r="19" spans="1:15" ht="12.75" customHeight="1" x14ac:dyDescent="0.25">
      <c r="A19" s="10"/>
      <c r="B19" s="78"/>
      <c r="C19" s="80"/>
      <c r="E19" s="27"/>
      <c r="G19" s="67"/>
      <c r="H19" s="55"/>
      <c r="I19" s="67"/>
    </row>
    <row r="20" spans="1:15" ht="12.75" customHeight="1" x14ac:dyDescent="0.25">
      <c r="A20" s="10"/>
      <c r="B20" s="78"/>
      <c r="C20" s="80"/>
      <c r="E20" s="27"/>
      <c r="G20" s="67"/>
      <c r="H20" s="55"/>
      <c r="I20" s="67"/>
    </row>
    <row r="21" spans="1:15" ht="12.75" customHeight="1" x14ac:dyDescent="0.25">
      <c r="C21" s="27"/>
      <c r="E21" s="27"/>
      <c r="G21" s="67"/>
      <c r="H21" s="55"/>
      <c r="I21" s="67"/>
    </row>
    <row r="22" spans="1:15" s="65" customFormat="1" ht="12.75" customHeight="1" x14ac:dyDescent="0.25">
      <c r="B22" s="33"/>
      <c r="C22" s="33"/>
      <c r="D22" s="34"/>
      <c r="E22" s="33"/>
      <c r="F22" s="34"/>
      <c r="G22" s="67"/>
      <c r="H22" s="54"/>
      <c r="I22" s="67"/>
    </row>
    <row r="23" spans="1:15" ht="12.75" customHeight="1" x14ac:dyDescent="0.2">
      <c r="A23" s="10"/>
      <c r="C23" s="27"/>
      <c r="E23" s="27"/>
      <c r="H23" s="27"/>
      <c r="I23" s="27"/>
      <c r="J23" s="65"/>
      <c r="K23" s="65"/>
      <c r="L23" s="65"/>
      <c r="M23" s="65"/>
      <c r="N23" s="65"/>
      <c r="O23" s="41"/>
    </row>
    <row r="24" spans="1:15" s="65" customFormat="1" ht="12.75" customHeight="1" x14ac:dyDescent="0.2">
      <c r="B24" s="27"/>
      <c r="C24" s="27"/>
      <c r="D24" s="28"/>
      <c r="E24" s="27"/>
      <c r="F24" s="28"/>
      <c r="G24" s="52"/>
      <c r="H24" s="54"/>
      <c r="I24" s="55"/>
      <c r="J24" s="43"/>
      <c r="K24" s="43"/>
      <c r="L24" s="43"/>
      <c r="M24" s="43"/>
      <c r="N24" s="43"/>
      <c r="O24" s="22"/>
    </row>
    <row r="25" spans="1:15" s="10" customFormat="1" ht="12.75" customHeight="1" x14ac:dyDescent="0.2">
      <c r="B25" s="68"/>
      <c r="C25" s="68"/>
      <c r="D25" s="28"/>
      <c r="E25" s="68"/>
      <c r="F25" s="28"/>
      <c r="G25" s="69"/>
      <c r="H25" s="55"/>
      <c r="I25" s="55"/>
      <c r="O25" s="22"/>
    </row>
    <row r="26" spans="1:15" ht="12.75" customHeight="1" x14ac:dyDescent="0.25">
      <c r="A26" s="10"/>
      <c r="B26" s="68"/>
      <c r="C26" s="68"/>
      <c r="E26" s="68"/>
      <c r="G26" s="67"/>
      <c r="H26" s="55"/>
      <c r="I26" s="70"/>
      <c r="O26" s="22"/>
    </row>
    <row r="27" spans="1:15" ht="12.75" customHeight="1" x14ac:dyDescent="0.25">
      <c r="A27" s="10"/>
      <c r="B27" s="68"/>
      <c r="C27" s="68"/>
      <c r="E27" s="68"/>
      <c r="G27" s="67"/>
      <c r="H27" s="55"/>
      <c r="I27" s="70"/>
      <c r="O27" s="22"/>
    </row>
    <row r="28" spans="1:15" ht="12.75" customHeight="1" x14ac:dyDescent="0.25">
      <c r="A28" s="10"/>
      <c r="B28" s="68"/>
      <c r="C28" s="68"/>
      <c r="E28" s="68"/>
      <c r="G28" s="67"/>
      <c r="H28" s="55"/>
      <c r="I28" s="70"/>
      <c r="O28" s="22"/>
    </row>
    <row r="29" spans="1:15" ht="12.75" customHeight="1" x14ac:dyDescent="0.25">
      <c r="A29" s="10"/>
      <c r="B29" s="68"/>
      <c r="C29" s="68"/>
      <c r="E29" s="68"/>
      <c r="G29" s="67"/>
      <c r="H29" s="55"/>
      <c r="I29" s="70"/>
      <c r="J29" s="65"/>
      <c r="K29" s="65"/>
      <c r="L29" s="65"/>
      <c r="M29" s="65"/>
      <c r="N29" s="65"/>
      <c r="O29" s="13"/>
    </row>
    <row r="30" spans="1:15" ht="12.75" customHeight="1" x14ac:dyDescent="0.25">
      <c r="A30" s="10"/>
      <c r="B30" s="68"/>
      <c r="C30" s="68"/>
      <c r="E30" s="68"/>
      <c r="G30" s="67"/>
      <c r="H30" s="55"/>
      <c r="I30" s="70"/>
      <c r="J30" s="65"/>
      <c r="K30" s="65"/>
      <c r="L30" s="65"/>
      <c r="M30" s="65"/>
      <c r="N30" s="65"/>
      <c r="O30" s="41"/>
    </row>
    <row r="31" spans="1:15" ht="12.75" customHeight="1" x14ac:dyDescent="0.25">
      <c r="A31" s="10"/>
      <c r="B31" s="68"/>
      <c r="C31" s="68"/>
      <c r="E31" s="68"/>
      <c r="G31" s="67"/>
      <c r="H31" s="55"/>
      <c r="I31" s="70"/>
      <c r="O31" s="22"/>
    </row>
    <row r="32" spans="1:15" ht="12.75" customHeight="1" x14ac:dyDescent="0.25">
      <c r="A32" s="10"/>
      <c r="B32" s="68"/>
      <c r="C32" s="68"/>
      <c r="E32" s="68"/>
      <c r="G32" s="67"/>
      <c r="H32" s="55"/>
      <c r="I32" s="70"/>
      <c r="O32" s="22"/>
    </row>
    <row r="33" spans="1:15" s="65" customFormat="1" ht="12.75" customHeight="1" x14ac:dyDescent="0.25">
      <c r="B33" s="33"/>
      <c r="C33" s="33"/>
      <c r="D33" s="34"/>
      <c r="E33" s="33"/>
      <c r="F33" s="28"/>
      <c r="G33" s="67"/>
      <c r="H33" s="54"/>
      <c r="I33" s="70"/>
      <c r="J33" s="43"/>
      <c r="K33" s="43"/>
      <c r="L33" s="43"/>
      <c r="M33" s="43"/>
      <c r="N33" s="43"/>
      <c r="O33" s="22"/>
    </row>
    <row r="34" spans="1:15" ht="12.75" customHeight="1" x14ac:dyDescent="0.25">
      <c r="A34" s="10"/>
      <c r="C34" s="27"/>
      <c r="E34" s="27"/>
      <c r="G34" s="67"/>
      <c r="H34" s="27"/>
      <c r="I34" s="70"/>
    </row>
    <row r="35" spans="1:15" s="65" customFormat="1" ht="12.75" customHeight="1" x14ac:dyDescent="0.25">
      <c r="B35" s="33"/>
      <c r="C35" s="33"/>
      <c r="D35" s="28"/>
      <c r="E35" s="33"/>
      <c r="F35" s="28"/>
      <c r="G35" s="67"/>
      <c r="H35" s="54"/>
      <c r="I35" s="67"/>
    </row>
    <row r="36" spans="1:15" ht="12.75" customHeight="1" x14ac:dyDescent="0.25">
      <c r="A36" s="10"/>
      <c r="B36" s="79"/>
      <c r="C36" s="80"/>
      <c r="E36" s="27"/>
      <c r="G36" s="67"/>
      <c r="H36" s="55"/>
      <c r="I36" s="67"/>
    </row>
    <row r="37" spans="1:15" ht="12.75" customHeight="1" x14ac:dyDescent="0.25">
      <c r="A37" s="10"/>
      <c r="B37" s="79"/>
      <c r="C37" s="80"/>
      <c r="E37" s="27"/>
      <c r="G37" s="67"/>
      <c r="H37" s="55"/>
      <c r="I37" s="67"/>
    </row>
    <row r="38" spans="1:15" ht="12.75" customHeight="1" x14ac:dyDescent="0.25">
      <c r="A38" s="10"/>
      <c r="B38" s="79"/>
      <c r="C38" s="80"/>
      <c r="E38" s="27"/>
      <c r="G38" s="67"/>
      <c r="H38" s="55"/>
      <c r="I38" s="67"/>
    </row>
    <row r="39" spans="1:15" ht="12.75" customHeight="1" x14ac:dyDescent="0.25">
      <c r="C39" s="27"/>
      <c r="E39" s="27"/>
      <c r="G39" s="67"/>
      <c r="H39" s="54"/>
      <c r="I39" s="67"/>
    </row>
    <row r="40" spans="1:15" s="65" customFormat="1" ht="12.75" customHeight="1" x14ac:dyDescent="0.25">
      <c r="B40" s="33"/>
      <c r="C40" s="33"/>
      <c r="D40" s="34"/>
      <c r="E40" s="33"/>
      <c r="F40" s="34"/>
      <c r="G40" s="67"/>
      <c r="H40" s="55"/>
      <c r="I40" s="67"/>
    </row>
    <row r="41" spans="1:15" ht="12.75" customHeight="1" x14ac:dyDescent="0.2">
      <c r="A41" s="10"/>
      <c r="C41" s="27"/>
      <c r="E41" s="27"/>
      <c r="G41" s="52"/>
      <c r="H41" s="54"/>
      <c r="I41" s="55"/>
    </row>
    <row r="42" spans="1:15" s="65" customFormat="1" ht="12.75" customHeight="1" x14ac:dyDescent="0.25">
      <c r="B42" s="33"/>
      <c r="C42" s="33"/>
      <c r="D42" s="28"/>
      <c r="E42" s="33"/>
      <c r="F42" s="28"/>
      <c r="G42" s="67"/>
      <c r="H42" s="67"/>
      <c r="I42" s="67"/>
    </row>
    <row r="43" spans="1:15" s="10" customFormat="1" ht="12.75" customHeight="1" x14ac:dyDescent="0.25">
      <c r="B43" s="76"/>
      <c r="C43" s="80"/>
      <c r="D43" s="28"/>
      <c r="E43" s="68"/>
      <c r="F43" s="28"/>
      <c r="G43" s="67"/>
      <c r="H43" s="67"/>
      <c r="I43" s="67"/>
    </row>
    <row r="44" spans="1:15" ht="12.75" customHeight="1" x14ac:dyDescent="0.25">
      <c r="A44" s="10"/>
      <c r="B44" s="76"/>
      <c r="C44" s="80"/>
      <c r="E44" s="68"/>
      <c r="G44" s="67"/>
      <c r="H44" s="67"/>
      <c r="I44" s="67"/>
      <c r="J44" s="71"/>
      <c r="K44" s="71"/>
      <c r="L44" s="71"/>
    </row>
    <row r="45" spans="1:15" ht="12.75" customHeight="1" x14ac:dyDescent="0.25">
      <c r="A45" s="10"/>
      <c r="B45" s="76"/>
      <c r="C45" s="80"/>
      <c r="E45" s="68"/>
      <c r="G45" s="67"/>
      <c r="H45" s="67"/>
      <c r="I45" s="67"/>
      <c r="J45" s="71"/>
      <c r="K45" s="70"/>
      <c r="L45" s="70"/>
    </row>
    <row r="46" spans="1:15" ht="12.75" customHeight="1" x14ac:dyDescent="0.25">
      <c r="A46" s="10"/>
      <c r="B46" s="76"/>
      <c r="C46" s="80"/>
      <c r="E46" s="68"/>
      <c r="G46" s="67"/>
      <c r="H46" s="67"/>
      <c r="I46" s="67"/>
      <c r="J46" s="71"/>
      <c r="K46" s="70"/>
      <c r="L46" s="70"/>
    </row>
    <row r="47" spans="1:15" ht="12.75" customHeight="1" x14ac:dyDescent="0.25">
      <c r="A47" s="10"/>
      <c r="B47" s="76"/>
      <c r="C47" s="80"/>
      <c r="E47" s="68"/>
      <c r="G47" s="67"/>
      <c r="H47" s="67"/>
      <c r="I47" s="67"/>
      <c r="J47" s="71"/>
      <c r="K47" s="70"/>
      <c r="L47" s="70"/>
    </row>
    <row r="48" spans="1:15" ht="12.75" customHeight="1" x14ac:dyDescent="0.25">
      <c r="A48" s="10"/>
      <c r="B48" s="76"/>
      <c r="C48" s="80"/>
      <c r="E48" s="68"/>
      <c r="G48" s="67"/>
      <c r="H48" s="67"/>
      <c r="I48" s="67"/>
      <c r="J48" s="71"/>
      <c r="K48" s="70"/>
      <c r="L48" s="70"/>
    </row>
    <row r="49" spans="1:12" ht="12.75" customHeight="1" x14ac:dyDescent="0.25">
      <c r="A49" s="10"/>
      <c r="B49" s="76"/>
      <c r="C49" s="80"/>
      <c r="E49" s="68"/>
      <c r="G49" s="67"/>
      <c r="H49" s="67"/>
      <c r="I49" s="67"/>
      <c r="J49" s="71"/>
      <c r="K49" s="70"/>
      <c r="L49" s="70"/>
    </row>
    <row r="50" spans="1:12" ht="12.75" customHeight="1" x14ac:dyDescent="0.25">
      <c r="A50" s="10"/>
      <c r="B50" s="76"/>
      <c r="C50" s="80"/>
      <c r="E50" s="68"/>
      <c r="G50" s="67"/>
      <c r="H50" s="67"/>
      <c r="I50" s="67"/>
      <c r="J50" s="71"/>
      <c r="K50" s="70"/>
      <c r="L50" s="70"/>
    </row>
    <row r="51" spans="1:12" s="65" customFormat="1" ht="12.75" customHeight="1" x14ac:dyDescent="0.25">
      <c r="B51" s="33"/>
      <c r="C51" s="33"/>
      <c r="D51" s="34"/>
      <c r="E51" s="33"/>
      <c r="F51" s="34"/>
      <c r="G51" s="67"/>
      <c r="H51" s="67"/>
      <c r="I51" s="67"/>
      <c r="J51" s="71"/>
      <c r="K51" s="70"/>
      <c r="L51" s="70"/>
    </row>
    <row r="52" spans="1:12" ht="12.75" customHeight="1" x14ac:dyDescent="0.25">
      <c r="A52" s="10"/>
      <c r="C52" s="27"/>
      <c r="E52" s="27"/>
      <c r="G52" s="52"/>
      <c r="H52" s="54"/>
      <c r="I52" s="54"/>
      <c r="J52" s="71"/>
      <c r="K52" s="70"/>
      <c r="L52" s="70"/>
    </row>
    <row r="53" spans="1:12" s="65" customFormat="1" ht="12.75" customHeight="1" x14ac:dyDescent="0.25">
      <c r="B53" s="33"/>
      <c r="C53" s="33"/>
      <c r="D53" s="28"/>
      <c r="E53" s="33"/>
      <c r="F53" s="28"/>
      <c r="G53" s="67"/>
      <c r="H53" s="55"/>
      <c r="I53" s="67"/>
    </row>
    <row r="54" spans="1:12" ht="12.75" customHeight="1" x14ac:dyDescent="0.25">
      <c r="A54" s="10"/>
      <c r="B54" s="80"/>
      <c r="C54" s="80"/>
      <c r="E54" s="27"/>
      <c r="G54" s="67"/>
      <c r="H54" s="55"/>
      <c r="I54" s="67"/>
      <c r="J54" s="20"/>
    </row>
    <row r="55" spans="1:12" ht="12.75" customHeight="1" x14ac:dyDescent="0.25">
      <c r="A55" s="10"/>
      <c r="B55" s="80"/>
      <c r="C55" s="80"/>
      <c r="E55" s="27"/>
      <c r="G55" s="67"/>
      <c r="H55" s="55"/>
      <c r="I55" s="67"/>
      <c r="J55" s="20"/>
    </row>
    <row r="56" spans="1:12" ht="12.75" customHeight="1" x14ac:dyDescent="0.25">
      <c r="A56" s="10"/>
      <c r="B56" s="80"/>
      <c r="C56" s="80"/>
      <c r="E56" s="27"/>
      <c r="G56" s="67"/>
      <c r="H56" s="54"/>
      <c r="I56" s="67"/>
      <c r="J56" s="20"/>
    </row>
    <row r="57" spans="1:12" ht="12.75" customHeight="1" x14ac:dyDescent="0.25">
      <c r="C57" s="27"/>
      <c r="E57" s="27"/>
      <c r="G57" s="67"/>
      <c r="H57" s="27"/>
      <c r="I57" s="67"/>
      <c r="J57" s="20"/>
    </row>
    <row r="58" spans="1:12" s="65" customFormat="1" ht="12.75" customHeight="1" x14ac:dyDescent="0.25">
      <c r="B58" s="33"/>
      <c r="C58" s="33"/>
      <c r="D58" s="34"/>
      <c r="E58" s="33"/>
      <c r="F58" s="34"/>
      <c r="G58" s="67"/>
      <c r="H58" s="33"/>
      <c r="I58" s="67"/>
      <c r="J58" s="20"/>
    </row>
    <row r="59" spans="1:12" ht="12.75" customHeight="1" x14ac:dyDescent="0.2">
      <c r="A59" s="10"/>
      <c r="C59" s="27"/>
      <c r="E59" s="27"/>
      <c r="H59" s="27"/>
      <c r="I59" s="27"/>
    </row>
    <row r="60" spans="1:12" s="65" customFormat="1" ht="12.75" customHeight="1" x14ac:dyDescent="0.25">
      <c r="B60" s="33"/>
      <c r="C60" s="33"/>
      <c r="D60" s="28"/>
      <c r="E60" s="33"/>
      <c r="F60" s="28"/>
      <c r="G60" s="67"/>
      <c r="H60" s="67"/>
      <c r="I60" s="67"/>
    </row>
    <row r="61" spans="1:12" s="10" customFormat="1" ht="12.75" customHeight="1" x14ac:dyDescent="0.25">
      <c r="B61" s="77"/>
      <c r="C61" s="77"/>
      <c r="D61" s="28"/>
      <c r="E61" s="68"/>
      <c r="F61" s="28"/>
      <c r="G61" s="67"/>
      <c r="H61" s="67"/>
      <c r="I61" s="67"/>
    </row>
    <row r="62" spans="1:12" ht="12.75" customHeight="1" x14ac:dyDescent="0.25">
      <c r="A62" s="10"/>
      <c r="B62" s="77"/>
      <c r="C62" s="77"/>
      <c r="E62" s="68"/>
      <c r="G62" s="67"/>
      <c r="H62" s="67"/>
      <c r="I62" s="67"/>
      <c r="J62" s="70"/>
    </row>
    <row r="63" spans="1:12" ht="12.75" customHeight="1" x14ac:dyDescent="0.25">
      <c r="A63" s="10"/>
      <c r="B63" s="77"/>
      <c r="C63" s="77"/>
      <c r="E63" s="68"/>
      <c r="G63" s="67"/>
      <c r="H63" s="67"/>
      <c r="I63" s="67"/>
      <c r="J63" s="70"/>
    </row>
    <row r="64" spans="1:12" ht="12.75" customHeight="1" x14ac:dyDescent="0.25">
      <c r="A64" s="10"/>
      <c r="B64" s="77"/>
      <c r="C64" s="77"/>
      <c r="E64" s="68"/>
      <c r="G64" s="67"/>
      <c r="H64" s="67"/>
      <c r="I64" s="67"/>
      <c r="J64" s="70"/>
    </row>
    <row r="65" spans="1:10" ht="12.75" customHeight="1" x14ac:dyDescent="0.25">
      <c r="A65" s="10"/>
      <c r="B65" s="77"/>
      <c r="C65" s="77"/>
      <c r="E65" s="68"/>
      <c r="G65" s="67"/>
      <c r="H65" s="67"/>
      <c r="I65" s="67"/>
      <c r="J65" s="70"/>
    </row>
    <row r="66" spans="1:10" ht="12.75" customHeight="1" x14ac:dyDescent="0.25">
      <c r="A66" s="10"/>
      <c r="B66" s="77"/>
      <c r="C66" s="77"/>
      <c r="E66" s="68"/>
      <c r="G66" s="67"/>
      <c r="H66" s="67"/>
      <c r="I66" s="67"/>
      <c r="J66" s="70"/>
    </row>
    <row r="67" spans="1:10" ht="12.75" customHeight="1" x14ac:dyDescent="0.25">
      <c r="A67" s="10"/>
      <c r="B67" s="77"/>
      <c r="C67" s="77"/>
      <c r="E67" s="68"/>
      <c r="G67" s="67"/>
      <c r="H67" s="67"/>
      <c r="I67" s="67"/>
      <c r="J67" s="70"/>
    </row>
    <row r="68" spans="1:10" ht="12.75" customHeight="1" x14ac:dyDescent="0.25">
      <c r="A68" s="10"/>
      <c r="B68" s="77"/>
      <c r="C68" s="77"/>
      <c r="E68" s="68"/>
      <c r="G68" s="67"/>
      <c r="H68" s="67"/>
      <c r="I68" s="67"/>
      <c r="J68" s="70"/>
    </row>
    <row r="69" spans="1:10" ht="12.75" customHeight="1" x14ac:dyDescent="0.25">
      <c r="A69" s="10"/>
      <c r="B69" s="77"/>
      <c r="C69" s="77"/>
      <c r="E69" s="27"/>
      <c r="G69" s="67"/>
      <c r="H69" s="67"/>
      <c r="I69" s="67"/>
      <c r="J69" s="70"/>
    </row>
    <row r="70" spans="1:10" s="65" customFormat="1" ht="12.75" customHeight="1" x14ac:dyDescent="0.25">
      <c r="B70" s="27"/>
      <c r="C70" s="27"/>
      <c r="D70" s="28"/>
      <c r="E70" s="27"/>
      <c r="F70" s="28"/>
      <c r="G70" s="67"/>
      <c r="H70" s="27"/>
      <c r="I70" s="67"/>
      <c r="J70" s="70"/>
    </row>
    <row r="71" spans="1:10" ht="12.75" customHeight="1" x14ac:dyDescent="0.25">
      <c r="A71" s="10"/>
      <c r="B71" s="77"/>
      <c r="C71" s="77"/>
      <c r="E71" s="27"/>
      <c r="G71" s="67"/>
      <c r="H71" s="27"/>
      <c r="I71" s="67"/>
    </row>
    <row r="72" spans="1:10" ht="12.75" customHeight="1" x14ac:dyDescent="0.25">
      <c r="A72" s="10"/>
      <c r="B72" s="77"/>
      <c r="C72" s="77"/>
      <c r="E72" s="27"/>
      <c r="G72" s="67"/>
      <c r="H72" s="41"/>
      <c r="I72" s="67"/>
    </row>
    <row r="73" spans="1:10" ht="12.75" customHeight="1" x14ac:dyDescent="0.25">
      <c r="A73" s="10"/>
      <c r="B73" s="77"/>
      <c r="C73" s="77"/>
      <c r="E73" s="27"/>
      <c r="G73" s="67"/>
      <c r="I73" s="67"/>
    </row>
    <row r="74" spans="1:10" ht="15" x14ac:dyDescent="0.25">
      <c r="A74" s="21"/>
      <c r="C74" s="40"/>
      <c r="D74" s="42"/>
      <c r="E74" s="40"/>
      <c r="F74" s="42"/>
      <c r="G74" s="67"/>
      <c r="I74" s="67"/>
    </row>
    <row r="75" spans="1:10" ht="15" x14ac:dyDescent="0.25">
      <c r="C75" s="27"/>
      <c r="E75" s="27"/>
      <c r="G75" s="67"/>
      <c r="I75" s="67"/>
    </row>
    <row r="76" spans="1:10" x14ac:dyDescent="0.2">
      <c r="C76" s="27"/>
      <c r="E76" s="27"/>
    </row>
    <row r="77" spans="1:10" x14ac:dyDescent="0.2">
      <c r="C77" s="27"/>
      <c r="E77" s="27"/>
      <c r="G77" s="65"/>
      <c r="I77" s="33"/>
    </row>
    <row r="78" spans="1:10" x14ac:dyDescent="0.2">
      <c r="C78" s="27"/>
      <c r="E78" s="27"/>
      <c r="G78" s="65"/>
    </row>
    <row r="79" spans="1:10" x14ac:dyDescent="0.2">
      <c r="C79" s="27"/>
      <c r="E79" s="27"/>
      <c r="I79" s="27"/>
    </row>
    <row r="80" spans="1:10" x14ac:dyDescent="0.2">
      <c r="C80" s="27"/>
      <c r="E80" s="27"/>
      <c r="I80" s="27"/>
    </row>
    <row r="81" spans="2:9" x14ac:dyDescent="0.2">
      <c r="B81" s="43"/>
      <c r="C81" s="27"/>
      <c r="E81" s="27"/>
      <c r="I81" s="27"/>
    </row>
    <row r="82" spans="2:9" x14ac:dyDescent="0.2">
      <c r="B82" s="43"/>
      <c r="C82" s="27"/>
      <c r="E82" s="27"/>
      <c r="I82" s="27"/>
    </row>
    <row r="83" spans="2:9" x14ac:dyDescent="0.2">
      <c r="B83" s="43"/>
      <c r="C83" s="27"/>
      <c r="E83" s="27"/>
      <c r="I83" s="27"/>
    </row>
    <row r="84" spans="2:9" x14ac:dyDescent="0.2">
      <c r="B84" s="43"/>
      <c r="C84" s="27"/>
      <c r="E84" s="27"/>
      <c r="I84" s="27"/>
    </row>
    <row r="85" spans="2:9" x14ac:dyDescent="0.2">
      <c r="B85" s="43"/>
      <c r="C85" s="27"/>
      <c r="E85" s="27"/>
      <c r="I85" s="27"/>
    </row>
    <row r="86" spans="2:9" x14ac:dyDescent="0.2">
      <c r="B86" s="43"/>
      <c r="C86" s="27"/>
      <c r="E86" s="27"/>
      <c r="I86" s="27"/>
    </row>
    <row r="87" spans="2:9" x14ac:dyDescent="0.2">
      <c r="B87" s="43"/>
      <c r="C87" s="27"/>
      <c r="E87" s="27"/>
      <c r="I87" s="27"/>
    </row>
    <row r="88" spans="2:9" x14ac:dyDescent="0.2">
      <c r="B88" s="43"/>
      <c r="C88" s="27"/>
      <c r="E88" s="27"/>
    </row>
    <row r="89" spans="2:9" x14ac:dyDescent="0.2">
      <c r="B89" s="43"/>
      <c r="G89" s="65"/>
      <c r="I89" s="33"/>
    </row>
    <row r="90" spans="2:9" x14ac:dyDescent="0.2">
      <c r="B90" s="43"/>
      <c r="I90" s="27"/>
    </row>
    <row r="91" spans="2:9" x14ac:dyDescent="0.2">
      <c r="B91" s="43"/>
      <c r="I91" s="27"/>
    </row>
    <row r="92" spans="2:9" x14ac:dyDescent="0.2">
      <c r="B92" s="43"/>
      <c r="I92" s="27"/>
    </row>
    <row r="93" spans="2:9" x14ac:dyDescent="0.2">
      <c r="B93" s="43"/>
      <c r="I93" s="27"/>
    </row>
    <row r="94" spans="2:9" x14ac:dyDescent="0.2">
      <c r="B94" s="43"/>
      <c r="I94" s="27"/>
    </row>
  </sheetData>
  <pageMargins left="0.70866141732283472" right="0.70866141732283472" top="0.74803149606299213" bottom="0.74803149606299213" header="0.31496062992125984" footer="0.31496062992125984"/>
  <pageSetup paperSize="9" scale="80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H84"/>
  <sheetViews>
    <sheetView zoomScaleNormal="100" workbookViewId="0">
      <selection activeCell="A6" sqref="A6:B6"/>
    </sheetView>
  </sheetViews>
  <sheetFormatPr defaultColWidth="9.140625" defaultRowHeight="12.75" x14ac:dyDescent="0.2"/>
  <cols>
    <col min="1" max="1" width="47.28515625" style="43" bestFit="1" customWidth="1"/>
    <col min="2" max="3" width="16.85546875" style="43" bestFit="1" customWidth="1"/>
    <col min="4" max="4" width="10" style="43" customWidth="1"/>
    <col min="5" max="5" width="16.85546875" style="43" bestFit="1" customWidth="1"/>
    <col min="6" max="6" width="14.7109375" style="43" bestFit="1" customWidth="1"/>
    <col min="7" max="7" width="9.140625" style="43"/>
    <col min="8" max="8" width="10.5703125" style="43" bestFit="1" customWidth="1"/>
    <col min="9" max="16384" width="9.140625" style="43"/>
  </cols>
  <sheetData>
    <row r="1" spans="1:8" s="99" customFormat="1" ht="45" x14ac:dyDescent="0.25">
      <c r="B1" s="81">
        <v>42477</v>
      </c>
      <c r="C1" s="81">
        <v>42446</v>
      </c>
      <c r="D1" s="103" t="s">
        <v>193</v>
      </c>
      <c r="E1" s="82">
        <v>42111</v>
      </c>
      <c r="F1" s="104" t="s">
        <v>194</v>
      </c>
      <c r="H1" s="105"/>
    </row>
    <row r="2" spans="1:8" ht="15" x14ac:dyDescent="0.25">
      <c r="A2" s="100" t="s">
        <v>117</v>
      </c>
      <c r="B2" s="101"/>
      <c r="C2" s="101"/>
      <c r="D2" s="101"/>
      <c r="E2" s="101"/>
      <c r="F2" s="101"/>
    </row>
    <row r="3" spans="1:8" ht="15" x14ac:dyDescent="0.25">
      <c r="A3" s="89" t="s">
        <v>14</v>
      </c>
      <c r="D3" s="90"/>
      <c r="F3" s="90"/>
    </row>
    <row r="4" spans="1:8" x14ac:dyDescent="0.2">
      <c r="A4" s="43" t="s">
        <v>137</v>
      </c>
      <c r="B4" s="3">
        <v>775</v>
      </c>
      <c r="C4" s="3">
        <v>559</v>
      </c>
      <c r="D4" s="90">
        <v>38.640429338103758</v>
      </c>
      <c r="E4" s="43">
        <v>537</v>
      </c>
      <c r="F4" s="90">
        <v>44.320297951582866</v>
      </c>
    </row>
    <row r="5" spans="1:8" x14ac:dyDescent="0.2">
      <c r="A5" s="43" t="s">
        <v>184</v>
      </c>
      <c r="B5" s="3">
        <v>2424</v>
      </c>
      <c r="C5" s="3">
        <v>1494</v>
      </c>
      <c r="D5" s="90">
        <v>62.248995983935743</v>
      </c>
      <c r="E5" s="43">
        <v>2069</v>
      </c>
      <c r="F5" s="90">
        <v>17.158047365877234</v>
      </c>
    </row>
    <row r="6" spans="1:8" x14ac:dyDescent="0.2">
      <c r="A6" s="43" t="s">
        <v>134</v>
      </c>
      <c r="B6" s="3">
        <v>1979</v>
      </c>
      <c r="C6" s="3">
        <v>1679</v>
      </c>
      <c r="D6" s="90">
        <v>17.867778439547351</v>
      </c>
      <c r="E6" s="43">
        <v>1409</v>
      </c>
      <c r="F6" s="90">
        <v>40.454222853087295</v>
      </c>
    </row>
    <row r="7" spans="1:8" x14ac:dyDescent="0.2">
      <c r="A7" s="43" t="s">
        <v>135</v>
      </c>
      <c r="B7" s="3">
        <v>12246</v>
      </c>
      <c r="C7" s="3">
        <v>12026</v>
      </c>
      <c r="D7" s="90">
        <v>1.8293696989855315</v>
      </c>
      <c r="E7" s="43">
        <v>8208</v>
      </c>
      <c r="F7" s="90">
        <v>49.195906432748536</v>
      </c>
    </row>
    <row r="8" spans="1:8" x14ac:dyDescent="0.2">
      <c r="A8" s="43" t="s">
        <v>136</v>
      </c>
      <c r="B8" s="3">
        <v>4639</v>
      </c>
      <c r="C8" s="3">
        <v>4417</v>
      </c>
      <c r="D8" s="90">
        <v>5.0260357708852164</v>
      </c>
      <c r="E8" s="43">
        <v>3629</v>
      </c>
      <c r="F8" s="90">
        <v>27.831358500964456</v>
      </c>
    </row>
    <row r="9" spans="1:8" x14ac:dyDescent="0.2">
      <c r="A9" s="43" t="s">
        <v>140</v>
      </c>
      <c r="B9" s="3">
        <v>51</v>
      </c>
      <c r="C9" s="3">
        <v>67</v>
      </c>
      <c r="D9" s="90">
        <v>-23.880597014925371</v>
      </c>
      <c r="E9" s="43">
        <v>12</v>
      </c>
      <c r="F9" s="90">
        <v>325</v>
      </c>
    </row>
    <row r="10" spans="1:8" x14ac:dyDescent="0.2">
      <c r="A10" s="43" t="s">
        <v>186</v>
      </c>
      <c r="B10" s="3">
        <v>8</v>
      </c>
      <c r="C10" s="3">
        <v>24</v>
      </c>
      <c r="D10" s="90">
        <v>-66.666666666666657</v>
      </c>
      <c r="E10" s="43">
        <v>12</v>
      </c>
      <c r="F10" s="90">
        <v>-33.333333333333329</v>
      </c>
    </row>
    <row r="11" spans="1:8" x14ac:dyDescent="0.2">
      <c r="A11" s="43" t="s">
        <v>141</v>
      </c>
      <c r="B11" s="3">
        <v>46</v>
      </c>
      <c r="C11" s="3">
        <v>63</v>
      </c>
      <c r="D11" s="90">
        <v>-26.984126984126984</v>
      </c>
      <c r="E11" s="43">
        <v>52</v>
      </c>
      <c r="F11" s="90">
        <v>-11.538461538461538</v>
      </c>
    </row>
    <row r="12" spans="1:8" ht="15" x14ac:dyDescent="0.25">
      <c r="A12" s="91" t="s">
        <v>187</v>
      </c>
      <c r="B12" s="92">
        <f t="shared" ref="B12:C12" si="0">SUM(B4:B11)</f>
        <v>22168</v>
      </c>
      <c r="C12" s="92">
        <f t="shared" si="0"/>
        <v>20329</v>
      </c>
      <c r="D12" s="106">
        <f>((B12/C12)-1)*100</f>
        <v>9.0461901716759385</v>
      </c>
      <c r="E12" s="92">
        <f>SUM(E4:E11)</f>
        <v>15928</v>
      </c>
      <c r="F12" s="106">
        <f>((B12/E12)-1)*100</f>
        <v>39.176293319939724</v>
      </c>
    </row>
    <row r="13" spans="1:8" ht="15" x14ac:dyDescent="0.25">
      <c r="A13" s="89" t="s">
        <v>15</v>
      </c>
      <c r="D13" s="90"/>
      <c r="F13" s="90" t="s">
        <v>191</v>
      </c>
    </row>
    <row r="14" spans="1:8" x14ac:dyDescent="0.2">
      <c r="A14" s="43" t="s">
        <v>137</v>
      </c>
      <c r="B14" s="43">
        <v>5</v>
      </c>
      <c r="C14" s="43">
        <v>2</v>
      </c>
      <c r="D14" s="90">
        <v>150</v>
      </c>
      <c r="E14" s="43">
        <v>11</v>
      </c>
      <c r="F14" s="90">
        <v>-54.54545454545454</v>
      </c>
    </row>
    <row r="15" spans="1:8" x14ac:dyDescent="0.2">
      <c r="A15" s="43" t="s">
        <v>184</v>
      </c>
      <c r="B15" s="43">
        <v>192</v>
      </c>
      <c r="C15" s="43">
        <v>168</v>
      </c>
      <c r="D15" s="90">
        <v>14.285714285714285</v>
      </c>
      <c r="E15" s="43">
        <v>111</v>
      </c>
      <c r="F15" s="90">
        <v>72.972972972972968</v>
      </c>
    </row>
    <row r="16" spans="1:8" x14ac:dyDescent="0.2">
      <c r="A16" s="43" t="s">
        <v>134</v>
      </c>
      <c r="B16" s="43">
        <v>73</v>
      </c>
      <c r="C16" s="43">
        <v>84</v>
      </c>
      <c r="D16" s="90">
        <v>-13.095238095238097</v>
      </c>
      <c r="E16" s="43">
        <v>67</v>
      </c>
      <c r="F16" s="90">
        <v>8.9552238805970141</v>
      </c>
    </row>
    <row r="17" spans="1:6" x14ac:dyDescent="0.2">
      <c r="A17" s="43" t="s">
        <v>135</v>
      </c>
      <c r="B17" s="43">
        <v>2152</v>
      </c>
      <c r="C17" s="43">
        <v>1981</v>
      </c>
      <c r="D17" s="90">
        <v>8.6320040383644638</v>
      </c>
      <c r="E17" s="43">
        <v>1352</v>
      </c>
      <c r="F17" s="90">
        <v>59.171597633136095</v>
      </c>
    </row>
    <row r="18" spans="1:6" x14ac:dyDescent="0.2">
      <c r="A18" s="43" t="s">
        <v>136</v>
      </c>
      <c r="B18" s="43">
        <v>483</v>
      </c>
      <c r="C18" s="43">
        <v>364</v>
      </c>
      <c r="D18" s="90">
        <v>32.692307692307693</v>
      </c>
      <c r="E18" s="43">
        <v>229</v>
      </c>
      <c r="F18" s="90">
        <v>110.91703056768559</v>
      </c>
    </row>
    <row r="19" spans="1:6" x14ac:dyDescent="0.2">
      <c r="A19" s="43" t="s">
        <v>140</v>
      </c>
      <c r="B19" s="43">
        <v>0</v>
      </c>
      <c r="C19" s="43">
        <v>0</v>
      </c>
      <c r="D19" s="90" t="s">
        <v>191</v>
      </c>
      <c r="E19" s="43">
        <v>0</v>
      </c>
      <c r="F19" s="90" t="s">
        <v>191</v>
      </c>
    </row>
    <row r="20" spans="1:6" x14ac:dyDescent="0.2">
      <c r="A20" s="43" t="s">
        <v>186</v>
      </c>
      <c r="B20" s="43">
        <v>0</v>
      </c>
      <c r="C20" s="43">
        <v>1</v>
      </c>
      <c r="D20" s="90">
        <v>-100</v>
      </c>
      <c r="E20" s="43">
        <v>0</v>
      </c>
      <c r="F20" s="90" t="s">
        <v>191</v>
      </c>
    </row>
    <row r="21" spans="1:6" x14ac:dyDescent="0.2">
      <c r="A21" s="43" t="s">
        <v>141</v>
      </c>
      <c r="B21" s="43">
        <v>0</v>
      </c>
      <c r="C21" s="43">
        <v>0</v>
      </c>
      <c r="D21" s="90" t="s">
        <v>191</v>
      </c>
      <c r="E21" s="43">
        <v>1</v>
      </c>
      <c r="F21" s="90">
        <v>-100</v>
      </c>
    </row>
    <row r="22" spans="1:6" ht="15" x14ac:dyDescent="0.25">
      <c r="A22" s="91" t="s">
        <v>188</v>
      </c>
      <c r="B22" s="92">
        <f t="shared" ref="B22:C22" si="1">SUM(B14:B21)</f>
        <v>2905</v>
      </c>
      <c r="C22" s="92">
        <f t="shared" si="1"/>
        <v>2600</v>
      </c>
      <c r="D22" s="106">
        <f>((B22/C22)-1)*100</f>
        <v>11.730769230769234</v>
      </c>
      <c r="E22" s="92">
        <f>SUM(E14:E21)</f>
        <v>1771</v>
      </c>
      <c r="F22" s="106">
        <f>((B22/E22)-1)*100</f>
        <v>64.031620553359687</v>
      </c>
    </row>
    <row r="23" spans="1:6" ht="15" x14ac:dyDescent="0.25">
      <c r="A23" s="100" t="s">
        <v>132</v>
      </c>
      <c r="B23" s="101"/>
      <c r="C23" s="101"/>
      <c r="D23" s="102" t="s">
        <v>191</v>
      </c>
      <c r="E23" s="101"/>
      <c r="F23" s="102" t="s">
        <v>191</v>
      </c>
    </row>
    <row r="24" spans="1:6" ht="15" x14ac:dyDescent="0.25">
      <c r="A24" s="89" t="s">
        <v>14</v>
      </c>
      <c r="D24" s="90"/>
      <c r="F24" s="90"/>
    </row>
    <row r="25" spans="1:6" x14ac:dyDescent="0.2">
      <c r="A25" s="43" t="s">
        <v>137</v>
      </c>
      <c r="B25" s="3">
        <v>11554</v>
      </c>
      <c r="C25" s="3">
        <v>11727</v>
      </c>
      <c r="D25" s="90">
        <v>-1.4752281060799863</v>
      </c>
      <c r="E25" s="3">
        <v>6384</v>
      </c>
      <c r="F25" s="90">
        <v>80.983709273182953</v>
      </c>
    </row>
    <row r="26" spans="1:6" x14ac:dyDescent="0.2">
      <c r="A26" s="43" t="s">
        <v>184</v>
      </c>
      <c r="B26" s="3">
        <v>24826</v>
      </c>
      <c r="C26" s="3">
        <v>11234</v>
      </c>
      <c r="D26" s="90">
        <v>120.98985223428878</v>
      </c>
      <c r="E26" s="3">
        <v>22660</v>
      </c>
      <c r="F26" s="90">
        <v>9.5586937334510154</v>
      </c>
    </row>
    <row r="27" spans="1:6" x14ac:dyDescent="0.2">
      <c r="A27" s="43" t="s">
        <v>134</v>
      </c>
      <c r="B27" s="3">
        <v>14610</v>
      </c>
      <c r="C27" s="3">
        <v>10724</v>
      </c>
      <c r="D27" s="90">
        <v>36.236478925773966</v>
      </c>
      <c r="E27" s="3">
        <v>16420</v>
      </c>
      <c r="F27" s="90">
        <v>-11.0231425091352</v>
      </c>
    </row>
    <row r="28" spans="1:6" x14ac:dyDescent="0.2">
      <c r="A28" s="43" t="s">
        <v>135</v>
      </c>
      <c r="B28" s="3">
        <v>72981</v>
      </c>
      <c r="C28" s="3">
        <v>84510</v>
      </c>
      <c r="D28" s="90">
        <v>-13.642172523961662</v>
      </c>
      <c r="E28" s="3">
        <v>50994</v>
      </c>
      <c r="F28" s="90">
        <v>43.116837274973527</v>
      </c>
    </row>
    <row r="29" spans="1:6" x14ac:dyDescent="0.2">
      <c r="A29" s="43" t="s">
        <v>136</v>
      </c>
      <c r="B29" s="3">
        <v>32054</v>
      </c>
      <c r="C29" s="3">
        <v>32486</v>
      </c>
      <c r="D29" s="90">
        <v>-1.3298036077079358</v>
      </c>
      <c r="E29" s="3">
        <v>25702</v>
      </c>
      <c r="F29" s="90">
        <v>24.714030036573028</v>
      </c>
    </row>
    <row r="30" spans="1:6" x14ac:dyDescent="0.2">
      <c r="A30" s="43" t="s">
        <v>140</v>
      </c>
      <c r="B30" s="3">
        <v>1067</v>
      </c>
      <c r="C30" s="3">
        <v>532</v>
      </c>
      <c r="D30" s="90">
        <v>100.5639097744361</v>
      </c>
      <c r="E30" s="3">
        <v>155</v>
      </c>
      <c r="F30" s="90">
        <v>588.38709677419354</v>
      </c>
    </row>
    <row r="31" spans="1:6" x14ac:dyDescent="0.2">
      <c r="A31" s="43" t="s">
        <v>186</v>
      </c>
      <c r="B31" s="3">
        <v>647</v>
      </c>
      <c r="C31" s="3">
        <v>97</v>
      </c>
      <c r="D31" s="90">
        <v>567.01030927835052</v>
      </c>
      <c r="E31" s="3">
        <v>62</v>
      </c>
      <c r="F31" s="90">
        <v>943.54838709677415</v>
      </c>
    </row>
    <row r="32" spans="1:6" x14ac:dyDescent="0.2">
      <c r="A32" s="43" t="s">
        <v>141</v>
      </c>
      <c r="B32" s="3">
        <v>1117</v>
      </c>
      <c r="C32" s="3">
        <v>4890</v>
      </c>
      <c r="D32" s="90">
        <v>-77.157464212678946</v>
      </c>
      <c r="E32" s="3">
        <v>2615</v>
      </c>
      <c r="F32" s="90">
        <v>-57.284894837476095</v>
      </c>
    </row>
    <row r="33" spans="1:6" ht="15" x14ac:dyDescent="0.25">
      <c r="A33" s="91" t="s">
        <v>187</v>
      </c>
      <c r="B33" s="94">
        <f t="shared" ref="B33:C33" si="2">SUM(B25:B32)</f>
        <v>158856</v>
      </c>
      <c r="C33" s="94">
        <f t="shared" si="2"/>
        <v>156200</v>
      </c>
      <c r="D33" s="106">
        <f>((B33/C33)-1)*100</f>
        <v>1.7003841229193295</v>
      </c>
      <c r="E33" s="94">
        <f>SUM(E25:E32)</f>
        <v>124992</v>
      </c>
      <c r="F33" s="106">
        <f>((B33/E33)-1)*100</f>
        <v>27.092933947772657</v>
      </c>
    </row>
    <row r="34" spans="1:6" ht="15" x14ac:dyDescent="0.25">
      <c r="A34" s="89" t="s">
        <v>15</v>
      </c>
      <c r="D34" s="90"/>
      <c r="F34" s="90"/>
    </row>
    <row r="35" spans="1:6" x14ac:dyDescent="0.2">
      <c r="A35" s="43" t="s">
        <v>137</v>
      </c>
      <c r="B35" s="3">
        <v>53</v>
      </c>
      <c r="C35" s="3">
        <v>80</v>
      </c>
      <c r="D35" s="90">
        <v>-33.75</v>
      </c>
      <c r="E35" s="3">
        <v>55</v>
      </c>
      <c r="F35" s="90">
        <v>-3.6363636363636362</v>
      </c>
    </row>
    <row r="36" spans="1:6" x14ac:dyDescent="0.2">
      <c r="A36" s="43" t="s">
        <v>184</v>
      </c>
      <c r="B36" s="3">
        <v>2489</v>
      </c>
      <c r="C36" s="3">
        <v>1351</v>
      </c>
      <c r="D36" s="90">
        <v>84.233900814211694</v>
      </c>
      <c r="E36" s="3">
        <v>1372</v>
      </c>
      <c r="F36" s="90">
        <v>81.413994169096213</v>
      </c>
    </row>
    <row r="37" spans="1:6" x14ac:dyDescent="0.2">
      <c r="A37" s="43" t="s">
        <v>134</v>
      </c>
      <c r="B37" s="3">
        <v>797</v>
      </c>
      <c r="C37" s="3">
        <v>2774</v>
      </c>
      <c r="D37" s="90">
        <v>-71.268925739005056</v>
      </c>
      <c r="E37" s="3">
        <v>143</v>
      </c>
      <c r="F37" s="90">
        <v>457.34265734265733</v>
      </c>
    </row>
    <row r="38" spans="1:6" x14ac:dyDescent="0.2">
      <c r="A38" s="43" t="s">
        <v>135</v>
      </c>
      <c r="B38" s="3">
        <v>23354</v>
      </c>
      <c r="C38" s="3">
        <v>25332</v>
      </c>
      <c r="D38" s="90">
        <v>-7.8083057003000151</v>
      </c>
      <c r="E38" s="3">
        <v>18568</v>
      </c>
      <c r="F38" s="90">
        <v>25.775527789745801</v>
      </c>
    </row>
    <row r="39" spans="1:6" x14ac:dyDescent="0.2">
      <c r="A39" s="43" t="s">
        <v>136</v>
      </c>
      <c r="B39" s="3">
        <v>7141</v>
      </c>
      <c r="C39" s="3">
        <v>4596</v>
      </c>
      <c r="D39" s="90">
        <v>55.374238468233251</v>
      </c>
      <c r="E39" s="3">
        <v>3861</v>
      </c>
      <c r="F39" s="90">
        <v>84.952084952084945</v>
      </c>
    </row>
    <row r="40" spans="1:6" x14ac:dyDescent="0.2">
      <c r="A40" s="43" t="s">
        <v>140</v>
      </c>
      <c r="B40" s="3">
        <v>0</v>
      </c>
      <c r="C40" s="3">
        <v>0</v>
      </c>
      <c r="D40" s="90" t="s">
        <v>191</v>
      </c>
      <c r="E40" s="3">
        <v>0</v>
      </c>
      <c r="F40" s="90" t="s">
        <v>191</v>
      </c>
    </row>
    <row r="41" spans="1:6" x14ac:dyDescent="0.2">
      <c r="A41" s="43" t="s">
        <v>186</v>
      </c>
      <c r="B41" s="3">
        <v>0</v>
      </c>
      <c r="C41" s="3">
        <v>80</v>
      </c>
      <c r="D41" s="90">
        <v>-100</v>
      </c>
      <c r="E41" s="3">
        <v>0</v>
      </c>
      <c r="F41" s="90" t="s">
        <v>191</v>
      </c>
    </row>
    <row r="42" spans="1:6" x14ac:dyDescent="0.2">
      <c r="A42" s="43" t="s">
        <v>141</v>
      </c>
      <c r="B42" s="3">
        <v>0</v>
      </c>
      <c r="C42" s="3">
        <v>0</v>
      </c>
      <c r="D42" s="90" t="s">
        <v>191</v>
      </c>
      <c r="E42" s="3">
        <v>500</v>
      </c>
      <c r="F42" s="90">
        <v>-100</v>
      </c>
    </row>
    <row r="43" spans="1:6" ht="15" x14ac:dyDescent="0.25">
      <c r="A43" s="91" t="s">
        <v>188</v>
      </c>
      <c r="B43" s="95">
        <v>33834</v>
      </c>
      <c r="C43" s="95">
        <v>34213</v>
      </c>
      <c r="D43" s="106">
        <f>((B43/C43)-1)*100</f>
        <v>-1.1077660538391876</v>
      </c>
      <c r="E43" s="95">
        <f>SUM(E35:E42)</f>
        <v>24499</v>
      </c>
      <c r="F43" s="106">
        <f>((B43/E43)-1)*100</f>
        <v>38.10359606514551</v>
      </c>
    </row>
    <row r="44" spans="1:6" ht="15" x14ac:dyDescent="0.25">
      <c r="A44" s="100" t="s">
        <v>195</v>
      </c>
      <c r="B44" s="101"/>
      <c r="C44" s="101"/>
      <c r="D44" s="102" t="s">
        <v>191</v>
      </c>
      <c r="E44" s="101"/>
      <c r="F44" s="102" t="s">
        <v>191</v>
      </c>
    </row>
    <row r="45" spans="1:6" ht="15" x14ac:dyDescent="0.25">
      <c r="A45" s="89" t="s">
        <v>14</v>
      </c>
      <c r="D45" s="90"/>
      <c r="F45" s="90"/>
    </row>
    <row r="46" spans="1:6" x14ac:dyDescent="0.2">
      <c r="A46" s="43" t="s">
        <v>137</v>
      </c>
      <c r="B46" s="96">
        <v>2540441301.1700001</v>
      </c>
      <c r="C46" s="96">
        <v>2689823264.5700002</v>
      </c>
      <c r="D46" s="90">
        <v>-5.5535977165354975</v>
      </c>
      <c r="E46" s="96">
        <v>1171950702.4200001</v>
      </c>
      <c r="F46" s="90">
        <v>116.7703211341704</v>
      </c>
    </row>
    <row r="47" spans="1:6" x14ac:dyDescent="0.2">
      <c r="A47" s="43" t="s">
        <v>184</v>
      </c>
      <c r="B47" s="96">
        <v>7573540749.7399998</v>
      </c>
      <c r="C47" s="96">
        <v>3388926579.9250002</v>
      </c>
      <c r="D47" s="90">
        <v>123.47904479853349</v>
      </c>
      <c r="E47" s="96">
        <v>5391735407.2449999</v>
      </c>
      <c r="F47" s="90">
        <v>40.465734642008904</v>
      </c>
    </row>
    <row r="48" spans="1:6" x14ac:dyDescent="0.2">
      <c r="A48" s="43" t="s">
        <v>134</v>
      </c>
      <c r="B48" s="96">
        <v>4731044838.1400003</v>
      </c>
      <c r="C48" s="96">
        <v>3701883739.0100002</v>
      </c>
      <c r="D48" s="90">
        <v>27.801010828212291</v>
      </c>
      <c r="E48" s="96">
        <v>3986746927.7950001</v>
      </c>
      <c r="F48" s="90">
        <v>18.669304167662794</v>
      </c>
    </row>
    <row r="49" spans="1:6" x14ac:dyDescent="0.2">
      <c r="A49" s="43" t="s">
        <v>135</v>
      </c>
      <c r="B49" s="96">
        <v>33153690352.77</v>
      </c>
      <c r="C49" s="96">
        <v>41308138556.739998</v>
      </c>
      <c r="D49" s="90">
        <v>-19.74053658401774</v>
      </c>
      <c r="E49" s="96">
        <v>13267423647.540001</v>
      </c>
      <c r="F49" s="90">
        <v>149.88793026833994</v>
      </c>
    </row>
    <row r="50" spans="1:6" x14ac:dyDescent="0.2">
      <c r="A50" s="43" t="s">
        <v>136</v>
      </c>
      <c r="B50" s="96">
        <v>10175781581.469999</v>
      </c>
      <c r="C50" s="96">
        <v>10598629582.35</v>
      </c>
      <c r="D50" s="90">
        <v>-3.9896478841394161</v>
      </c>
      <c r="E50" s="96">
        <v>6096388762.2200003</v>
      </c>
      <c r="F50" s="90">
        <v>66.914906157731451</v>
      </c>
    </row>
    <row r="51" spans="1:6" x14ac:dyDescent="0.2">
      <c r="A51" s="43" t="s">
        <v>140</v>
      </c>
      <c r="B51" s="96">
        <v>195500254.493</v>
      </c>
      <c r="C51" s="96">
        <v>104542755.01800001</v>
      </c>
      <c r="D51" s="90">
        <v>87.005072192079751</v>
      </c>
      <c r="E51" s="96">
        <v>22533250.010000002</v>
      </c>
      <c r="F51" s="90">
        <v>767.60788792668257</v>
      </c>
    </row>
    <row r="52" spans="1:6" x14ac:dyDescent="0.2">
      <c r="A52" s="43" t="s">
        <v>186</v>
      </c>
      <c r="B52" s="96">
        <v>92346317.064999998</v>
      </c>
      <c r="C52" s="96">
        <v>15036409.99</v>
      </c>
      <c r="D52" s="90">
        <v>514.15136409831291</v>
      </c>
      <c r="E52" s="96">
        <v>8713469.9940000009</v>
      </c>
      <c r="F52" s="90">
        <v>959.81104116487063</v>
      </c>
    </row>
    <row r="53" spans="1:6" x14ac:dyDescent="0.2">
      <c r="A53" s="43" t="s">
        <v>141</v>
      </c>
      <c r="B53" s="96">
        <v>70674825.079999998</v>
      </c>
      <c r="C53" s="96">
        <v>299796761.60000002</v>
      </c>
      <c r="D53" s="90">
        <v>-76.42575433343174</v>
      </c>
      <c r="E53" s="96">
        <v>183746405.63</v>
      </c>
      <c r="F53" s="90">
        <v>-61.536757773475038</v>
      </c>
    </row>
    <row r="54" spans="1:6" ht="15" x14ac:dyDescent="0.25">
      <c r="A54" s="91" t="s">
        <v>187</v>
      </c>
      <c r="B54" s="97">
        <f>SUM(B46:B53)</f>
        <v>58533020219.928001</v>
      </c>
      <c r="C54" s="97">
        <f>SUM(C46:C53)</f>
        <v>62106777649.202988</v>
      </c>
      <c r="D54" s="106">
        <f>((B54/C54)-1)*100</f>
        <v>-5.7542148611550932</v>
      </c>
      <c r="E54" s="97">
        <f>SUM(E46:E53)</f>
        <v>30129238572.854</v>
      </c>
      <c r="F54" s="106">
        <f>((B54/E54)-1)*100</f>
        <v>94.2731479203905</v>
      </c>
    </row>
    <row r="55" spans="1:6" ht="15" x14ac:dyDescent="0.25">
      <c r="A55" s="89" t="s">
        <v>15</v>
      </c>
      <c r="B55" s="98"/>
      <c r="C55" s="98"/>
      <c r="D55" s="90" t="s">
        <v>191</v>
      </c>
      <c r="E55" s="98"/>
      <c r="F55" s="90"/>
    </row>
    <row r="56" spans="1:6" x14ac:dyDescent="0.2">
      <c r="A56" s="43" t="s">
        <v>137</v>
      </c>
      <c r="B56" s="96">
        <v>501372</v>
      </c>
      <c r="C56" s="96">
        <v>699773.6</v>
      </c>
      <c r="D56" s="90">
        <v>-28.352255643825369</v>
      </c>
      <c r="E56" s="96">
        <v>448020</v>
      </c>
      <c r="F56" s="90">
        <v>11.908396946564885</v>
      </c>
    </row>
    <row r="57" spans="1:6" x14ac:dyDescent="0.2">
      <c r="A57" s="43" t="s">
        <v>184</v>
      </c>
      <c r="B57" s="96">
        <v>17475613.100000001</v>
      </c>
      <c r="C57" s="96">
        <v>9029810.6199999992</v>
      </c>
      <c r="D57" s="90">
        <v>93.532443097904121</v>
      </c>
      <c r="E57" s="96">
        <v>10119526.539999999</v>
      </c>
      <c r="F57" s="90">
        <v>72.692003236744341</v>
      </c>
    </row>
    <row r="58" spans="1:6" x14ac:dyDescent="0.2">
      <c r="A58" s="43" t="s">
        <v>134</v>
      </c>
      <c r="B58" s="96">
        <v>12991581.050000001</v>
      </c>
      <c r="C58" s="96">
        <v>33888032.200000003</v>
      </c>
      <c r="D58" s="90">
        <v>-61.66321793686209</v>
      </c>
      <c r="E58" s="96">
        <v>532160.03</v>
      </c>
      <c r="F58" s="90">
        <v>2341.2921522873485</v>
      </c>
    </row>
    <row r="59" spans="1:6" x14ac:dyDescent="0.2">
      <c r="A59" s="43" t="s">
        <v>135</v>
      </c>
      <c r="B59" s="96">
        <v>486546800.80000001</v>
      </c>
      <c r="C59" s="96">
        <v>558992679.58000004</v>
      </c>
      <c r="D59" s="90">
        <v>-12.960076478001886</v>
      </c>
      <c r="E59" s="96">
        <v>155970466.88</v>
      </c>
      <c r="F59" s="90">
        <v>211.94803127334208</v>
      </c>
    </row>
    <row r="60" spans="1:6" x14ac:dyDescent="0.2">
      <c r="A60" s="43" t="s">
        <v>136</v>
      </c>
      <c r="B60" s="96">
        <v>63882831.740000002</v>
      </c>
      <c r="C60" s="96">
        <v>44850736.100000001</v>
      </c>
      <c r="D60" s="90">
        <v>42.434299400495235</v>
      </c>
      <c r="E60" s="96">
        <v>30103015.66</v>
      </c>
      <c r="F60" s="90">
        <v>112.2140600846367</v>
      </c>
    </row>
    <row r="61" spans="1:6" x14ac:dyDescent="0.2">
      <c r="A61" s="43" t="s">
        <v>140</v>
      </c>
      <c r="B61" s="96">
        <v>0</v>
      </c>
      <c r="C61" s="96">
        <v>0</v>
      </c>
      <c r="D61" s="90" t="s">
        <v>191</v>
      </c>
      <c r="E61" s="96">
        <v>0</v>
      </c>
      <c r="F61" s="90" t="s">
        <v>191</v>
      </c>
    </row>
    <row r="62" spans="1:6" x14ac:dyDescent="0.2">
      <c r="A62" s="43" t="s">
        <v>186</v>
      </c>
      <c r="B62" s="96">
        <v>0</v>
      </c>
      <c r="C62" s="96">
        <v>134421.6</v>
      </c>
      <c r="D62" s="90">
        <v>-100</v>
      </c>
      <c r="E62" s="96">
        <v>0</v>
      </c>
      <c r="F62" s="90" t="s">
        <v>191</v>
      </c>
    </row>
    <row r="63" spans="1:6" x14ac:dyDescent="0.2">
      <c r="A63" s="43" t="s">
        <v>141</v>
      </c>
      <c r="B63" s="96">
        <v>0</v>
      </c>
      <c r="C63" s="96">
        <v>0</v>
      </c>
      <c r="D63" s="90" t="s">
        <v>191</v>
      </c>
      <c r="E63" s="96">
        <v>785000</v>
      </c>
      <c r="F63" s="90">
        <v>-100</v>
      </c>
    </row>
    <row r="64" spans="1:6" ht="15" x14ac:dyDescent="0.25">
      <c r="A64" s="91" t="s">
        <v>188</v>
      </c>
      <c r="B64" s="97">
        <f>SUM(B56:B63)</f>
        <v>581398198.68999994</v>
      </c>
      <c r="C64" s="97">
        <f>SUM(C56:C63)</f>
        <v>647595453.70000005</v>
      </c>
      <c r="D64" s="106">
        <f>((B64/C64)-1)*100</f>
        <v>-10.222007370772268</v>
      </c>
      <c r="E64" s="97">
        <f>SUM(E56:E63)</f>
        <v>197958189.10999998</v>
      </c>
      <c r="F64" s="106">
        <f>((B64/E64)-1)*100</f>
        <v>193.69747283702051</v>
      </c>
    </row>
    <row r="65" spans="1:7" ht="15" x14ac:dyDescent="0.25">
      <c r="A65" s="100" t="s">
        <v>138</v>
      </c>
      <c r="B65" s="101"/>
      <c r="C65" s="101"/>
      <c r="D65" s="102" t="s">
        <v>191</v>
      </c>
      <c r="E65" s="101"/>
      <c r="F65" s="102" t="s">
        <v>191</v>
      </c>
    </row>
    <row r="66" spans="1:7" ht="15" x14ac:dyDescent="0.25">
      <c r="A66" s="89" t="s">
        <v>14</v>
      </c>
    </row>
    <row r="67" spans="1:7" x14ac:dyDescent="0.2">
      <c r="A67" s="43" t="s">
        <v>137</v>
      </c>
      <c r="B67" s="3">
        <v>2873</v>
      </c>
      <c r="C67" s="3">
        <v>4162</v>
      </c>
      <c r="D67" s="90">
        <v>-30.970687169629983</v>
      </c>
      <c r="E67" s="3">
        <v>3174</v>
      </c>
      <c r="F67" s="90">
        <v>-9.4833018273471961</v>
      </c>
    </row>
    <row r="68" spans="1:7" x14ac:dyDescent="0.2">
      <c r="A68" s="43" t="s">
        <v>184</v>
      </c>
      <c r="B68" s="3">
        <v>7514</v>
      </c>
      <c r="C68" s="3">
        <v>5173</v>
      </c>
      <c r="D68" s="90">
        <v>45.254204523487338</v>
      </c>
      <c r="E68" s="3">
        <v>6485</v>
      </c>
      <c r="F68" s="90">
        <v>15.867386276021589</v>
      </c>
    </row>
    <row r="69" spans="1:7" x14ac:dyDescent="0.2">
      <c r="A69" s="43" t="s">
        <v>134</v>
      </c>
      <c r="B69" s="3">
        <v>5086</v>
      </c>
      <c r="C69" s="3">
        <v>4456</v>
      </c>
      <c r="D69" s="90">
        <v>14.138240574506284</v>
      </c>
      <c r="E69" s="3">
        <v>3641</v>
      </c>
      <c r="F69" s="90">
        <v>39.686899203515516</v>
      </c>
    </row>
    <row r="70" spans="1:7" x14ac:dyDescent="0.2">
      <c r="A70" s="43" t="s">
        <v>135</v>
      </c>
      <c r="B70" s="3">
        <v>24502</v>
      </c>
      <c r="C70" s="3">
        <v>23341</v>
      </c>
      <c r="D70" s="90">
        <v>4.9740799451608764</v>
      </c>
      <c r="E70" s="3">
        <v>27863</v>
      </c>
      <c r="F70" s="90">
        <v>-12.062591967842659</v>
      </c>
    </row>
    <row r="71" spans="1:7" x14ac:dyDescent="0.2">
      <c r="A71" s="43" t="s">
        <v>136</v>
      </c>
      <c r="B71" s="3">
        <v>16409</v>
      </c>
      <c r="C71" s="3">
        <v>16682</v>
      </c>
      <c r="D71" s="90">
        <v>-1.6364944251288815</v>
      </c>
      <c r="E71" s="3">
        <v>16736</v>
      </c>
      <c r="F71" s="90">
        <v>-1.9538718929254302</v>
      </c>
    </row>
    <row r="72" spans="1:7" x14ac:dyDescent="0.2">
      <c r="A72" s="43" t="s">
        <v>140</v>
      </c>
      <c r="B72" s="3">
        <v>880</v>
      </c>
      <c r="C72" s="3">
        <v>1262</v>
      </c>
      <c r="D72" s="90">
        <v>-30.269413629160063</v>
      </c>
      <c r="E72" s="3">
        <v>296</v>
      </c>
      <c r="F72" s="90">
        <v>197.29729729729729</v>
      </c>
    </row>
    <row r="73" spans="1:7" x14ac:dyDescent="0.2">
      <c r="A73" s="43" t="s">
        <v>186</v>
      </c>
      <c r="B73" s="3">
        <v>188</v>
      </c>
      <c r="C73" s="3">
        <v>463</v>
      </c>
      <c r="D73" s="90">
        <v>-59.395248380129594</v>
      </c>
      <c r="E73" s="3">
        <v>237</v>
      </c>
      <c r="F73" s="90">
        <v>-20.675105485232066</v>
      </c>
    </row>
    <row r="74" spans="1:7" x14ac:dyDescent="0.2">
      <c r="A74" s="43" t="s">
        <v>141</v>
      </c>
      <c r="B74" s="3">
        <v>552</v>
      </c>
      <c r="C74" s="3">
        <v>230</v>
      </c>
      <c r="D74" s="90">
        <v>140</v>
      </c>
      <c r="E74" s="3">
        <v>850</v>
      </c>
      <c r="F74" s="90">
        <v>-35.058823529411768</v>
      </c>
    </row>
    <row r="75" spans="1:7" ht="15" x14ac:dyDescent="0.25">
      <c r="A75" s="89" t="s">
        <v>15</v>
      </c>
      <c r="B75" s="3"/>
      <c r="C75" s="3"/>
      <c r="E75" s="3"/>
      <c r="F75" s="90"/>
    </row>
    <row r="76" spans="1:7" x14ac:dyDescent="0.2">
      <c r="A76" s="43" t="s">
        <v>137</v>
      </c>
      <c r="B76" s="3">
        <v>115</v>
      </c>
      <c r="C76" s="3">
        <v>90</v>
      </c>
      <c r="D76" s="90">
        <v>27.777777777777779</v>
      </c>
      <c r="E76" s="3">
        <v>52</v>
      </c>
      <c r="F76" s="90">
        <v>121.15384615384615</v>
      </c>
    </row>
    <row r="77" spans="1:7" x14ac:dyDescent="0.2">
      <c r="A77" s="43" t="s">
        <v>184</v>
      </c>
      <c r="B77" s="3">
        <v>1598</v>
      </c>
      <c r="C77" s="3">
        <v>5965</v>
      </c>
      <c r="D77" s="90">
        <v>-73.210393964794633</v>
      </c>
      <c r="E77" s="3">
        <v>407</v>
      </c>
      <c r="F77" s="90">
        <v>292.62899262899265</v>
      </c>
      <c r="G77" s="99"/>
    </row>
    <row r="78" spans="1:7" x14ac:dyDescent="0.2">
      <c r="A78" s="43" t="s">
        <v>134</v>
      </c>
      <c r="B78" s="3">
        <v>2522</v>
      </c>
      <c r="C78" s="3">
        <v>4182</v>
      </c>
      <c r="D78" s="90">
        <v>-39.69392635102821</v>
      </c>
      <c r="E78" s="3">
        <v>1217</v>
      </c>
      <c r="F78" s="90">
        <v>107.23089564502877</v>
      </c>
      <c r="G78" s="99"/>
    </row>
    <row r="79" spans="1:7" x14ac:dyDescent="0.2">
      <c r="A79" s="43" t="s">
        <v>135</v>
      </c>
      <c r="B79" s="3">
        <v>67103</v>
      </c>
      <c r="C79" s="3">
        <v>65902</v>
      </c>
      <c r="D79" s="90">
        <v>1.8224029619738398</v>
      </c>
      <c r="E79" s="3">
        <v>46702</v>
      </c>
      <c r="F79" s="90">
        <v>43.683354031947239</v>
      </c>
      <c r="G79" s="99"/>
    </row>
    <row r="80" spans="1:7" x14ac:dyDescent="0.2">
      <c r="A80" s="43" t="s">
        <v>136</v>
      </c>
      <c r="B80" s="3">
        <v>21144</v>
      </c>
      <c r="C80" s="3">
        <v>18806</v>
      </c>
      <c r="D80" s="90">
        <v>12.432202488567478</v>
      </c>
      <c r="E80" s="3">
        <v>16179</v>
      </c>
      <c r="F80" s="90">
        <v>30.687928796588171</v>
      </c>
    </row>
    <row r="81" spans="1:6" x14ac:dyDescent="0.2">
      <c r="A81" s="43" t="s">
        <v>140</v>
      </c>
      <c r="B81" s="3">
        <v>0</v>
      </c>
      <c r="C81" s="3">
        <v>0</v>
      </c>
      <c r="D81" s="90" t="s">
        <v>191</v>
      </c>
      <c r="E81" s="3">
        <v>0</v>
      </c>
      <c r="F81" s="90" t="s">
        <v>191</v>
      </c>
    </row>
    <row r="82" spans="1:6" x14ac:dyDescent="0.2">
      <c r="A82" s="43" t="s">
        <v>186</v>
      </c>
      <c r="B82" s="3">
        <v>80</v>
      </c>
      <c r="C82" s="3">
        <v>80</v>
      </c>
      <c r="D82" s="90">
        <v>0</v>
      </c>
      <c r="E82" s="3">
        <v>130</v>
      </c>
      <c r="F82" s="90">
        <v>-38.461538461538467</v>
      </c>
    </row>
    <row r="83" spans="1:6" x14ac:dyDescent="0.2">
      <c r="A83" s="43" t="s">
        <v>141</v>
      </c>
      <c r="B83" s="3">
        <v>0</v>
      </c>
      <c r="C83" s="3">
        <v>0</v>
      </c>
      <c r="D83" s="90" t="s">
        <v>191</v>
      </c>
      <c r="E83" s="3">
        <v>500</v>
      </c>
      <c r="F83" s="90">
        <v>-100</v>
      </c>
    </row>
    <row r="84" spans="1:6" ht="15" x14ac:dyDescent="0.25">
      <c r="A84" s="91"/>
      <c r="B84" s="94"/>
      <c r="C84" s="94"/>
      <c r="D84" s="93"/>
      <c r="E84" s="94"/>
      <c r="F84" s="93"/>
    </row>
  </sheetData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ignoredErrors>
    <ignoredError sqref="D12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16"/>
  <sheetViews>
    <sheetView workbookViewId="0">
      <selection activeCell="H34" sqref="H34"/>
    </sheetView>
  </sheetViews>
  <sheetFormatPr defaultRowHeight="12.75" x14ac:dyDescent="0.2"/>
  <sheetData>
    <row r="1" spans="1:9" x14ac:dyDescent="0.2">
      <c r="A1" s="35"/>
      <c r="B1" s="56"/>
      <c r="C1" s="56"/>
      <c r="D1" s="58"/>
      <c r="E1" s="56"/>
      <c r="F1" s="43"/>
      <c r="G1" s="27"/>
      <c r="H1" s="65"/>
      <c r="I1" s="65"/>
    </row>
    <row r="2" spans="1:9" x14ac:dyDescent="0.2">
      <c r="A2" s="56"/>
      <c r="B2" s="24"/>
      <c r="C2" s="24"/>
      <c r="D2" s="24"/>
      <c r="E2" s="24"/>
      <c r="F2" s="43"/>
      <c r="G2" s="27"/>
      <c r="H2" s="65"/>
      <c r="I2" s="65"/>
    </row>
    <row r="3" spans="1:9" x14ac:dyDescent="0.2">
      <c r="A3" s="56"/>
      <c r="B3" s="24"/>
      <c r="C3" s="24"/>
      <c r="D3" s="24"/>
      <c r="E3" s="24"/>
      <c r="F3" s="43"/>
      <c r="G3" s="27"/>
      <c r="H3" s="65"/>
      <c r="I3" s="65"/>
    </row>
    <row r="4" spans="1:9" x14ac:dyDescent="0.2">
      <c r="A4" s="56"/>
      <c r="B4" s="25"/>
      <c r="C4" s="25"/>
      <c r="D4" s="25"/>
      <c r="E4" s="24"/>
      <c r="F4" s="24"/>
      <c r="G4" s="65"/>
      <c r="H4" s="65"/>
      <c r="I4" s="65"/>
    </row>
    <row r="5" spans="1:9" ht="15" x14ac:dyDescent="0.25">
      <c r="A5" s="43"/>
      <c r="B5" s="3"/>
      <c r="C5" s="75"/>
      <c r="D5" s="27"/>
      <c r="E5" s="28"/>
      <c r="F5" s="27"/>
      <c r="G5" s="27"/>
      <c r="H5" s="27"/>
      <c r="I5" s="27"/>
    </row>
    <row r="6" spans="1:9" ht="15" x14ac:dyDescent="0.25">
      <c r="A6" s="43"/>
      <c r="B6" s="3"/>
      <c r="C6" s="75"/>
      <c r="D6" s="27"/>
      <c r="E6" s="28"/>
      <c r="F6" s="27"/>
      <c r="G6" s="27"/>
      <c r="H6" s="27"/>
      <c r="I6" s="27"/>
    </row>
    <row r="7" spans="1:9" ht="15" x14ac:dyDescent="0.25">
      <c r="A7" s="43"/>
      <c r="B7" s="3"/>
      <c r="C7" s="75"/>
      <c r="D7" s="27"/>
      <c r="E7" s="28"/>
      <c r="F7" s="27"/>
      <c r="G7" s="27"/>
      <c r="H7" s="27"/>
      <c r="I7" s="27"/>
    </row>
    <row r="8" spans="1:9" x14ac:dyDescent="0.2">
      <c r="A8" s="43"/>
      <c r="B8" s="3"/>
      <c r="C8" s="27"/>
      <c r="D8" s="27"/>
      <c r="E8" s="28"/>
      <c r="F8" s="27"/>
      <c r="G8" s="27"/>
      <c r="H8" s="27"/>
      <c r="I8" s="27"/>
    </row>
    <row r="9" spans="1:9" x14ac:dyDescent="0.2">
      <c r="A9" s="43"/>
      <c r="B9" s="3"/>
      <c r="C9" s="27"/>
      <c r="D9" s="27"/>
      <c r="E9" s="28"/>
      <c r="F9" s="27"/>
      <c r="G9" s="27"/>
      <c r="H9" s="27"/>
      <c r="I9" s="27"/>
    </row>
    <row r="10" spans="1:9" x14ac:dyDescent="0.2">
      <c r="A10" s="56"/>
      <c r="B10" s="3"/>
      <c r="C10" s="27"/>
      <c r="D10" s="27"/>
      <c r="E10" s="28"/>
      <c r="F10" s="27"/>
      <c r="G10" s="27"/>
      <c r="H10" s="27"/>
      <c r="I10" s="27"/>
    </row>
    <row r="11" spans="1:9" x14ac:dyDescent="0.2">
      <c r="A11" s="43"/>
      <c r="B11" s="3"/>
      <c r="C11" s="3"/>
      <c r="D11" s="3"/>
      <c r="E11" s="3"/>
      <c r="F11" s="3"/>
      <c r="G11" s="3"/>
      <c r="H11" s="3"/>
      <c r="I11" s="3"/>
    </row>
    <row r="12" spans="1:9" x14ac:dyDescent="0.2">
      <c r="A12" s="43"/>
      <c r="B12" s="3"/>
      <c r="C12" s="3"/>
      <c r="D12" s="3"/>
      <c r="E12" s="3"/>
      <c r="F12" s="3"/>
      <c r="G12" s="3"/>
      <c r="H12" s="3"/>
      <c r="I12" s="3"/>
    </row>
    <row r="13" spans="1:9" x14ac:dyDescent="0.2">
      <c r="A13" s="43"/>
      <c r="B13" s="3"/>
      <c r="C13" s="3"/>
      <c r="D13" s="3"/>
      <c r="E13" s="3"/>
      <c r="F13" s="3"/>
      <c r="G13" s="3"/>
      <c r="H13" s="3"/>
      <c r="I13" s="3"/>
    </row>
    <row r="14" spans="1:9" ht="13.5" thickBot="1" x14ac:dyDescent="0.25">
      <c r="A14" s="111"/>
      <c r="B14" s="114"/>
      <c r="C14" s="114"/>
      <c r="D14" s="114"/>
      <c r="E14" s="114"/>
      <c r="F14" s="114"/>
      <c r="G14" s="114"/>
      <c r="H14" s="114"/>
      <c r="I14" s="114"/>
    </row>
    <row r="15" spans="1:9" ht="13.5" thickTop="1" x14ac:dyDescent="0.2">
      <c r="A15" s="9"/>
      <c r="B15" s="3"/>
      <c r="C15" s="15"/>
      <c r="D15" s="15"/>
      <c r="E15" s="28"/>
      <c r="F15" s="24"/>
      <c r="G15" s="27"/>
      <c r="H15" s="27"/>
      <c r="I15" s="27"/>
    </row>
    <row r="16" spans="1:9" x14ac:dyDescent="0.2">
      <c r="A16" s="9"/>
      <c r="B16" s="3"/>
      <c r="C16" s="15"/>
      <c r="D16" s="15"/>
      <c r="E16" s="28"/>
      <c r="F16" s="24"/>
      <c r="G16" s="27"/>
      <c r="H16" s="27"/>
      <c r="I16" s="2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1"/>
  <sheetViews>
    <sheetView workbookViewId="0">
      <selection activeCell="P15" sqref="P15"/>
    </sheetView>
  </sheetViews>
  <sheetFormatPr defaultRowHeight="12.75" x14ac:dyDescent="0.2"/>
  <cols>
    <col min="1" max="1" width="9.7109375" bestFit="1" customWidth="1"/>
    <col min="2" max="2" width="11.7109375" bestFit="1" customWidth="1"/>
    <col min="3" max="3" width="12" bestFit="1" customWidth="1"/>
    <col min="4" max="4" width="2.5703125" bestFit="1" customWidth="1"/>
    <col min="9" max="9" width="9.7109375" style="155" bestFit="1" customWidth="1"/>
  </cols>
  <sheetData>
    <row r="1" spans="1:4" x14ac:dyDescent="0.2">
      <c r="A1" t="s">
        <v>226</v>
      </c>
      <c r="B1" t="s">
        <v>227</v>
      </c>
      <c r="C1" t="s">
        <v>228</v>
      </c>
      <c r="D1" t="s">
        <v>229</v>
      </c>
    </row>
    <row r="2" spans="1:4" x14ac:dyDescent="0.2">
      <c r="A2" t="s">
        <v>230</v>
      </c>
      <c r="B2" s="154">
        <v>38713</v>
      </c>
      <c r="C2">
        <v>17296.830000000002</v>
      </c>
      <c r="D2">
        <v>1</v>
      </c>
    </row>
    <row r="3" spans="1:4" x14ac:dyDescent="0.2">
      <c r="A3" t="s">
        <v>231</v>
      </c>
      <c r="B3" s="154">
        <v>38713</v>
      </c>
      <c r="C3">
        <v>20229.37</v>
      </c>
      <c r="D3">
        <v>1</v>
      </c>
    </row>
    <row r="4" spans="1:4" x14ac:dyDescent="0.2">
      <c r="A4" t="s">
        <v>232</v>
      </c>
      <c r="B4" s="154">
        <v>38628</v>
      </c>
      <c r="C4">
        <v>10207.67</v>
      </c>
      <c r="D4">
        <v>1</v>
      </c>
    </row>
    <row r="5" spans="1:4" x14ac:dyDescent="0.2">
      <c r="A5" t="s">
        <v>233</v>
      </c>
      <c r="B5" s="154">
        <v>38713</v>
      </c>
      <c r="C5">
        <v>17257.37</v>
      </c>
      <c r="D5">
        <v>1</v>
      </c>
    </row>
    <row r="6" spans="1:4" x14ac:dyDescent="0.2">
      <c r="A6" t="s">
        <v>234</v>
      </c>
      <c r="B6" s="154">
        <v>38716</v>
      </c>
      <c r="C6">
        <v>10070.700000000001</v>
      </c>
      <c r="D6">
        <v>1</v>
      </c>
    </row>
    <row r="7" spans="1:4" x14ac:dyDescent="0.2">
      <c r="A7" t="s">
        <v>235</v>
      </c>
      <c r="B7" s="154">
        <v>38677</v>
      </c>
      <c r="C7">
        <v>28766.959999999999</v>
      </c>
      <c r="D7">
        <v>1</v>
      </c>
    </row>
    <row r="8" spans="1:4" x14ac:dyDescent="0.2">
      <c r="A8" t="s">
        <v>236</v>
      </c>
      <c r="B8" s="154">
        <v>37432</v>
      </c>
      <c r="C8">
        <v>30613.119999999999</v>
      </c>
      <c r="D8">
        <v>1</v>
      </c>
    </row>
    <row r="9" spans="1:4" x14ac:dyDescent="0.2">
      <c r="A9" t="s">
        <v>237</v>
      </c>
      <c r="B9" s="154">
        <v>38425</v>
      </c>
      <c r="C9">
        <v>14581.36</v>
      </c>
      <c r="D9">
        <v>1</v>
      </c>
    </row>
    <row r="10" spans="1:4" x14ac:dyDescent="0.2">
      <c r="A10" t="s">
        <v>238</v>
      </c>
      <c r="B10" s="154">
        <v>38715</v>
      </c>
      <c r="C10">
        <v>17673.63</v>
      </c>
      <c r="D10">
        <v>1</v>
      </c>
    </row>
    <row r="11" spans="1:4" x14ac:dyDescent="0.2">
      <c r="A11" t="s">
        <v>239</v>
      </c>
      <c r="B11" s="154">
        <v>38715</v>
      </c>
      <c r="C11">
        <v>34075.21</v>
      </c>
      <c r="D11">
        <v>1</v>
      </c>
    </row>
    <row r="12" spans="1:4" x14ac:dyDescent="0.2">
      <c r="A12" t="s">
        <v>240</v>
      </c>
      <c r="B12" s="154">
        <v>38680</v>
      </c>
      <c r="C12">
        <v>18105.080000000002</v>
      </c>
      <c r="D12">
        <v>1</v>
      </c>
    </row>
    <row r="13" spans="1:4" x14ac:dyDescent="0.2">
      <c r="A13" t="s">
        <v>241</v>
      </c>
      <c r="B13" s="154">
        <v>38604</v>
      </c>
      <c r="C13">
        <v>28742.13</v>
      </c>
      <c r="D13">
        <v>1</v>
      </c>
    </row>
    <row r="14" spans="1:4" x14ac:dyDescent="0.2">
      <c r="A14" t="s">
        <v>242</v>
      </c>
      <c r="B14" s="154">
        <v>38709</v>
      </c>
      <c r="C14">
        <v>10955.45</v>
      </c>
      <c r="D14">
        <v>1</v>
      </c>
    </row>
    <row r="15" spans="1:4" x14ac:dyDescent="0.2">
      <c r="A15" t="s">
        <v>243</v>
      </c>
      <c r="B15" s="154">
        <v>38580</v>
      </c>
      <c r="C15">
        <v>2321.6</v>
      </c>
      <c r="D15">
        <v>1</v>
      </c>
    </row>
    <row r="16" spans="1:4" x14ac:dyDescent="0.2">
      <c r="A16" t="s">
        <v>244</v>
      </c>
      <c r="B16" s="154">
        <v>38709</v>
      </c>
      <c r="C16">
        <v>2183.41</v>
      </c>
      <c r="D16">
        <v>1</v>
      </c>
    </row>
    <row r="17" spans="1:4" x14ac:dyDescent="0.2">
      <c r="A17" t="s">
        <v>245</v>
      </c>
      <c r="B17" s="154">
        <v>38663</v>
      </c>
      <c r="C17">
        <v>14154.09</v>
      </c>
      <c r="D17">
        <v>1</v>
      </c>
    </row>
    <row r="18" spans="1:4" x14ac:dyDescent="0.2">
      <c r="A18" t="s">
        <v>246</v>
      </c>
      <c r="B18" s="154">
        <v>38663</v>
      </c>
      <c r="C18">
        <v>43569.17</v>
      </c>
      <c r="D18">
        <v>1</v>
      </c>
    </row>
    <row r="19" spans="1:4" x14ac:dyDescent="0.2">
      <c r="A19" t="s">
        <v>247</v>
      </c>
      <c r="B19" s="154">
        <v>38715</v>
      </c>
      <c r="C19">
        <v>25723.24</v>
      </c>
      <c r="D19">
        <v>1</v>
      </c>
    </row>
    <row r="20" spans="1:4" x14ac:dyDescent="0.2">
      <c r="A20" t="s">
        <v>248</v>
      </c>
      <c r="B20" s="154">
        <v>38716</v>
      </c>
      <c r="C20">
        <v>18207.32</v>
      </c>
      <c r="D20">
        <v>1</v>
      </c>
    </row>
    <row r="21" spans="1:4" x14ac:dyDescent="0.2">
      <c r="A21" t="s">
        <v>249</v>
      </c>
      <c r="B21" s="154">
        <v>38615</v>
      </c>
      <c r="C21">
        <v>4728.4799999999996</v>
      </c>
      <c r="D21">
        <v>1</v>
      </c>
    </row>
    <row r="22" spans="1:4" x14ac:dyDescent="0.2">
      <c r="A22" t="s">
        <v>250</v>
      </c>
      <c r="B22" s="154">
        <v>38716</v>
      </c>
      <c r="C22">
        <v>23744.76</v>
      </c>
      <c r="D22">
        <v>1</v>
      </c>
    </row>
    <row r="23" spans="1:4" x14ac:dyDescent="0.2">
      <c r="A23" t="s">
        <v>251</v>
      </c>
      <c r="B23" s="154">
        <v>38715</v>
      </c>
      <c r="C23">
        <v>24993.42</v>
      </c>
      <c r="D23">
        <v>1</v>
      </c>
    </row>
    <row r="24" spans="1:4" x14ac:dyDescent="0.2">
      <c r="A24" t="s">
        <v>252</v>
      </c>
      <c r="B24" s="154">
        <v>38716</v>
      </c>
      <c r="C24">
        <v>2895.12</v>
      </c>
      <c r="D24">
        <v>1</v>
      </c>
    </row>
    <row r="25" spans="1:4" x14ac:dyDescent="0.2">
      <c r="A25" t="s">
        <v>253</v>
      </c>
      <c r="B25" s="154">
        <v>38699</v>
      </c>
      <c r="C25">
        <v>28328.49</v>
      </c>
      <c r="D25">
        <v>1</v>
      </c>
    </row>
    <row r="26" spans="1:4" x14ac:dyDescent="0.2">
      <c r="A26" t="s">
        <v>254</v>
      </c>
      <c r="B26" s="154">
        <v>42195</v>
      </c>
      <c r="C26">
        <v>67821.078360950007</v>
      </c>
      <c r="D26">
        <v>1</v>
      </c>
    </row>
    <row r="27" spans="1:4" x14ac:dyDescent="0.2">
      <c r="A27" t="s">
        <v>255</v>
      </c>
      <c r="B27" s="154">
        <v>38709</v>
      </c>
      <c r="C27">
        <v>1445.21</v>
      </c>
      <c r="D27">
        <v>1</v>
      </c>
    </row>
    <row r="28" spans="1:4" x14ac:dyDescent="0.2">
      <c r="A28" t="s">
        <v>256</v>
      </c>
      <c r="B28" s="154">
        <v>38673</v>
      </c>
      <c r="C28">
        <v>110.01</v>
      </c>
      <c r="D28">
        <v>1</v>
      </c>
    </row>
    <row r="29" spans="1:4" x14ac:dyDescent="0.2">
      <c r="A29" t="s">
        <v>257</v>
      </c>
      <c r="B29" s="154">
        <v>38709</v>
      </c>
      <c r="C29">
        <v>34691.21</v>
      </c>
      <c r="D29">
        <v>1</v>
      </c>
    </row>
    <row r="30" spans="1:4" x14ac:dyDescent="0.2">
      <c r="A30" t="s">
        <v>258</v>
      </c>
      <c r="B30" s="154">
        <v>38716</v>
      </c>
      <c r="C30">
        <v>14859.1</v>
      </c>
      <c r="D30">
        <v>1</v>
      </c>
    </row>
    <row r="31" spans="1:4" x14ac:dyDescent="0.2">
      <c r="A31" t="s">
        <v>259</v>
      </c>
      <c r="B31" s="154">
        <v>38708</v>
      </c>
      <c r="C31">
        <v>1357.01</v>
      </c>
      <c r="D31">
        <v>1</v>
      </c>
    </row>
    <row r="32" spans="1:4" x14ac:dyDescent="0.2">
      <c r="A32" t="s">
        <v>260</v>
      </c>
      <c r="B32" s="154">
        <v>38713</v>
      </c>
      <c r="C32">
        <v>17869.22</v>
      </c>
      <c r="D32">
        <v>1</v>
      </c>
    </row>
    <row r="33" spans="1:4" x14ac:dyDescent="0.2">
      <c r="A33" t="s">
        <v>261</v>
      </c>
      <c r="B33" s="154">
        <v>38713</v>
      </c>
      <c r="C33">
        <v>30401.200000000001</v>
      </c>
      <c r="D33">
        <v>1</v>
      </c>
    </row>
    <row r="34" spans="1:4" x14ac:dyDescent="0.2">
      <c r="A34" t="s">
        <v>262</v>
      </c>
      <c r="B34" s="154">
        <v>38709</v>
      </c>
      <c r="C34">
        <v>16626.419999999998</v>
      </c>
      <c r="D34">
        <v>1</v>
      </c>
    </row>
    <row r="35" spans="1:4" x14ac:dyDescent="0.2">
      <c r="A35" t="s">
        <v>263</v>
      </c>
      <c r="B35" s="154">
        <v>38713</v>
      </c>
      <c r="C35">
        <v>14630.23</v>
      </c>
      <c r="D35">
        <v>1</v>
      </c>
    </row>
    <row r="36" spans="1:4" x14ac:dyDescent="0.2">
      <c r="A36" t="s">
        <v>264</v>
      </c>
      <c r="B36" s="154">
        <v>38713</v>
      </c>
      <c r="C36">
        <v>1547.81</v>
      </c>
      <c r="D36">
        <v>1</v>
      </c>
    </row>
    <row r="37" spans="1:4" x14ac:dyDescent="0.2">
      <c r="A37" t="s">
        <v>265</v>
      </c>
      <c r="B37" s="154">
        <v>38713</v>
      </c>
      <c r="C37">
        <v>590.19000000000005</v>
      </c>
      <c r="D37">
        <v>1</v>
      </c>
    </row>
    <row r="38" spans="1:4" x14ac:dyDescent="0.2">
      <c r="A38" t="s">
        <v>266</v>
      </c>
      <c r="B38" s="154">
        <v>38713</v>
      </c>
      <c r="C38">
        <v>1846.94</v>
      </c>
      <c r="D38">
        <v>1</v>
      </c>
    </row>
    <row r="39" spans="1:4" x14ac:dyDescent="0.2">
      <c r="A39" t="s">
        <v>267</v>
      </c>
      <c r="B39" s="154">
        <v>38709</v>
      </c>
      <c r="C39">
        <v>9758.19</v>
      </c>
      <c r="D39">
        <v>1</v>
      </c>
    </row>
    <row r="40" spans="1:4" x14ac:dyDescent="0.2">
      <c r="A40" t="s">
        <v>268</v>
      </c>
      <c r="B40" s="154">
        <v>38580</v>
      </c>
      <c r="C40">
        <v>673.25</v>
      </c>
      <c r="D40">
        <v>1</v>
      </c>
    </row>
    <row r="41" spans="1:4" x14ac:dyDescent="0.2">
      <c r="A41" t="s">
        <v>269</v>
      </c>
      <c r="B41" s="154">
        <v>38709</v>
      </c>
      <c r="C41">
        <v>196.52</v>
      </c>
      <c r="D41">
        <v>1</v>
      </c>
    </row>
    <row r="42" spans="1:4" x14ac:dyDescent="0.2">
      <c r="A42" t="s">
        <v>91</v>
      </c>
      <c r="B42" s="154">
        <v>41849</v>
      </c>
      <c r="C42">
        <v>22461.45680964</v>
      </c>
      <c r="D42">
        <v>1</v>
      </c>
    </row>
    <row r="43" spans="1:4" x14ac:dyDescent="0.2">
      <c r="A43" t="s">
        <v>270</v>
      </c>
      <c r="B43" s="154">
        <v>42122</v>
      </c>
      <c r="C43">
        <v>9390.5427286199993</v>
      </c>
      <c r="D43">
        <v>1</v>
      </c>
    </row>
    <row r="44" spans="1:4" x14ac:dyDescent="0.2">
      <c r="A44" t="s">
        <v>271</v>
      </c>
      <c r="B44" s="154">
        <v>42480</v>
      </c>
      <c r="C44">
        <v>10466.885065210001</v>
      </c>
      <c r="D44">
        <v>1</v>
      </c>
    </row>
    <row r="45" spans="1:4" x14ac:dyDescent="0.2">
      <c r="A45" t="s">
        <v>272</v>
      </c>
      <c r="B45" s="154">
        <v>42524</v>
      </c>
      <c r="C45">
        <v>10562.33998273</v>
      </c>
      <c r="D45">
        <v>1</v>
      </c>
    </row>
    <row r="46" spans="1:4" x14ac:dyDescent="0.2">
      <c r="A46" t="s">
        <v>273</v>
      </c>
      <c r="B46" s="154">
        <v>41967</v>
      </c>
      <c r="C46">
        <v>25297.640064309999</v>
      </c>
      <c r="D46">
        <v>1</v>
      </c>
    </row>
    <row r="47" spans="1:4" x14ac:dyDescent="0.2">
      <c r="A47" t="s">
        <v>274</v>
      </c>
      <c r="B47" s="154">
        <v>41849</v>
      </c>
      <c r="C47">
        <v>4482.8823280400002</v>
      </c>
      <c r="D47">
        <v>1</v>
      </c>
    </row>
    <row r="48" spans="1:4" x14ac:dyDescent="0.2">
      <c r="A48" t="s">
        <v>275</v>
      </c>
      <c r="B48" s="154">
        <v>41849</v>
      </c>
      <c r="C48">
        <v>4264.0820106800002</v>
      </c>
      <c r="D48">
        <v>1</v>
      </c>
    </row>
    <row r="49" spans="1:4" x14ac:dyDescent="0.2">
      <c r="A49" t="s">
        <v>93</v>
      </c>
      <c r="B49" s="154">
        <v>41849</v>
      </c>
      <c r="C49">
        <v>4599.9677435399999</v>
      </c>
      <c r="D49">
        <v>1</v>
      </c>
    </row>
    <row r="50" spans="1:4" x14ac:dyDescent="0.2">
      <c r="A50" t="s">
        <v>63</v>
      </c>
      <c r="B50" s="154">
        <v>37515</v>
      </c>
      <c r="C50">
        <v>3456.48</v>
      </c>
      <c r="D50">
        <v>1</v>
      </c>
    </row>
    <row r="51" spans="1:4" x14ac:dyDescent="0.2">
      <c r="A51" t="s">
        <v>276</v>
      </c>
      <c r="B51" s="154">
        <v>39629</v>
      </c>
      <c r="C51">
        <v>51541.23</v>
      </c>
      <c r="D51">
        <v>1</v>
      </c>
    </row>
    <row r="52" spans="1:4" x14ac:dyDescent="0.2">
      <c r="A52" t="s">
        <v>277</v>
      </c>
      <c r="B52" s="154">
        <v>37970</v>
      </c>
      <c r="C52">
        <v>1201.19</v>
      </c>
      <c r="D52">
        <v>1</v>
      </c>
    </row>
    <row r="53" spans="1:4" x14ac:dyDescent="0.2">
      <c r="A53" t="s">
        <v>106</v>
      </c>
      <c r="B53" s="154">
        <v>39587</v>
      </c>
      <c r="C53">
        <v>146.47999999999999</v>
      </c>
      <c r="D53">
        <v>1</v>
      </c>
    </row>
    <row r="54" spans="1:4" x14ac:dyDescent="0.2">
      <c r="A54" t="s">
        <v>108</v>
      </c>
      <c r="B54" s="154">
        <v>39590</v>
      </c>
      <c r="C54">
        <v>12608.67</v>
      </c>
      <c r="D54">
        <v>1</v>
      </c>
    </row>
    <row r="55" spans="1:4" x14ac:dyDescent="0.2">
      <c r="A55" t="s">
        <v>278</v>
      </c>
      <c r="B55" s="154">
        <v>38009</v>
      </c>
      <c r="C55">
        <v>999.63</v>
      </c>
      <c r="D55">
        <v>1</v>
      </c>
    </row>
    <row r="56" spans="1:4" x14ac:dyDescent="0.2">
      <c r="A56" t="s">
        <v>279</v>
      </c>
      <c r="B56" s="154">
        <v>42339</v>
      </c>
      <c r="C56">
        <v>56242.231982290003</v>
      </c>
      <c r="D56">
        <v>1</v>
      </c>
    </row>
    <row r="57" spans="1:4" x14ac:dyDescent="0.2">
      <c r="A57" t="s">
        <v>280</v>
      </c>
      <c r="B57" s="154">
        <v>39604</v>
      </c>
      <c r="C57">
        <v>61121.71</v>
      </c>
      <c r="D57">
        <v>1</v>
      </c>
    </row>
    <row r="58" spans="1:4" x14ac:dyDescent="0.2">
      <c r="A58" t="s">
        <v>281</v>
      </c>
      <c r="B58" s="154">
        <v>39590</v>
      </c>
      <c r="C58">
        <v>50553.22</v>
      </c>
      <c r="D58">
        <v>1</v>
      </c>
    </row>
    <row r="59" spans="1:4" x14ac:dyDescent="0.2">
      <c r="A59" t="s">
        <v>56</v>
      </c>
      <c r="B59" s="154">
        <v>42312</v>
      </c>
      <c r="C59">
        <v>49081.0138716</v>
      </c>
      <c r="D59">
        <v>1</v>
      </c>
    </row>
    <row r="60" spans="1:4" x14ac:dyDescent="0.2">
      <c r="A60" t="s">
        <v>45</v>
      </c>
      <c r="B60" s="154">
        <v>42480</v>
      </c>
      <c r="C60">
        <v>77790.256752989997</v>
      </c>
      <c r="D60">
        <v>1</v>
      </c>
    </row>
    <row r="61" spans="1:4" x14ac:dyDescent="0.2">
      <c r="A61" t="s">
        <v>47</v>
      </c>
      <c r="B61" s="154">
        <v>42144</v>
      </c>
      <c r="C61">
        <v>62435.682638099999</v>
      </c>
      <c r="D61">
        <v>1</v>
      </c>
    </row>
    <row r="62" spans="1:4" x14ac:dyDescent="0.2">
      <c r="A62" t="s">
        <v>43</v>
      </c>
      <c r="B62" s="154">
        <v>42118</v>
      </c>
      <c r="C62">
        <v>55188.336977819999</v>
      </c>
      <c r="D62">
        <v>1</v>
      </c>
    </row>
    <row r="63" spans="1:4" x14ac:dyDescent="0.2">
      <c r="A63" t="s">
        <v>49</v>
      </c>
      <c r="B63" s="154">
        <v>42506</v>
      </c>
      <c r="C63">
        <v>7167.2950861700001</v>
      </c>
      <c r="D63">
        <v>1</v>
      </c>
    </row>
    <row r="64" spans="1:4" x14ac:dyDescent="0.2">
      <c r="A64" t="s">
        <v>282</v>
      </c>
      <c r="B64" s="154">
        <v>40662</v>
      </c>
      <c r="C64">
        <v>4825.42</v>
      </c>
      <c r="D64">
        <v>1</v>
      </c>
    </row>
    <row r="65" spans="1:4" x14ac:dyDescent="0.2">
      <c r="A65" t="s">
        <v>61</v>
      </c>
      <c r="B65" s="154">
        <v>39590</v>
      </c>
      <c r="C65">
        <v>77308.45</v>
      </c>
      <c r="D65">
        <v>1</v>
      </c>
    </row>
    <row r="66" spans="1:4" x14ac:dyDescent="0.2">
      <c r="A66" t="s">
        <v>65</v>
      </c>
      <c r="B66" s="154">
        <v>42520</v>
      </c>
      <c r="C66">
        <v>74332.170788069998</v>
      </c>
      <c r="D66">
        <v>1</v>
      </c>
    </row>
    <row r="67" spans="1:4" x14ac:dyDescent="0.2">
      <c r="A67" t="s">
        <v>67</v>
      </c>
      <c r="B67" s="154">
        <v>42118</v>
      </c>
      <c r="C67">
        <v>17911.36431723</v>
      </c>
      <c r="D67">
        <v>1</v>
      </c>
    </row>
    <row r="68" spans="1:4" x14ac:dyDescent="0.2">
      <c r="A68" t="s">
        <v>69</v>
      </c>
      <c r="B68" s="154">
        <v>42312</v>
      </c>
      <c r="C68">
        <v>77813.852225080002</v>
      </c>
      <c r="D68">
        <v>1</v>
      </c>
    </row>
    <row r="69" spans="1:4" x14ac:dyDescent="0.2">
      <c r="A69" t="s">
        <v>111</v>
      </c>
      <c r="B69" s="154">
        <v>42346</v>
      </c>
      <c r="C69">
        <v>1703.8449540300001</v>
      </c>
      <c r="D69">
        <v>1</v>
      </c>
    </row>
    <row r="70" spans="1:4" x14ac:dyDescent="0.2">
      <c r="A70" t="s">
        <v>113</v>
      </c>
      <c r="B70" s="154">
        <v>38723</v>
      </c>
      <c r="C70">
        <v>641.64</v>
      </c>
      <c r="D70">
        <v>1</v>
      </c>
    </row>
    <row r="71" spans="1:4" x14ac:dyDescent="0.2">
      <c r="A71" t="s">
        <v>115</v>
      </c>
      <c r="B71" s="154">
        <v>39400</v>
      </c>
      <c r="C71">
        <v>5041.9399999999996</v>
      </c>
      <c r="D71">
        <v>1</v>
      </c>
    </row>
    <row r="72" spans="1:4" x14ac:dyDescent="0.2">
      <c r="A72" t="s">
        <v>283</v>
      </c>
      <c r="B72" s="154">
        <v>39400</v>
      </c>
      <c r="C72">
        <v>2186.16</v>
      </c>
      <c r="D72">
        <v>1</v>
      </c>
    </row>
    <row r="73" spans="1:4" x14ac:dyDescent="0.2">
      <c r="A73" t="s">
        <v>284</v>
      </c>
      <c r="B73" s="154">
        <v>39384</v>
      </c>
      <c r="C73">
        <v>92.671239999999997</v>
      </c>
      <c r="D73">
        <v>1</v>
      </c>
    </row>
    <row r="74" spans="1:4" x14ac:dyDescent="0.2">
      <c r="A74" t="s">
        <v>285</v>
      </c>
      <c r="B74" s="154">
        <v>42520</v>
      </c>
      <c r="C74">
        <v>335.62757864000002</v>
      </c>
      <c r="D74">
        <v>1</v>
      </c>
    </row>
    <row r="75" spans="1:4" x14ac:dyDescent="0.2">
      <c r="A75" t="s">
        <v>286</v>
      </c>
      <c r="B75" s="154">
        <v>41824</v>
      </c>
      <c r="C75">
        <v>253.72994224000001</v>
      </c>
      <c r="D75">
        <v>1</v>
      </c>
    </row>
    <row r="76" spans="1:4" x14ac:dyDescent="0.2">
      <c r="A76" t="s">
        <v>287</v>
      </c>
      <c r="B76" s="154">
        <v>42349</v>
      </c>
      <c r="C76">
        <v>193.77286846000001</v>
      </c>
      <c r="D76">
        <v>1</v>
      </c>
    </row>
    <row r="77" spans="1:4" x14ac:dyDescent="0.2">
      <c r="A77" t="s">
        <v>288</v>
      </c>
      <c r="B77" s="154">
        <v>42520</v>
      </c>
      <c r="C77">
        <v>435.48899929999999</v>
      </c>
      <c r="D77">
        <v>1</v>
      </c>
    </row>
    <row r="78" spans="1:4" x14ac:dyDescent="0.2">
      <c r="A78" t="s">
        <v>289</v>
      </c>
      <c r="B78" s="154">
        <v>42312</v>
      </c>
      <c r="C78">
        <v>8236.4463907900008</v>
      </c>
      <c r="D78">
        <v>1</v>
      </c>
    </row>
    <row r="79" spans="1:4" x14ac:dyDescent="0.2">
      <c r="A79" t="s">
        <v>290</v>
      </c>
      <c r="B79" s="154">
        <v>40926</v>
      </c>
      <c r="C79">
        <v>1131.78</v>
      </c>
      <c r="D79">
        <v>1</v>
      </c>
    </row>
    <row r="80" spans="1:4" x14ac:dyDescent="0.2">
      <c r="A80" t="s">
        <v>95</v>
      </c>
      <c r="B80" s="154">
        <v>42107</v>
      </c>
      <c r="C80">
        <v>672.08047084999998</v>
      </c>
      <c r="D80">
        <v>1</v>
      </c>
    </row>
    <row r="81" spans="1:4" x14ac:dyDescent="0.2">
      <c r="A81" t="s">
        <v>97</v>
      </c>
      <c r="B81" s="154">
        <v>42305</v>
      </c>
      <c r="C81">
        <v>597.8558587</v>
      </c>
      <c r="D81">
        <v>1</v>
      </c>
    </row>
    <row r="82" spans="1:4" x14ac:dyDescent="0.2">
      <c r="A82" t="s">
        <v>291</v>
      </c>
      <c r="B82" s="154">
        <v>42032</v>
      </c>
      <c r="C82">
        <v>695.5143372</v>
      </c>
      <c r="D82">
        <v>1</v>
      </c>
    </row>
    <row r="83" spans="1:4" x14ac:dyDescent="0.2">
      <c r="A83" t="s">
        <v>292</v>
      </c>
      <c r="B83" s="154">
        <v>41411</v>
      </c>
      <c r="C83">
        <v>2240.63</v>
      </c>
      <c r="D83">
        <v>1</v>
      </c>
    </row>
    <row r="84" spans="1:4" x14ac:dyDescent="0.2">
      <c r="A84" t="s">
        <v>293</v>
      </c>
      <c r="B84" s="154">
        <v>42520</v>
      </c>
      <c r="C84">
        <v>82077.662416840001</v>
      </c>
      <c r="D84">
        <v>1</v>
      </c>
    </row>
    <row r="85" spans="1:4" x14ac:dyDescent="0.2">
      <c r="A85" t="s">
        <v>99</v>
      </c>
      <c r="B85" s="154">
        <v>39590</v>
      </c>
      <c r="C85">
        <v>42495.61</v>
      </c>
      <c r="D85">
        <v>1</v>
      </c>
    </row>
    <row r="86" spans="1:4" x14ac:dyDescent="0.2">
      <c r="A86" t="s">
        <v>294</v>
      </c>
      <c r="B86" s="154">
        <v>42048</v>
      </c>
      <c r="C86">
        <v>246.82307969999999</v>
      </c>
      <c r="D86">
        <v>1</v>
      </c>
    </row>
    <row r="87" spans="1:4" x14ac:dyDescent="0.2">
      <c r="A87" t="s">
        <v>295</v>
      </c>
      <c r="B87" s="154">
        <v>42122</v>
      </c>
      <c r="C87">
        <v>10462.682748179999</v>
      </c>
      <c r="D87">
        <v>1</v>
      </c>
    </row>
    <row r="88" spans="1:4" x14ac:dyDescent="0.2">
      <c r="A88" t="s">
        <v>296</v>
      </c>
      <c r="B88" s="154">
        <v>42122</v>
      </c>
      <c r="C88">
        <v>9914.4898120199996</v>
      </c>
      <c r="D88">
        <v>1</v>
      </c>
    </row>
    <row r="89" spans="1:4" x14ac:dyDescent="0.2">
      <c r="A89" t="s">
        <v>297</v>
      </c>
      <c r="B89" s="154">
        <v>42544</v>
      </c>
      <c r="C89">
        <v>177.14090324</v>
      </c>
      <c r="D89">
        <v>1</v>
      </c>
    </row>
    <row r="90" spans="1:4" x14ac:dyDescent="0.2">
      <c r="A90" t="s">
        <v>298</v>
      </c>
      <c r="B90" s="154">
        <v>39226</v>
      </c>
      <c r="C90">
        <v>30904.43</v>
      </c>
      <c r="D90">
        <v>1</v>
      </c>
    </row>
    <row r="91" spans="1:4" x14ac:dyDescent="0.2">
      <c r="A91" t="s">
        <v>299</v>
      </c>
      <c r="B91" s="154">
        <v>41655</v>
      </c>
      <c r="C91">
        <v>9348.2787054399996</v>
      </c>
      <c r="D91">
        <v>1</v>
      </c>
    </row>
    <row r="92" spans="1:4" x14ac:dyDescent="0.2">
      <c r="A92" t="s">
        <v>300</v>
      </c>
      <c r="B92" s="154">
        <v>41800</v>
      </c>
      <c r="C92">
        <v>210.35973263</v>
      </c>
      <c r="D92">
        <v>1</v>
      </c>
    </row>
    <row r="93" spans="1:4" x14ac:dyDescent="0.2">
      <c r="A93" t="s">
        <v>301</v>
      </c>
      <c r="B93" s="154">
        <v>42193</v>
      </c>
      <c r="C93">
        <v>3470.8482101700001</v>
      </c>
      <c r="D93">
        <v>1</v>
      </c>
    </row>
    <row r="94" spans="1:4" x14ac:dyDescent="0.2">
      <c r="A94" t="s">
        <v>302</v>
      </c>
      <c r="B94" s="154">
        <v>42122</v>
      </c>
      <c r="C94">
        <v>10348.20134439</v>
      </c>
      <c r="D94">
        <v>1</v>
      </c>
    </row>
    <row r="95" spans="1:4" x14ac:dyDescent="0.2">
      <c r="A95" t="s">
        <v>303</v>
      </c>
      <c r="B95" s="154">
        <v>42548</v>
      </c>
      <c r="C95">
        <v>10305.865100000001</v>
      </c>
      <c r="D95">
        <v>1</v>
      </c>
    </row>
    <row r="96" spans="1:4" x14ac:dyDescent="0.2">
      <c r="A96" t="s">
        <v>304</v>
      </c>
      <c r="B96" s="154">
        <v>42122</v>
      </c>
      <c r="C96">
        <v>26558.425318059999</v>
      </c>
      <c r="D96">
        <v>1</v>
      </c>
    </row>
    <row r="97" spans="1:4" x14ac:dyDescent="0.2">
      <c r="A97" t="s">
        <v>58</v>
      </c>
      <c r="B97" s="154">
        <v>42118</v>
      </c>
      <c r="C97">
        <v>26143.228642859998</v>
      </c>
      <c r="D97">
        <v>1</v>
      </c>
    </row>
    <row r="98" spans="1:4" x14ac:dyDescent="0.2">
      <c r="A98" t="s">
        <v>51</v>
      </c>
      <c r="B98" s="154">
        <v>42118</v>
      </c>
      <c r="C98">
        <v>27992.528654580001</v>
      </c>
      <c r="D98">
        <v>1</v>
      </c>
    </row>
    <row r="99" spans="1:4" x14ac:dyDescent="0.2">
      <c r="A99" t="s">
        <v>305</v>
      </c>
      <c r="B99" s="154">
        <v>40588</v>
      </c>
      <c r="C99">
        <v>24209.279999999999</v>
      </c>
      <c r="D99">
        <v>1</v>
      </c>
    </row>
    <row r="100" spans="1:4" x14ac:dyDescent="0.2">
      <c r="A100" t="s">
        <v>101</v>
      </c>
      <c r="B100" s="154">
        <v>42129</v>
      </c>
      <c r="C100">
        <v>431.46959335999998</v>
      </c>
      <c r="D100">
        <v>1</v>
      </c>
    </row>
    <row r="101" spans="1:4" x14ac:dyDescent="0.2">
      <c r="A101" t="s">
        <v>103</v>
      </c>
      <c r="B101" s="154">
        <v>42520</v>
      </c>
      <c r="C101">
        <v>635.35784243000001</v>
      </c>
      <c r="D101">
        <v>1</v>
      </c>
    </row>
    <row r="102" spans="1:4" x14ac:dyDescent="0.2">
      <c r="A102" t="s">
        <v>306</v>
      </c>
      <c r="B102" s="154">
        <v>41689</v>
      </c>
      <c r="C102">
        <v>10314.608568510001</v>
      </c>
      <c r="D102">
        <v>1</v>
      </c>
    </row>
    <row r="103" spans="1:4" x14ac:dyDescent="0.2">
      <c r="A103" t="s">
        <v>307</v>
      </c>
      <c r="B103" s="154">
        <v>42520</v>
      </c>
      <c r="C103">
        <v>335.45749834999998</v>
      </c>
      <c r="D103">
        <v>1</v>
      </c>
    </row>
    <row r="104" spans="1:4" x14ac:dyDescent="0.2">
      <c r="A104" t="s">
        <v>308</v>
      </c>
      <c r="B104" s="154">
        <v>41893</v>
      </c>
      <c r="C104">
        <v>83071.234493240001</v>
      </c>
      <c r="D104">
        <v>1</v>
      </c>
    </row>
    <row r="105" spans="1:4" x14ac:dyDescent="0.2">
      <c r="A105" t="s">
        <v>309</v>
      </c>
      <c r="B105" s="154">
        <v>42460</v>
      </c>
      <c r="C105">
        <v>664.66121383999996</v>
      </c>
      <c r="D105">
        <v>1</v>
      </c>
    </row>
    <row r="106" spans="1:4" x14ac:dyDescent="0.2">
      <c r="A106" t="s">
        <v>310</v>
      </c>
      <c r="B106" s="154">
        <v>38840</v>
      </c>
      <c r="C106">
        <v>2905.13</v>
      </c>
      <c r="D106">
        <v>1</v>
      </c>
    </row>
    <row r="107" spans="1:4" x14ac:dyDescent="0.2">
      <c r="A107" t="s">
        <v>311</v>
      </c>
      <c r="B107" s="154">
        <v>42312</v>
      </c>
      <c r="C107">
        <v>1204.3085317499999</v>
      </c>
      <c r="D107">
        <v>1</v>
      </c>
    </row>
    <row r="108" spans="1:4" x14ac:dyDescent="0.2">
      <c r="A108" t="s">
        <v>312</v>
      </c>
      <c r="B108" s="154">
        <v>42521</v>
      </c>
      <c r="C108">
        <v>12393.618495070001</v>
      </c>
      <c r="D108">
        <v>1</v>
      </c>
    </row>
    <row r="109" spans="1:4" x14ac:dyDescent="0.2">
      <c r="A109" t="s">
        <v>313</v>
      </c>
      <c r="B109" s="154">
        <v>40934</v>
      </c>
      <c r="C109">
        <v>2257.3200000000002</v>
      </c>
      <c r="D109">
        <v>1</v>
      </c>
    </row>
    <row r="110" spans="1:4" x14ac:dyDescent="0.2">
      <c r="A110" t="s">
        <v>60</v>
      </c>
      <c r="B110" s="154">
        <v>42118</v>
      </c>
      <c r="C110">
        <v>11199.97726648</v>
      </c>
      <c r="D110">
        <v>1</v>
      </c>
    </row>
    <row r="111" spans="1:4" x14ac:dyDescent="0.2">
      <c r="A111" t="s">
        <v>53</v>
      </c>
      <c r="B111" s="154">
        <v>42118</v>
      </c>
      <c r="C111">
        <v>12381.899096659999</v>
      </c>
      <c r="D111">
        <v>1</v>
      </c>
    </row>
    <row r="112" spans="1:4" x14ac:dyDescent="0.2">
      <c r="A112" t="s">
        <v>314</v>
      </c>
      <c r="B112" s="154">
        <v>42117</v>
      </c>
      <c r="C112">
        <v>12915.166717239999</v>
      </c>
      <c r="D112">
        <v>1</v>
      </c>
    </row>
    <row r="113" spans="1:4" x14ac:dyDescent="0.2">
      <c r="A113" t="s">
        <v>315</v>
      </c>
      <c r="B113" s="154">
        <v>42030</v>
      </c>
      <c r="C113">
        <v>42581.471937620001</v>
      </c>
      <c r="D113">
        <v>1</v>
      </c>
    </row>
    <row r="114" spans="1:4" x14ac:dyDescent="0.2">
      <c r="A114" t="s">
        <v>316</v>
      </c>
      <c r="B114" s="154">
        <v>42221</v>
      </c>
      <c r="C114">
        <v>5959.86148727</v>
      </c>
      <c r="D114">
        <v>1</v>
      </c>
    </row>
    <row r="115" spans="1:4" x14ac:dyDescent="0.2">
      <c r="A115" t="s">
        <v>72</v>
      </c>
      <c r="B115" s="154">
        <v>42195</v>
      </c>
      <c r="C115">
        <v>12613.61476217</v>
      </c>
      <c r="D115">
        <v>1</v>
      </c>
    </row>
    <row r="116" spans="1:4" x14ac:dyDescent="0.2">
      <c r="A116" t="s">
        <v>74</v>
      </c>
      <c r="B116" s="154">
        <v>39590</v>
      </c>
      <c r="C116">
        <v>42763.39</v>
      </c>
      <c r="D116">
        <v>1</v>
      </c>
    </row>
    <row r="117" spans="1:4" x14ac:dyDescent="0.2">
      <c r="A117" t="s">
        <v>76</v>
      </c>
      <c r="B117" s="154">
        <v>42054</v>
      </c>
      <c r="C117">
        <v>48680.69822084</v>
      </c>
      <c r="D117">
        <v>1</v>
      </c>
    </row>
    <row r="118" spans="1:4" x14ac:dyDescent="0.2">
      <c r="A118" t="s">
        <v>78</v>
      </c>
      <c r="B118" s="154">
        <v>42520</v>
      </c>
      <c r="C118">
        <v>82900.72771716</v>
      </c>
      <c r="D118">
        <v>1</v>
      </c>
    </row>
    <row r="119" spans="1:4" x14ac:dyDescent="0.2">
      <c r="A119" t="s">
        <v>317</v>
      </c>
      <c r="B119" s="154">
        <v>42464</v>
      </c>
      <c r="C119">
        <v>10970.434713459999</v>
      </c>
      <c r="D119">
        <v>1</v>
      </c>
    </row>
    <row r="120" spans="1:4" x14ac:dyDescent="0.2">
      <c r="A120" t="s">
        <v>318</v>
      </c>
      <c r="B120" s="154">
        <v>42104</v>
      </c>
      <c r="C120">
        <v>8893.6030994499997</v>
      </c>
      <c r="D120">
        <v>1</v>
      </c>
    </row>
    <row r="121" spans="1:4" x14ac:dyDescent="0.2">
      <c r="A121" t="s">
        <v>88</v>
      </c>
      <c r="B121" s="154">
        <v>41893</v>
      </c>
      <c r="C121">
        <v>95446.135778840006</v>
      </c>
      <c r="D121">
        <v>1</v>
      </c>
    </row>
    <row r="122" spans="1:4" x14ac:dyDescent="0.2">
      <c r="A122" t="s">
        <v>80</v>
      </c>
      <c r="B122" s="154">
        <v>42528</v>
      </c>
      <c r="C122">
        <v>19012.164133769998</v>
      </c>
      <c r="D122">
        <v>1</v>
      </c>
    </row>
    <row r="123" spans="1:4" x14ac:dyDescent="0.2">
      <c r="A123" t="s">
        <v>319</v>
      </c>
      <c r="B123" s="154">
        <v>42521</v>
      </c>
      <c r="C123">
        <v>502.95199658000001</v>
      </c>
      <c r="D123">
        <v>1</v>
      </c>
    </row>
    <row r="124" spans="1:4" x14ac:dyDescent="0.2">
      <c r="A124" t="s">
        <v>86</v>
      </c>
      <c r="B124" s="154">
        <v>41887</v>
      </c>
      <c r="C124">
        <v>12367.595227940001</v>
      </c>
      <c r="D124">
        <v>1</v>
      </c>
    </row>
    <row r="125" spans="1:4" x14ac:dyDescent="0.2">
      <c r="A125" t="s">
        <v>320</v>
      </c>
      <c r="B125" s="154">
        <v>42129</v>
      </c>
      <c r="C125">
        <v>6745.1506683999996</v>
      </c>
      <c r="D125">
        <v>1</v>
      </c>
    </row>
    <row r="126" spans="1:4" x14ac:dyDescent="0.2">
      <c r="A126" t="s">
        <v>82</v>
      </c>
      <c r="B126" s="154">
        <v>42117</v>
      </c>
      <c r="C126">
        <v>46982.462386940002</v>
      </c>
      <c r="D126">
        <v>1</v>
      </c>
    </row>
    <row r="127" spans="1:4" x14ac:dyDescent="0.2">
      <c r="A127" t="s">
        <v>84</v>
      </c>
      <c r="B127" s="154">
        <v>42222</v>
      </c>
      <c r="C127">
        <v>71088.506129760004</v>
      </c>
      <c r="D127">
        <v>1</v>
      </c>
    </row>
    <row r="128" spans="1:4" x14ac:dyDescent="0.2">
      <c r="A128" t="s">
        <v>321</v>
      </c>
      <c r="B128" s="154">
        <v>42118</v>
      </c>
      <c r="C128">
        <v>9587.6273460499997</v>
      </c>
      <c r="D128">
        <v>1</v>
      </c>
    </row>
    <row r="129" spans="1:4" x14ac:dyDescent="0.2">
      <c r="A129" t="s">
        <v>322</v>
      </c>
      <c r="B129" s="154">
        <v>42066</v>
      </c>
      <c r="C129">
        <v>2714.9080461899998</v>
      </c>
      <c r="D129">
        <v>1</v>
      </c>
    </row>
    <row r="130" spans="1:4" x14ac:dyDescent="0.2">
      <c r="A130" t="s">
        <v>323</v>
      </c>
      <c r="B130" s="154">
        <v>41887</v>
      </c>
      <c r="C130">
        <v>417.67220522999997</v>
      </c>
      <c r="D130">
        <v>1</v>
      </c>
    </row>
    <row r="131" spans="1:4" x14ac:dyDescent="0.2">
      <c r="A131" t="s">
        <v>324</v>
      </c>
      <c r="B131" s="154">
        <v>42117</v>
      </c>
      <c r="C131">
        <v>8514.8808759999993</v>
      </c>
      <c r="D131">
        <v>1</v>
      </c>
    </row>
    <row r="132" spans="1:4" x14ac:dyDescent="0.2">
      <c r="A132" t="s">
        <v>325</v>
      </c>
      <c r="B132" s="154">
        <v>42479</v>
      </c>
      <c r="C132">
        <v>63458.417149059998</v>
      </c>
      <c r="D132">
        <v>1</v>
      </c>
    </row>
    <row r="133" spans="1:4" x14ac:dyDescent="0.2">
      <c r="A133" t="s">
        <v>326</v>
      </c>
      <c r="B133" s="154">
        <v>42110</v>
      </c>
      <c r="C133">
        <v>45023.057854029998</v>
      </c>
      <c r="D133">
        <v>1</v>
      </c>
    </row>
    <row r="134" spans="1:4" x14ac:dyDescent="0.2">
      <c r="A134" t="s">
        <v>327</v>
      </c>
      <c r="B134" s="154">
        <v>42374</v>
      </c>
      <c r="C134">
        <v>1792.3439825099999</v>
      </c>
      <c r="D134">
        <v>1</v>
      </c>
    </row>
    <row r="135" spans="1:4" x14ac:dyDescent="0.2">
      <c r="A135" t="s">
        <v>190</v>
      </c>
      <c r="B135" s="154">
        <v>42303</v>
      </c>
      <c r="C135">
        <v>1035.8389392900001</v>
      </c>
      <c r="D135">
        <v>1</v>
      </c>
    </row>
    <row r="136" spans="1:4" x14ac:dyDescent="0.2">
      <c r="A136" t="s">
        <v>328</v>
      </c>
      <c r="B136" s="154">
        <v>39209</v>
      </c>
      <c r="C136">
        <v>910.48</v>
      </c>
      <c r="D136">
        <v>1</v>
      </c>
    </row>
    <row r="137" spans="1:4" x14ac:dyDescent="0.2">
      <c r="A137" t="s">
        <v>329</v>
      </c>
      <c r="B137" s="154">
        <v>42334</v>
      </c>
      <c r="C137">
        <v>5012.4318484900004</v>
      </c>
      <c r="D137">
        <v>1</v>
      </c>
    </row>
    <row r="138" spans="1:4" x14ac:dyDescent="0.2">
      <c r="A138" t="s">
        <v>330</v>
      </c>
      <c r="B138" s="154">
        <v>42520</v>
      </c>
      <c r="C138">
        <v>5225.9532321799998</v>
      </c>
      <c r="D138">
        <v>1</v>
      </c>
    </row>
    <row r="139" spans="1:4" x14ac:dyDescent="0.2">
      <c r="A139" t="s">
        <v>331</v>
      </c>
      <c r="B139" s="154">
        <v>42222</v>
      </c>
      <c r="C139">
        <v>1524.0086971600001</v>
      </c>
      <c r="D139">
        <v>1</v>
      </c>
    </row>
    <row r="140" spans="1:4" x14ac:dyDescent="0.2">
      <c r="A140" t="s">
        <v>332</v>
      </c>
      <c r="B140" s="154">
        <v>41492</v>
      </c>
      <c r="C140">
        <v>4293.55</v>
      </c>
      <c r="D140">
        <v>1</v>
      </c>
    </row>
    <row r="141" spans="1:4" x14ac:dyDescent="0.2">
      <c r="A141" t="s">
        <v>333</v>
      </c>
      <c r="B141" s="154">
        <v>41849</v>
      </c>
      <c r="C141">
        <v>92.959638409999997</v>
      </c>
      <c r="D141">
        <v>1</v>
      </c>
    </row>
    <row r="142" spans="1:4" x14ac:dyDescent="0.2">
      <c r="A142" t="s">
        <v>334</v>
      </c>
      <c r="B142" s="154">
        <v>41901</v>
      </c>
      <c r="C142">
        <v>131.8028965</v>
      </c>
      <c r="D142">
        <v>1</v>
      </c>
    </row>
    <row r="143" spans="1:4" x14ac:dyDescent="0.2">
      <c r="A143" t="s">
        <v>335</v>
      </c>
      <c r="B143" s="154">
        <v>41901</v>
      </c>
      <c r="C143">
        <v>76.32416241</v>
      </c>
      <c r="D143">
        <v>1</v>
      </c>
    </row>
    <row r="144" spans="1:4" x14ac:dyDescent="0.2">
      <c r="A144" t="s">
        <v>336</v>
      </c>
      <c r="B144" s="154">
        <v>41912</v>
      </c>
      <c r="C144">
        <v>106.4349371</v>
      </c>
      <c r="D144">
        <v>1</v>
      </c>
    </row>
    <row r="145" spans="1:4" x14ac:dyDescent="0.2">
      <c r="A145" t="s">
        <v>337</v>
      </c>
      <c r="B145" s="154">
        <v>42312</v>
      </c>
      <c r="C145">
        <v>49081.0138716</v>
      </c>
      <c r="D145">
        <v>1</v>
      </c>
    </row>
    <row r="146" spans="1:4" x14ac:dyDescent="0.2">
      <c r="A146" t="s">
        <v>338</v>
      </c>
      <c r="B146" s="154">
        <v>41849</v>
      </c>
      <c r="C146">
        <v>4781.8624027899996</v>
      </c>
      <c r="D146">
        <v>1</v>
      </c>
    </row>
    <row r="147" spans="1:4" x14ac:dyDescent="0.2">
      <c r="A147" t="s">
        <v>339</v>
      </c>
      <c r="B147" s="154">
        <v>42118</v>
      </c>
      <c r="C147">
        <v>55188.336977819999</v>
      </c>
      <c r="D147">
        <v>1</v>
      </c>
    </row>
    <row r="148" spans="1:4" x14ac:dyDescent="0.2">
      <c r="A148" t="s">
        <v>340</v>
      </c>
      <c r="B148" s="154">
        <v>42118</v>
      </c>
      <c r="C148">
        <v>12381.899096659999</v>
      </c>
      <c r="D148">
        <v>1</v>
      </c>
    </row>
    <row r="149" spans="1:4" x14ac:dyDescent="0.2">
      <c r="A149" t="s">
        <v>341</v>
      </c>
      <c r="B149" s="154">
        <v>41065</v>
      </c>
      <c r="C149">
        <v>1120.92</v>
      </c>
      <c r="D149">
        <v>1</v>
      </c>
    </row>
    <row r="150" spans="1:4" x14ac:dyDescent="0.2">
      <c r="A150" t="s">
        <v>342</v>
      </c>
      <c r="B150" s="154">
        <v>42122</v>
      </c>
      <c r="C150">
        <v>10462.682748179999</v>
      </c>
      <c r="D150">
        <v>1</v>
      </c>
    </row>
    <row r="151" spans="1:4" x14ac:dyDescent="0.2">
      <c r="A151" t="s">
        <v>343</v>
      </c>
      <c r="B151" s="154">
        <v>41849</v>
      </c>
      <c r="C151">
        <v>4482.8823280400002</v>
      </c>
      <c r="D151">
        <v>1</v>
      </c>
    </row>
    <row r="152" spans="1:4" x14ac:dyDescent="0.2">
      <c r="A152" t="s">
        <v>344</v>
      </c>
      <c r="B152" s="154">
        <v>42118</v>
      </c>
      <c r="C152">
        <v>11199.97726648</v>
      </c>
      <c r="D152">
        <v>1</v>
      </c>
    </row>
    <row r="153" spans="1:4" x14ac:dyDescent="0.2">
      <c r="A153" t="s">
        <v>345</v>
      </c>
      <c r="B153" s="154">
        <v>42195</v>
      </c>
      <c r="C153">
        <v>28365.040000000001</v>
      </c>
      <c r="D153">
        <v>1</v>
      </c>
    </row>
    <row r="154" spans="1:4" x14ac:dyDescent="0.2">
      <c r="A154" t="s">
        <v>346</v>
      </c>
      <c r="B154" s="154">
        <v>41967</v>
      </c>
      <c r="C154">
        <v>9721.7199999999993</v>
      </c>
      <c r="D154">
        <v>1</v>
      </c>
    </row>
    <row r="155" spans="1:4" x14ac:dyDescent="0.2">
      <c r="A155" t="s">
        <v>347</v>
      </c>
      <c r="B155" s="154">
        <v>42520</v>
      </c>
      <c r="C155">
        <v>13679.58</v>
      </c>
      <c r="D155">
        <v>1</v>
      </c>
    </row>
    <row r="156" spans="1:4" x14ac:dyDescent="0.2">
      <c r="A156" t="s">
        <v>348</v>
      </c>
      <c r="B156" s="154">
        <v>41929</v>
      </c>
      <c r="C156">
        <v>4841.3999999999996</v>
      </c>
      <c r="D156">
        <v>1</v>
      </c>
    </row>
    <row r="157" spans="1:4" x14ac:dyDescent="0.2">
      <c r="A157" t="s">
        <v>349</v>
      </c>
      <c r="B157" s="154">
        <v>41904</v>
      </c>
      <c r="C157">
        <v>4959.92</v>
      </c>
      <c r="D157">
        <v>1</v>
      </c>
    </row>
    <row r="158" spans="1:4" x14ac:dyDescent="0.2">
      <c r="A158" t="s">
        <v>350</v>
      </c>
      <c r="B158" s="154">
        <v>41904</v>
      </c>
      <c r="C158">
        <v>5684.71</v>
      </c>
      <c r="D158">
        <v>1</v>
      </c>
    </row>
    <row r="159" spans="1:4" x14ac:dyDescent="0.2">
      <c r="A159" t="s">
        <v>351</v>
      </c>
      <c r="B159" s="154">
        <v>42544</v>
      </c>
      <c r="C159">
        <v>20622.150000000001</v>
      </c>
      <c r="D159">
        <v>1</v>
      </c>
    </row>
    <row r="160" spans="1:4" x14ac:dyDescent="0.2">
      <c r="A160" t="s">
        <v>352</v>
      </c>
      <c r="B160" s="154">
        <v>41904</v>
      </c>
      <c r="C160">
        <v>4598.12</v>
      </c>
      <c r="D160">
        <v>1</v>
      </c>
    </row>
    <row r="161" spans="1:4" x14ac:dyDescent="0.2">
      <c r="A161" t="s">
        <v>353</v>
      </c>
      <c r="B161" s="154">
        <v>42146</v>
      </c>
      <c r="C161">
        <v>12996.36</v>
      </c>
      <c r="D161">
        <v>1</v>
      </c>
    </row>
    <row r="162" spans="1:4" x14ac:dyDescent="0.2">
      <c r="A162" t="s">
        <v>354</v>
      </c>
      <c r="B162" s="154">
        <v>41964</v>
      </c>
      <c r="C162">
        <v>7319.54</v>
      </c>
      <c r="D162">
        <v>1</v>
      </c>
    </row>
    <row r="163" spans="1:4" x14ac:dyDescent="0.2">
      <c r="A163" t="s">
        <v>355</v>
      </c>
      <c r="B163" s="154">
        <v>42193</v>
      </c>
      <c r="C163">
        <v>9363.98</v>
      </c>
      <c r="D163">
        <v>1</v>
      </c>
    </row>
    <row r="164" spans="1:4" x14ac:dyDescent="0.2">
      <c r="A164" t="s">
        <v>356</v>
      </c>
      <c r="B164" s="154">
        <v>41948</v>
      </c>
      <c r="C164">
        <v>15682.48</v>
      </c>
      <c r="D164">
        <v>1</v>
      </c>
    </row>
    <row r="165" spans="1:4" x14ac:dyDescent="0.2">
      <c r="A165" t="s">
        <v>357</v>
      </c>
      <c r="B165" s="154">
        <v>42520</v>
      </c>
      <c r="C165">
        <v>31469.57</v>
      </c>
      <c r="D165">
        <v>1</v>
      </c>
    </row>
    <row r="166" spans="1:4" x14ac:dyDescent="0.2">
      <c r="A166" t="s">
        <v>358</v>
      </c>
      <c r="B166" s="154">
        <v>42038</v>
      </c>
      <c r="C166">
        <v>14969.07</v>
      </c>
      <c r="D166">
        <v>1</v>
      </c>
    </row>
    <row r="167" spans="1:4" x14ac:dyDescent="0.2">
      <c r="A167" t="s">
        <v>359</v>
      </c>
      <c r="B167" s="154">
        <v>42460</v>
      </c>
      <c r="C167">
        <v>25683.33</v>
      </c>
      <c r="D167">
        <v>1</v>
      </c>
    </row>
    <row r="168" spans="1:4" x14ac:dyDescent="0.2">
      <c r="A168" t="s">
        <v>360</v>
      </c>
      <c r="B168" s="154">
        <v>42312</v>
      </c>
      <c r="C168">
        <v>46535.96</v>
      </c>
      <c r="D168">
        <v>1</v>
      </c>
    </row>
    <row r="169" spans="1:4" x14ac:dyDescent="0.2">
      <c r="A169" t="s">
        <v>361</v>
      </c>
      <c r="B169" s="154">
        <v>42521</v>
      </c>
      <c r="C169">
        <v>12168.93</v>
      </c>
      <c r="D169">
        <v>1</v>
      </c>
    </row>
    <row r="170" spans="1:4" x14ac:dyDescent="0.2">
      <c r="A170" t="s">
        <v>362</v>
      </c>
      <c r="B170" s="154">
        <v>42117</v>
      </c>
      <c r="C170">
        <v>27409.74</v>
      </c>
      <c r="D170">
        <v>1</v>
      </c>
    </row>
    <row r="171" spans="1:4" x14ac:dyDescent="0.2">
      <c r="A171" t="s">
        <v>363</v>
      </c>
      <c r="B171" s="154">
        <v>42030</v>
      </c>
      <c r="C171">
        <v>36618.99</v>
      </c>
      <c r="D171">
        <v>1</v>
      </c>
    </row>
    <row r="172" spans="1:4" x14ac:dyDescent="0.2">
      <c r="A172" t="s">
        <v>364</v>
      </c>
      <c r="B172" s="154">
        <v>42464</v>
      </c>
      <c r="C172">
        <v>28528.71</v>
      </c>
      <c r="D172">
        <v>1</v>
      </c>
    </row>
    <row r="173" spans="1:4" x14ac:dyDescent="0.2">
      <c r="A173" t="s">
        <v>365</v>
      </c>
      <c r="B173" s="154">
        <v>42104</v>
      </c>
      <c r="C173">
        <v>15204.51</v>
      </c>
      <c r="D173">
        <v>1</v>
      </c>
    </row>
    <row r="174" spans="1:4" x14ac:dyDescent="0.2">
      <c r="A174" t="s">
        <v>366</v>
      </c>
      <c r="B174" s="154">
        <v>42521</v>
      </c>
      <c r="C174">
        <v>69210.02</v>
      </c>
      <c r="D174">
        <v>1</v>
      </c>
    </row>
    <row r="175" spans="1:4" x14ac:dyDescent="0.2">
      <c r="A175" t="s">
        <v>367</v>
      </c>
      <c r="B175" s="154">
        <v>42129</v>
      </c>
      <c r="C175">
        <v>9003.7099999999991</v>
      </c>
      <c r="D175">
        <v>1</v>
      </c>
    </row>
    <row r="176" spans="1:4" x14ac:dyDescent="0.2">
      <c r="A176" t="s">
        <v>368</v>
      </c>
      <c r="B176" s="154">
        <v>42066</v>
      </c>
      <c r="C176">
        <v>7949.83</v>
      </c>
      <c r="D176">
        <v>1</v>
      </c>
    </row>
    <row r="177" spans="1:4" x14ac:dyDescent="0.2">
      <c r="A177" t="s">
        <v>369</v>
      </c>
      <c r="B177" s="154">
        <v>42122</v>
      </c>
      <c r="C177">
        <v>15553.66</v>
      </c>
      <c r="D177">
        <v>1</v>
      </c>
    </row>
    <row r="178" spans="1:4" x14ac:dyDescent="0.2">
      <c r="A178" t="s">
        <v>370</v>
      </c>
      <c r="B178" s="154">
        <v>42117</v>
      </c>
      <c r="C178">
        <v>11507.83</v>
      </c>
      <c r="D178">
        <v>1</v>
      </c>
    </row>
    <row r="179" spans="1:4" x14ac:dyDescent="0.2">
      <c r="A179" t="s">
        <v>371</v>
      </c>
      <c r="B179" s="154">
        <v>42479</v>
      </c>
      <c r="C179">
        <v>14993.59</v>
      </c>
      <c r="D179">
        <v>1</v>
      </c>
    </row>
    <row r="180" spans="1:4" x14ac:dyDescent="0.2">
      <c r="A180" t="s">
        <v>372</v>
      </c>
      <c r="B180" s="154">
        <v>42104</v>
      </c>
      <c r="C180">
        <v>14152.32</v>
      </c>
      <c r="D180">
        <v>1</v>
      </c>
    </row>
    <row r="181" spans="1:4" x14ac:dyDescent="0.2">
      <c r="A181" t="s">
        <v>373</v>
      </c>
      <c r="B181" s="154">
        <v>42374</v>
      </c>
      <c r="C181">
        <v>13453.03</v>
      </c>
      <c r="D181">
        <v>1</v>
      </c>
    </row>
    <row r="182" spans="1:4" x14ac:dyDescent="0.2">
      <c r="A182" t="s">
        <v>374</v>
      </c>
      <c r="B182" s="154">
        <v>42303</v>
      </c>
      <c r="C182">
        <v>7915.02</v>
      </c>
      <c r="D182">
        <v>1</v>
      </c>
    </row>
    <row r="183" spans="1:4" x14ac:dyDescent="0.2">
      <c r="A183" t="s">
        <v>375</v>
      </c>
      <c r="B183" s="154">
        <v>42310</v>
      </c>
      <c r="C183">
        <v>11222.21</v>
      </c>
      <c r="D183">
        <v>1</v>
      </c>
    </row>
    <row r="184" spans="1:4" x14ac:dyDescent="0.2">
      <c r="A184" t="s">
        <v>376</v>
      </c>
      <c r="B184" s="154">
        <v>42520</v>
      </c>
      <c r="C184">
        <v>11861.15</v>
      </c>
      <c r="D184">
        <v>1</v>
      </c>
    </row>
    <row r="185" spans="1:4" x14ac:dyDescent="0.2">
      <c r="A185" t="s">
        <v>377</v>
      </c>
      <c r="B185" s="154">
        <v>42222</v>
      </c>
      <c r="C185">
        <v>28083.96</v>
      </c>
      <c r="D185">
        <v>1</v>
      </c>
    </row>
    <row r="186" spans="1:4" x14ac:dyDescent="0.2">
      <c r="A186" t="s">
        <v>378</v>
      </c>
      <c r="B186" s="154">
        <v>41947</v>
      </c>
      <c r="C186">
        <v>7127.6</v>
      </c>
      <c r="D186">
        <v>1</v>
      </c>
    </row>
    <row r="187" spans="1:4" x14ac:dyDescent="0.2">
      <c r="A187" t="s">
        <v>379</v>
      </c>
      <c r="B187" s="154">
        <v>42195</v>
      </c>
      <c r="C187">
        <v>28365.040000000001</v>
      </c>
      <c r="D187">
        <v>1</v>
      </c>
    </row>
    <row r="188" spans="1:4" x14ac:dyDescent="0.2">
      <c r="A188" t="s">
        <v>380</v>
      </c>
      <c r="B188" s="154">
        <v>41904</v>
      </c>
      <c r="C188">
        <v>5480.24</v>
      </c>
      <c r="D188">
        <v>1</v>
      </c>
    </row>
    <row r="189" spans="1:4" x14ac:dyDescent="0.2">
      <c r="A189" t="s">
        <v>381</v>
      </c>
      <c r="B189" s="154">
        <v>42054</v>
      </c>
      <c r="C189">
        <v>10874.67</v>
      </c>
      <c r="D189">
        <v>1</v>
      </c>
    </row>
    <row r="190" spans="1:4" x14ac:dyDescent="0.2">
      <c r="A190" t="s">
        <v>382</v>
      </c>
      <c r="B190" s="154">
        <v>42520</v>
      </c>
      <c r="C190">
        <v>26408.99</v>
      </c>
      <c r="D190">
        <v>1</v>
      </c>
    </row>
    <row r="191" spans="1:4" x14ac:dyDescent="0.2">
      <c r="A191" t="s">
        <v>383</v>
      </c>
      <c r="B191" s="154">
        <v>42069</v>
      </c>
      <c r="C191">
        <v>31823.85</v>
      </c>
      <c r="D191">
        <v>1</v>
      </c>
    </row>
    <row r="192" spans="1:4" x14ac:dyDescent="0.2">
      <c r="A192" t="s">
        <v>384</v>
      </c>
      <c r="B192" s="154">
        <v>42528</v>
      </c>
      <c r="C192">
        <v>32092.58</v>
      </c>
      <c r="D192">
        <v>1</v>
      </c>
    </row>
    <row r="193" spans="1:4" x14ac:dyDescent="0.2">
      <c r="A193" t="s">
        <v>385</v>
      </c>
      <c r="B193" s="154">
        <v>42122</v>
      </c>
      <c r="C193">
        <v>13908.83</v>
      </c>
      <c r="D193">
        <v>1</v>
      </c>
    </row>
    <row r="194" spans="1:4" x14ac:dyDescent="0.2">
      <c r="A194" t="s">
        <v>386</v>
      </c>
      <c r="B194" s="154">
        <v>42117</v>
      </c>
      <c r="C194">
        <v>11227.41</v>
      </c>
      <c r="D194">
        <v>1</v>
      </c>
    </row>
    <row r="195" spans="1:4" x14ac:dyDescent="0.2">
      <c r="A195" t="s">
        <v>387</v>
      </c>
      <c r="B195" s="154">
        <v>42222</v>
      </c>
      <c r="C195">
        <v>26117.47</v>
      </c>
      <c r="D195">
        <v>1</v>
      </c>
    </row>
    <row r="196" spans="1:4" x14ac:dyDescent="0.2">
      <c r="A196" t="s">
        <v>388</v>
      </c>
      <c r="B196" s="154">
        <v>41904</v>
      </c>
      <c r="C196">
        <v>6904.09</v>
      </c>
      <c r="D196">
        <v>1</v>
      </c>
    </row>
    <row r="197" spans="1:4" x14ac:dyDescent="0.2">
      <c r="A197" t="s">
        <v>389</v>
      </c>
      <c r="B197" s="154">
        <v>42528</v>
      </c>
      <c r="C197">
        <v>20097.04</v>
      </c>
      <c r="D197">
        <v>1</v>
      </c>
    </row>
    <row r="198" spans="1:4" x14ac:dyDescent="0.2">
      <c r="A198" t="s">
        <v>390</v>
      </c>
      <c r="B198" s="154">
        <v>42118</v>
      </c>
      <c r="C198">
        <v>14632.12</v>
      </c>
      <c r="D198">
        <v>1</v>
      </c>
    </row>
    <row r="199" spans="1:4" x14ac:dyDescent="0.2">
      <c r="A199" t="s">
        <v>391</v>
      </c>
      <c r="B199" s="154">
        <v>42118</v>
      </c>
      <c r="C199">
        <v>17815.8</v>
      </c>
      <c r="D199">
        <v>1</v>
      </c>
    </row>
    <row r="200" spans="1:4" x14ac:dyDescent="0.2">
      <c r="A200" t="s">
        <v>392</v>
      </c>
      <c r="B200" s="154">
        <v>41904</v>
      </c>
      <c r="C200">
        <v>6817.36</v>
      </c>
      <c r="D200">
        <v>1</v>
      </c>
    </row>
    <row r="201" spans="1:4" x14ac:dyDescent="0.2">
      <c r="A201" t="s">
        <v>393</v>
      </c>
      <c r="B201" s="154">
        <v>42528</v>
      </c>
      <c r="C201">
        <v>18335.7</v>
      </c>
      <c r="D201">
        <v>1</v>
      </c>
    </row>
    <row r="202" spans="1:4" x14ac:dyDescent="0.2">
      <c r="A202" t="s">
        <v>394</v>
      </c>
      <c r="B202" s="154">
        <v>42117</v>
      </c>
      <c r="C202">
        <v>14678.45</v>
      </c>
      <c r="D202">
        <v>1</v>
      </c>
    </row>
    <row r="203" spans="1:4" x14ac:dyDescent="0.2">
      <c r="A203" t="s">
        <v>395</v>
      </c>
      <c r="B203" s="154">
        <v>42118</v>
      </c>
      <c r="C203">
        <v>16848.27</v>
      </c>
      <c r="D203">
        <v>1</v>
      </c>
    </row>
    <row r="204" spans="1:4" x14ac:dyDescent="0.2">
      <c r="A204" t="s">
        <v>396</v>
      </c>
      <c r="B204" s="154">
        <v>42328</v>
      </c>
      <c r="C204">
        <v>35615.594782250002</v>
      </c>
      <c r="D204">
        <v>1</v>
      </c>
    </row>
    <row r="205" spans="1:4" x14ac:dyDescent="0.2">
      <c r="A205" t="s">
        <v>397</v>
      </c>
      <c r="B205" s="154">
        <v>37469</v>
      </c>
      <c r="C205">
        <v>394.88</v>
      </c>
      <c r="D205">
        <v>1</v>
      </c>
    </row>
    <row r="206" spans="1:4" x14ac:dyDescent="0.2">
      <c r="A206" t="s">
        <v>398</v>
      </c>
      <c r="B206" s="154">
        <v>37469</v>
      </c>
      <c r="C206">
        <v>394.88</v>
      </c>
      <c r="D206">
        <v>1</v>
      </c>
    </row>
    <row r="207" spans="1:4" x14ac:dyDescent="0.2">
      <c r="A207" t="s">
        <v>399</v>
      </c>
      <c r="B207" s="154">
        <v>38665</v>
      </c>
      <c r="C207">
        <v>225.62</v>
      </c>
      <c r="D207">
        <v>1</v>
      </c>
    </row>
    <row r="208" spans="1:4" x14ac:dyDescent="0.2">
      <c r="A208" t="s">
        <v>400</v>
      </c>
      <c r="B208" s="154">
        <v>38665</v>
      </c>
      <c r="C208">
        <v>225.62</v>
      </c>
      <c r="D208">
        <v>1</v>
      </c>
    </row>
    <row r="209" spans="1:4" x14ac:dyDescent="0.2">
      <c r="A209" t="s">
        <v>401</v>
      </c>
      <c r="B209" s="154">
        <v>38624</v>
      </c>
      <c r="C209">
        <v>173.45</v>
      </c>
      <c r="D209">
        <v>1</v>
      </c>
    </row>
    <row r="210" spans="1:4" x14ac:dyDescent="0.2">
      <c r="A210" t="s">
        <v>402</v>
      </c>
      <c r="B210" s="154">
        <v>38624</v>
      </c>
      <c r="C210">
        <v>173.45</v>
      </c>
      <c r="D210">
        <v>1</v>
      </c>
    </row>
    <row r="211" spans="1:4" x14ac:dyDescent="0.2">
      <c r="A211" t="s">
        <v>403</v>
      </c>
      <c r="B211" s="154">
        <v>38027</v>
      </c>
      <c r="C211">
        <v>108.65</v>
      </c>
      <c r="D211">
        <v>1</v>
      </c>
    </row>
    <row r="212" spans="1:4" x14ac:dyDescent="0.2">
      <c r="A212" t="s">
        <v>404</v>
      </c>
      <c r="B212" s="154">
        <v>37757</v>
      </c>
      <c r="C212">
        <v>125</v>
      </c>
      <c r="D212">
        <v>1</v>
      </c>
    </row>
    <row r="213" spans="1:4" x14ac:dyDescent="0.2">
      <c r="A213" t="s">
        <v>405</v>
      </c>
      <c r="B213" s="154">
        <v>38006</v>
      </c>
      <c r="C213">
        <v>106.83</v>
      </c>
      <c r="D213">
        <v>1</v>
      </c>
    </row>
    <row r="214" spans="1:4" x14ac:dyDescent="0.2">
      <c r="A214" t="s">
        <v>406</v>
      </c>
      <c r="B214" s="154">
        <v>38715</v>
      </c>
      <c r="C214">
        <v>508.88</v>
      </c>
      <c r="D214">
        <v>1</v>
      </c>
    </row>
    <row r="215" spans="1:4" x14ac:dyDescent="0.2">
      <c r="A215" t="s">
        <v>407</v>
      </c>
      <c r="B215" s="154">
        <v>38715</v>
      </c>
      <c r="C215">
        <v>510.55</v>
      </c>
      <c r="D215">
        <v>1</v>
      </c>
    </row>
    <row r="216" spans="1:4" x14ac:dyDescent="0.2">
      <c r="A216" t="s">
        <v>408</v>
      </c>
      <c r="B216" s="154">
        <v>38260</v>
      </c>
      <c r="C216">
        <v>730.16</v>
      </c>
      <c r="D216">
        <v>1</v>
      </c>
    </row>
    <row r="217" spans="1:4" x14ac:dyDescent="0.2">
      <c r="A217" t="s">
        <v>409</v>
      </c>
      <c r="B217" s="154">
        <v>38716</v>
      </c>
      <c r="C217">
        <v>250.34</v>
      </c>
      <c r="D217">
        <v>1</v>
      </c>
    </row>
    <row r="218" spans="1:4" x14ac:dyDescent="0.2">
      <c r="A218" t="s">
        <v>410</v>
      </c>
      <c r="B218" s="154">
        <v>38716</v>
      </c>
      <c r="C218">
        <v>250.34</v>
      </c>
      <c r="D218">
        <v>1</v>
      </c>
    </row>
    <row r="219" spans="1:4" x14ac:dyDescent="0.2">
      <c r="A219" t="s">
        <v>411</v>
      </c>
      <c r="B219" s="154">
        <v>38713</v>
      </c>
      <c r="C219">
        <v>185.77</v>
      </c>
      <c r="D219">
        <v>1</v>
      </c>
    </row>
    <row r="220" spans="1:4" x14ac:dyDescent="0.2">
      <c r="A220" t="s">
        <v>412</v>
      </c>
      <c r="B220" s="154">
        <v>38713</v>
      </c>
      <c r="C220">
        <v>232.72</v>
      </c>
      <c r="D220">
        <v>1</v>
      </c>
    </row>
    <row r="221" spans="1:4" x14ac:dyDescent="0.2">
      <c r="A221" t="s">
        <v>413</v>
      </c>
      <c r="B221" s="154">
        <v>38713</v>
      </c>
      <c r="C221">
        <v>137.76</v>
      </c>
      <c r="D221">
        <v>1</v>
      </c>
    </row>
    <row r="222" spans="1:4" x14ac:dyDescent="0.2">
      <c r="A222" t="s">
        <v>414</v>
      </c>
      <c r="B222" s="154">
        <v>38713</v>
      </c>
      <c r="C222">
        <v>141.75</v>
      </c>
      <c r="D222">
        <v>1</v>
      </c>
    </row>
    <row r="223" spans="1:4" x14ac:dyDescent="0.2">
      <c r="A223" t="s">
        <v>415</v>
      </c>
      <c r="B223" s="154">
        <v>38370</v>
      </c>
      <c r="C223">
        <v>242.71</v>
      </c>
      <c r="D223">
        <v>1</v>
      </c>
    </row>
    <row r="224" spans="1:4" x14ac:dyDescent="0.2">
      <c r="A224" t="s">
        <v>416</v>
      </c>
      <c r="B224" s="154">
        <v>38706</v>
      </c>
      <c r="C224">
        <v>128.63</v>
      </c>
      <c r="D224">
        <v>1</v>
      </c>
    </row>
    <row r="225" spans="1:4" x14ac:dyDescent="0.2">
      <c r="A225" t="s">
        <v>417</v>
      </c>
      <c r="B225" s="154">
        <v>38705</v>
      </c>
      <c r="C225">
        <v>217.85</v>
      </c>
      <c r="D225">
        <v>1</v>
      </c>
    </row>
    <row r="226" spans="1:4" x14ac:dyDescent="0.2">
      <c r="A226" t="s">
        <v>418</v>
      </c>
      <c r="B226" s="154">
        <v>42129</v>
      </c>
      <c r="C226">
        <v>1211.2244297899999</v>
      </c>
      <c r="D226">
        <v>1</v>
      </c>
    </row>
    <row r="227" spans="1:4" x14ac:dyDescent="0.2">
      <c r="A227" t="s">
        <v>419</v>
      </c>
      <c r="B227" s="154">
        <v>42522</v>
      </c>
      <c r="C227">
        <v>529.22225323999999</v>
      </c>
      <c r="D227">
        <v>1</v>
      </c>
    </row>
    <row r="228" spans="1:4" x14ac:dyDescent="0.2">
      <c r="A228" t="s">
        <v>420</v>
      </c>
      <c r="B228" s="154">
        <v>39329</v>
      </c>
      <c r="C228">
        <v>321.83999999999997</v>
      </c>
      <c r="D228">
        <v>1</v>
      </c>
    </row>
    <row r="229" spans="1:4" x14ac:dyDescent="0.2">
      <c r="A229" t="s">
        <v>421</v>
      </c>
      <c r="B229" s="154">
        <v>40577</v>
      </c>
      <c r="C229">
        <v>493.46</v>
      </c>
      <c r="D229">
        <v>1</v>
      </c>
    </row>
    <row r="230" spans="1:4" x14ac:dyDescent="0.2">
      <c r="A230" t="s">
        <v>422</v>
      </c>
      <c r="B230" s="154">
        <v>39618</v>
      </c>
      <c r="C230">
        <v>303</v>
      </c>
      <c r="D230">
        <v>1</v>
      </c>
    </row>
    <row r="231" spans="1:4" x14ac:dyDescent="0.2">
      <c r="A231" t="s">
        <v>423</v>
      </c>
      <c r="B231" s="154">
        <v>39394</v>
      </c>
      <c r="C231">
        <v>363.69</v>
      </c>
      <c r="D231">
        <v>1</v>
      </c>
    </row>
    <row r="232" spans="1:4" x14ac:dyDescent="0.2">
      <c r="A232" t="s">
        <v>424</v>
      </c>
      <c r="B232" s="154">
        <v>40478</v>
      </c>
      <c r="C232">
        <v>148.34</v>
      </c>
      <c r="D232">
        <v>1</v>
      </c>
    </row>
    <row r="233" spans="1:4" x14ac:dyDescent="0.2">
      <c r="A233" t="s">
        <v>425</v>
      </c>
      <c r="B233" s="154">
        <v>42541</v>
      </c>
      <c r="C233">
        <v>1042.5</v>
      </c>
      <c r="D233">
        <v>1</v>
      </c>
    </row>
    <row r="234" spans="1:4" x14ac:dyDescent="0.2">
      <c r="A234" t="s">
        <v>426</v>
      </c>
      <c r="B234" s="154">
        <v>42227</v>
      </c>
      <c r="C234">
        <v>4757.8587041199999</v>
      </c>
      <c r="D234">
        <v>1</v>
      </c>
    </row>
    <row r="235" spans="1:4" x14ac:dyDescent="0.2">
      <c r="A235" t="s">
        <v>427</v>
      </c>
      <c r="B235" s="154">
        <v>42117</v>
      </c>
      <c r="C235">
        <v>143.21094002000001</v>
      </c>
      <c r="D235">
        <v>1</v>
      </c>
    </row>
    <row r="236" spans="1:4" x14ac:dyDescent="0.2">
      <c r="A236" t="s">
        <v>428</v>
      </c>
      <c r="B236" s="154">
        <v>39618</v>
      </c>
      <c r="C236">
        <v>562.29</v>
      </c>
      <c r="D236">
        <v>1</v>
      </c>
    </row>
    <row r="237" spans="1:4" x14ac:dyDescent="0.2">
      <c r="A237" t="s">
        <v>429</v>
      </c>
      <c r="B237" s="154">
        <v>39394</v>
      </c>
      <c r="C237">
        <v>363.69</v>
      </c>
      <c r="D237">
        <v>1</v>
      </c>
    </row>
    <row r="238" spans="1:4" x14ac:dyDescent="0.2">
      <c r="A238" t="s">
        <v>430</v>
      </c>
      <c r="B238" s="154">
        <v>42227</v>
      </c>
      <c r="C238">
        <v>4215.8333879900001</v>
      </c>
      <c r="D238">
        <v>1</v>
      </c>
    </row>
    <row r="239" spans="1:4" x14ac:dyDescent="0.2">
      <c r="A239" t="s">
        <v>431</v>
      </c>
      <c r="B239" s="154">
        <v>41277</v>
      </c>
      <c r="C239">
        <v>2807.39</v>
      </c>
      <c r="D239">
        <v>1</v>
      </c>
    </row>
    <row r="240" spans="1:4" x14ac:dyDescent="0.2">
      <c r="A240" t="s">
        <v>432</v>
      </c>
      <c r="B240" s="154">
        <v>41283</v>
      </c>
      <c r="C240">
        <v>2316.58</v>
      </c>
      <c r="D240">
        <v>1</v>
      </c>
    </row>
    <row r="241" spans="1:4" x14ac:dyDescent="0.2">
      <c r="A241" t="s">
        <v>433</v>
      </c>
      <c r="B241" s="154">
        <v>42117</v>
      </c>
      <c r="C241">
        <v>126.70832993</v>
      </c>
      <c r="D241">
        <v>1</v>
      </c>
    </row>
    <row r="242" spans="1:4" x14ac:dyDescent="0.2">
      <c r="A242" t="s">
        <v>434</v>
      </c>
      <c r="B242" s="154">
        <v>41281</v>
      </c>
      <c r="C242">
        <v>3365.22</v>
      </c>
      <c r="D242">
        <v>1</v>
      </c>
    </row>
    <row r="243" spans="1:4" x14ac:dyDescent="0.2">
      <c r="A243" t="s">
        <v>435</v>
      </c>
      <c r="B243" s="154">
        <v>42110</v>
      </c>
      <c r="C243">
        <v>522.89537319999999</v>
      </c>
      <c r="D243">
        <v>1</v>
      </c>
    </row>
    <row r="244" spans="1:4" x14ac:dyDescent="0.2">
      <c r="A244" t="s">
        <v>436</v>
      </c>
      <c r="B244" s="154">
        <v>42117</v>
      </c>
      <c r="C244">
        <v>650.14363865999997</v>
      </c>
      <c r="D244">
        <v>1</v>
      </c>
    </row>
    <row r="245" spans="1:4" x14ac:dyDescent="0.2">
      <c r="A245" t="s">
        <v>437</v>
      </c>
      <c r="B245" s="154">
        <v>42479</v>
      </c>
      <c r="C245">
        <v>517.55154836999998</v>
      </c>
      <c r="D245">
        <v>1</v>
      </c>
    </row>
    <row r="246" spans="1:4" x14ac:dyDescent="0.2">
      <c r="A246" t="s">
        <v>438</v>
      </c>
      <c r="B246" s="154">
        <v>42110</v>
      </c>
      <c r="C246">
        <v>419.85620591000003</v>
      </c>
      <c r="D246">
        <v>1</v>
      </c>
    </row>
    <row r="247" spans="1:4" x14ac:dyDescent="0.2">
      <c r="A247" t="s">
        <v>439</v>
      </c>
      <c r="B247" s="154">
        <v>41444</v>
      </c>
      <c r="C247">
        <v>1386.8</v>
      </c>
      <c r="D247">
        <v>1</v>
      </c>
    </row>
    <row r="248" spans="1:4" x14ac:dyDescent="0.2">
      <c r="A248" t="s">
        <v>440</v>
      </c>
      <c r="B248" s="154">
        <v>42030</v>
      </c>
      <c r="C248">
        <v>227.86509369000001</v>
      </c>
      <c r="D248">
        <v>1</v>
      </c>
    </row>
    <row r="249" spans="1:4" x14ac:dyDescent="0.2">
      <c r="A249" t="s">
        <v>441</v>
      </c>
      <c r="B249" s="154">
        <v>39604</v>
      </c>
      <c r="C249">
        <v>233.37</v>
      </c>
      <c r="D249">
        <v>1</v>
      </c>
    </row>
    <row r="250" spans="1:4" x14ac:dyDescent="0.2">
      <c r="A250" t="s">
        <v>442</v>
      </c>
      <c r="B250" s="154">
        <v>42339</v>
      </c>
      <c r="C250">
        <v>487.53221783999999</v>
      </c>
      <c r="D250">
        <v>1</v>
      </c>
    </row>
    <row r="251" spans="1:4" x14ac:dyDescent="0.2">
      <c r="A251" t="s">
        <v>443</v>
      </c>
      <c r="B251" s="154">
        <v>38866</v>
      </c>
      <c r="C251">
        <v>203.88</v>
      </c>
      <c r="D251">
        <v>1</v>
      </c>
    </row>
  </sheetData>
  <conditionalFormatting sqref="A1:A1048576">
    <cfRule type="duplicateValues" dxfId="1" priority="2"/>
  </conditionalFormatting>
  <conditionalFormatting sqref="I1:I104857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SEKeywords xmlns="a5d7cc70-31c1-4b2e-9a12-faea9898ee50" xsi:nil="true"/>
    <JSEDescription xmlns="a5d7cc70-31c1-4b2e-9a12-faea9898ee50" xsi:nil="true"/>
    <JSEDate xmlns="a5d7cc70-31c1-4b2e-9a12-faea9898ee50">2016-05-20T07:00:00+00:00</JSEDate>
    <j50c28d78dcf4727baa6c3ad504fae7e xmlns="a5d7cc70-31c1-4b2e-9a12-faea9898ee50">
      <Terms xmlns="http://schemas.microsoft.com/office/infopath/2007/PartnerControls"/>
    </j50c28d78dcf4727baa6c3ad504fae7e>
    <JSEDisplayPriority xmlns="a5d7cc70-31c1-4b2e-9a12-faea9898ee50" xsi:nil="true"/>
    <TaxCatchAll xmlns="a5d7cc70-31c1-4b2e-9a12-faea9898ee50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JSE Equity Market Profile" ma:contentTypeID="0x01010025A8B514A743974EAD575655CE6523733E0077EBB4F4FB920F40A087B26948238718" ma:contentTypeVersion="2" ma:contentTypeDescription="Create a new document." ma:contentTypeScope="" ma:versionID="0c3ce37046bec4c099d0c71364f142a1">
  <xsd:schema xmlns:xsd="http://www.w3.org/2001/XMLSchema" xmlns:xs="http://www.w3.org/2001/XMLSchema" xmlns:p="http://schemas.microsoft.com/office/2006/metadata/properties" xmlns:ns2="a5d7cc70-31c1-4b2e-9a12-faea9898ee50" targetNamespace="http://schemas.microsoft.com/office/2006/metadata/properties" ma:root="true" ma:fieldsID="5c4a87817bebb2150ac481245b80301f" ns2:_="">
    <xsd:import namespace="a5d7cc70-31c1-4b2e-9a12-faea9898ee50"/>
    <xsd:element name="properties">
      <xsd:complexType>
        <xsd:sequence>
          <xsd:element name="documentManagement">
            <xsd:complexType>
              <xsd:all>
                <xsd:element ref="ns2:JSEDescription" minOccurs="0"/>
                <xsd:element ref="ns2:JSEDate" minOccurs="0"/>
                <xsd:element ref="ns2:j50c28d78dcf4727baa6c3ad504fae7e" minOccurs="0"/>
                <xsd:element ref="ns2:TaxCatchAll" minOccurs="0"/>
                <xsd:element ref="ns2:TaxCatchAllLabel" minOccurs="0"/>
                <xsd:element ref="ns2:JSEKeywords" minOccurs="0"/>
                <xsd:element ref="ns2:JSEDisplayPrior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7cc70-31c1-4b2e-9a12-faea9898ee50" elementFormDefault="qualified">
    <xsd:import namespace="http://schemas.microsoft.com/office/2006/documentManagement/types"/>
    <xsd:import namespace="http://schemas.microsoft.com/office/infopath/2007/PartnerControls"/>
    <xsd:element name="JSEDescription" ma:index="8" nillable="true" ma:displayName="JSE Description" ma:internalName="JSEDescription">
      <xsd:simpleType>
        <xsd:restriction base="dms:Note">
          <xsd:maxLength value="255"/>
        </xsd:restriction>
      </xsd:simpleType>
    </xsd:element>
    <xsd:element name="JSEDate" ma:index="9" nillable="true" ma:displayName="JSE Date" ma:internalName="JSEDate">
      <xsd:simpleType>
        <xsd:restriction base="dms:DateTime"/>
      </xsd:simpleType>
    </xsd:element>
    <xsd:element name="j50c28d78dcf4727baa6c3ad504fae7e" ma:index="10" nillable="true" ma:taxonomy="true" ma:internalName="j50c28d78dcf4727baa6c3ad504fae7e" ma:taxonomyFieldName="JSENavigation" ma:displayName="JSE Navigation" ma:default="" ma:fieldId="{350c28d7-8dcf-4727-baa6-c3ad504fae7e}" ma:taxonomyMulti="true" ma:sspId="59ffe48a-255f-47f4-bc60-01130d519e5b" ma:termSetId="03c5023a-7540-4ebc-a12c-a911d60365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05b3ea50-81ed-432d-bdcf-e7540578ef79}" ma:internalName="TaxCatchAll" ma:showField="CatchAllData" ma:web="a5d7cc70-31c1-4b2e-9a12-faea9898e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05b3ea50-81ed-432d-bdcf-e7540578ef79}" ma:internalName="TaxCatchAllLabel" ma:readOnly="true" ma:showField="CatchAllDataLabel" ma:web="a5d7cc70-31c1-4b2e-9a12-faea9898e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SEKeywords" ma:index="14" nillable="true" ma:displayName="JSE Keywords" ma:internalName="JSEKeywords">
      <xsd:simpleType>
        <xsd:restriction base="dms:Text"/>
      </xsd:simpleType>
    </xsd:element>
    <xsd:element name="JSEDisplayPriority" ma:index="15" nillable="true" ma:displayName="JSE Display Priority Board" ma:internalName="JSEDisplayPriority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0C54F4-B7C9-4F19-972C-E732F0124192}"/>
</file>

<file path=customXml/itemProps2.xml><?xml version="1.0" encoding="utf-8"?>
<ds:datastoreItem xmlns:ds="http://schemas.openxmlformats.org/officeDocument/2006/customXml" ds:itemID="{F1C8CD24-9B12-49AB-A190-DE880ED78E61}"/>
</file>

<file path=customXml/itemProps3.xml><?xml version="1.0" encoding="utf-8"?>
<ds:datastoreItem xmlns:ds="http://schemas.openxmlformats.org/officeDocument/2006/customXml" ds:itemID="{8602E086-95F8-4243-BFFD-2E31F586C6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MarketProfile</vt:lpstr>
      <vt:lpstr>Data</vt:lpstr>
      <vt:lpstr>Sheet3</vt:lpstr>
      <vt:lpstr>Sheet4</vt:lpstr>
      <vt:lpstr>Sheet5</vt:lpstr>
      <vt:lpstr>Sheet6</vt:lpstr>
      <vt:lpstr>IRD</vt:lpstr>
      <vt:lpstr>Sheet7</vt:lpstr>
    </vt:vector>
  </TitlesOfParts>
  <Company>JSE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JSE Markets' Profile 20170831</dc:title>
  <dc:creator>rapelangm</dc:creator>
  <cp:lastModifiedBy>Julia Maluleka</cp:lastModifiedBy>
  <cp:lastPrinted>2017-09-05T09:38:32Z</cp:lastPrinted>
  <dcterms:created xsi:type="dcterms:W3CDTF">2009-10-22T12:59:48Z</dcterms:created>
  <dcterms:modified xsi:type="dcterms:W3CDTF">2017-09-05T09:39:26Z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0x01010025A8B514A743974EAD575655CE6523733E0077EBB4F4FB920F40A087B26948238718</vt:lpwstr>
  </property>
  <property fmtid="{D5CDD505-2E9C-101B-9397-08002B2CF9AE}" pid="3" name="JSENavigation">
    <vt:lpwstr/>
  </property>
</Properties>
</file>