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September Market Profile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iterateDelta="1" calcOnSave="0"/>
</workbook>
</file>

<file path=xl/calcChain.xml><?xml version="1.0" encoding="utf-8"?>
<calcChain xmlns="http://schemas.openxmlformats.org/spreadsheetml/2006/main">
  <c r="C232" i="1" l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198" i="1" l="1"/>
  <c r="E201" i="1"/>
  <c r="D202" i="1"/>
  <c r="C202" i="1"/>
  <c r="E200" i="1"/>
  <c r="E197" i="1"/>
  <c r="B202" i="1"/>
  <c r="A181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7" i="1"/>
  <c r="E227" i="1" s="1"/>
  <c r="C226" i="1"/>
  <c r="E226" i="1" s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F491" i="1" l="1"/>
  <c r="E31" i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G65" i="1" l="1"/>
  <c r="G101" i="1"/>
  <c r="I65" i="1"/>
  <c r="I101" i="1"/>
  <c r="F65" i="1"/>
  <c r="F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C22" i="6"/>
  <c r="B22" i="6"/>
  <c r="D22" i="6" s="1"/>
  <c r="C33" i="6"/>
  <c r="B33" i="6"/>
  <c r="D33" i="6" s="1"/>
  <c r="C54" i="6"/>
  <c r="B54" i="6"/>
  <c r="C64" i="6"/>
  <c r="B64" i="6"/>
  <c r="E64" i="6"/>
  <c r="F64" i="6" s="1"/>
  <c r="E54" i="6"/>
  <c r="E43" i="6"/>
  <c r="F43" i="6" s="1"/>
  <c r="E33" i="6"/>
  <c r="E22" i="6"/>
  <c r="F22" i="6" s="1"/>
  <c r="D43" i="6"/>
  <c r="E12" i="6"/>
  <c r="D12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<sst xmlns="http://schemas.openxmlformats.org/spreadsheetml/2006/main" count="2502" uniqueCount="668">
  <si>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</si>
  <si>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</si>
  <si>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</si>
  <si>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</si>
  <si>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</si>
  <si>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</si>
  <si>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</si>
  <si>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</si>
  <si>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</si>
  <si>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</si>
  <si>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</si>
  <si>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</si>
  <si>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</si>
  <si>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</si>
  <si>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</si>
  <si>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</si>
  <si>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</si>
  <si>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</si>
  <si>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</si>
  <si>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</si>
  <si>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</si>
  <si>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</si>
  <si>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</si>
  <si>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</si>
  <si>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</si>
  <si>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</si>
  <si>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</si>
  <si>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</si>
  <si>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</si>
  <si>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</si>
  <si>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</si>
  <si>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</si>
  <si>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</si>
  <si>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</si>
  <si>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</si>
  <si>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</si>
  <si>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</si>
  <si>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</si>
  <si>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</si>
  <si>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</si>
  <si>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</si>
  <si>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</si>
  <si>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</si>
  <si>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</si>
  <si>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</si>
  <si>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</si>
  <si>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</si>
  <si>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</si>
  <si>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</si>
  <si>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</si>
  <si>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</si>
  <si>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</si>
  <si>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</si>
  <si>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</si>
  <si>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</si>
  <si>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</si>
  <si>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</si>
  <si>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</si>
  <si>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</si>
  <si>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</si>
  <si>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</si>
  <si>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</si>
  <si>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</si>
  <si>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</si>
  <si>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</si>
  <si>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</si>
  <si>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</si>
  <si>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</si>
  <si>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</si>
  <si>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</si>
  <si>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</si>
  <si>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</si>
  <si>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</si>
  <si>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</si>
  <si>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</si>
  <si>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</si>
  <si>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</si>
  <si>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</si>
  <si>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</si>
  <si>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</si>
  <si>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</si>
  <si>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</si>
  <si>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</si>
  <si>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</si>
  <si>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</si>
  <si>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</si>
  <si>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</si>
  <si>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</si>
  <si>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</si>
  <si>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</si>
  <si>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</si>
  <si>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</si>
  <si>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</si>
  <si>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</si>
  <si>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</si>
  <si>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</si>
  <si>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</si>
  <si>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</si>
  <si>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</si>
  <si>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</si>
  <si>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</si>
  <si>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</si>
  <si>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</si>
  <si>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</si>
  <si>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</si>
  <si>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</si>
  <si>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</si>
  <si>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</si>
  <si>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</si>
  <si>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</si>
  <si>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</si>
  <si>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</si>
  <si>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</si>
  <si>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</si>
  <si>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</si>
  <si>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</si>
  <si>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</si>
  <si>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</si>
  <si>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</si>
  <si>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</si>
  <si>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</si>
  <si>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</si>
  <si>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</si>
  <si>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</si>
  <si>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</si>
  <si>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</si>
  <si>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</si>
  <si>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</si>
  <si>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</si>
  <si>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</si>
  <si>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</si>
  <si>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</si>
  <si>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</si>
  <si>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</si>
  <si>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</si>
  <si>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</si>
  <si>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</si>
  <si>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</si>
  <si>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</si>
  <si>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</si>
  <si>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</si>
  <si>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</si>
  <si>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</si>
  <si>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</si>
  <si>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</si>
  <si>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</si>
  <si>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</si>
  <si>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</si>
  <si>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</si>
  <si>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</si>
  <si>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</si>
  <si>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</si>
  <si>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</si>
  <si>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</si>
  <si>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</si>
  <si>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</si>
  <si>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</si>
  <si>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</si>
  <si>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</si>
  <si>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</si>
  <si>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</si>
  <si>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</si>
  <si>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</si>
  <si>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</si>
  <si>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</si>
  <si>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</si>
  <si>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</si>
  <si>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</si>
  <si>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</si>
  <si>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</si>
  <si>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</si>
  <si>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</si>
  <si>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</si>
  <si>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</si>
  <si>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</si>
  <si>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</si>
  <si>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</si>
  <si>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</si>
  <si>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</si>
  <si>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</si>
  <si>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</si>
  <si>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</si>
  <si>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</si>
  <si>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</si>
  <si>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</si>
  <si>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</si>
  <si>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</si>
  <si>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</si>
  <si>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</si>
  <si>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</si>
  <si>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</si>
  <si>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</si>
  <si>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</si>
  <si>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</si>
  <si>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</si>
  <si>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</si>
  <si>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</si>
  <si>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</si>
  <si>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</si>
  <si>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</si>
  <si>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</si>
  <si>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</si>
  <si>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</si>
  <si>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</si>
  <si>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</si>
  <si>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</si>
  <si>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</si>
  <si>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</si>
  <si>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</si>
  <si>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</si>
  <si>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</si>
  <si>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</si>
  <si>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</si>
  <si>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</si>
  <si>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</si>
  <si>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</si>
  <si>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</si>
  <si>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</si>
  <si>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</si>
  <si>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</si>
  <si>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</si>
  <si>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</si>
  <si>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</si>
  <si>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</si>
  <si>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</si>
  <si>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</si>
  <si>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</si>
  <si>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</si>
  <si>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</si>
  <si>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</si>
  <si>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</si>
  <si>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</si>
  <si>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</si>
  <si>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</si>
  <si>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</si>
  <si>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</si>
  <si>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</si>
  <si>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</si>
  <si>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</si>
  <si>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</si>
  <si>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</si>
  <si>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</si>
  <si>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</si>
  <si>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</si>
  <si>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</si>
  <si>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</si>
  <si>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</si>
  <si>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</si>
  <si>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</si>
  <si>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</si>
  <si>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</si>
  <si>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</si>
  <si>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</si>
  <si>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</si>
  <si>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</si>
  <si>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</si>
  <si>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</si>
  <si>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</si>
  <si>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</si>
  <si>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</si>
  <si>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</si>
  <si>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</si>
  <si>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</si>
  <si>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</si>
  <si>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</si>
  <si>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</si>
  <si>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</si>
  <si>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</si>
  <si>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</si>
  <si>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</si>
  <si>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</si>
  <si>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</si>
  <si>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</si>
  <si>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</si>
  <si>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</si>
  <si>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</si>
  <si>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</si>
  <si>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</si>
  <si>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</si>
  <si>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</si>
  <si>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</si>
  <si>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</si>
  <si>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</si>
  <si>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</si>
  <si>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</si>
  <si>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</si>
  <si>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</si>
  <si>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</si>
  <si>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</si>
  <si>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</si>
  <si>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</si>
  <si>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</si>
  <si>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</si>
  <si>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</si>
  <si>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</si>
  <si>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</si>
  <si>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</si>
  <si>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</si>
  <si>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</si>
  <si>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</si>
  <si>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</si>
  <si>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</si>
  <si>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</si>
  <si>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</si>
  <si>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</si>
  <si>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</si>
  <si>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</si>
  <si>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</si>
  <si>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</si>
  <si>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</si>
  <si>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</si>
  <si>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</si>
  <si>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</si>
  <si>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</si>
  <si>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</si>
  <si>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</si>
  <si>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</si>
  <si>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</si>
  <si>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</si>
  <si>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</si>
  <si>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</si>
  <si>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</si>
  <si>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</si>
  <si>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</si>
  <si>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</si>
  <si>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</si>
  <si>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</si>
  <si>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</si>
  <si>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</si>
  <si>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</si>
  <si>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</si>
  <si>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</si>
  <si>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</si>
  <si>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</si>
  <si>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</si>
  <si>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</si>
  <si>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</si>
  <si>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</si>
  <si>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</si>
  <si>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</si>
  <si>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</si>
  <si>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</si>
  <si>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</si>
  <si>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</si>
  <si>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</si>
  <si>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</si>
  <si>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</si>
  <si>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</si>
  <si>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</si>
  <si>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</si>
  <si>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</si>
  <si>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</si>
  <si>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</si>
  <si>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</si>
  <si>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</si>
  <si>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</si>
  <si>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</si>
  <si>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</si>
  <si>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</si>
  <si>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</si>
  <si>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</si>
  <si>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</si>
  <si>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</si>
  <si>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</si>
  <si>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</si>
  <si>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</si>
  <si>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</si>
  <si>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</si>
  <si>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</si>
  <si>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</si>
  <si>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</si>
  <si>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</si>
  <si>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</si>
  <si>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</si>
  <si>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</si>
  <si>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</si>
  <si>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</si>
  <si>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</si>
  <si>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</si>
  <si>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</si>
  <si>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</si>
  <si>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</si>
  <si>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</si>
  <si>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</si>
  <si>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</si>
  <si>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</si>
  <si>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</si>
  <si>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</si>
  <si>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</si>
  <si>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</si>
  <si>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</si>
  <si>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</si>
  <si>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</si>
  <si>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</si>
  <si>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</si>
  <si>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</si>
  <si>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</si>
  <si>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</si>
  <si>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</si>
  <si>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</si>
  <si>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</si>
  <si>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</si>
  <si>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</si>
  <si>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</si>
  <si>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</si>
  <si>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</si>
  <si>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</si>
  <si>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</si>
  <si>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</si>
  <si>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</si>
  <si>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</si>
  <si>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</si>
  <si>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</si>
  <si>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</si>
  <si>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</si>
  <si>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</si>
  <si>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</si>
  <si>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</si>
  <si>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</si>
  <si>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</si>
  <si>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</si>
  <si>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</si>
  <si>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</si>
  <si>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</si>
  <si>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</si>
  <si>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</si>
  <si>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</si>
  <si>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</si>
  <si>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</si>
  <si>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</si>
  <si>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</si>
  <si>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</si>
  <si>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</si>
  <si>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</si>
  <si>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</si>
  <si>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</si>
  <si>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</si>
  <si>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</si>
  <si>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</si>
  <si>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</si>
  <si>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</si>
  <si>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</si>
  <si>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</si>
  <si>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</si>
  <si>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</si>
  <si>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</si>
  <si>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</si>
  <si>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</si>
  <si>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</si>
  <si>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</si>
  <si>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</si>
  <si>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</si>
  <si>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</si>
  <si>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</si>
  <si>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</si>
  <si>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</si>
  <si>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</si>
  <si>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</si>
  <si>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</si>
  <si>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</si>
  <si>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</si>
  <si>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</si>
  <si>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</si>
  <si>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</si>
  <si>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</si>
  <si>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</si>
  <si>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</si>
  <si>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</si>
  <si>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</si>
  <si>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</si>
  <si>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</si>
  <si>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</si>
  <si>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</si>
  <si>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</si>
  <si>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</si>
  <si>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</si>
  <si>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</si>
  <si>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</si>
  <si>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</si>
  <si>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</si>
  <si>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</si>
  <si>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</si>
  <si>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</si>
  <si>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</si>
  <si>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</si>
  <si>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</si>
  <si>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</si>
  <si>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</si>
  <si>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</si>
  <si>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</si>
  <si>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</si>
  <si>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</si>
  <si>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</si>
  <si>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</si>
  <si>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</si>
  <si>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</si>
  <si>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</si>
  <si>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</si>
  <si>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</si>
  <si>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</si>
  <si>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</si>
  <si>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</si>
  <si>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</si>
  <si>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</si>
  <si>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</si>
  <si>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</si>
  <si>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</si>
  <si>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</si>
  <si>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</si>
  <si>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</si>
  <si>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</si>
  <si>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</si>
  <si>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</si>
  <si>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</si>
  <si>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</si>
  <si>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</si>
  <si>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</si>
  <si>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</si>
  <si>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</si>
  <si>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</si>
  <si>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</si>
  <si>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</si>
  <si>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</si>
  <si>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</si>
  <si>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</si>
  <si>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</si>
  <si>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</si>
  <si>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</si>
  <si>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</si>
  <si>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</si>
  <si>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</si>
  <si>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</si>
  <si>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</si>
  <si>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</si>
  <si>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</si>
  <si>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</si>
  <si>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</si>
  <si>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</si>
  <si>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</si>
  <si>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</si>
  <si>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</si>
  <si>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</si>
  <si>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</si>
  <si>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</si>
  <si>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</si>
  <si>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</si>
  <si>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</si>
  <si>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</si>
  <si>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</si>
  <si>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</si>
  <si>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</si>
  <si>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</si>
  <si>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</si>
  <si>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</si>
  <si>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J205</t>
  </si>
  <si>
    <t>J206</t>
  </si>
  <si>
    <t>J311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</si>
  <si>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</si>
  <si>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</si>
  <si>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</si>
  <si>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</si>
  <si>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</si>
  <si>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</si>
  <si>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</si>
  <si>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</si>
  <si>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</si>
  <si>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</si>
  <si>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</si>
  <si>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</si>
  <si>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</si>
  <si>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</si>
  <si>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</si>
  <si>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</si>
  <si>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</si>
  <si>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</si>
  <si>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</si>
  <si>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</si>
  <si>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</si>
  <si>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</si>
  <si>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</si>
  <si>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</si>
  <si>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</si>
  <si>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</si>
  <si>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</si>
  <si>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</si>
  <si>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</si>
  <si>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</si>
  <si>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</si>
  <si>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</si>
  <si>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</si>
  <si>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</si>
  <si>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</si>
  <si>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</si>
  <si>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</si>
  <si>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</si>
  <si>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</si>
  <si>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</si>
  <si>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</si>
  <si>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</si>
  <si>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</si>
  <si>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</si>
  <si>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</si>
  <si>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</si>
  <si>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QUANTO GOLD COMMODITY CAN-DO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</si>
  <si>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</si>
  <si>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</si>
  <si>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</si>
  <si>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</si>
  <si>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</si>
  <si>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</si>
  <si>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</si>
  <si>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WHITE MAIZE</t>
  </si>
  <si>
    <t>RAND DOLLAR CORN</t>
  </si>
  <si>
    <t>WHITE MAIZE GRADE 2 FUTURE</t>
  </si>
  <si>
    <t>QUANTO SOYBEAN CALANDER SPREAD COMMODITY CANDO</t>
  </si>
  <si>
    <t>QUANTO SOYBEAN MEAL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</si>
  <si>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</si>
  <si>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</si>
  <si>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</si>
  <si>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</si>
  <si>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</si>
  <si>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</si>
  <si>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</si>
  <si>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</si>
  <si>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</si>
  <si>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</si>
  <si>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</si>
  <si>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</si>
  <si>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</si>
  <si>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</si>
  <si>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</si>
  <si>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</si>
  <si>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</si>
  <si>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</si>
  <si>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</si>
  <si>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</si>
  <si>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</si>
  <si>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</si>
  <si>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</si>
  <si>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</si>
  <si>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</si>
  <si>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</si>
  <si>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</si>
  <si>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</si>
  <si>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</si>
  <si>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</si>
  <si>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</si>
  <si>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</si>
  <si>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</si>
  <si>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</si>
  <si>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</si>
  <si>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</si>
  <si>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</si>
  <si>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</si>
  <si>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</si>
  <si>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</si>
  <si>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</si>
  <si>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</si>
  <si>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2017/09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</si>
  <si>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</si>
  <si>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</si>
  <si>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</si>
  <si>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</si>
  <si>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</si>
  <si>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</si>
  <si>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</si>
  <si>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</si>
  <si>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77.55%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</si>
</sst>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  <numFmt numFmtId="171" formatCode="0.0%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8">
    <xf numFmtId="0" fontId="0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5">
    <xf numFmtId="0" fontId="0" fillId="0" borderId="0" xfId="0"/>
    <xf numFmtId="0" fontId="20" fillId="0" borderId="0" xfId="0" applyFont="1"/>
    <xf numFmtId="43" fontId="0" fillId="0" borderId="0" xfId="1" applyFont="1"/>
    <xf numFmtId="165" fontId="0" fillId="0" borderId="0" xfId="1" applyNumberFormat="1" applyFont="1"/>
    <xf numFmtId="165" fontId="20" fillId="0" borderId="0" xfId="1" applyNumberFormat="1" applyFont="1"/>
    <xf numFmtId="43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3" fillId="0" borderId="0" xfId="0" applyNumberFormat="1" applyFont="1"/>
    <xf numFmtId="0" fontId="21" fillId="0" borderId="0" xfId="0" applyFont="1"/>
    <xf numFmtId="165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43" fontId="0" fillId="0" borderId="0" xfId="0" applyNumberFormat="1"/>
    <xf numFmtId="0" fontId="25" fillId="0" borderId="0" xfId="0" applyFont="1"/>
    <xf numFmtId="167" fontId="17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5" fontId="0" fillId="0" borderId="0" xfId="0" applyNumberFormat="1" applyFont="1"/>
    <xf numFmtId="0" fontId="0" fillId="0" borderId="0" xfId="0" applyFont="1"/>
    <xf numFmtId="165" fontId="16" fillId="0" borderId="0" xfId="0" applyNumberFormat="1" applyFont="1" applyFill="1"/>
    <xf numFmtId="3" fontId="17" fillId="0" borderId="0" xfId="0" applyNumberFormat="1" applyFont="1"/>
    <xf numFmtId="165" fontId="21" fillId="0" borderId="0" xfId="0" applyNumberFormat="1" applyFont="1" applyFill="1"/>
    <xf numFmtId="165" fontId="0" fillId="0" borderId="0" xfId="0" applyNumberFormat="1" applyFont="1" applyFill="1"/>
    <xf numFmtId="165" fontId="20" fillId="0" borderId="0" xfId="0" applyNumberFormat="1" applyFont="1"/>
    <xf numFmtId="0" fontId="20" fillId="0" borderId="0" xfId="0" applyFont="1"/>
    <xf numFmtId="0" fontId="23" fillId="0" borderId="0" xfId="0" applyFont="1"/>
    <xf numFmtId="165" fontId="17" fillId="0" borderId="0" xfId="0" applyNumberFormat="1" applyFont="1"/>
    <xf numFmtId="166" fontId="0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165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6" fillId="0" borderId="0" xfId="0" applyNumberFormat="1" applyFont="1"/>
    <xf numFmtId="165" fontId="21" fillId="0" borderId="0" xfId="0" applyNumberFormat="1" applyFont="1"/>
    <xf numFmtId="166" fontId="21" fillId="0" borderId="0" xfId="0" applyNumberFormat="1" applyFont="1"/>
    <xf numFmtId="0" fontId="45" fillId="0" borderId="0" xfId="0" applyFont="1"/>
    <xf numFmtId="166" fontId="0" fillId="0" borderId="0" xfId="0" applyNumberFormat="1" applyFont="1" applyAlignment="1">
      <alignment horizontal="right"/>
    </xf>
    <xf numFmtId="165" fontId="45" fillId="0" borderId="0" xfId="0" applyNumberFormat="1" applyFont="1"/>
    <xf numFmtId="165" fontId="44" fillId="0" borderId="0" xfId="0" applyNumberFormat="1" applyFont="1"/>
    <xf numFmtId="0" fontId="20" fillId="0" borderId="0" xfId="0" applyFont="1"/>
    <xf numFmtId="166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5" fontId="0" fillId="0" borderId="0" xfId="0" applyNumberFormat="1" applyFont="1"/>
    <xf numFmtId="165" fontId="16" fillId="0" borderId="0" xfId="1" applyNumberFormat="1" applyFont="1"/>
    <xf numFmtId="0" fontId="20" fillId="0" borderId="0" xfId="0" applyFont="1"/>
    <xf numFmtId="0" fontId="20" fillId="0" borderId="0" xfId="0" applyFont="1"/>
    <xf numFmtId="165" fontId="23" fillId="0" borderId="0" xfId="0" quotePrefix="1" applyNumberFormat="1" applyFont="1" applyAlignment="1">
      <alignment horizontal="right"/>
    </xf>
    <xf numFmtId="165" fontId="15" fillId="0" borderId="0" xfId="0" applyNumberFormat="1" applyFont="1"/>
    <xf numFmtId="165" fontId="19" fillId="0" borderId="0" xfId="0" applyNumberFormat="1" applyFont="1"/>
    <xf numFmtId="0" fontId="44" fillId="0" borderId="0" xfId="0" applyFont="1"/>
    <xf numFmtId="165" fontId="15" fillId="0" borderId="0" xfId="0" applyNumberFormat="1" applyFont="1"/>
    <xf numFmtId="0" fontId="15" fillId="0" borderId="0" xfId="0" applyFont="1"/>
    <xf numFmtId="165" fontId="14" fillId="0" borderId="0" xfId="0" applyNumberFormat="1" applyFont="1"/>
    <xf numFmtId="165" fontId="0" fillId="0" borderId="0" xfId="0" applyNumberFormat="1"/>
    <xf numFmtId="0" fontId="20" fillId="0" borderId="0" xfId="0" applyFont="1"/>
    <xf numFmtId="165" fontId="13" fillId="0" borderId="0" xfId="0" applyNumberFormat="1" applyFont="1"/>
    <xf numFmtId="165" fontId="12" fillId="0" borderId="0" xfId="0" applyNumberFormat="1" applyFont="1"/>
    <xf numFmtId="165" fontId="12" fillId="0" borderId="0" xfId="1" applyNumberFormat="1" applyFont="1"/>
    <xf numFmtId="165" fontId="12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/>
    <xf numFmtId="168" fontId="42" fillId="0" borderId="0" xfId="0" applyNumberFormat="1" applyFont="1" applyFill="1" applyBorder="1" applyAlignment="1">
      <alignment horizontal="right"/>
    </xf>
    <xf numFmtId="168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5" fontId="14" fillId="0" borderId="0" xfId="1" applyNumberFormat="1" applyFont="1"/>
    <xf numFmtId="0" fontId="47" fillId="0" borderId="0" xfId="0" applyFont="1"/>
    <xf numFmtId="170" fontId="0" fillId="0" borderId="0" xfId="0" applyNumberFormat="1"/>
    <xf numFmtId="0" fontId="42" fillId="0" borderId="0" xfId="0" applyFont="1"/>
    <xf numFmtId="3" fontId="42" fillId="0" borderId="0" xfId="0" applyNumberFormat="1" applyFont="1"/>
    <xf numFmtId="170" fontId="42" fillId="0" borderId="0" xfId="0" applyNumberFormat="1" applyFont="1"/>
    <xf numFmtId="165" fontId="42" fillId="0" borderId="0" xfId="1" applyNumberFormat="1" applyFont="1"/>
    <xf numFmtId="165" fontId="42" fillId="0" borderId="0" xfId="0" applyNumberFormat="1" applyFont="1"/>
    <xf numFmtId="169" fontId="0" fillId="0" borderId="0" xfId="1" applyNumberFormat="1" applyFont="1"/>
    <xf numFmtId="169" fontId="42" fillId="0" borderId="0" xfId="0" applyNumberFormat="1" applyFont="1"/>
    <xf numFmtId="169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8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0" fillId="0" borderId="11" xfId="0" applyNumberFormat="1" applyFont="1" applyBorder="1"/>
    <xf numFmtId="165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5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5" fontId="25" fillId="0" borderId="0" xfId="1" applyNumberFormat="1" applyFont="1"/>
    <xf numFmtId="165" fontId="25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5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5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43" fontId="48" fillId="34" borderId="0" xfId="1" applyFont="1" applyFill="1"/>
    <xf numFmtId="43" fontId="25" fillId="0" borderId="11" xfId="1" applyFont="1" applyBorder="1"/>
    <xf numFmtId="0" fontId="25" fillId="0" borderId="0" xfId="0" applyFont="1" applyBorder="1"/>
    <xf numFmtId="43" fontId="25" fillId="0" borderId="0" xfId="1" applyFont="1"/>
    <xf numFmtId="43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5" fontId="25" fillId="0" borderId="0" xfId="1" applyNumberFormat="1" applyFont="1" applyFill="1"/>
    <xf numFmtId="0" fontId="48" fillId="34" borderId="14" xfId="0" applyFont="1" applyFill="1" applyBorder="1"/>
    <xf numFmtId="43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43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5" fontId="48" fillId="0" borderId="0" xfId="1" applyNumberFormat="1" applyFont="1"/>
    <xf numFmtId="0" fontId="48" fillId="34" borderId="0" xfId="0" applyFont="1" applyFill="1" applyAlignment="1"/>
    <xf numFmtId="43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65" fontId="25" fillId="0" borderId="0" xfId="1" applyNumberFormat="1" applyFont="1" applyBorder="1"/>
    <xf numFmtId="43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5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5" fontId="17" fillId="0" borderId="0" xfId="0" applyNumberFormat="1" applyFont="1"/>
    <xf numFmtId="16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43" fontId="12" fillId="0" borderId="0" xfId="46" applyFont="1"/>
    <xf numFmtId="43" fontId="52" fillId="0" borderId="0" xfId="46" applyFont="1" applyFill="1" applyAlignment="1"/>
    <xf numFmtId="43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5" fontId="25" fillId="0" borderId="0" xfId="0" applyNumberFormat="1" applyFont="1"/>
    <xf numFmtId="165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5" fontId="52" fillId="0" borderId="0" xfId="335" applyNumberFormat="1" applyFont="1" applyFill="1" applyAlignment="1"/>
    <xf numFmtId="165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5" fontId="52" fillId="0" borderId="0" xfId="573" applyNumberFormat="1" applyFont="1" applyFill="1" applyAlignment="1"/>
    <xf numFmtId="165" fontId="4" fillId="0" borderId="0" xfId="573" applyNumberFormat="1" applyFont="1" applyFill="1"/>
    <xf numFmtId="165" fontId="52" fillId="0" borderId="0" xfId="46" applyNumberFormat="1" applyFont="1" applyFill="1" applyAlignment="1"/>
    <xf numFmtId="165" fontId="4" fillId="0" borderId="0" xfId="46" applyNumberFormat="1" applyFont="1" applyFill="1"/>
    <xf numFmtId="43" fontId="4" fillId="0" borderId="0" xfId="573" applyNumberFormat="1" applyFont="1" applyFill="1"/>
    <xf numFmtId="43" fontId="52" fillId="0" borderId="0" xfId="573" applyFont="1" applyFill="1" applyAlignment="1"/>
    <xf numFmtId="43" fontId="4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5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5" fontId="25" fillId="0" borderId="11" xfId="0" applyNumberFormat="1" applyFont="1" applyBorder="1"/>
    <xf numFmtId="10" fontId="25" fillId="0" borderId="11" xfId="43" applyNumberFormat="1" applyFont="1" applyBorder="1"/>
    <xf numFmtId="165" fontId="25" fillId="0" borderId="11" xfId="0" applyNumberFormat="1" applyFont="1" applyFill="1" applyBorder="1"/>
    <xf numFmtId="165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5" fontId="25" fillId="0" borderId="0" xfId="0" applyNumberFormat="1" applyFont="1" applyAlignment="1">
      <alignment horizontal="right"/>
    </xf>
    <xf numFmtId="0" fontId="48" fillId="0" borderId="11" xfId="0" applyFont="1" applyBorder="1"/>
    <xf numFmtId="165" fontId="48" fillId="0" borderId="11" xfId="0" applyNumberFormat="1" applyFont="1" applyBorder="1"/>
    <xf numFmtId="165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5" fontId="57" fillId="0" borderId="0" xfId="0" applyNumberFormat="1" applyFont="1" applyFill="1"/>
    <xf numFmtId="165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5" fontId="25" fillId="0" borderId="0" xfId="0" applyNumberFormat="1" applyFont="1" applyFill="1" applyAlignment="1"/>
    <xf numFmtId="0" fontId="58" fillId="0" borderId="0" xfId="0" applyFont="1"/>
    <xf numFmtId="165" fontId="59" fillId="0" borderId="0" xfId="0" applyNumberFormat="1" applyFont="1"/>
    <xf numFmtId="165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5" fontId="54" fillId="0" borderId="0" xfId="0" applyNumberFormat="1" applyFont="1"/>
    <xf numFmtId="3" fontId="48" fillId="34" borderId="0" xfId="0" applyNumberFormat="1" applyFont="1" applyFill="1"/>
    <xf numFmtId="166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6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5" fontId="48" fillId="34" borderId="0" xfId="0" applyNumberFormat="1" applyFont="1" applyFill="1"/>
    <xf numFmtId="165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8" fontId="48" fillId="34" borderId="12" xfId="0" applyNumberFormat="1" applyFont="1" applyFill="1" applyBorder="1" applyAlignment="1">
      <alignment horizontal="right"/>
    </xf>
    <xf numFmtId="168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5" fontId="25" fillId="0" borderId="0" xfId="0" applyNumberFormat="1" applyFont="1" applyFill="1" applyBorder="1" applyAlignment="1">
      <alignment horizontal="right"/>
    </xf>
    <xf numFmtId="165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5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5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5" fontId="3" fillId="0" borderId="0" xfId="1087" applyNumberFormat="1" applyFont="1" applyFill="1"/>
    <xf numFmtId="43" fontId="3" fillId="0" borderId="0" xfId="1087" applyNumberFormat="1" applyFont="1" applyFill="1"/>
    <xf numFmtId="165" fontId="25" fillId="0" borderId="0" xfId="0" applyNumberFormat="1" applyFont="1" applyFill="1"/>
    <xf numFmtId="165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4" fontId="0" fillId="0" borderId="0" xfId="0" applyNumberFormat="1" applyFont="1"/>
    <xf numFmtId="165" fontId="25" fillId="0" borderId="0" xfId="0" applyNumberFormat="1" applyFont="1" applyFill="1" applyBorder="1" applyAlignment="1">
      <alignment horizontal="right"/>
    </xf>
    <xf numFmtId="171" fontId="25" fillId="0" borderId="0" xfId="43" applyNumberFormat="1" applyFont="1" applyFill="1" applyBorder="1" applyAlignment="1">
      <alignment horizontal="right"/>
    </xf>
    <xf numFmtId="0" fontId="49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0" fillId="0" borderId="0" xfId="1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/>
    </xf>
    <xf numFmtId="165" fontId="58" fillId="34" borderId="14" xfId="0" quotePrefix="1" applyNumberFormat="1" applyFont="1" applyFill="1" applyBorder="1" applyAlignment="1">
      <alignment horizontal="right"/>
    </xf>
    <xf numFmtId="165" fontId="58" fillId="34" borderId="0" xfId="0" quotePrefix="1" applyNumberFormat="1" applyFont="1" applyFill="1" applyBorder="1" applyAlignment="1">
      <alignment horizontal="right"/>
    </xf>
    <xf numFmtId="165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3" fontId="48" fillId="34" borderId="0" xfId="1" applyFont="1" applyFill="1" applyBorder="1" applyAlignment="1">
      <alignment horizontal="right" wrapText="1"/>
    </xf>
    <xf numFmtId="43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</cellXfs>
  <cellStyles count="2148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2147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949324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949324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949324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949324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949324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949324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N10" sqref="N10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7.5703125" style="10" bestFit="1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43007</v>
      </c>
    </row>
    <row r="7" spans="1:12" x14ac:dyDescent="0.2">
      <c r="A7" s="107" t="str">
        <f>"Market Profile - "&amp; TEXT($H$3,"MMM")&amp;" "&amp;TEXT($H$3,"YYYY")</f>
        <v>Market Profile - Sep 2017</v>
      </c>
    </row>
    <row r="8" spans="1:12" x14ac:dyDescent="0.2">
      <c r="A8" s="107"/>
      <c r="G8" s="369" t="s">
        <v>199</v>
      </c>
      <c r="H8" s="369"/>
      <c r="I8" s="369"/>
    </row>
    <row r="9" spans="1:12" x14ac:dyDescent="0.2">
      <c r="A9" s="107"/>
      <c r="G9" s="369"/>
      <c r="H9" s="369"/>
      <c r="I9" s="369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78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78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79"/>
      <c r="B15" s="282" t="str">
        <f>TEXT($H$3,"MMM")&amp;" "&amp;TEXT($H$3,"YYYY")</f>
        <v>Sep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5516950</v>
      </c>
      <c r="C16" s="127">
        <f>Data!D5</f>
        <v>51473450</v>
      </c>
      <c r="D16" s="249">
        <f>Data!D8</f>
        <v>53156490</v>
      </c>
      <c r="E16" s="286">
        <f>(C16-D16)/ABS(D16)</f>
        <v>-3.1661985206321935E-2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7522.7201990000003</v>
      </c>
      <c r="C17" s="127">
        <f>Data!B5/1000000</f>
        <v>59007.405765000003</v>
      </c>
      <c r="D17" s="249">
        <f>Data!B8/1000000</f>
        <v>61136.604364999999</v>
      </c>
      <c r="E17" s="286">
        <f t="shared" ref="E17:E18" si="0">(C17-D17)/ABS(D17)</f>
        <v>-3.4826903164071339E-2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499083.81752921361</v>
      </c>
      <c r="C18" s="127">
        <f>Data!C5/1000000</f>
        <v>3913704.0843960713</v>
      </c>
      <c r="D18" s="249">
        <f>Data!C8/1000000</f>
        <v>4594163.4475490404</v>
      </c>
      <c r="E18" s="286">
        <f t="shared" si="0"/>
        <v>-0.14811387773240639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2645</v>
      </c>
      <c r="C21" s="127">
        <f>Data!F5</f>
        <v>26081</v>
      </c>
      <c r="D21" s="249">
        <f>Data!F8</f>
        <v>29272</v>
      </c>
      <c r="E21" s="286">
        <f>(C21-D21)/ABS(D21)</f>
        <v>-0.10901202514348182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894.99203399999999</v>
      </c>
      <c r="C22" s="127">
        <f>Data!G5/1000000</f>
        <v>5358.6137589999998</v>
      </c>
      <c r="D22" s="249">
        <f>Data!G8/1000000</f>
        <v>5264.7339670000001</v>
      </c>
      <c r="E22" s="286">
        <f t="shared" ref="E22:E23" si="1">(C22-D22)/ABS(D22)</f>
        <v>1.783182067478619E-2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50755.757502968634</v>
      </c>
      <c r="C23" s="128">
        <f>Data!H5/1000000</f>
        <v>269046.3907972817</v>
      </c>
      <c r="D23" s="290">
        <f>Data!H8/1000000</f>
        <v>302967.07284314005</v>
      </c>
      <c r="E23" s="291">
        <f t="shared" si="1"/>
        <v>-0.11196161261861168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Sep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81775.81514097999</v>
      </c>
      <c r="C29" s="249">
        <f>Data!O5/1000000</f>
        <v>666420.61332696001</v>
      </c>
      <c r="D29" s="249">
        <f>Data!O8/1000000</f>
        <v>798407.81077720993</v>
      </c>
      <c r="E29" s="195">
        <f>C29-D29</f>
        <v>-131987.19745024992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-105925.02902558001</v>
      </c>
      <c r="C30" s="249">
        <f>Data!P5/1000000</f>
        <v>-755725.56042726</v>
      </c>
      <c r="D30" s="249">
        <f>Data!P8/1000000</f>
        <v>-894589.77357614005</v>
      </c>
      <c r="E30" s="195">
        <f>C30-D30</f>
        <v>138864.21314888005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-24149.213884599998</v>
      </c>
      <c r="C31" s="298">
        <f>Data!Q5/1000000</f>
        <v>-89304.947100300007</v>
      </c>
      <c r="D31" s="298">
        <f>Data!Q8/1000000</f>
        <v>-96181.962798929992</v>
      </c>
      <c r="E31" s="299">
        <f>C31-D31</f>
        <v>6877.0156986299844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Sep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25745</v>
      </c>
      <c r="C38" s="287">
        <f>Data!CK6</f>
        <v>211684</v>
      </c>
      <c r="D38" s="287">
        <f>Data!CK11</f>
        <v>223419</v>
      </c>
      <c r="E38" s="286">
        <f t="shared" ref="E38:E40" si="2">IFERROR(IF(OR(AND(D38="",C38=""),AND(D38=0,C38=0)),"",
IF(OR(D38="",D38=0),1,
IF(OR(D38&lt;&gt;"",D38&lt;&gt;0),(C38-D38)/ABS(D38)))),-1)</f>
        <v>-5.2524628612606809E-2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693583.40547600004</v>
      </c>
      <c r="C39" s="287">
        <f>Data!CK7/1000000</f>
        <v>5568738.22908</v>
      </c>
      <c r="D39" s="287">
        <f>Data!CK12/1000000</f>
        <v>5834646.4715780001</v>
      </c>
      <c r="E39" s="286">
        <f t="shared" si="2"/>
        <v>-4.55740110036323E-2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722668.3664600976</v>
      </c>
      <c r="C40" s="287">
        <f>Data!CK8/1000000</f>
        <v>5858366.0705721537</v>
      </c>
      <c r="D40" s="287">
        <f>Data!CK13/1000000</f>
        <v>6005763.5795097994</v>
      </c>
      <c r="E40" s="286">
        <f t="shared" si="2"/>
        <v>-2.4542675878972336E-2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13786</v>
      </c>
      <c r="C43" s="287">
        <f>Data!CN6</f>
        <v>116895</v>
      </c>
      <c r="D43" s="287">
        <f>Data!CN11</f>
        <v>133047</v>
      </c>
      <c r="E43" s="286">
        <f t="shared" ref="E43:E45" si="3">IFERROR(IF(OR(AND(D43="",C43=""),AND(D43=0,C43=0)),"",
IF(OR(D43="",D43=0),1,
IF(OR(D43&lt;&gt;"",D43&lt;&gt;0),(C43-D43)/ABS(D43)))),-1)</f>
        <v>-0.12140070802047397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1589529.966424</v>
      </c>
      <c r="C44" s="287">
        <f>Data!CN7/1000000</f>
        <v>14306940.970935</v>
      </c>
      <c r="D44" s="287">
        <f>Data!CN12/1000000</f>
        <v>15691066.647654001</v>
      </c>
      <c r="E44" s="286">
        <f t="shared" si="3"/>
        <v>-8.8211063517848465E-2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1540732.9006288219</v>
      </c>
      <c r="C45" s="287">
        <f>Data!CN8/1000000</f>
        <v>13962641.225592759</v>
      </c>
      <c r="D45" s="287">
        <f>Data!CN13/1000000</f>
        <v>15302978.074535199</v>
      </c>
      <c r="E45" s="286">
        <f t="shared" si="3"/>
        <v>-8.7586667275751845E-2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996</v>
      </c>
      <c r="C48" s="127">
        <f>Data!CQ6</f>
        <v>5781</v>
      </c>
      <c r="D48" s="249">
        <f>Data!CQ11</f>
        <v>5354</v>
      </c>
      <c r="E48" s="286">
        <f t="shared" ref="E48:E50" si="4">IFERROR(IF(OR(AND(D48="",C48=""),AND(D48=0,C48=0)),"",
IF(OR(D48="",D48=0),1,
IF(OR(D48&lt;&gt;"",D48&lt;&gt;0),(C48-D48)/ABS(D48)))),-1)</f>
        <v>7.9753455360478148E-2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95486.003366999998</v>
      </c>
      <c r="C49" s="127">
        <f>Data!CQ7/1000000</f>
        <v>417360.70681</v>
      </c>
      <c r="D49" s="249">
        <f>Data!CQ12/1000000</f>
        <v>577278.51797299995</v>
      </c>
      <c r="E49" s="286">
        <f t="shared" si="4"/>
        <v>-0.27702020114055154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56355.664167739997</v>
      </c>
      <c r="C50" s="128">
        <f>Data!CQ8/1000000</f>
        <v>147441.59876247996</v>
      </c>
      <c r="D50" s="290">
        <f>Data!CQ13/1000000</f>
        <v>292816.80470551981</v>
      </c>
      <c r="E50" s="291">
        <f t="shared" si="4"/>
        <v>-0.4964715262474122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Sep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96061.110988</v>
      </c>
      <c r="C57" s="287">
        <f>(SUMIFS(Data!$CZ$1:$CZ$12,Data!$CU$1:$CU$12,"Standard Trade")+SUMIFS(Data!$CZ$1:$CZ$12,Data!$CU$1:$CU$12,"Standard Trade (Spot)"))/1000000</f>
        <v>758810.45052299998</v>
      </c>
      <c r="D57" s="287">
        <f>(SUMIFS(Data!$CZ$27:$CZ$38,Data!$CU$27:$CU$38,"Standard Trade")+SUMIFS(Data!$CZ$27:$CZ$38,Data!$CU$27:$CU$38,"Standard Trade (Spot)"))/1000000</f>
        <v>784349.44863999996</v>
      </c>
      <c r="E57" s="195">
        <f>C57-D57</f>
        <v>-25538.998116999981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77585.457192999995</v>
      </c>
      <c r="C58" s="287">
        <f>(SUMIFS(Data!$DC$1:$DC$12,Data!$CU$1:$CU$12,"Standard Trade")+SUMIFS(Data!$DC$1:$DC$12,Data!$CU$1:$CU$12,"Standard Trade (Spot)"))/1000000</f>
        <v>686398.16540499998</v>
      </c>
      <c r="D58" s="287">
        <f>(SUMIFS(Data!$DC$27:$DC$38,Data!$CU$27:$CU$38,"Standard Trade")+SUMIFS(Data!$DC$27:$DC$38,Data!$CU$27:$CU$38,"Standard Trade (Spot)"))/1000000</f>
        <v>717753.291982</v>
      </c>
      <c r="E58" s="195">
        <f>C58-D58</f>
        <v>-31355.126577000017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18475.653795000006</v>
      </c>
      <c r="C59" s="298">
        <f t="shared" ref="C59" si="5">C57-C58</f>
        <v>72412.285118</v>
      </c>
      <c r="D59" s="298">
        <f>D57-D58</f>
        <v>66596.156657999963</v>
      </c>
      <c r="E59" s="298">
        <f>E57-E58</f>
        <v>5816.1284600000363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Sep 2017</v>
      </c>
      <c r="C65" s="282">
        <v>2016</v>
      </c>
      <c r="D65" s="282">
        <v>2015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306666</v>
      </c>
      <c r="C67" s="249">
        <f>Data!BR2</f>
        <v>2448208</v>
      </c>
      <c r="D67" s="249">
        <f>Data!BR8</f>
        <v>2785792</v>
      </c>
      <c r="E67" s="286">
        <f>IFERROR(IF(OR(AND(D67="",C67=""),AND(D67=0,C67=0)),"",
IF(OR(D67="",D67=0),1,
IF(OR(D67&lt;&gt;"",D67&lt;&gt;0),(C67-D67)/ABS(D67)))),-1)</f>
        <v>-0.12118061937143908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54140.705999999998</v>
      </c>
      <c r="C68" s="249">
        <f>Data!BQ2</f>
        <v>238590891</v>
      </c>
      <c r="D68" s="249">
        <f>Data!BQ8</f>
        <v>313694539</v>
      </c>
      <c r="E68" s="286">
        <f t="shared" ref="E68:E70" si="6">IFERROR(IF(OR(AND(D68="",C68=""),AND(D68=0,C68=0)),"",
IF(OR(D68="",D68=0),1,
IF(OR(D68&lt;&gt;"",D68&lt;&gt;0),(C68-D68)/ABS(D68)))),-1)</f>
        <v>-0.23941649809848936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918.00840289993403</v>
      </c>
      <c r="C69" s="249">
        <f>Data!BP2/1000000000</f>
        <v>4579.6742034743465</v>
      </c>
      <c r="D69" s="249">
        <f>Data!BP8/1000000000</f>
        <v>5272.2362638149389</v>
      </c>
      <c r="E69" s="286">
        <f t="shared" si="6"/>
        <v>-0.13136020953648636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28929799</v>
      </c>
      <c r="C70" s="249">
        <f>B70</f>
        <v>28929799</v>
      </c>
      <c r="D70" s="249">
        <f>Data!BP14</f>
        <v>42098853</v>
      </c>
      <c r="E70" s="286">
        <f t="shared" si="6"/>
        <v>-0.31281265548968756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2181</v>
      </c>
      <c r="C73" s="249">
        <f>Data!BR5</f>
        <v>19829</v>
      </c>
      <c r="D73" s="249">
        <f>Data!BR11</f>
        <v>15782</v>
      </c>
      <c r="E73" s="286">
        <f t="shared" ref="E73:E76" si="7">IFERROR(IF(OR(AND(D73="",C73=""),AND(D73=0,C73=0)),"",
IF(OR(D73="",D73=0),1,
IF(OR(D73&lt;&gt;"",D73&lt;&gt;0),(C73-D73)/ABS(D73)))),-1)</f>
        <v>0.25643137751869216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1635.877</v>
      </c>
      <c r="C74" s="249">
        <f>Data!BQ5/1000</f>
        <v>14583.97</v>
      </c>
      <c r="D74" s="249">
        <f>Data!BQ11/1000</f>
        <v>11537.119000000001</v>
      </c>
      <c r="E74" s="286">
        <f t="shared" si="7"/>
        <v>0.26409114788536014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2.3830789837299999</v>
      </c>
      <c r="C75" s="249">
        <f>Data!BP5/1000000000</f>
        <v>30.406700281340001</v>
      </c>
      <c r="D75" s="249">
        <f>Data!BP11/1000000000</f>
        <v>33.132394614310002</v>
      </c>
      <c r="E75" s="286">
        <f t="shared" si="7"/>
        <v>-8.2266747233318394E-2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2979290</v>
      </c>
      <c r="C76" s="249">
        <f>B76</f>
        <v>2979290</v>
      </c>
      <c r="D76" s="249">
        <f>Data!BP17</f>
        <v>2525783</v>
      </c>
      <c r="E76" s="286">
        <f t="shared" si="7"/>
        <v>0.17955105406917379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Sep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69" t="s">
        <v>199</v>
      </c>
      <c r="G95" s="369"/>
      <c r="H95" s="369"/>
      <c r="I95" s="230"/>
    </row>
    <row r="96" spans="1:9" x14ac:dyDescent="0.2">
      <c r="A96" s="247"/>
      <c r="B96" s="159"/>
      <c r="C96" s="247"/>
      <c r="D96" s="247"/>
      <c r="E96" s="247"/>
      <c r="F96" s="369"/>
      <c r="G96" s="369"/>
      <c r="H96" s="369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Sep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641</v>
      </c>
      <c r="C103" s="249">
        <f>Data!BR32</f>
        <v>9076</v>
      </c>
      <c r="D103" s="249">
        <f>Data!BR38</f>
        <v>11089</v>
      </c>
      <c r="E103" s="286">
        <f t="shared" ref="E103:E106" si="8">IFERROR(IF(OR(AND(D103="",C103=""),AND(D103=0,C103=0)),"",
IF(OR(D103="",D103=0),1,
IF(OR(D103&lt;&gt;"",D103&lt;&gt;0),(C103-D103)/ABS(D103)))),-1)</f>
        <v>-0.18153124718189195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236324</v>
      </c>
      <c r="C104" s="249">
        <f>Data!BQ32</f>
        <v>8506201</v>
      </c>
      <c r="D104" s="249">
        <f>Data!BQ38</f>
        <v>6755253</v>
      </c>
      <c r="E104" s="286">
        <f t="shared" si="8"/>
        <v>0.25919799006787753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27018.58159718</v>
      </c>
      <c r="C105" s="249">
        <f>Data!BP32/1000000</f>
        <v>959995.0409400299</v>
      </c>
      <c r="D105" s="249">
        <f>Data!BP38/1000000</f>
        <v>774371.01286649995</v>
      </c>
      <c r="E105" s="286">
        <f t="shared" si="8"/>
        <v>0.2397094222140404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987022</v>
      </c>
      <c r="C106" s="249">
        <f>B106</f>
        <v>987022</v>
      </c>
      <c r="D106" s="249">
        <f>Data!BP44</f>
        <v>672093</v>
      </c>
      <c r="E106" s="286">
        <f t="shared" si="8"/>
        <v>0.46857949718268155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25</v>
      </c>
      <c r="C109" s="127">
        <f>Data!BR35</f>
        <v>505</v>
      </c>
      <c r="D109" s="127">
        <f>Data!BR41</f>
        <v>803</v>
      </c>
      <c r="E109" s="286">
        <f t="shared" ref="E109:E112" si="9">IFERROR(IF(OR(AND(D109="",C109=""),AND(D109=0,C109=0)),"",
IF(OR(D109="",D109=0),1,
IF(OR(D109&lt;&gt;"",D109&lt;&gt;0),(C109-D109)/ABS(D109)))),-1)</f>
        <v>-0.37110834371108342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22555</v>
      </c>
      <c r="C110" s="127">
        <f>Data!BQ35</f>
        <v>183474</v>
      </c>
      <c r="D110" s="127">
        <f>Data!BQ41</f>
        <v>193020</v>
      </c>
      <c r="E110" s="286">
        <f t="shared" si="9"/>
        <v>-4.94560149207336E-2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2005.1557886300002</v>
      </c>
      <c r="C111" s="127">
        <f>Data!BP35/1000000</f>
        <v>17290.782948880002</v>
      </c>
      <c r="D111" s="127">
        <f>Data!BP41/1000000</f>
        <v>20581.896991270001</v>
      </c>
      <c r="E111" s="286">
        <f t="shared" si="9"/>
        <v>-0.1599033385399779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78396</v>
      </c>
      <c r="C112" s="128">
        <f>B112</f>
        <v>78396</v>
      </c>
      <c r="D112" s="128">
        <f>Data!BP47</f>
        <v>41268</v>
      </c>
      <c r="E112" s="291">
        <f t="shared" si="9"/>
        <v>0.899680139575458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Sep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5546</v>
      </c>
      <c r="C121" s="249">
        <f>Data!BR60</f>
        <v>47958</v>
      </c>
      <c r="D121" s="249">
        <f>Data!BR66</f>
        <v>52544</v>
      </c>
      <c r="E121" s="286">
        <f t="shared" ref="E121:E123" si="10">IFERROR(IF(OR(AND(D121="",C121=""),AND(D121=0,C121=0)),"",
IF(OR(D121="",D121=0),1,
IF(OR(D121&lt;&gt;"",D121&lt;&gt;0),(C121-D121)/ABS(D121)))),-1)</f>
        <v>-8.7279232643118154E-2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5291242</v>
      </c>
      <c r="C122" s="249">
        <f>Data!BQ60</f>
        <v>35842498</v>
      </c>
      <c r="D122" s="249">
        <f>Data!BQ66</f>
        <v>26876402</v>
      </c>
      <c r="E122" s="286">
        <f t="shared" si="10"/>
        <v>0.33360477343656342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73364.903087600003</v>
      </c>
      <c r="C123" s="249">
        <f>Data!BP60/1000000</f>
        <v>487650.4995494</v>
      </c>
      <c r="D123" s="249">
        <f>Data!BP66/1000000</f>
        <v>416256.30276849994</v>
      </c>
      <c r="E123" s="286">
        <f t="shared" si="10"/>
        <v>0.17151499282067517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1772228</v>
      </c>
      <c r="C124" s="249">
        <f>B124</f>
        <v>1772228</v>
      </c>
      <c r="D124" s="249">
        <f>VLOOKUP("Future",Data!$BP$71:$BQ$73,2,FALSE)</f>
        <v>1090969</v>
      </c>
      <c r="E124" s="286">
        <f>IFERROR(IF(OR(AND(D124="",C124=""),AND(D124=0,C124=0)),"",
IF(OR(D124="",D124=0),1,
IF(OR(D124&lt;&gt;"",D124&lt;&gt;0),(C124-D124)/ABS(D124)))),-1)</f>
        <v>0.62445312378261897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326</v>
      </c>
      <c r="C127" s="249">
        <f>Data!BR63</f>
        <v>2522</v>
      </c>
      <c r="D127" s="249">
        <f>Data!BR69</f>
        <v>2476</v>
      </c>
      <c r="E127" s="286">
        <f t="shared" ref="E127:E129" si="11">IFERROR(IF(OR(AND(D127="",C127=""),AND(D127=0,C127=0)),"",
IF(OR(D127="",D127=0),1,
IF(OR(D127&lt;&gt;"",D127&lt;&gt;0),(C127-D127)/ABS(D127)))),-1)</f>
        <v>1.8578352180936994E-2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1593886</v>
      </c>
      <c r="C128" s="249">
        <f>Data!BQ63</f>
        <v>11652474</v>
      </c>
      <c r="D128" s="249">
        <f>Data!BQ69</f>
        <v>10764496</v>
      </c>
      <c r="E128" s="286">
        <f t="shared" si="11"/>
        <v>8.2491367919129699E-2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22468.223736099997</v>
      </c>
      <c r="C129" s="249">
        <f>Data!BP63/1000000</f>
        <v>162176.54432459999</v>
      </c>
      <c r="D129" s="249">
        <f>Data!BP69/1000000</f>
        <v>164800.50397639998</v>
      </c>
      <c r="E129" s="286">
        <f t="shared" si="11"/>
        <v>-1.5922036574449731E-2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3462332</v>
      </c>
      <c r="C130" s="249">
        <f>MarketProfile!B130</f>
        <v>3462332</v>
      </c>
      <c r="D130" s="249">
        <f>VLOOKUP("Option",Data!$BP$71:$BQ$73,2,FALSE)</f>
        <v>2310976</v>
      </c>
      <c r="E130" s="286">
        <f>IFERROR(IF(OR(AND(D130="",C130=""),AND(D130=0,C130=0)),"",
IF(OR(D130="",D130=0),1,
IF(OR(D130&lt;&gt;"",D130&lt;&gt;0),(C130-D130)/ABS(D130)))),-1)</f>
        <v>0.49821201085601929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Sep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19563</v>
      </c>
      <c r="C138" s="249">
        <f>Data!BR76</f>
        <v>254409</v>
      </c>
      <c r="D138" s="249">
        <f>Data!BR82</f>
        <v>261071</v>
      </c>
      <c r="E138" s="286">
        <f>IFERROR(IF(OR(AND(D138="",C138=""),AND(D138=0,C138=0)),"",
IF(OR(D138="",D138=0),1,
IF(OR(D138&lt;&gt;"",D138&lt;&gt;0),(C138-D138)/ABS(D138)))),-1)</f>
        <v>-2.5517962546586944E-2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157.28399999999999</v>
      </c>
      <c r="C139" s="249">
        <f>Data!BQ76</f>
        <v>2026038</v>
      </c>
      <c r="D139" s="249">
        <f>Data!BQ82</f>
        <v>2317231</v>
      </c>
      <c r="E139" s="286">
        <f t="shared" ref="E139:E141" si="12">IFERROR(IF(OR(AND(D139="",C139=""),AND(D139=0,C139=0)),"",
IF(OR(D139="",D139=0),1,
IF(OR(D139&lt;&gt;"",D139&lt;&gt;0),(C139-D139)/ABS(D139)))),-1)</f>
        <v>-0.12566420870426814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31052.150487375999</v>
      </c>
      <c r="C140" s="249">
        <f>Data!BP76/1000000</f>
        <v>423034.88826152496</v>
      </c>
      <c r="D140" s="249">
        <f>Data!BP82/1000000</f>
        <v>762493.98387605301</v>
      </c>
      <c r="E140" s="286">
        <f t="shared" si="12"/>
        <v>-0.44519576913764702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136342</v>
      </c>
      <c r="C141" s="249">
        <f>B141</f>
        <v>136342</v>
      </c>
      <c r="D141" s="249">
        <f>Data!BP88</f>
        <v>73661</v>
      </c>
      <c r="E141" s="286">
        <f t="shared" si="12"/>
        <v>0.8509387599951127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1832</v>
      </c>
      <c r="C144" s="249">
        <f>Data!BR79</f>
        <v>21168</v>
      </c>
      <c r="D144" s="249">
        <f>Data!BR85</f>
        <v>34306</v>
      </c>
      <c r="E144" s="286">
        <f>IFERROR(IF(OR(AND(D144="",C144=""),AND(D144=0,C144=0)),"",
IF(OR(D144="",D144=0),1,
IF(OR(D144&lt;&gt;"",D144&lt;&gt;0),(C144-D144)/ABS(D144)))),-1)</f>
        <v>-0.38296507899492799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24.771000000000001</v>
      </c>
      <c r="C145" s="249">
        <f>Data!BQ79</f>
        <v>215991</v>
      </c>
      <c r="D145" s="249">
        <f>Data!BQ85</f>
        <v>389243</v>
      </c>
      <c r="E145" s="286">
        <f t="shared" ref="E145:E146" si="13">IFERROR(IF(OR(AND(D145="",C145=""),AND(D145=0,C145=0)),"",
IF(OR(D145="",D145=0),1,
IF(OR(D145&lt;&gt;"",D145&lt;&gt;0),(C145-D145)/ABS(D145)))),-1)</f>
        <v>-0.44509984765300853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210.22117446999999</v>
      </c>
      <c r="C146" s="249">
        <f>Data!BP79/1000000</f>
        <v>2477.9093824399902</v>
      </c>
      <c r="D146" s="249">
        <f>Data!BP85/1000000</f>
        <v>12311.12282074</v>
      </c>
      <c r="E146" s="286">
        <f t="shared" si="13"/>
        <v>-0.79872596362489645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56054</v>
      </c>
      <c r="C147" s="249">
        <f>B147</f>
        <v>56054</v>
      </c>
      <c r="D147" s="249">
        <f>Data!BP91</f>
        <v>62318</v>
      </c>
      <c r="E147" s="286">
        <f>IFERROR(IF(OR(AND(D147="",C147=""),AND(D147=0,C147=0)),"",
IF(OR(D147="",D147=0),1,
IF(OR(D147&lt;&gt;"",D147&lt;&gt;0),(C147-D147)/ABS(D147)))),-1)</f>
        <v>-0.10051670464392311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69" t="s">
        <v>200</v>
      </c>
      <c r="G149" s="369"/>
      <c r="H149" s="369"/>
      <c r="I149" s="125"/>
    </row>
    <row r="150" spans="1:10" ht="12.75" customHeight="1" x14ac:dyDescent="0.2">
      <c r="B150" s="3"/>
      <c r="F150" s="369"/>
      <c r="G150" s="369"/>
      <c r="H150" s="369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Sep 2017</v>
      </c>
      <c r="C153" s="282" t="str">
        <f>TEXT(DATE(2000,TEXT(H3,"M")-1,1),"mmm")&amp; " "&amp; TEXT(H3,"YYYY")</f>
        <v>Aug 2017</v>
      </c>
      <c r="D153" s="284" t="s">
        <v>121</v>
      </c>
      <c r="E153" s="282"/>
      <c r="F153" s="282"/>
      <c r="G153" s="282" t="str">
        <f>TEXT($H$3,"MMM")&amp;" "&amp;TEXT($H$3,"YYYY")</f>
        <v>Sep 2017</v>
      </c>
      <c r="H153" s="282" t="str">
        <f>TEXT($H$3,"MMM")&amp;" "&amp;TEXT($H$3,"YYYY")-1</f>
        <v>Sep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219358.0641486684</v>
      </c>
      <c r="C154" s="322">
        <f>VLOOKUP("ABuy",Data!$J$7:$M$11,4,FALSE)/1000000</f>
        <v>200861.21771023973</v>
      </c>
      <c r="D154" s="186">
        <f>((B154/C154)-1)</f>
        <v>9.20876944254716E-2</v>
      </c>
      <c r="E154" s="322"/>
      <c r="F154" s="322"/>
      <c r="G154" s="322">
        <f>VLOOKUP("Abuy",Data!$J$13:$M$17,4,FALSE)/1000000</f>
        <v>202541.03942232498</v>
      </c>
      <c r="H154" s="322">
        <f>VLOOKUP("Abuy",Data!$J$19:$M$23,4,FALSE)/1000000</f>
        <v>192129.352812525</v>
      </c>
      <c r="I154" s="200">
        <f>((G154/H154)-1)</f>
        <v>5.4191025251406622E-2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219682.88721013686</v>
      </c>
      <c r="C155" s="322">
        <f>VLOOKUP("Asell",Data!$J$7:$M$11,4,FALSE)/1000000</f>
        <v>217616.55150670145</v>
      </c>
      <c r="D155" s="200">
        <f t="shared" ref="D155:D157" si="14">((B155/C155)-1)</f>
        <v>9.4953057987952061E-3</v>
      </c>
      <c r="E155" s="322"/>
      <c r="F155" s="322"/>
      <c r="G155" s="322">
        <f>VLOOKUP("Asell",Data!$J$13:$M$17,4,FALSE)/1000000</f>
        <v>209457.72030543501</v>
      </c>
      <c r="H155" s="322">
        <f>VLOOKUP("Asell",Data!$J$19:$M$23,4,FALSE)/1000000</f>
        <v>207235.53754917998</v>
      </c>
      <c r="I155" s="200">
        <f t="shared" ref="I155:I157" si="15">((G155/H155)-1)</f>
        <v>1.0722981118659103E-2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279725.75338054524</v>
      </c>
      <c r="C156" s="322">
        <f>VLOOKUP("Pbuy",Data!$J$7:$M$11,4,FALSE)/1000000</f>
        <v>245511.93702124091</v>
      </c>
      <c r="D156" s="200">
        <f t="shared" si="14"/>
        <v>0.13935703809116329</v>
      </c>
      <c r="E156" s="322"/>
      <c r="F156" s="322"/>
      <c r="G156" s="322">
        <f>VLOOKUP("Pbuy",Data!$J$13:$M$17,4,FALSE)/1000000</f>
        <v>245787.02060392001</v>
      </c>
      <c r="H156" s="322">
        <f>VLOOKUP("Pbuy",Data!$J$19:$M$23,4,FALSE)/1000000</f>
        <v>222940.86177071999</v>
      </c>
      <c r="I156" s="200">
        <f t="shared" si="15"/>
        <v>0.10247631883963826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279400.93031907675</v>
      </c>
      <c r="C157" s="322">
        <f>VLOOKUP("Psell",Data!$J$7:$M$11,4,FALSE)/1000000</f>
        <v>228756.60322477919</v>
      </c>
      <c r="D157" s="200">
        <f t="shared" si="14"/>
        <v>0.2213895746849055</v>
      </c>
      <c r="E157" s="322"/>
      <c r="F157" s="322"/>
      <c r="G157" s="322">
        <f>VLOOKUP("Psell",Data!$J$13:$M$17,4,FALSE)/1000000</f>
        <v>238870.33972081001</v>
      </c>
      <c r="H157" s="322">
        <f>VLOOKUP("Psell",Data!$J$19:$M$23,4,FALSE)/1000000</f>
        <v>207834.67703406501</v>
      </c>
      <c r="I157" s="200">
        <f t="shared" si="15"/>
        <v>0.14932860641758117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1" t="s">
        <v>128</v>
      </c>
      <c r="E160" s="381"/>
      <c r="F160" s="284" t="s">
        <v>129</v>
      </c>
      <c r="G160" s="377" t="s">
        <v>130</v>
      </c>
      <c r="H160" s="377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0">
        <v>1959547</v>
      </c>
      <c r="E162" s="380"/>
      <c r="F162" s="335">
        <v>42349</v>
      </c>
      <c r="G162" s="380">
        <v>7331360</v>
      </c>
      <c r="H162" s="380"/>
      <c r="I162" s="198" t="s">
        <v>533</v>
      </c>
    </row>
    <row r="163" spans="1:10" ht="14.25" x14ac:dyDescent="0.2">
      <c r="A163" s="248" t="s">
        <v>523</v>
      </c>
      <c r="B163" s="206">
        <f>1025315917/1000</f>
        <v>1025315.917</v>
      </c>
      <c r="C163" s="335">
        <v>42122</v>
      </c>
      <c r="D163" s="380">
        <f>2513652909/1000000</f>
        <v>2513.6529089999999</v>
      </c>
      <c r="E163" s="380"/>
      <c r="F163" s="335">
        <v>42349</v>
      </c>
      <c r="G163" s="380">
        <v>9748834</v>
      </c>
      <c r="H163" s="380"/>
      <c r="I163" s="205" t="s">
        <v>131</v>
      </c>
    </row>
    <row r="164" spans="1:10" ht="14.25" x14ac:dyDescent="0.2">
      <c r="A164" s="248" t="s">
        <v>522</v>
      </c>
      <c r="B164" s="206">
        <v>70020.093869999997</v>
      </c>
      <c r="C164" s="335">
        <v>42901</v>
      </c>
      <c r="D164" s="380">
        <v>165827</v>
      </c>
      <c r="E164" s="380"/>
      <c r="F164" s="335">
        <v>42631</v>
      </c>
      <c r="G164" s="380">
        <v>612552</v>
      </c>
      <c r="H164" s="380"/>
      <c r="I164" s="205" t="s">
        <v>533</v>
      </c>
    </row>
    <row r="165" spans="1:10" ht="14.25" x14ac:dyDescent="0.2">
      <c r="A165" s="248" t="s">
        <v>498</v>
      </c>
      <c r="B165" s="199">
        <f>15631907253004/1000000000000</f>
        <v>15.631907253004</v>
      </c>
      <c r="C165" s="335">
        <v>42447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Sep 2017</v>
      </c>
      <c r="G177" s="125"/>
      <c r="H177" s="125"/>
    </row>
    <row r="178" spans="1:11" ht="12.75" customHeight="1" x14ac:dyDescent="0.2">
      <c r="F178" s="369" t="s">
        <v>200</v>
      </c>
      <c r="G178" s="369"/>
      <c r="H178" s="369"/>
    </row>
    <row r="179" spans="1:11" x14ac:dyDescent="0.2">
      <c r="F179" s="369"/>
      <c r="G179" s="369"/>
      <c r="H179" s="369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August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89" t="s">
        <v>209</v>
      </c>
      <c r="G182" s="389"/>
      <c r="H182" s="389"/>
      <c r="I182" s="389"/>
    </row>
    <row r="183" spans="1:11" ht="15.75" thickBot="1" x14ac:dyDescent="0.3">
      <c r="A183" s="295"/>
      <c r="B183" s="320" t="str">
        <f>TEXT(DATE(2000,TEXT(H3,"M")-1,1),"mmm")&amp; " "&amp; TEXT(H3,"YYYY")</f>
        <v>Aug 2017</v>
      </c>
      <c r="C183" s="284" t="s">
        <v>16</v>
      </c>
      <c r="D183" s="320" t="str">
        <f>TEXT(DATE(2000,TEXT(H3,"M")-1,1),"mmm")&amp; " "&amp; TEXT(H3,"YYYY")-1</f>
        <v>Aug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1">
        <v>1139765.72280408</v>
      </c>
      <c r="C184" s="345">
        <v>17</v>
      </c>
      <c r="D184" s="367">
        <v>1036305.59756266</v>
      </c>
      <c r="E184" s="367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1">
        <v>34299.72260429235</v>
      </c>
      <c r="C185" s="345">
        <v>21</v>
      </c>
      <c r="D185" s="367">
        <v>34756.112726769148</v>
      </c>
      <c r="E185" s="367">
        <v>19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63">
        <v>0.3190464766628085</v>
      </c>
      <c r="C186" s="345">
        <v>29</v>
      </c>
      <c r="D186" s="368">
        <v>0.38501325353464011</v>
      </c>
      <c r="E186" s="367">
        <v>31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63">
        <v>0.33579928269685733</v>
      </c>
      <c r="C187" s="345">
        <v>27</v>
      </c>
      <c r="D187" s="368">
        <v>0.37603608680989487</v>
      </c>
      <c r="E187" s="367">
        <v>28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Sep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1532.8771078</v>
      </c>
      <c r="C197" s="361">
        <f>SUMIF(Data!$DJ$1:$DJ$15,"AS",Data!$DK$1:$DK$15)/1000000</f>
        <v>16385.206664379999</v>
      </c>
      <c r="D197" s="361">
        <f>SUMIF(Data!$DM$1:$DM$15,"AS",Data!$DN$1:$DN$15)/1000000</f>
        <v>11293.203978940001</v>
      </c>
      <c r="E197" s="363">
        <f>IFERROR(IF(OR(AND(D197="",C197=""),AND(D197=0,C197=0)),0,
IF(OR(D197="",D197=0),1,
IF(OR(D197&lt;&gt;"",D197&lt;&gt;0),(C197-D197)/ABS(D197)))),-1)</f>
        <v>0.45089088047428882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27933.846667669997</v>
      </c>
      <c r="D198" s="361">
        <f>(SUMIF(Data!$DM$1:$DM$15,"RT",Data!$DN$1:$DN$15)+SUMIF(Data!$DM$1:$DM$15,"TU",Data!$DN$1:$DN$15))/1000000</f>
        <v>12114.967204379998</v>
      </c>
      <c r="E198" s="363">
        <f t="shared" ref="E198:E201" si="16">IFERROR(IF(OR(AND(D198="",C198=""),AND(D198=0,C198=0)),0,
IF(OR(D198="",D198=0),1,
IF(OR(D198&lt;&gt;"",D198&lt;&gt;0),(C198-D198)/ABS(D198)))),-1)</f>
        <v>1.3057302753218269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1621.7918659300001</v>
      </c>
      <c r="C200" s="361">
        <f>(SUMIF(Data!$DJ$1:$DJ$15,"SO",Data!$DK$1:$DK$15)+SUMIF(Data!$DJ$1:$DJ$15,"SS",Data!$DK$1:$DK$15))/1000000</f>
        <v>7481.1291087</v>
      </c>
      <c r="D200" s="361">
        <f>(SUMIF(Data!$DM$1:$DM$15,"SO",Data!$DN$1:$DN$15)+SUMIF(Data!$DM$1:$DM$15,"SS",Data!$DN$1:$DN$15))/1000000</f>
        <v>7335.3583641499999</v>
      </c>
      <c r="E200" s="363">
        <f t="shared" si="16"/>
        <v>1.9872341242716026E-2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1289.5004590000001</v>
      </c>
      <c r="C201" s="361">
        <f>(SUMIF(Data!$DJ$1:$DJ$15,"SI",Data!$DK$1:$DK$15)+SUMIF(Data!$DJ$1:$DJ$15,"GI",Data!$DK$1:$DK$15))/1000000</f>
        <v>24658.680412400001</v>
      </c>
      <c r="D201" s="361">
        <f>(SUMIF(Data!$DM$1:$DM$15,"SI",Data!$DN$1:$DN$15)+SUMIF(Data!$DM$1:$DM$15,"GI",Data!$DN$1:$DN$15))/1000000</f>
        <v>55499.948679820001</v>
      </c>
      <c r="E201" s="363">
        <f t="shared" si="16"/>
        <v>-0.55569904118909585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4444.1694327300002</v>
      </c>
      <c r="C202" s="362">
        <f>SUM(C197:C201)</f>
        <v>76458.86285315</v>
      </c>
      <c r="D202" s="362">
        <f>SUM(D197:D201)</f>
        <v>86243.478227290005</v>
      </c>
      <c r="E202" s="364">
        <f>IFERROR(IF(OR(AND(D202="",C202=""),AND(D202=0,C202=0)),0,
IF(OR(D202="",D202=0),1,
IF(OR(D202&lt;&gt;"",D202&lt;&gt;0),(C202-D202)/ABS(D202)))),-1)</f>
        <v>-0.11345339468282091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Sep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v>0.41610000000000003</v>
      </c>
      <c r="C210" s="286">
        <v>0.35249999999999998</v>
      </c>
      <c r="D210" s="286">
        <v>0.40870000000000001</v>
      </c>
      <c r="E210" s="286">
        <f>IFERROR(IF(OR(AND(D210="",C210=""),AND(D210=0,C210=0)),"",
IF(OR(D210="",D210=0),1,
IF(OR(D210&lt;&gt;"",D210&lt;&gt;0),(C210-D210)/ABS(D210)))),-1)</f>
        <v>-0.13750917543430397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v>0.37409999999999999</v>
      </c>
      <c r="C211" s="286">
        <v>0.3281</v>
      </c>
      <c r="D211" s="286">
        <v>0.38059999999999999</v>
      </c>
      <c r="E211" s="286">
        <f>IFERROR(IF(OR(AND(D211="",C211=""),AND(D211=0,C211=0)),"",
IF(OR(D211="",D211=0),1,
IF(OR(D211&lt;&gt;"",D211&lt;&gt;0),(C211-D211)/ABS(D211)))),-1)</f>
        <v>-0.1379400945874934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667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Sep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323</v>
      </c>
      <c r="C221" s="249">
        <f>SUMIF(Data!$BT$9:$BT$14,"&lt;&gt;AltX",Data!BU9:BU14)</f>
        <v>323</v>
      </c>
      <c r="D221" s="249">
        <f>SUMIF(Data!$BT$17:$BT$23,"&lt;&gt;AltX",Data!$BU$17:$BU$24)</f>
        <v>329</v>
      </c>
      <c r="E221" s="286">
        <f>IFERROR(IF(OR(AND(D221="",C221=""),AND(D221=0,C221=0)),"",
IF(OR(D221="",D221=0),1,
IF(OR(D221&lt;&gt;"",D221&lt;&gt;0),(C221-D221)/ABS(D221)))),-1)</f>
        <v>-1.82370820668693E-2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3</v>
      </c>
      <c r="C222" s="249">
        <f>SUMIF(Data!$BT$9:$BT$14,"&lt;&gt;AltX",Data!BV9:BV14)</f>
        <v>9</v>
      </c>
      <c r="D222" s="249">
        <f>SUMIF(Data!$BT$17:$BT$23,"&lt;&gt;AltX",Data!$BV$17:$BV$23)</f>
        <v>9</v>
      </c>
      <c r="E222" s="286">
        <f t="shared" ref="E222:E223" si="17">IFERROR(IF(OR(AND(D222="",C222=""),AND(D222=0,C222=0)),"",
IF(OR(D222="",D222=0),1,
IF(OR(D222&lt;&gt;"",D222&lt;&gt;0),(C222-D222)/ABS(D222)))),-1)</f>
        <v>0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v>18</v>
      </c>
      <c r="D223" s="249">
        <f>SUMIF(Data!$BT$17:$BT$23,"&lt;&gt;AltX",Data!$BW$17:$BW$23)</f>
        <v>12</v>
      </c>
      <c r="E223" s="286">
        <f t="shared" si="17"/>
        <v>0.5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52</v>
      </c>
      <c r="C226" s="249">
        <f>SUMIF(Data!$BT$9:$BT$14,"AltX",Data!BU9:BU14)</f>
        <v>52</v>
      </c>
      <c r="D226" s="249">
        <f>SUMIF(Data!$BT$17:$BT$23,"AltX",Data!$BU$17:$BU$24)</f>
        <v>59</v>
      </c>
      <c r="E226" s="286">
        <f t="shared" ref="E226:E227" si="18">IFERROR(IF(OR(AND(D226="",C226=""),AND(D226=0,C226=0)),"",
IF(OR(D226="",D226=0),1,
IF(OR(D226&lt;&gt;"",D226&lt;&gt;0),(C226-D226)/ABS(D226)))),-1)</f>
        <v>-0.11864406779661017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5</v>
      </c>
      <c r="D227" s="249">
        <f>SUMIF(Data!$BT$17:$BT$23,"AltX",Data!$BV$17:$BV$23)</f>
        <v>3</v>
      </c>
      <c r="E227" s="286">
        <f t="shared" si="18"/>
        <v>0.66666666666666663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v>9</v>
      </c>
      <c r="D228" s="249">
        <f>SUMIF(Data!$BT$17:$BT$23,"AltX",Data!$BW$17:$BW$23)</f>
        <v>7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3</v>
      </c>
      <c r="C231" s="249">
        <f t="shared" si="20"/>
        <v>14</v>
      </c>
      <c r="D231" s="249">
        <f t="shared" si="20"/>
        <v>12</v>
      </c>
      <c r="E231" s="286">
        <f t="shared" ref="E231:E237" si="21">IFERROR(IF(OR(AND(D231="",C231=""),AND(D231=0,C231=0)),"",
IF(OR(D231="",D231=0),1,
IF(OR(D231&lt;&gt;"",D231&lt;&gt;0),(C231-D231)/ABS(D231)))),-1)</f>
        <v>0.16666666666666666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27</v>
      </c>
      <c r="D232" s="249">
        <f t="shared" si="20"/>
        <v>19</v>
      </c>
      <c r="E232" s="286">
        <f>IFERROR(IF(OR(AND(D232="",C232=""),AND(D232=0,C232=0)),"",
IF(OR(D232="",D232=0),1,
IF(OR(D232&lt;&gt;"",D232&lt;&gt;0),(C232-D232)/ABS(D232)))),-1)</f>
        <v>0.42105263157894735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73</v>
      </c>
      <c r="C233" s="249">
        <f>SUM(Data!$CB$10:$CB$14)</f>
        <v>73</v>
      </c>
      <c r="D233" s="249">
        <f>SUM(Data!CB18:CB22)</f>
        <v>76</v>
      </c>
      <c r="E233" s="286">
        <f t="shared" si="21"/>
        <v>-3.9473684210526314E-2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f>SUM(Data!$CA$2:$CA$6)</f>
        <v>302</v>
      </c>
      <c r="C234" s="249">
        <f>SUM(Data!$CA$10:$CA$14)</f>
        <v>302</v>
      </c>
      <c r="D234" s="249">
        <f>SUM(Data!CA18:CA22)</f>
        <v>312</v>
      </c>
      <c r="E234" s="286">
        <f t="shared" si="21"/>
        <v>-3.2051282051282048E-2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f ca="1">B221+B226</f>
        <v>375</v>
      </c>
      <c r="C235" s="250">
        <f>C221+C226</f>
        <v>375</v>
      </c>
      <c r="D235" s="250">
        <f>D221+D226</f>
        <v>388</v>
      </c>
      <c r="E235" s="326">
        <f t="shared" si="21"/>
        <v>-3.3505154639175257E-2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805</v>
      </c>
      <c r="C237" s="250">
        <f>Data!CD2</f>
        <v>805</v>
      </c>
      <c r="D237" s="250">
        <f>Data!CD5</f>
        <v>801</v>
      </c>
      <c r="E237" s="326">
        <f t="shared" si="21"/>
        <v>4.9937578027465668E-3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15206.978883842234</v>
      </c>
      <c r="C239" s="327"/>
      <c r="D239" s="327">
        <f>Data!CE5/1000000000</f>
        <v>15291.03499230259</v>
      </c>
      <c r="E239" s="326">
        <f>IFERROR(IF(OR(AND(D239="",B239=""),AND(D239=0,B239=0)),"",
IF(OR(D239="",D239=0),1,
IF(OR(D239&lt;&gt;"",D239&lt;&gt;0),(B239-D239)/ABS(D239)))),-1)</f>
        <v>-5.4970843048014265E-3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Sep 2017</v>
      </c>
      <c r="E262" s="369" t="s">
        <v>201</v>
      </c>
      <c r="F262" s="369"/>
      <c r="G262" s="369"/>
      <c r="H262" s="369"/>
      <c r="I262" s="125"/>
    </row>
    <row r="263" spans="1:13" ht="13.5" thickBot="1" x14ac:dyDescent="0.25">
      <c r="A263" s="116"/>
      <c r="B263" s="116"/>
      <c r="C263" s="116"/>
      <c r="D263" s="116"/>
      <c r="E263" s="382"/>
      <c r="F263" s="382"/>
      <c r="G263" s="382"/>
      <c r="H263" s="382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5" t="s">
        <v>203</v>
      </c>
      <c r="H264" s="385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5" t="s">
        <v>40</v>
      </c>
      <c r="F265" s="390" t="str">
        <f>"Index Close   "&amp;TEXT($H$3,"MMM")&amp;" "&amp;TEXT($H$3,"YYYY")</f>
        <v>Index Close   Sep 2017</v>
      </c>
      <c r="G265" s="385"/>
      <c r="H265" s="385"/>
      <c r="I265" s="392" t="s">
        <v>41</v>
      </c>
    </row>
    <row r="266" spans="1:13" ht="15.75" thickBot="1" x14ac:dyDescent="0.3">
      <c r="A266" s="330"/>
      <c r="B266" s="331"/>
      <c r="C266" s="331"/>
      <c r="D266" s="197"/>
      <c r="E266" s="386"/>
      <c r="F266" s="391"/>
      <c r="G266" s="386"/>
      <c r="H266" s="386"/>
      <c r="I266" s="393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55579.922932970003</v>
      </c>
      <c r="G268" s="286">
        <f>IF(IFERROR(VLOOKUP(E268,Data!$O$23:$P$196,2,FALSE),0)=0,0,(F268-IFERROR(VLOOKUP(E268,Data!$O$23:$P$196,2,FALSE),0))/ABS(IFERROR(VLOOKUP(E268,Data!$O$23:$P$196,2,FALSE),0)))</f>
        <v>-1.666942101299369E-2</v>
      </c>
      <c r="H268" s="184">
        <f>VLOOKUP(E268,Data!$B$23:$E$273,3,FALSE)</f>
        <v>56655.884673820001</v>
      </c>
      <c r="I268" s="333">
        <f>VLOOKUP(E268,Data!$B$23:$E$273,2,FALSE)</f>
        <v>42972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72251.808059770003</v>
      </c>
      <c r="G269" s="286">
        <f>IF(IFERROR(VLOOKUP(E269,Data!$O$23:$P$196,2,FALSE),0)=0,0,(F269-IFERROR(VLOOKUP(E269,Data!$O$23:$P$196,2,FALSE),0))/ABS(IFERROR(VLOOKUP(E269,Data!$O$23:$P$196,2,FALSE),0)))</f>
        <v>-5.8157317701813142E-2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59709.158381419998</v>
      </c>
      <c r="G270" s="334">
        <f>IF(IFERROR(VLOOKUP(E270,Data!$O$23:$P$196,2,FALSE),0)=0,0,(F270-IFERROR(VLOOKUP(E270,Data!$O$23:$P$196,2,FALSE),0))/ABS(IFERROR(VLOOKUP(E270,Data!$O$23:$P$196,2,FALSE),0)))</f>
        <v>-3.4781614566869565E-3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7489.5620405999998</v>
      </c>
      <c r="G271" s="286">
        <f>IF(IFERROR(VLOOKUP(E271,Data!$O$23:$P$196,2,FALSE),0)=0,0,(F271-IFERROR(VLOOKUP(E271,Data!$O$23:$P$196,2,FALSE),0))/ABS(IFERROR(VLOOKUP(E271,Data!$O$23:$P$196,2,FALSE),0)))</f>
        <v>-2.467336494146649E-3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28052.083734930002</v>
      </c>
      <c r="G272" s="286">
        <f>IF(IFERROR(VLOOKUP(E272,Data!$O$23:$P$196,2,FALSE),0)=0,0,(F272-IFERROR(VLOOKUP(E272,Data!$O$23:$P$196,2,FALSE),0))/ABS(IFERROR(VLOOKUP(E272,Data!$O$23:$P$196,2,FALSE),0)))</f>
        <v>-1.7582757491060093E-2</v>
      </c>
      <c r="H272" s="184">
        <f>VLOOKUP(E272,Data!$B$23:$E$273,3,FALSE)</f>
        <v>28567.939084289999</v>
      </c>
      <c r="I272" s="333">
        <f>VLOOKUP(E272,Data!$B$23:$E$273,2,FALSE)</f>
        <v>42972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12175.01257721</v>
      </c>
      <c r="G273" s="286">
        <f>IF(IFERROR(VLOOKUP(E273,Data!$O$23:$P$196,2,FALSE),0)=0,0,(F273-IFERROR(VLOOKUP(E273,Data!$O$23:$P$196,2,FALSE),0))/ABS(IFERROR(VLOOKUP(E273,Data!$O$23:$P$196,2,FALSE),0)))</f>
        <v>-2.4016217227673418E-2</v>
      </c>
      <c r="H273" s="184">
        <f>VLOOKUP(E273,Data!$B$23:$E$273,3,FALSE)</f>
        <v>12529.92449967</v>
      </c>
      <c r="I273" s="333">
        <f>VLOOKUP(E273,Data!$B$23:$E$273,2,FALSE)</f>
        <v>42972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49376.463990099997</v>
      </c>
      <c r="G276" s="286">
        <f>IF(IFERROR(VLOOKUP(E276,Data!$O$23:$P$196,2,FALSE),0)=0,0,(F276-IFERROR(VLOOKUP(E276,Data!$O$23:$P$196,2,FALSE),0))/ABS(IFERROR(VLOOKUP(E276,Data!$O$23:$P$196,2,FALSE),0)))</f>
        <v>-1.2416795217156464E-2</v>
      </c>
      <c r="H276" s="184">
        <f>VLOOKUP(E276,Data!$B$23:$E$273,3,FALSE)</f>
        <v>50175.32536409</v>
      </c>
      <c r="I276" s="333">
        <f>VLOOKUP(E276,Data!$B$23:$E$273,2,FALSE)</f>
        <v>42972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25838.937696969999</v>
      </c>
      <c r="G277" s="286">
        <f>IF(IFERROR(VLOOKUP(E277,Data!$O$23:$P$196,2,FALSE),0)=0,0,(F277-IFERROR(VLOOKUP(E277,Data!$O$23:$P$196,2,FALSE),0))/ABS(IFERROR(VLOOKUP(E277,Data!$O$23:$P$196,2,FALSE),0)))</f>
        <v>-1.4423678580740637E-2</v>
      </c>
      <c r="H277" s="184">
        <f>VLOOKUP(E277,Data!$B$23:$E$273,3,FALSE)</f>
        <v>26240.287589439999</v>
      </c>
      <c r="I277" s="333">
        <f>VLOOKUP(E277,Data!$B$23:$E$273,2,FALSE)</f>
        <v>42975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10965.332266089999</v>
      </c>
      <c r="G278" s="286">
        <f>IF(IFERROR(VLOOKUP(E278,Data!$O$23:$P$196,2,FALSE),0)=0,0,(F278-IFERROR(VLOOKUP(E278,Data!$O$23:$P$196,2,FALSE),0))/ABS(IFERROR(VLOOKUP(E278,Data!$O$23:$P$196,2,FALSE),0)))</f>
        <v>-2.0862218577302923E-2</v>
      </c>
      <c r="H278" s="184">
        <f>VLOOKUP(E278,Data!$B$23:$E$273,3,FALSE)</f>
        <v>11273.33627779</v>
      </c>
      <c r="I278" s="333">
        <f>VLOOKUP(E278,Data!$B$23:$E$273,2,FALSE)</f>
        <v>42972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35015.426659179997</v>
      </c>
      <c r="G279" s="286">
        <f>IF(IFERROR(VLOOKUP(E279,Data!$O$23:$P$196,2,FALSE),0)=0,0,(F279-IFERROR(VLOOKUP(E279,Data!$O$23:$P$196,2,FALSE),0))/ABS(IFERROR(VLOOKUP(E279,Data!$O$23:$P$196,2,FALSE),0)))</f>
        <v>-2.1200117515591515E-2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1324.6363397800001</v>
      </c>
      <c r="G280" s="286">
        <f>IF(IFERROR(VLOOKUP(E280,Data!$O$23:$P$196,2,FALSE),0)=0,0,(F280-IFERROR(VLOOKUP(E280,Data!$O$23:$P$196,2,FALSE),0))/ABS(IFERROR(VLOOKUP(E280,Data!$O$23:$P$196,2,FALSE),0)))</f>
        <v>-7.6789322733146911E-2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75728.592672319995</v>
      </c>
      <c r="G281" s="286">
        <f>IF(IFERROR(VLOOKUP(E281,Data!$O$23:$P$196,2,FALSE),0)=0,0,(F281-IFERROR(VLOOKUP(E281,Data!$O$23:$P$196,2,FALSE),0))/ABS(IFERROR(VLOOKUP(E281,Data!$O$23:$P$196,2,FALSE),0)))</f>
        <v>-5.3728740590938831E-3</v>
      </c>
      <c r="H281" s="184">
        <f>VLOOKUP(E281,Data!$B$23:$E$273,3,FALSE)</f>
        <v>76918.317275559995</v>
      </c>
      <c r="I281" s="333">
        <f>VLOOKUP(E281,Data!$B$23:$E$273,2,FALSE)</f>
        <v>42971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15108.12248589</v>
      </c>
      <c r="G282" s="286">
        <f>IF(IFERROR(VLOOKUP(E282,Data!$O$23:$P$196,2,FALSE),0)=0,0,(F282-IFERROR(VLOOKUP(E282,Data!$O$23:$P$196,2,FALSE),0))/ABS(IFERROR(VLOOKUP(E282,Data!$O$23:$P$196,2,FALSE),0)))</f>
        <v>-3.7660061186017862E-2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78153.621633329996</v>
      </c>
      <c r="G283" s="286">
        <f>IF(IFERROR(VLOOKUP(E283,Data!$O$23:$P$196,2,FALSE),0)=0,0,(F283-IFERROR(VLOOKUP(E283,Data!$O$23:$P$196,2,FALSE),0))/ABS(IFERROR(VLOOKUP(E283,Data!$O$23:$P$196,2,FALSE),0)))</f>
        <v>-1.1610547050890853E-2</v>
      </c>
      <c r="H283" s="184">
        <f>VLOOKUP(E283,Data!$B$23:$E$273,3,FALSE)</f>
        <v>79876.819681349996</v>
      </c>
      <c r="I283" s="333">
        <f>VLOOKUP(E283,Data!$B$23:$E$273,2,FALSE)</f>
        <v>42972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24736.645108019999</v>
      </c>
      <c r="G287" s="286">
        <f>IF(IFERROR(VLOOKUP(E287,Data!$O$23:$P$196,2,FALSE),0)=0,0,(F287-IFERROR(VLOOKUP(E287,Data!$O$23:$P$196,2,FALSE),0))/ABS(IFERROR(VLOOKUP(E287,Data!$O$23:$P$196,2,FALSE),0)))</f>
        <v>-2.2150831751787857E-2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46998.616028880002</v>
      </c>
      <c r="G288" s="286">
        <f>IF(IFERROR(VLOOKUP(E288,Data!$O$23:$P$196,2,FALSE),0)=0,0,(F288-IFERROR(VLOOKUP(E288,Data!$O$23:$P$196,2,FALSE),0))/ABS(IFERROR(VLOOKUP(E288,Data!$O$23:$P$196,2,FALSE),0)))</f>
        <v>-2.8855424446502013E-2</v>
      </c>
      <c r="H288" s="184">
        <f>VLOOKUP(E288,Data!$B$23:$E$273,3,FALSE)</f>
        <v>49802.0548605</v>
      </c>
      <c r="I288" s="333">
        <f>VLOOKUP(E288,Data!$B$23:$E$273,2,FALSE)</f>
        <v>42594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79411.713355169995</v>
      </c>
      <c r="G289" s="286">
        <f>IF(IFERROR(VLOOKUP(E289,Data!$O$23:$P$196,2,FALSE),0)=0,0,(F289-IFERROR(VLOOKUP(E289,Data!$O$23:$P$196,2,FALSE),0))/ABS(IFERROR(VLOOKUP(E289,Data!$O$23:$P$196,2,FALSE),0)))</f>
        <v>2.5617624890082971E-2</v>
      </c>
      <c r="H289" s="184">
        <f>VLOOKUP(E289,Data!$B$23:$E$273,3,FALSE)</f>
        <v>82900.72771716</v>
      </c>
      <c r="I289" s="333">
        <f>VLOOKUP(E289,Data!$B$23:$E$273,2,FALSE)</f>
        <v>42520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21819.449389879999</v>
      </c>
      <c r="G290" s="286">
        <f>IF(IFERROR(VLOOKUP(E290,Data!$O$23:$P$196,2,FALSE),0)=0,0,(F290-IFERROR(VLOOKUP(E290,Data!$O$23:$P$196,2,FALSE),0))/ABS(IFERROR(VLOOKUP(E290,Data!$O$23:$P$196,2,FALSE),0)))</f>
        <v>-1.2821381616016151E-2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41263.498441479998</v>
      </c>
      <c r="G291" s="286">
        <f>IF(IFERROR(VLOOKUP(E291,Data!$O$23:$P$196,2,FALSE),0)=0,0,(F291-IFERROR(VLOOKUP(E291,Data!$O$23:$P$196,2,FALSE),0))/ABS(IFERROR(VLOOKUP(E291,Data!$O$23:$P$196,2,FALSE),0)))</f>
        <v>-3.1496342041971326E-2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45466.831736380002</v>
      </c>
      <c r="G292" s="286">
        <f>IF(IFERROR(VLOOKUP(E292,Data!$O$23:$P$196,2,FALSE),0)=0,0,(F292-IFERROR(VLOOKUP(E292,Data!$O$23:$P$196,2,FALSE),0))/ABS(IFERROR(VLOOKUP(E292,Data!$O$23:$P$196,2,FALSE),0)))</f>
        <v>-7.6595072957536564E-2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6989.1840483899996</v>
      </c>
      <c r="G293" s="286">
        <f>IF(IFERROR(VLOOKUP(E293,Data!$O$23:$P$196,2,FALSE),0)=0,0,(F293-IFERROR(VLOOKUP(E293,Data!$O$23:$P$196,2,FALSE),0))/ABS(IFERROR(VLOOKUP(E293,Data!$O$23:$P$196,2,FALSE),0)))</f>
        <v>-5.9966160950061562E-2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7427.0579468699998</v>
      </c>
      <c r="G294" s="286">
        <f>IF(IFERROR(VLOOKUP(E294,Data!$O$23:$P$196,2,FALSE),0)=0,0,(F294-IFERROR(VLOOKUP(E294,Data!$O$23:$P$196,2,FALSE),0))/ABS(IFERROR(VLOOKUP(E294,Data!$O$23:$P$196,2,FALSE),0)))</f>
        <v>-1.5950970637012507E-2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3480.5164960000002</v>
      </c>
      <c r="G298" s="286">
        <f>IF(IFERROR(VLOOKUP(E298,Data!$O$23:$P$196,2,FALSE),0)=0,0,(F298-IFERROR(VLOOKUP(E298,Data!$O$23:$P$196,2,FALSE),0))/ABS(IFERROR(VLOOKUP(E298,Data!$O$23:$P$196,2,FALSE),0)))</f>
        <v>-2.8895669321477573E-2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891.94522357000005</v>
      </c>
      <c r="G299" s="286">
        <f>IF(IFERROR(VLOOKUP(E299,Data!$O$23:$P$196,2,FALSE),0)=0,0,(F299-IFERROR(VLOOKUP(E299,Data!$O$23:$P$196,2,FALSE),0))/ABS(IFERROR(VLOOKUP(E299,Data!$O$23:$P$196,2,FALSE),0)))</f>
        <v>-8.0275943223638915E-3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648.65662951000002</v>
      </c>
      <c r="G300" s="286">
        <f>IF(IFERROR(VLOOKUP(E300,Data!$O$23:$P$196,2,FALSE),0)=0,0,(F300-IFERROR(VLOOKUP(E300,Data!$O$23:$P$196,2,FALSE),0))/ABS(IFERROR(VLOOKUP(E300,Data!$O$23:$P$196,2,FALSE),0)))</f>
        <v>-7.1137001089541857E-3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524.0559164</v>
      </c>
      <c r="G301" s="286">
        <f>IF(IFERROR(VLOOKUP(E301,Data!$O$23:$P$196,2,FALSE),0)=0,0,(F301-IFERROR(VLOOKUP(E301,Data!$O$23:$P$196,2,FALSE),0))/ABS(IFERROR(VLOOKUP(E301,Data!$O$23:$P$196,2,FALSE),0)))</f>
        <v>-3.5553381126137967E-3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19737.327620659999</v>
      </c>
      <c r="G302" s="286">
        <f>IF(IFERROR(VLOOKUP(E302,Data!$O$23:$P$196,2,FALSE),0)=0,0,(F302-IFERROR(VLOOKUP(E302,Data!$O$23:$P$196,2,FALSE),0))/ABS(IFERROR(VLOOKUP(E302,Data!$O$23:$P$196,2,FALSE),0)))</f>
        <v>-2.2150831751765344E-2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362.87571001999999</v>
      </c>
      <c r="G303" s="286">
        <f>IF(IFERROR(VLOOKUP(E303,Data!$O$23:$P$196,2,FALSE),0)=0,0,(F303-IFERROR(VLOOKUP(E303,Data!$O$23:$P$196,2,FALSE),0))/ABS(IFERROR(VLOOKUP(E303,Data!$O$23:$P$196,2,FALSE),0)))</f>
        <v>-3.3355264450706204E-2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655.73607408999999</v>
      </c>
      <c r="G304" s="286">
        <f>IF(IFERROR(VLOOKUP(E304,Data!$O$23:$P$196,2,FALSE),0)=0,0,(F304-IFERROR(VLOOKUP(E304,Data!$O$23:$P$196,2,FALSE),0))/ABS(IFERROR(VLOOKUP(E304,Data!$O$23:$P$196,2,FALSE),0)))</f>
        <v>-8.7144580812876134E-3</v>
      </c>
      <c r="H304" s="184">
        <f>VLOOKUP(E304,Data!$B$23:$E$273,3,FALSE)</f>
        <v>668.9655262</v>
      </c>
      <c r="I304" s="333">
        <f>VLOOKUP(E304,Data!$B$23:$E$273,2,FALSE)</f>
        <v>42972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18.475716429999999</v>
      </c>
      <c r="G307" s="286">
        <f>IF(IFERROR(VLOOKUP(E307,Data!$O$23:$P$196,2,FALSE),0)=0,0,(F307-IFERROR(VLOOKUP(E307,Data!$O$23:$P$196,2,FALSE),0))/ABS(IFERROR(VLOOKUP(E307,Data!$O$23:$P$196,2,FALSE),0)))</f>
        <v>-0.11076177963471784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7891.8090986200004</v>
      </c>
      <c r="G308" s="286">
        <f>IF(IFERROR(VLOOKUP(E308,Data!$O$23:$P$196,2,FALSE),0)=0,0,(F308-IFERROR(VLOOKUP(E308,Data!$O$23:$P$196,2,FALSE),0))/ABS(IFERROR(VLOOKUP(E308,Data!$O$23:$P$196,2,FALSE),0)))</f>
        <v>-1.0474155616114793E-2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1168.9173940600001</v>
      </c>
      <c r="G313" s="286">
        <f>IF(IFERROR(VLOOKUP(E313,Data!$O$23:$P$196,2,FALSE),0)=0,0,(F313-IFERROR(VLOOKUP(E313,Data!$O$23:$P$196,2,FALSE),0))/ABS(IFERROR(VLOOKUP(E313,Data!$O$23:$P$196,2,FALSE),0)))</f>
        <v>3.3023260874290744E-3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Sep 2017</v>
      </c>
      <c r="E347" s="369" t="s">
        <v>204</v>
      </c>
      <c r="F347" s="369"/>
      <c r="G347" s="369"/>
      <c r="H347" s="369"/>
      <c r="I347" s="125"/>
    </row>
    <row r="348" spans="1:9" ht="13.5" thickBot="1" x14ac:dyDescent="0.25">
      <c r="A348" s="116"/>
      <c r="B348" s="116"/>
      <c r="C348" s="116"/>
      <c r="D348" s="116"/>
      <c r="E348" s="382"/>
      <c r="F348" s="382"/>
      <c r="G348" s="382"/>
      <c r="H348" s="382"/>
      <c r="I348" s="116"/>
    </row>
    <row r="349" spans="1:9" ht="15" x14ac:dyDescent="0.25">
      <c r="A349" s="281"/>
      <c r="B349" s="337"/>
      <c r="C349" s="281"/>
      <c r="D349" s="374" t="str">
        <f>TEXT(DATE(2000,TEXT(H3,"M")-1,1),"mmm")&amp; " "&amp; TEXT(H3,"YYYY")</f>
        <v>Aug 2017</v>
      </c>
      <c r="E349" s="374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75"/>
      <c r="E350" s="375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Sep 2017</v>
      </c>
      <c r="D351" s="376"/>
      <c r="E351" s="376"/>
      <c r="F351" s="284" t="s">
        <v>1</v>
      </c>
      <c r="G351" s="330"/>
      <c r="H351" s="338" t="str">
        <f>TEXT($H$3,"MMM")&amp;" "&amp;TEXT($H$3,"YYYY")-1</f>
        <v>Sep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72"/>
      <c r="E353" s="372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289421</v>
      </c>
      <c r="D354" s="372">
        <f>SUMIFS(Data!$V$30:$V$42,Data!$S$30:$S$42,MarketProfile!A354,Data!$X$30:$X$42,"1")</f>
        <v>273032</v>
      </c>
      <c r="E354" s="372"/>
      <c r="F354" s="286">
        <f>IFERROR(IF(OR(AND(D354="",C354=""),AND(D354=0,C354=0)),"",
IF(OR(D354="",D354=0),1,
IF(OR(D354&lt;&gt;"",D354&lt;&gt;0),(C354-D354)/ABS(D354)))),-1)</f>
        <v>6.0025931026399838E-2</v>
      </c>
      <c r="G354" s="372">
        <f>SUMIFS(Data!$V$60:$V$72,Data!$S$60:$S$72,MarketProfile!A354,Data!$X$60:$X$72,"1")</f>
        <v>328208</v>
      </c>
      <c r="H354" s="372"/>
      <c r="I354" s="286">
        <f t="shared" ref="I354:I367" si="22">IFERROR(IF(OR(AND(G354="",C354=""),AND(G354=0,C354=0)),"",
IF(OR(G354="",G354=0),1,
IF(OR(G354&lt;&gt;"",G354&lt;&gt;0),(C354-G354)/ABS(G354)))),-1)</f>
        <v>-0.11817810656656755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8075</v>
      </c>
      <c r="D355" s="372">
        <f>SUMIFS(Data!$V$30:$V$42,Data!$S$30:$S$42,MarketProfile!A355,Data!$X$30:$X$42,"1")</f>
        <v>3978</v>
      </c>
      <c r="E355" s="372"/>
      <c r="F355" s="286">
        <f t="shared" ref="F355:F361" si="23">IFERROR(IF(OR(AND(D355="",C355=""),AND(D355=0,C355=0)),"",
IF(OR(D355="",D355=0),1,
IF(OR(D355&lt;&gt;"",D355&lt;&gt;0),(C355-D355)/ABS(D355)))),-1)</f>
        <v>1.0299145299145298</v>
      </c>
      <c r="G355" s="372">
        <f>SUMIFS(Data!$V$60:$V$72,Data!$S$60:$S$72,MarketProfile!A355,Data!$X$60:$X$72,"1")</f>
        <v>10426</v>
      </c>
      <c r="H355" s="372"/>
      <c r="I355" s="286">
        <f t="shared" si="22"/>
        <v>-0.22549395741415693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7464</v>
      </c>
      <c r="D356" s="372">
        <f>SUMIFS(Data!$V$30:$V$42,Data!$S$30:$S$42,MarketProfile!A356,Data!$X$30:$X$42,"1")</f>
        <v>3721</v>
      </c>
      <c r="E356" s="372"/>
      <c r="F356" s="286">
        <f t="shared" si="23"/>
        <v>1.0059123891427035</v>
      </c>
      <c r="G356" s="372">
        <f>SUMIFS(Data!$V$60:$V$72,Data!$S$60:$S$72,MarketProfile!A356,Data!$X$60:$X$72,"1")</f>
        <v>9806</v>
      </c>
      <c r="H356" s="372"/>
      <c r="I356" s="286">
        <f t="shared" si="22"/>
        <v>-0.23883336732612687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240</v>
      </c>
      <c r="D357" s="372">
        <f>SUMIFS(Data!$V$30:$V$42,Data!$S$30:$S$42,MarketProfile!A357,Data!$X$30:$X$42,"1")</f>
        <v>234</v>
      </c>
      <c r="E357" s="372"/>
      <c r="F357" s="286">
        <f t="shared" si="23"/>
        <v>2.564102564102564E-2</v>
      </c>
      <c r="G357" s="372">
        <f>SUMIFS(Data!$V$60:$V$72,Data!$S$60:$S$72,MarketProfile!A357,Data!$X$60:$X$72,"1")</f>
        <v>309</v>
      </c>
      <c r="H357" s="372"/>
      <c r="I357" s="286">
        <f t="shared" si="22"/>
        <v>-0.22330097087378642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591</v>
      </c>
      <c r="D358" s="372">
        <f>SUMIFS(Data!$V$30:$V$42,Data!$S$30:$S$42,MarketProfile!A358,Data!$X$30:$X$42,"1")</f>
        <v>183</v>
      </c>
      <c r="E358" s="372"/>
      <c r="F358" s="286">
        <f t="shared" si="23"/>
        <v>2.2295081967213113</v>
      </c>
      <c r="G358" s="372">
        <f>SUMIFS(Data!$V$60:$V$72,Data!$S$60:$S$72,MarketProfile!A358,Data!$X$60:$X$72,"1")</f>
        <v>695</v>
      </c>
      <c r="H358" s="372"/>
      <c r="I358" s="286">
        <f t="shared" si="22"/>
        <v>-0.14964028776978416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572</v>
      </c>
      <c r="D359" s="372">
        <f>SUMIFS(Data!$V$30:$V$42,Data!$S$30:$S$42,MarketProfile!A359,Data!$X$30:$X$42,"1")</f>
        <v>161</v>
      </c>
      <c r="E359" s="372"/>
      <c r="F359" s="286">
        <f t="shared" si="23"/>
        <v>2.5527950310559007</v>
      </c>
      <c r="G359" s="372">
        <f>SUMIFS(Data!$V$60:$V$72,Data!$S$60:$S$72,MarketProfile!A359,Data!$X$60:$X$72,"1")</f>
        <v>610</v>
      </c>
      <c r="H359" s="372"/>
      <c r="I359" s="286">
        <f t="shared" si="22"/>
        <v>-6.2295081967213117E-2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303</v>
      </c>
      <c r="D360" s="372">
        <f>SUMIFS(Data!$V$30:$V$42,Data!$S$30:$S$42,MarketProfile!A360,Data!$X$30:$X$42,"1")</f>
        <v>185</v>
      </c>
      <c r="E360" s="372"/>
      <c r="F360" s="286">
        <f t="shared" si="23"/>
        <v>0.63783783783783787</v>
      </c>
      <c r="G360" s="372">
        <f>SUMIFS(Data!$V$60:$V$72,Data!$S$60:$S$72,MarketProfile!A360,Data!$X$60:$X$72,"1")</f>
        <v>173</v>
      </c>
      <c r="H360" s="372"/>
      <c r="I360" s="286">
        <f t="shared" si="22"/>
        <v>0.75144508670520227</v>
      </c>
    </row>
    <row r="361" spans="1:9" ht="15" x14ac:dyDescent="0.25">
      <c r="A361" s="288" t="s">
        <v>133</v>
      </c>
      <c r="B361" s="250"/>
      <c r="C361" s="250">
        <f>SUM(C354:C360)</f>
        <v>306666</v>
      </c>
      <c r="D361" s="373">
        <f>SUM(D354:E360)</f>
        <v>281494</v>
      </c>
      <c r="E361" s="373"/>
      <c r="F361" s="326">
        <f t="shared" si="23"/>
        <v>8.9422865140997676E-2</v>
      </c>
      <c r="G361" s="373">
        <f>SUM(G354:H360)</f>
        <v>350227</v>
      </c>
      <c r="H361" s="373">
        <v>228310</v>
      </c>
      <c r="I361" s="326">
        <f t="shared" si="22"/>
        <v>-0.12437933111953105</v>
      </c>
    </row>
    <row r="362" spans="1:9" ht="14.25" x14ac:dyDescent="0.2">
      <c r="A362" s="248"/>
      <c r="B362" s="249"/>
      <c r="C362" s="249"/>
      <c r="D362" s="372"/>
      <c r="E362" s="372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72"/>
      <c r="E363" s="372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510</v>
      </c>
      <c r="D364" s="372">
        <f>SUMIFS(Data!$V$30:$V$42,Data!$S$30:$S$42,MarketProfile!A364,Data!$X$30:$X$42,"0")</f>
        <v>790</v>
      </c>
      <c r="E364" s="372"/>
      <c r="F364" s="286">
        <f t="shared" ref="F364:F368" si="24">IFERROR(IF(OR(AND(D364="",C364=""),AND(D364=0,C364=0)),"",
IF(OR(D364="",D364=0),1,
IF(OR(D364&lt;&gt;"",D364&lt;&gt;0),(C364-D364)/ABS(D364)))),-1)</f>
        <v>-0.35443037974683544</v>
      </c>
      <c r="G364" s="372">
        <f>SUMIFS(Data!$V$60:$V$72,Data!$S$60:$S$72,MarketProfile!A364,Data!$X$60:$X$72,"0")</f>
        <v>1700</v>
      </c>
      <c r="H364" s="372"/>
      <c r="I364" s="286">
        <f t="shared" si="22"/>
        <v>-0.7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1480</v>
      </c>
      <c r="D365" s="372">
        <f>SUMIFS(Data!$V$30:$V$42,Data!$S$30:$S$42,MarketProfile!A365,Data!$X$30:$X$42,"0")</f>
        <v>404</v>
      </c>
      <c r="E365" s="372"/>
      <c r="F365" s="286">
        <f t="shared" si="24"/>
        <v>2.6633663366336635</v>
      </c>
      <c r="G365" s="372">
        <f>SUMIFS(Data!$V$60:$V$72,Data!$S$60:$S$72,MarketProfile!A365,Data!$X$60:$X$72,"0")</f>
        <v>849</v>
      </c>
      <c r="H365" s="372"/>
      <c r="I365" s="286">
        <f t="shared" si="22"/>
        <v>0.74322732626619548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191</v>
      </c>
      <c r="D366" s="372">
        <f>SUMIFS(Data!$V$30:$V$42,Data!$S$30:$S$42,MarketProfile!A366,Data!$X$30:$X$42,"0")</f>
        <v>66</v>
      </c>
      <c r="E366" s="372"/>
      <c r="F366" s="286">
        <f t="shared" si="24"/>
        <v>1.893939393939394</v>
      </c>
      <c r="G366" s="372">
        <f>SUMIFS(Data!$V$60:$V$72,Data!$S$60:$S$72,MarketProfile!A366,Data!$X$60:$X$72,"0")</f>
        <v>84</v>
      </c>
      <c r="H366" s="372"/>
      <c r="I366" s="286">
        <f t="shared" si="22"/>
        <v>1.2738095238095237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72">
        <f>SUMIFS(Data!$V$30:$V$42,Data!$S$30:$S$42,MarketProfile!A367,Data!$X$30:$X$42,"0")</f>
        <v>0</v>
      </c>
      <c r="E367" s="372"/>
      <c r="F367" s="286" t="str">
        <f t="shared" si="24"/>
        <v/>
      </c>
      <c r="G367" s="372">
        <f>SUMIFS(Data!$V$60:$V$72,Data!$S$60:$S$72,MarketProfile!A367,Data!$X$60:$X$72,"0")</f>
        <v>0</v>
      </c>
      <c r="H367" s="372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2181</v>
      </c>
      <c r="D368" s="373">
        <f t="shared" ref="D368:E368" si="25">SUM(D364:D367)</f>
        <v>1260</v>
      </c>
      <c r="E368" s="373">
        <f t="shared" si="25"/>
        <v>0</v>
      </c>
      <c r="F368" s="326">
        <f t="shared" si="24"/>
        <v>0.73095238095238091</v>
      </c>
      <c r="G368" s="373">
        <f>SUM(G364:H367)</f>
        <v>2633</v>
      </c>
      <c r="H368" s="373">
        <v>1646</v>
      </c>
      <c r="I368" s="326">
        <f>IFERROR(IF(OR(AND(G368="",C368=""),AND(G368=0,C368=0)),"",
IF(OR(G368="",G368=0),1,
IF(OR(G368&lt;&gt;"",G368&lt;&gt;0),(C368-G368)/ABS(G368)))),-1)</f>
        <v>-0.17166729965818459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2969562</v>
      </c>
      <c r="D372" s="372">
        <f>SUMIFS(Data!$U$30:$U$42,Data!$S$30:$S$42,MarketProfile!A372,Data!$X$30:$X$42,"1")</f>
        <v>1193945</v>
      </c>
      <c r="E372" s="372"/>
      <c r="F372" s="286">
        <f t="shared" ref="F372:F379" si="26">IFERROR(IF(OR(AND(D372="",C372=""),AND(D372=0,C372=0)),"",
IF(OR(D372="",D372=0),1,
IF(OR(D372&lt;&gt;"",D372&lt;&gt;0),(C372-D372)/ABS(D372)))),-1)</f>
        <v>1.4871849205784187</v>
      </c>
      <c r="G372" s="372">
        <f>SUMIFS(Data!$U$60:$U$72,Data!$S$60:$S$72,MarketProfile!A372,Data!$X$60:$X$72,"1")</f>
        <v>2722659</v>
      </c>
      <c r="H372" s="372"/>
      <c r="I372" s="286">
        <f t="shared" ref="I372:I379" si="27">IFERROR(IF(OR(AND(G372="",C372=""),AND(G372=0,C372=0)),"",
IF(OR(G372="",G372=0),1,
IF(OR(G372&lt;&gt;"",G372&lt;&gt;0),(C372-G372)/ABS(G372)))),-1)</f>
        <v>9.0684510987237107E-2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2493178</v>
      </c>
      <c r="D373" s="372">
        <f>SUMIFS(Data!$U$30:$U$42,Data!$S$30:$S$42,MarketProfile!A373,Data!$X$30:$X$42,"1")</f>
        <v>393492</v>
      </c>
      <c r="E373" s="372"/>
      <c r="F373" s="286">
        <f t="shared" si="26"/>
        <v>5.3360322446199673</v>
      </c>
      <c r="G373" s="372">
        <f>SUMIFS(Data!$U$60:$U$72,Data!$S$60:$S$72,MarketProfile!A373,Data!$X$60:$X$72,"1")</f>
        <v>2083343</v>
      </c>
      <c r="H373" s="372"/>
      <c r="I373" s="286">
        <f t="shared" si="27"/>
        <v>0.19671988721972331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1729690</v>
      </c>
      <c r="D374" s="372">
        <f>SUMIFS(Data!$U$30:$U$42,Data!$S$30:$S$42,MarketProfile!A374,Data!$X$30:$X$42,"1")</f>
        <v>313086</v>
      </c>
      <c r="E374" s="372"/>
      <c r="F374" s="286">
        <f t="shared" si="26"/>
        <v>4.5246481797333642</v>
      </c>
      <c r="G374" s="372">
        <f>SUMIFS(Data!$U$60:$U$72,Data!$S$60:$S$72,MarketProfile!A374,Data!$X$60:$X$72,"1")</f>
        <v>1343793</v>
      </c>
      <c r="H374" s="372"/>
      <c r="I374" s="286">
        <f t="shared" si="27"/>
        <v>0.28716997335155042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404283</v>
      </c>
      <c r="D375" s="372">
        <f>SUMIFS(Data!$U$30:$U$42,Data!$S$30:$S$42,MarketProfile!A375,Data!$X$30:$X$42,"1")</f>
        <v>674315</v>
      </c>
      <c r="E375" s="372"/>
      <c r="F375" s="286">
        <f t="shared" si="26"/>
        <v>-0.40045379385005525</v>
      </c>
      <c r="G375" s="372">
        <f>SUMIFS(Data!$U$60:$U$72,Data!$S$60:$S$72,MarketProfile!A375,Data!$X$60:$X$72,"1")</f>
        <v>709092</v>
      </c>
      <c r="H375" s="372"/>
      <c r="I375" s="286">
        <f t="shared" si="27"/>
        <v>-0.42985818483356181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23718040</v>
      </c>
      <c r="D376" s="372">
        <f>SUMIFS(Data!$U$30:$U$42,Data!$S$30:$S$42,MarketProfile!A376,Data!$X$30:$X$42,"1")</f>
        <v>4472269</v>
      </c>
      <c r="E376" s="372"/>
      <c r="F376" s="286">
        <f t="shared" si="26"/>
        <v>4.303357199667551</v>
      </c>
      <c r="G376" s="372">
        <f>SUMIFS(Data!$U$60:$U$72,Data!$S$60:$S$72,MarketProfile!A376,Data!$X$60:$X$72,"1")</f>
        <v>23982658</v>
      </c>
      <c r="H376" s="372"/>
      <c r="I376" s="286">
        <f t="shared" si="27"/>
        <v>-1.1033722784188476E-2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22301888</v>
      </c>
      <c r="D377" s="372">
        <f>SUMIFS(Data!$U$30:$U$42,Data!$S$30:$S$42,MarketProfile!A377,Data!$X$30:$X$42,"1")</f>
        <v>4230010</v>
      </c>
      <c r="E377" s="372"/>
      <c r="F377" s="286">
        <f t="shared" si="26"/>
        <v>4.2723014839208417</v>
      </c>
      <c r="G377" s="372">
        <f>SUMIFS(Data!$U$60:$U$72,Data!$S$60:$S$72,MarketProfile!A377,Data!$X$60:$X$72,"1")</f>
        <v>22297322</v>
      </c>
      <c r="H377" s="372"/>
      <c r="I377" s="286">
        <f t="shared" si="27"/>
        <v>2.0477795494902931E-4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524065</v>
      </c>
      <c r="D378" s="372">
        <f>SUMIFS(Data!$U$30:$U$42,Data!$S$30:$S$42,MarketProfile!A378,Data!$X$30:$X$42,"1")</f>
        <v>58318</v>
      </c>
      <c r="E378" s="372"/>
      <c r="F378" s="286">
        <f t="shared" si="26"/>
        <v>7.9863335505332831</v>
      </c>
      <c r="G378" s="372">
        <f>SUMIFS(Data!$U$60:$U$72,Data!$S$60:$S$72,MarketProfile!A378,Data!$X$60:$X$72,"1")</f>
        <v>1337472</v>
      </c>
      <c r="H378" s="372"/>
      <c r="I378" s="286">
        <f t="shared" si="27"/>
        <v>-0.60816749808594128</v>
      </c>
    </row>
    <row r="379" spans="1:9" ht="15" x14ac:dyDescent="0.25">
      <c r="A379" s="288" t="s">
        <v>133</v>
      </c>
      <c r="B379" s="250"/>
      <c r="C379" s="250">
        <f>SUM(C372:C378)</f>
        <v>54140706</v>
      </c>
      <c r="D379" s="373">
        <f>SUM(D372:E378)</f>
        <v>11335435</v>
      </c>
      <c r="E379" s="373"/>
      <c r="F379" s="326">
        <f t="shared" si="26"/>
        <v>3.7762354069340964</v>
      </c>
      <c r="G379" s="373">
        <f>SUM(G372:H378)</f>
        <v>54476339</v>
      </c>
      <c r="H379" s="373">
        <v>17193059</v>
      </c>
      <c r="I379" s="326">
        <f t="shared" si="27"/>
        <v>-6.1610784821645231E-3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378323</v>
      </c>
      <c r="D382" s="372">
        <f>SUMIFS(Data!$U$30:$U$42,Data!$S$30:$S$42,MarketProfile!A382,Data!$X$30:$X$42,"0")</f>
        <v>432407</v>
      </c>
      <c r="E382" s="372"/>
      <c r="F382" s="286">
        <f t="shared" ref="F382:F386" si="28">IFERROR(IF(OR(AND(D382="",C382=""),AND(D382=0,C382=0)),"",
IF(OR(D382="",D382=0),1,
IF(OR(D382&lt;&gt;"",D382&lt;&gt;0),(C382-D382)/ABS(D382)))),-1)</f>
        <v>-0.12507660606789436</v>
      </c>
      <c r="G382" s="372">
        <f>SUMIFS(Data!$U$60:$U$72,Data!$S$60:$S$72,MarketProfile!A382,Data!$X$60:$X$72,"0")</f>
        <v>457799</v>
      </c>
      <c r="H382" s="372"/>
      <c r="I382" s="286">
        <f t="shared" ref="I382:I386" si="29">IFERROR(IF(OR(AND(G382="",C382=""),AND(G382=0,C382=0)),"",
IF(OR(G382="",G382=0),1,
IF(OR(G382&lt;&gt;"",G382&lt;&gt;0),(C382-G382)/ABS(G382)))),-1)</f>
        <v>-0.17360457318604891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1073368</v>
      </c>
      <c r="D383" s="372">
        <f>SUMIFS(Data!$U$30:$U$42,Data!$S$30:$S$42,MarketProfile!A383,Data!$X$30:$X$42,"0")</f>
        <v>1081236</v>
      </c>
      <c r="E383" s="372"/>
      <c r="F383" s="286">
        <f t="shared" si="28"/>
        <v>-7.2768572263594627E-3</v>
      </c>
      <c r="G383" s="372">
        <f>SUMIFS(Data!$U$60:$U$72,Data!$S$60:$S$72,MarketProfile!A383,Data!$X$60:$X$72,"0")</f>
        <v>1252891</v>
      </c>
      <c r="H383" s="372"/>
      <c r="I383" s="286">
        <f t="shared" si="29"/>
        <v>-0.14328700581295581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184186</v>
      </c>
      <c r="D384" s="372">
        <f>SUMIFS(Data!$U$30:$U$42,Data!$S$30:$S$42,MarketProfile!A384,Data!$X$30:$X$42,"0")</f>
        <v>100397</v>
      </c>
      <c r="E384" s="372"/>
      <c r="F384" s="286">
        <f t="shared" si="28"/>
        <v>0.83457673038038982</v>
      </c>
      <c r="G384" s="372">
        <f>SUMIFS(Data!$U$60:$U$72,Data!$S$60:$S$72,MarketProfile!A384,Data!$X$60:$X$72,"0")</f>
        <v>149076</v>
      </c>
      <c r="H384" s="372"/>
      <c r="I384" s="286">
        <f t="shared" si="29"/>
        <v>0.23551745418444284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72">
        <f>SUMIFS(Data!$U$30:$U$42,Data!$S$30:$S$42,MarketProfile!A385,Data!$X$30:$X$42,"0")</f>
        <v>0</v>
      </c>
      <c r="E385" s="372"/>
      <c r="F385" s="286" t="str">
        <f t="shared" si="28"/>
        <v/>
      </c>
      <c r="G385" s="372">
        <f>SUMIFS(Data!$U$60:$U$72,Data!$S$60:$S$72,MarketProfile!A385,Data!$X$60:$X$72,"0")</f>
        <v>0</v>
      </c>
      <c r="H385" s="372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1635877</v>
      </c>
      <c r="D386" s="373">
        <f>SUM(D382:E385)</f>
        <v>1614040</v>
      </c>
      <c r="E386" s="373">
        <f>SUM(E382:E385)</f>
        <v>0</v>
      </c>
      <c r="F386" s="326">
        <f t="shared" si="28"/>
        <v>1.3529404475725509E-2</v>
      </c>
      <c r="G386" s="373">
        <f>SUM(G382:H385)</f>
        <v>1859766</v>
      </c>
      <c r="H386" s="373">
        <v>677531</v>
      </c>
      <c r="I386" s="326">
        <f t="shared" si="29"/>
        <v>-0.12038557538959202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877918281.64564669</v>
      </c>
      <c r="D390" s="372">
        <f>SUMIFS(Data!$T$30:$T$42,Data!$S$30:$S$42,MarketProfile!A390,Data!$X$30:$X$42,"1")/1000</f>
        <v>361778092.37957823</v>
      </c>
      <c r="E390" s="372"/>
      <c r="F390" s="286">
        <f t="shared" ref="F390:F397" si="30">IFERROR(IF(OR(AND(D390="",C390=""),AND(D390=0,C390=0)),"",
IF(OR(D390="",D390=0),1,
IF(OR(D390&lt;&gt;"",D390&lt;&gt;0),(C390-D390)/ABS(D390)))),-1)</f>
        <v>1.4266761866954984</v>
      </c>
      <c r="G390" s="372">
        <f>SUMIFS(Data!$T$60:$T$72,Data!$S$60:$S$72,MarketProfile!A390,Data!$X$60:$X$72,"1")/1000</f>
        <v>852390881.97193766</v>
      </c>
      <c r="H390" s="372"/>
      <c r="I390" s="286">
        <f t="shared" ref="I390:I397" si="31">IFERROR(IF(OR(AND(G390="",C390=""),AND(G390=0,C390=0)),"",
IF(OR(G390="",G390=0),1,
IF(OR(G390&lt;&gt;"",G390&lt;&gt;0),(C390-G390)/ABS(G390)))),-1)</f>
        <v>2.9947997114485144E-2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29475469.194821</v>
      </c>
      <c r="D391" s="372">
        <f>SUMIFS(Data!$T$30:$T$42,Data!$S$30:$S$42,MarketProfile!A391,Data!$X$30:$X$42,"1")/1000</f>
        <v>8247404.9706969997</v>
      </c>
      <c r="E391" s="372"/>
      <c r="F391" s="286">
        <f t="shared" si="30"/>
        <v>2.5739083141360508</v>
      </c>
      <c r="G391" s="372">
        <f>SUMIFS(Data!$T$60:$T$72,Data!$S$60:$S$72,MarketProfile!A391,Data!$X$60:$X$72,"1")/1000</f>
        <v>33889965.637779996</v>
      </c>
      <c r="H391" s="372"/>
      <c r="I391" s="286">
        <f t="shared" si="31"/>
        <v>-0.13025969073387861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238.44532000000001</v>
      </c>
      <c r="D392" s="372">
        <f>SUMIFS(Data!$T$30:$T$42,Data!$S$30:$S$42,MarketProfile!A392,Data!$X$30:$X$42,"1")/1000</f>
        <v>0</v>
      </c>
      <c r="E392" s="372"/>
      <c r="F392" s="286">
        <f t="shared" si="30"/>
        <v>1</v>
      </c>
      <c r="G392" s="372">
        <f>SUMIFS(Data!$T$60:$T$72,Data!$S$60:$S$72,MarketProfile!A392,Data!$X$60:$X$72,"1")/1000</f>
        <v>12079.285739999999</v>
      </c>
      <c r="H392" s="372"/>
      <c r="I392" s="286">
        <f t="shared" si="31"/>
        <v>-0.98025998182902485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33231.524968999998</v>
      </c>
      <c r="D393" s="372">
        <f>SUMIFS(Data!$T$30:$T$42,Data!$S$30:$S$42,MarketProfile!A393,Data!$X$30:$X$42,"1")/1000</f>
        <v>35216.710005999994</v>
      </c>
      <c r="E393" s="372"/>
      <c r="F393" s="286">
        <f t="shared" si="30"/>
        <v>-5.6370542184712109E-2</v>
      </c>
      <c r="G393" s="372">
        <f>SUMIFS(Data!$T$60:$T$72,Data!$S$60:$S$72,MarketProfile!A393,Data!$X$60:$X$72,"1")/1000</f>
        <v>92822.877038000006</v>
      </c>
      <c r="H393" s="372"/>
      <c r="I393" s="286">
        <f t="shared" si="31"/>
        <v>-0.64198992716638581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4906303.3610113999</v>
      </c>
      <c r="D394" s="372">
        <f>SUMIFS(Data!$T$30:$T$42,Data!$S$30:$S$42,MarketProfile!A394,Data!$X$30:$X$42,"1")/1000</f>
        <v>1007432.552701</v>
      </c>
      <c r="E394" s="372"/>
      <c r="F394" s="286">
        <f t="shared" si="30"/>
        <v>3.8701060412007169</v>
      </c>
      <c r="G394" s="372">
        <f>SUMIFS(Data!$T$60:$T$72,Data!$S$60:$S$72,MarketProfile!A394,Data!$X$60:$X$72,"1")/1000</f>
        <v>4335900.9979742002</v>
      </c>
      <c r="H394" s="372"/>
      <c r="I394" s="286">
        <f t="shared" si="31"/>
        <v>0.13155336418052452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180.11353</v>
      </c>
      <c r="D395" s="372">
        <f>SUMIFS(Data!$T$30:$T$42,Data!$S$30:$S$42,MarketProfile!A395,Data!$X$30:$X$42,"1")/1000</f>
        <v>0</v>
      </c>
      <c r="E395" s="372"/>
      <c r="F395" s="286">
        <f t="shared" si="30"/>
        <v>1</v>
      </c>
      <c r="G395" s="372">
        <f>SUMIFS(Data!$T$60:$T$72,Data!$S$60:$S$72,MarketProfile!A395,Data!$X$60:$X$72,"1")/1000</f>
        <v>24.370369999999998</v>
      </c>
      <c r="H395" s="372"/>
      <c r="I395" s="286">
        <f t="shared" si="31"/>
        <v>6.3906768752382508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5674698.6146359993</v>
      </c>
      <c r="D396" s="372">
        <f>SUMIFS(Data!$T$30:$T$42,Data!$S$30:$S$42,MarketProfile!A396,Data!$X$30:$X$42,"1")/1000</f>
        <v>1934446.6457100001</v>
      </c>
      <c r="E396" s="372"/>
      <c r="F396" s="286">
        <f t="shared" si="30"/>
        <v>1.9334996792083736</v>
      </c>
      <c r="G396" s="372">
        <f>SUMIFS(Data!$T$60:$T$72,Data!$S$60:$S$72,MarketProfile!A396,Data!$X$60:$X$72,"1")/1000</f>
        <v>7339900.5871639997</v>
      </c>
      <c r="H396" s="372"/>
      <c r="I396" s="286">
        <f t="shared" si="31"/>
        <v>-0.22686982647150583</v>
      </c>
    </row>
    <row r="397" spans="1:9" ht="15" x14ac:dyDescent="0.25">
      <c r="A397" s="288" t="s">
        <v>133</v>
      </c>
      <c r="B397" s="250"/>
      <c r="C397" s="250">
        <f>SUM(C390:C396)</f>
        <v>918008402.89993405</v>
      </c>
      <c r="D397" s="373">
        <f>SUM(D390:E396)</f>
        <v>373002593.2586922</v>
      </c>
      <c r="E397" s="373">
        <f>SUM(E390:E396)</f>
        <v>0</v>
      </c>
      <c r="F397" s="326">
        <f t="shared" si="30"/>
        <v>1.4611314223846654</v>
      </c>
      <c r="G397" s="373">
        <f>SUM(G390:H396)</f>
        <v>898061575.72800386</v>
      </c>
      <c r="H397" s="373">
        <v>320543973</v>
      </c>
      <c r="I397" s="326">
        <f t="shared" si="31"/>
        <v>2.2210979415036785E-2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1652105.6629699999</v>
      </c>
      <c r="D400" s="372">
        <f>SUMIFS(Data!$T$30:$T$42,Data!$S$30:$S$42,MarketProfile!A400,Data!$X$30:$X$42,"0")/1000</f>
        <v>2661039.01009</v>
      </c>
      <c r="E400" s="372"/>
      <c r="F400" s="286">
        <f t="shared" ref="F400:F404" si="32">IFERROR(IF(OR(AND(D400="",C400=""),AND(D400=0,C400=0)),"",
IF(OR(D400="",D400=0),1,
IF(OR(D400&lt;&gt;"",D400&lt;&gt;0),(C400-D400)/ABS(D400)))),-1)</f>
        <v>-0.37915015273897718</v>
      </c>
      <c r="G400" s="372">
        <f>SUMIFS(Data!$T$60:$T$72,Data!$S$60:$S$72,MarketProfile!A400,Data!$X$60:$X$72,"0")/1000</f>
        <v>4270433.2418400003</v>
      </c>
      <c r="H400" s="372"/>
      <c r="I400" s="286">
        <f t="shared" ref="I400:I404" si="33">IFERROR(IF(OR(AND(G400="",C400=""),AND(G400=0,C400=0)),"",
IF(OR(G400="",G400=0),1,
IF(OR(G400&lt;&gt;"",G400&lt;&gt;0),(C400-G400)/ABS(G400)))),-1)</f>
        <v>-0.61312926126948242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616376.87190999999</v>
      </c>
      <c r="D401" s="372">
        <f>SUMIFS(Data!$T$30:$T$42,Data!$S$30:$S$42,MarketProfile!A401,Data!$X$30:$X$42,"0")/1000</f>
        <v>559450.82501999999</v>
      </c>
      <c r="E401" s="372"/>
      <c r="F401" s="286">
        <f t="shared" si="32"/>
        <v>0.10175344166838064</v>
      </c>
      <c r="G401" s="372">
        <f>SUMIFS(Data!$T$60:$T$72,Data!$S$60:$S$72,MarketProfile!A401,Data!$X$60:$X$72,"0")/1000</f>
        <v>558920.12335999997</v>
      </c>
      <c r="H401" s="372"/>
      <c r="I401" s="286">
        <f t="shared" si="33"/>
        <v>0.102799570365428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114596.44885</v>
      </c>
      <c r="D402" s="372">
        <f>SUMIFS(Data!$T$30:$T$42,Data!$S$30:$S$42,MarketProfile!A402,Data!$X$30:$X$42,"0")/1000</f>
        <v>77544.983939999991</v>
      </c>
      <c r="E402" s="372"/>
      <c r="F402" s="286">
        <f t="shared" si="32"/>
        <v>0.47780608141808861</v>
      </c>
      <c r="G402" s="372">
        <f>SUMIFS(Data!$T$60:$T$72,Data!$S$60:$S$72,MarketProfile!A402,Data!$X$60:$X$72,"0")/1000</f>
        <v>95568.81422</v>
      </c>
      <c r="H402" s="372"/>
      <c r="I402" s="286">
        <f t="shared" si="33"/>
        <v>0.19909878327252517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72">
        <f>SUMIFS(Data!$T$30:$T$42,Data!$S$30:$S$42,MarketProfile!A403,Data!$X$30:$X$42,"0")/1000</f>
        <v>0</v>
      </c>
      <c r="E403" s="372"/>
      <c r="F403" s="286" t="str">
        <f t="shared" si="32"/>
        <v/>
      </c>
      <c r="G403" s="372">
        <f>SUMIFS(Data!$T$60:$T$72,Data!$S$60:$S$72,MarketProfile!A403,Data!$X$60:$X$72,"0")/1000</f>
        <v>0</v>
      </c>
      <c r="H403" s="372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2383078.98373</v>
      </c>
      <c r="D404" s="373">
        <f>SUM(D400:E403)</f>
        <v>3298034.81905</v>
      </c>
      <c r="E404" s="373">
        <f>SUM(E400:E403)</f>
        <v>0</v>
      </c>
      <c r="F404" s="326">
        <f t="shared" si="32"/>
        <v>-0.27742455295955709</v>
      </c>
      <c r="G404" s="373">
        <f>SUM(G400:H403)</f>
        <v>4924922.1794199999</v>
      </c>
      <c r="H404" s="373">
        <v>1436842</v>
      </c>
      <c r="I404" s="326">
        <f t="shared" si="33"/>
        <v>-0.51611844879736735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624401</v>
      </c>
      <c r="D408" s="372">
        <f>SUMIFS(Data!$W$45:$W$57,Data!$S$45:$S$57,MarketProfile!A408,Data!$X$45:$X$57,"1")</f>
        <v>828932</v>
      </c>
      <c r="E408" s="372"/>
      <c r="F408" s="286">
        <f t="shared" ref="F408:F414" si="34">IFERROR(IF(OR(AND(D408="",C408=""),AND(D408=0,C408=0)),"",
IF(OR(D408="",D408=0),1,
IF(OR(D408&lt;&gt;"",D408&lt;&gt;0),(C408-D408)/ABS(D408)))),-1)</f>
        <v>-0.24674038401219883</v>
      </c>
      <c r="G408" s="372">
        <f>SUMIFS(Data!$W$75:$W$87,Data!$S$75:$S$87,MarketProfile!A408,Data!$X$75:$X$87,"1")</f>
        <v>753712</v>
      </c>
      <c r="H408" s="372"/>
      <c r="I408" s="286">
        <f t="shared" ref="I408:I414" si="35">IFERROR(IF(OR(AND(G408="",C408=""),AND(G408=0,C408=0)),"",
IF(OR(G408="",G408=0),1,
IF(OR(G408&lt;&gt;"",G408&lt;&gt;0),(C408-G408)/ABS(G408)))),-1)</f>
        <v>-0.17156553166196106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1265530</v>
      </c>
      <c r="D409" s="372">
        <f>SUMIFS(Data!$W$45:$W$57,Data!$S$45:$S$57,MarketProfile!A409,Data!$X$45:$X$57,"1")</f>
        <v>1306483</v>
      </c>
      <c r="E409" s="372"/>
      <c r="F409" s="286">
        <f t="shared" si="34"/>
        <v>-3.1345987663061826E-2</v>
      </c>
      <c r="G409" s="372">
        <f>SUMIFS(Data!$W$75:$W$87,Data!$S$75:$S$87,MarketProfile!A409,Data!$X$75:$X$87,"1")</f>
        <v>819242</v>
      </c>
      <c r="H409" s="372"/>
      <c r="I409" s="286">
        <f t="shared" si="35"/>
        <v>0.54475722680233685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916942</v>
      </c>
      <c r="D410" s="372">
        <f>SUMIFS(Data!$W$45:$W$57,Data!$S$45:$S$57,MarketProfile!A410,Data!$X$45:$X$57,"1")</f>
        <v>961654</v>
      </c>
      <c r="E410" s="372"/>
      <c r="F410" s="286">
        <f t="shared" si="34"/>
        <v>-4.6494893173636254E-2</v>
      </c>
      <c r="G410" s="372">
        <f>SUMIFS(Data!$W$75:$W$87,Data!$S$75:$S$87,MarketProfile!A410,Data!$X$75:$X$87,"1")</f>
        <v>640041</v>
      </c>
      <c r="H410" s="372"/>
      <c r="I410" s="286">
        <f t="shared" si="35"/>
        <v>0.43263009713440231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1905943</v>
      </c>
      <c r="D411" s="372">
        <f>SUMIFS(Data!$W$45:$W$57,Data!$S$45:$S$57,MarketProfile!A411,Data!$X$45:$X$57,"1")</f>
        <v>1880974</v>
      </c>
      <c r="E411" s="372"/>
      <c r="F411" s="286">
        <f t="shared" si="34"/>
        <v>1.3274505655048927E-2</v>
      </c>
      <c r="G411" s="372">
        <f>SUMIFS(Data!$W$75:$W$87,Data!$S$75:$S$87,MarketProfile!A411,Data!$X$75:$X$87,"1")</f>
        <v>1258426</v>
      </c>
      <c r="H411" s="372"/>
      <c r="I411" s="286">
        <f t="shared" si="35"/>
        <v>0.5145451540257433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12118562</v>
      </c>
      <c r="D412" s="372">
        <f>SUMIFS(Data!$W$45:$W$57,Data!$S$45:$S$57,MarketProfile!A412,Data!$X$45:$X$57,"1")</f>
        <v>12407363</v>
      </c>
      <c r="E412" s="372"/>
      <c r="F412" s="286">
        <f t="shared" si="34"/>
        <v>-2.327658181678089E-2</v>
      </c>
      <c r="G412" s="372">
        <f>SUMIFS(Data!$W$75:$W$87,Data!$S$75:$S$87,MarketProfile!A412,Data!$X$75:$X$87,"1")</f>
        <v>19149275</v>
      </c>
      <c r="H412" s="372"/>
      <c r="I412" s="286">
        <f t="shared" si="35"/>
        <v>-0.3671529600990116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11617567</v>
      </c>
      <c r="D413" s="372">
        <f>SUMIFS(Data!$W$45:$W$57,Data!$S$45:$S$57,MarketProfile!A413,Data!$X$45:$X$57,"1")</f>
        <v>11899416</v>
      </c>
      <c r="E413" s="372"/>
      <c r="F413" s="286">
        <f t="shared" si="34"/>
        <v>-2.3685952319004562E-2</v>
      </c>
      <c r="G413" s="372">
        <f>SUMIFS(Data!$W$75:$W$87,Data!$S$75:$S$87,MarketProfile!A413,Data!$X$75:$X$87,"1")</f>
        <v>18679543</v>
      </c>
      <c r="H413" s="372"/>
      <c r="I413" s="286">
        <f t="shared" si="35"/>
        <v>-0.37805935616304959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480854</v>
      </c>
      <c r="D414" s="372">
        <f>SUMIFS(Data!$W$45:$W$57,Data!$S$45:$S$57,MarketProfile!A414,Data!$X$45:$X$57,"1")</f>
        <v>301241</v>
      </c>
      <c r="E414" s="372"/>
      <c r="F414" s="286">
        <f t="shared" si="34"/>
        <v>0.59624353922606821</v>
      </c>
      <c r="G414" s="372">
        <f>SUMIFS(Data!$W$75:$W$87,Data!$S$75:$S$87,MarketProfile!A414,Data!$X$75:$X$87,"1")</f>
        <v>798614</v>
      </c>
      <c r="H414" s="372"/>
      <c r="I414" s="286">
        <f t="shared" si="35"/>
        <v>-0.39788934328724518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933499</v>
      </c>
      <c r="D417" s="372">
        <f>SUMIFS(Data!$W$45:$W$57,Data!$S$45:$S$57,MarketProfile!A417,Data!$X$45:$X$57,"0")</f>
        <v>1068544</v>
      </c>
      <c r="E417" s="372"/>
      <c r="F417" s="286">
        <f t="shared" ref="F417:F419" si="36">IFERROR(IF(OR(AND(D417="",C417=""),AND(D417=0,C417=0)),"",
IF(OR(D417="",D417=0),1,
IF(OR(D417&lt;&gt;"",D417&lt;&gt;0),(C417-D417)/ABS(D417)))),-1)</f>
        <v>-0.12638225473167225</v>
      </c>
      <c r="G417" s="372">
        <f>SUMIFS(Data!$W$75:$W$87,Data!$S$75:$S$87,MarketProfile!A417,Data!$X$75:$X$87,"0")</f>
        <v>745632</v>
      </c>
      <c r="H417" s="372"/>
      <c r="I417" s="286">
        <f t="shared" ref="I417:I419" si="37">IFERROR(IF(OR(AND(G417="",C417=""),AND(G417=0,C417=0)),"",
IF(OR(G417="",G417=0),1,
IF(OR(G417&lt;&gt;"",G417&lt;&gt;0),(C417-G417)/ABS(G417)))),-1)</f>
        <v>0.25195672932492169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1733536</v>
      </c>
      <c r="D418" s="372">
        <f>SUMIFS(Data!$W$45:$W$57,Data!$S$45:$S$57,MarketProfile!A418,Data!$X$45:$X$57,"0")</f>
        <v>2518229</v>
      </c>
      <c r="E418" s="372"/>
      <c r="F418" s="286">
        <f t="shared" si="36"/>
        <v>-0.31160510025100974</v>
      </c>
      <c r="G418" s="372">
        <f>SUMIFS(Data!$W$75:$W$87,Data!$S$75:$S$87,MarketProfile!A418,Data!$X$75:$X$87,"0")</f>
        <v>1271559</v>
      </c>
      <c r="H418" s="372"/>
      <c r="I418" s="286">
        <f t="shared" si="37"/>
        <v>0.36331542618156137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312255</v>
      </c>
      <c r="D419" s="372">
        <f>SUMIFS(Data!$W$45:$W$57,Data!$S$45:$S$57,MarketProfile!A419,Data!$X$45:$X$57,"0")</f>
        <v>222915</v>
      </c>
      <c r="E419" s="372"/>
      <c r="F419" s="286">
        <f t="shared" si="36"/>
        <v>0.40078056658367539</v>
      </c>
      <c r="G419" s="372">
        <f>SUMIFS(Data!$W$75:$W$87,Data!$S$75:$S$87,MarketProfile!A419,Data!$X$75:$X$87,"0")</f>
        <v>508592</v>
      </c>
      <c r="H419" s="372"/>
      <c r="I419" s="286">
        <f t="shared" si="37"/>
        <v>-0.38604028376380284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83" t="str">
        <f>"Market Profile - "&amp; TEXT($H$3,"MMM")&amp;" "&amp;TEXT($H$3,"YYYY")</f>
        <v>Market Profile - Sep 2017</v>
      </c>
      <c r="B429" s="248"/>
      <c r="C429" s="248"/>
      <c r="D429" s="248"/>
      <c r="E429" s="387" t="s">
        <v>205</v>
      </c>
      <c r="F429" s="387"/>
      <c r="G429" s="387"/>
      <c r="H429" s="387"/>
      <c r="I429" s="387"/>
    </row>
    <row r="430" spans="1:12" ht="10.5" customHeight="1" thickBot="1" x14ac:dyDescent="0.25">
      <c r="A430" s="384"/>
      <c r="B430" s="278"/>
      <c r="C430" s="278"/>
      <c r="D430" s="278"/>
      <c r="E430" s="388"/>
      <c r="F430" s="388"/>
      <c r="G430" s="388"/>
      <c r="H430" s="388"/>
      <c r="I430" s="388"/>
    </row>
    <row r="431" spans="1:12" ht="38.25" customHeight="1" thickBot="1" x14ac:dyDescent="0.3">
      <c r="A431" s="330"/>
      <c r="B431" s="330"/>
      <c r="C431" s="341" t="str">
        <f>TEXT($H$3,"MMM")&amp;" "&amp;TEXT($H$3,"YYYY")</f>
        <v>Sep 2017</v>
      </c>
      <c r="D431" s="330"/>
      <c r="E431" s="341" t="str">
        <f>TEXT(DATE(2000,TEXT(H3,"M")-1,1),"mmm")&amp; " "&amp; TEXT(H3,"YYYY")</f>
        <v>Aug 2017</v>
      </c>
      <c r="F431" s="180" t="s">
        <v>193</v>
      </c>
      <c r="G431" s="330"/>
      <c r="H431" s="342" t="str">
        <f>TEXT($H$3,"MMM")&amp;" "&amp;TEXT($H$3,"YYYY")-1</f>
        <v>Sep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586</v>
      </c>
      <c r="D434" s="370">
        <f>SUMIFS(Data!$AQ:$AQ,Data!$AN:$AN,MarketProfile!A434,Data!$AS:$AS,"1")</f>
        <v>1126</v>
      </c>
      <c r="E434" s="370"/>
      <c r="F434" s="179">
        <f>IFERROR(IF(OR(AND(D434="",C434=""),AND(D434=0,C434=0)),"",
IF(OR(D434="",D434=0),1,
IF(OR(D434&lt;&gt;"",D434&lt;&gt;0),(C434-D434)/ABS(D434)))),-1)</f>
        <v>-0.47957371225577267</v>
      </c>
      <c r="G434" s="370">
        <f>SUMIFS(Data!$BE:$BE,Data!$BB:$BB,MarketProfile!A434,Data!BG:BG,"1")</f>
        <v>852</v>
      </c>
      <c r="H434" s="370"/>
      <c r="I434" s="179">
        <f t="shared" ref="I434:I441" si="38">IFERROR(IF(OR(AND(G434="",C434=""),AND(G434=0,C434=0)),"",
IF(OR(G434="",G434=0),1,
IF(OR(G434&lt;&gt;"",G434&lt;&gt;0),(C434-G434)/ABS(G434)))),-1)</f>
        <v>-0.31220657276995306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1853</v>
      </c>
      <c r="D435" s="370">
        <f>SUMIFS(Data!$AQ:$AQ,Data!$AN:$AN,MarketProfile!A435,Data!$AS:$AS,"1")</f>
        <v>2340</v>
      </c>
      <c r="E435" s="370"/>
      <c r="F435" s="179">
        <f t="shared" ref="F435:F442" si="39">IFERROR(IF(OR(AND(D435="",C435=""),AND(D435=0,C435=0)),"",
IF(OR(D435="",D435=0),1,
IF(OR(D435&lt;&gt;"",D435&lt;&gt;0),(C435-D435)/ABS(D435)))),-1)</f>
        <v>-0.20811965811965813</v>
      </c>
      <c r="G435" s="370">
        <f>SUMIFS(Data!$BE:$BE,Data!$BB:$BB,MarketProfile!A435,Data!BG:BG,"1")</f>
        <v>1158</v>
      </c>
      <c r="H435" s="370"/>
      <c r="I435" s="179">
        <f t="shared" si="38"/>
        <v>0.60017271157167529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4313</v>
      </c>
      <c r="D436" s="370">
        <f>SUMIFS(Data!$AQ:$AQ,Data!$AN:$AN,MarketProfile!A436,Data!$AS:$AS,"1")</f>
        <v>6046</v>
      </c>
      <c r="E436" s="370"/>
      <c r="F436" s="179">
        <f t="shared" si="39"/>
        <v>-0.28663579225934505</v>
      </c>
      <c r="G436" s="370">
        <f>SUMIFS(Data!$BE:$BE,Data!$BB:$BB,MarketProfile!A436,Data!BG:BG,"1")</f>
        <v>6020</v>
      </c>
      <c r="H436" s="370"/>
      <c r="I436" s="179">
        <f t="shared" si="38"/>
        <v>-0.28355481727574749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25</v>
      </c>
      <c r="D437" s="370">
        <f>SUMIFS(Data!$AQ:$AQ,Data!$AN:$AN,MarketProfile!A437,Data!$AS:$AS,"1")</f>
        <v>25</v>
      </c>
      <c r="E437" s="370"/>
      <c r="F437" s="179">
        <f t="shared" si="39"/>
        <v>0</v>
      </c>
      <c r="G437" s="370">
        <f>SUMIFS(Data!$BE:$BE,Data!$BB:$BB,MarketProfile!A437,Data!BG:BG,"1")</f>
        <v>30</v>
      </c>
      <c r="H437" s="370"/>
      <c r="I437" s="179">
        <f t="shared" si="38"/>
        <v>-0.16666666666666666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1430</v>
      </c>
      <c r="D438" s="370">
        <f>SUMIFS(Data!$AQ:$AQ,Data!$AN:$AN,MarketProfile!A438,Data!$AS:$AS,"1")</f>
        <v>2578</v>
      </c>
      <c r="E438" s="370"/>
      <c r="F438" s="179">
        <f t="shared" si="39"/>
        <v>-0.44530643910007756</v>
      </c>
      <c r="G438" s="370">
        <f>SUMIFS(Data!$BE:$BE,Data!$BB:$BB,MarketProfile!A438,Data!BG:BG,"1")</f>
        <v>1844</v>
      </c>
      <c r="H438" s="370"/>
      <c r="I438" s="179">
        <f t="shared" si="38"/>
        <v>-0.22451193058568331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9186</v>
      </c>
      <c r="D439" s="370">
        <f>SUMIFS(Data!$AQ:$AQ,Data!$AN:$AN,MarketProfile!A439,Data!$AS:$AS,"1")</f>
        <v>11878</v>
      </c>
      <c r="E439" s="370"/>
      <c r="F439" s="179">
        <f t="shared" si="39"/>
        <v>-0.22663748105741707</v>
      </c>
      <c r="G439" s="370">
        <f>SUMIFS(Data!$BE:$BE,Data!$BB:$BB,MarketProfile!A439,Data!BG:BG,"1")</f>
        <v>14633</v>
      </c>
      <c r="H439" s="370"/>
      <c r="I439" s="179">
        <f t="shared" si="38"/>
        <v>-0.37224082553133331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21</v>
      </c>
      <c r="D440" s="370">
        <f>SUMIFS(Data!$AQ:$AQ,Data!$AN:$AN,MarketProfile!A440,Data!$AS:$AS,"1")</f>
        <v>49</v>
      </c>
      <c r="E440" s="370"/>
      <c r="F440" s="179">
        <f t="shared" si="39"/>
        <v>-0.5714285714285714</v>
      </c>
      <c r="G440" s="370">
        <f>SUMIFS(Data!$BE:$BE,Data!$BB:$BB,MarketProfile!A440,Data!BG:BG,"1")</f>
        <v>30</v>
      </c>
      <c r="H440" s="370"/>
      <c r="I440" s="179">
        <f t="shared" si="38"/>
        <v>-0.3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31</v>
      </c>
      <c r="D441" s="370">
        <f>SUMIFS(Data!$AQ:$AQ,Data!$AN:$AN,MarketProfile!A441,Data!$AS:$AS,"1")</f>
        <v>3</v>
      </c>
      <c r="E441" s="370"/>
      <c r="F441" s="179">
        <f t="shared" si="39"/>
        <v>9.3333333333333339</v>
      </c>
      <c r="G441" s="370">
        <f>SUMIFS(Data!$BE:$BE,Data!$BB:$BB,MarketProfile!A441,Data!BG:BG,"1")</f>
        <v>43</v>
      </c>
      <c r="H441" s="370"/>
      <c r="I441" s="179">
        <f t="shared" si="38"/>
        <v>-0.27906976744186046</v>
      </c>
      <c r="J441" s="158"/>
    </row>
    <row r="442" spans="1:10" x14ac:dyDescent="0.2">
      <c r="A442" s="246" t="s">
        <v>187</v>
      </c>
      <c r="B442" s="247"/>
      <c r="C442" s="4">
        <f>SUM(C434:C441)</f>
        <v>17445</v>
      </c>
      <c r="D442" s="371">
        <f>SUM(D434:E441)</f>
        <v>24045</v>
      </c>
      <c r="E442" s="371">
        <f>SUM(E434:E441)</f>
        <v>0</v>
      </c>
      <c r="F442" s="166">
        <f t="shared" si="39"/>
        <v>-0.27448533998752339</v>
      </c>
      <c r="G442" s="371">
        <f>SUM(G434:H441)</f>
        <v>24610</v>
      </c>
      <c r="H442" s="371">
        <f>SUM(H434:H441)</f>
        <v>0</v>
      </c>
      <c r="I442" s="166">
        <f>IFERROR(IF(OR(AND(G442="",C442=""),AND(G442=0,C442=0)),"",
IF(OR(G442="",G442=0),1,
IF(OR(G442&lt;&gt;"",G442&lt;&gt;0),(C442-G442)/ABS(G442)))),-1)</f>
        <v>-0.29114181227143437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0">
        <f>SUMIFS(Data!$AQ:$AQ,Data!$AN:$AN,MarketProfile!A444,Data!$AS:$AS,"0")</f>
        <v>0</v>
      </c>
      <c r="E444" s="370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0">
        <f>SUMIFS(Data!$BE:$BE,Data!$BB:$BB,MarketProfile!A444,Data!BG:BG,"0")</f>
        <v>0</v>
      </c>
      <c r="H444" s="370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122</v>
      </c>
      <c r="D445" s="370">
        <f>SUMIFS(Data!$AQ:$AQ,Data!$AN:$AN,MarketProfile!A445,Data!$AS:$AS,"0")</f>
        <v>72</v>
      </c>
      <c r="E445" s="370"/>
      <c r="F445" s="179">
        <f t="shared" si="40"/>
        <v>0.69444444444444442</v>
      </c>
      <c r="G445" s="370">
        <f>SUMIFS(Data!$BE:$BE,Data!$BB:$BB,MarketProfile!A445,Data!BG:BG,"0")</f>
        <v>158</v>
      </c>
      <c r="H445" s="370"/>
      <c r="I445" s="179">
        <f t="shared" si="41"/>
        <v>-0.22784810126582278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226</v>
      </c>
      <c r="D446" s="370">
        <f>SUMIFS(Data!$AQ:$AQ,Data!$AN:$AN,MarketProfile!A446,Data!$AS:$AS,"0")</f>
        <v>311</v>
      </c>
      <c r="E446" s="370"/>
      <c r="F446" s="179">
        <f t="shared" si="40"/>
        <v>-0.27331189710610931</v>
      </c>
      <c r="G446" s="370">
        <f>SUMIFS(Data!$BE:$BE,Data!$BB:$BB,MarketProfile!A446,Data!BG:BG,"0")</f>
        <v>449</v>
      </c>
      <c r="H446" s="370"/>
      <c r="I446" s="179">
        <f t="shared" si="41"/>
        <v>-0.49665924276169265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0">
        <f>SUMIFS(Data!$AQ:$AQ,Data!$AN:$AN,MarketProfile!A447,Data!$AS:$AS,"0")</f>
        <v>0</v>
      </c>
      <c r="E447" s="370"/>
      <c r="F447" s="179" t="str">
        <f t="shared" si="40"/>
        <v/>
      </c>
      <c r="G447" s="370">
        <f>SUMIFS(Data!$BE:$BE,Data!$BB:$BB,MarketProfile!A447,Data!BG:BG,"0")</f>
        <v>0</v>
      </c>
      <c r="H447" s="37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100</v>
      </c>
      <c r="D448" s="370">
        <f>SUMIFS(Data!$AQ:$AQ,Data!$AN:$AN,MarketProfile!A448,Data!$AS:$AS,"0")</f>
        <v>123</v>
      </c>
      <c r="E448" s="370"/>
      <c r="F448" s="179">
        <f t="shared" si="40"/>
        <v>-0.18699186991869918</v>
      </c>
      <c r="G448" s="370">
        <f>SUMIFS(Data!$BE:$BE,Data!$BB:$BB,MarketProfile!A448,Data!BG:BG,"0")</f>
        <v>107</v>
      </c>
      <c r="H448" s="370"/>
      <c r="I448" s="179">
        <f t="shared" si="41"/>
        <v>-6.5420560747663545E-2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1306</v>
      </c>
      <c r="D449" s="370">
        <f>SUMIFS(Data!$AQ:$AQ,Data!$AN:$AN,MarketProfile!A449,Data!$AS:$AS,"0")</f>
        <v>1374</v>
      </c>
      <c r="E449" s="370"/>
      <c r="F449" s="179">
        <f t="shared" si="40"/>
        <v>-4.9490538573508006E-2</v>
      </c>
      <c r="G449" s="370">
        <f>SUMIFS(Data!$BE:$BE,Data!$BB:$BB,MarketProfile!A449,Data!BG:BG,"0")</f>
        <v>3633</v>
      </c>
      <c r="H449" s="370"/>
      <c r="I449" s="179">
        <f t="shared" si="41"/>
        <v>-0.64051747866776765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4</v>
      </c>
      <c r="D450" s="370">
        <f>SUMIFS(Data!$AQ:$AQ,Data!$AN:$AN,MarketProfile!A450,Data!$AS:$AS,"0")</f>
        <v>0</v>
      </c>
      <c r="E450" s="370"/>
      <c r="F450" s="179">
        <f t="shared" si="40"/>
        <v>1</v>
      </c>
      <c r="G450" s="370">
        <f>SUMIFS(Data!$BE:$BE,Data!$BB:$BB,MarketProfile!A450,Data!BG:BG,"0")</f>
        <v>4</v>
      </c>
      <c r="H450" s="370"/>
      <c r="I450" s="179">
        <f t="shared" si="41"/>
        <v>0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0">
        <f>SUMIFS(Data!$AQ:$AQ,Data!$AN:$AN,MarketProfile!A451,Data!$AS:$AS,"0")</f>
        <v>0</v>
      </c>
      <c r="E451" s="370"/>
      <c r="F451" s="179" t="str">
        <f t="shared" si="40"/>
        <v/>
      </c>
      <c r="G451" s="370">
        <f>SUMIFS(Data!$BE:$BE,Data!$BB:$BB,MarketProfile!A451,Data!BG:BG,"0")</f>
        <v>0</v>
      </c>
      <c r="H451" s="37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1758</v>
      </c>
      <c r="D452" s="371">
        <f>SUM(D444:E451)</f>
        <v>1880</v>
      </c>
      <c r="E452" s="371">
        <f>SUM(E444:E451)</f>
        <v>0</v>
      </c>
      <c r="F452" s="166">
        <f t="shared" si="40"/>
        <v>-6.4893617021276592E-2</v>
      </c>
      <c r="G452" s="371">
        <f>SUM(G444:H451)</f>
        <v>4351</v>
      </c>
      <c r="H452" s="371">
        <f>SUM(H444:H451)</f>
        <v>0</v>
      </c>
      <c r="I452" s="166">
        <f t="shared" si="41"/>
        <v>-0.59595495288439437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9669</v>
      </c>
      <c r="D455" s="370">
        <f>SUMIFS(Data!$AP:$AP,Data!$AN:$AN,MarketProfile!A455,Data!$AS:$AS,"1")</f>
        <v>17068</v>
      </c>
      <c r="E455" s="370"/>
      <c r="F455" s="179">
        <f t="shared" ref="F455:F463" si="42">IFERROR(IF(OR(AND(D455="",C455=""),AND(D455=0,C455=0)),"",
IF(OR(D455="",D455=0),1,
IF(OR(D455&lt;&gt;"",D455&lt;&gt;0),(C455-D455)/ABS(D455)))),-1)</f>
        <v>-0.43350128896179985</v>
      </c>
      <c r="G455" s="370">
        <f>SUMIFS(Data!$BD:$BD,Data!$BB:$BB,MarketProfile!A455,Data!BG:BG,"1")</f>
        <v>10757</v>
      </c>
      <c r="H455" s="370"/>
      <c r="I455" s="179">
        <f t="shared" ref="I455:I463" si="43">IFERROR(IF(OR(AND(G455="",C455=""),AND(G455=0,C455=0)),"",
IF(OR(G455="",G455=0),1,
IF(OR(G455&lt;&gt;"",G455&lt;&gt;0),(C455-G455)/ABS(G455)))),-1)</f>
        <v>-0.10114344147996654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18010</v>
      </c>
      <c r="D456" s="370">
        <f>SUMIFS(Data!$AP:$AP,Data!$AN:$AN,MarketProfile!A456,Data!$AS:$AS,"1")</f>
        <v>31305</v>
      </c>
      <c r="E456" s="370"/>
      <c r="F456" s="179">
        <f t="shared" si="42"/>
        <v>-0.4246925411276154</v>
      </c>
      <c r="G456" s="370">
        <f>SUMIFS(Data!$BD:$BD,Data!$BB:$BB,MarketProfile!A456,Data!BG:BG,"1")</f>
        <v>10523</v>
      </c>
      <c r="H456" s="370"/>
      <c r="I456" s="179">
        <f t="shared" si="43"/>
        <v>0.71148911907250789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36036</v>
      </c>
      <c r="D457" s="370">
        <f>SUMIFS(Data!$AP:$AP,Data!$AN:$AN,MarketProfile!A457,Data!$AS:$AS,"1")</f>
        <v>54154</v>
      </c>
      <c r="E457" s="370"/>
      <c r="F457" s="179">
        <f t="shared" si="42"/>
        <v>-0.33456439044207259</v>
      </c>
      <c r="G457" s="370">
        <f>SUMIFS(Data!$BD:$BD,Data!$BB:$BB,MarketProfile!A457,Data!BG:BG,"1")</f>
        <v>43017</v>
      </c>
      <c r="H457" s="370"/>
      <c r="I457" s="179">
        <f t="shared" si="43"/>
        <v>-0.16228467815049863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142</v>
      </c>
      <c r="D458" s="370">
        <f>SUMIFS(Data!$AP:$AP,Data!$AN:$AN,MarketProfile!A458,Data!$AS:$AS,"1")</f>
        <v>2174</v>
      </c>
      <c r="E458" s="370"/>
      <c r="F458" s="179">
        <f t="shared" si="42"/>
        <v>-0.93468261269549213</v>
      </c>
      <c r="G458" s="370">
        <f>SUMIFS(Data!$BD:$BD,Data!$BB:$BB,MarketProfile!A458,Data!BG:BG,"1")</f>
        <v>615</v>
      </c>
      <c r="H458" s="370"/>
      <c r="I458" s="179">
        <f t="shared" si="43"/>
        <v>-0.76910569105691062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11702</v>
      </c>
      <c r="D459" s="370">
        <f>SUMIFS(Data!$AP:$AP,Data!$AN:$AN,MarketProfile!A459,Data!$AS:$AS,"1")</f>
        <v>31994</v>
      </c>
      <c r="E459" s="370"/>
      <c r="F459" s="179">
        <f t="shared" si="42"/>
        <v>-0.6342439207351378</v>
      </c>
      <c r="G459" s="370">
        <f>SUMIFS(Data!$BD:$BD,Data!$BB:$BB,MarketProfile!A459,Data!BG:BG,"1")</f>
        <v>16199</v>
      </c>
      <c r="H459" s="370"/>
      <c r="I459" s="179">
        <f t="shared" si="43"/>
        <v>-0.27760972899561703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52743</v>
      </c>
      <c r="D460" s="370">
        <f>SUMIFS(Data!$AP:$AP,Data!$AN:$AN,MarketProfile!A460,Data!$AS:$AS,"1")</f>
        <v>87779</v>
      </c>
      <c r="E460" s="370"/>
      <c r="F460" s="179">
        <f t="shared" si="42"/>
        <v>-0.39913874616935713</v>
      </c>
      <c r="G460" s="370">
        <f>SUMIFS(Data!$BD:$BD,Data!$BB:$BB,MarketProfile!A460,Data!BG:BG,"1")</f>
        <v>97397</v>
      </c>
      <c r="H460" s="370"/>
      <c r="I460" s="179">
        <f t="shared" si="43"/>
        <v>-0.45847408031048187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223</v>
      </c>
      <c r="D461" s="370">
        <f>SUMIFS(Data!$AP:$AP,Data!$AN:$AN,MarketProfile!A461,Data!$AS:$AS,"1")</f>
        <v>536</v>
      </c>
      <c r="E461" s="370"/>
      <c r="F461" s="179">
        <f t="shared" si="42"/>
        <v>-0.58395522388059706</v>
      </c>
      <c r="G461" s="370">
        <f>SUMIFS(Data!$BD:$BD,Data!$BB:$BB,MarketProfile!A461,Data!BG:BG,"1")</f>
        <v>327</v>
      </c>
      <c r="H461" s="370"/>
      <c r="I461" s="179">
        <f t="shared" si="43"/>
        <v>-0.31804281345565749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2183</v>
      </c>
      <c r="D462" s="370">
        <f>SUMIFS(Data!$AP:$AP,Data!$AN:$AN,MarketProfile!A462,Data!$AS:$AS,"1")</f>
        <v>3</v>
      </c>
      <c r="E462" s="370"/>
      <c r="F462" s="179">
        <f t="shared" si="42"/>
        <v>726.66666666666663</v>
      </c>
      <c r="G462" s="370">
        <f>SUMIFS(Data!$BD:$BD,Data!$BB:$BB,MarketProfile!A462,Data!BG:BG,"1")</f>
        <v>238</v>
      </c>
      <c r="H462" s="370"/>
      <c r="I462" s="179">
        <f t="shared" si="43"/>
        <v>8.1722689075630246</v>
      </c>
    </row>
    <row r="463" spans="1:9" x14ac:dyDescent="0.2">
      <c r="A463" s="246" t="s">
        <v>187</v>
      </c>
      <c r="B463" s="247"/>
      <c r="C463" s="4">
        <f>SUM(C455:C462)</f>
        <v>130708</v>
      </c>
      <c r="D463" s="371">
        <f>SUM(D455:E462)</f>
        <v>225013</v>
      </c>
      <c r="E463" s="371">
        <f>SUM(E455:E462)</f>
        <v>0</v>
      </c>
      <c r="F463" s="166">
        <f t="shared" si="42"/>
        <v>-0.41910911813984081</v>
      </c>
      <c r="G463" s="371">
        <f>SUM(G455:H462)</f>
        <v>179073</v>
      </c>
      <c r="H463" s="371">
        <f>SUM(H455:H462)</f>
        <v>0</v>
      </c>
      <c r="I463" s="166">
        <f t="shared" si="43"/>
        <v>-0.27008538417293504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0">
        <f>SUMIFS(Data!$AP:$AP,Data!$AN:$AN,MarketProfile!A465,Data!$AS:$AS,"0")</f>
        <v>0</v>
      </c>
      <c r="E465" s="370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0">
        <f>SUMIFS(Data!$BD:$BD,Data!$BB:$BB,MarketProfile!A465,Data!BG:BG,"0")</f>
        <v>0</v>
      </c>
      <c r="H465" s="370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3564</v>
      </c>
      <c r="D466" s="370">
        <f>SUMIFS(Data!$AP:$AP,Data!$AN:$AN,MarketProfile!A466,Data!$AS:$AS,"0")</f>
        <v>1383</v>
      </c>
      <c r="E466" s="370"/>
      <c r="F466" s="179">
        <f t="shared" si="44"/>
        <v>1.5770065075921909</v>
      </c>
      <c r="G466" s="370">
        <f>SUMIFS(Data!$BD:$BD,Data!$BB:$BB,MarketProfile!A466,Data!BG:BG,"0")</f>
        <v>3155</v>
      </c>
      <c r="H466" s="370"/>
      <c r="I466" s="179">
        <f t="shared" si="45"/>
        <v>0.12963549920760697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2798</v>
      </c>
      <c r="D467" s="370">
        <f>SUMIFS(Data!$AP:$AP,Data!$AN:$AN,MarketProfile!A467,Data!$AS:$AS,"0")</f>
        <v>4309</v>
      </c>
      <c r="E467" s="370"/>
      <c r="F467" s="179">
        <f t="shared" si="44"/>
        <v>-0.35066140635878396</v>
      </c>
      <c r="G467" s="370">
        <f>SUMIFS(Data!$BD:$BD,Data!$BB:$BB,MarketProfile!A467,Data!BG:BG,"0")</f>
        <v>3809</v>
      </c>
      <c r="H467" s="370"/>
      <c r="I467" s="179">
        <f t="shared" si="45"/>
        <v>-0.26542399579942244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0">
        <f>SUMIFS(Data!$AP:$AP,Data!$AN:$AN,MarketProfile!A468,Data!$AS:$AS,"0")</f>
        <v>0</v>
      </c>
      <c r="E468" s="370"/>
      <c r="F468" s="179" t="str">
        <f t="shared" si="44"/>
        <v/>
      </c>
      <c r="G468" s="370">
        <f>SUMIFS(Data!$BD:$BD,Data!$BB:$BB,MarketProfile!A468,Data!BG:BG,"0")</f>
        <v>0</v>
      </c>
      <c r="H468" s="37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1174</v>
      </c>
      <c r="D469" s="370">
        <f>SUMIFS(Data!$AP:$AP,Data!$AN:$AN,MarketProfile!A469,Data!$AS:$AS,"0")</f>
        <v>4165</v>
      </c>
      <c r="E469" s="370"/>
      <c r="F469" s="179">
        <f t="shared" si="44"/>
        <v>-0.71812725090036011</v>
      </c>
      <c r="G469" s="370">
        <f>SUMIFS(Data!$BD:$BD,Data!$BB:$BB,MarketProfile!A469,Data!BG:BG,"0")</f>
        <v>2011</v>
      </c>
      <c r="H469" s="370"/>
      <c r="I469" s="179">
        <f t="shared" si="45"/>
        <v>-0.41621084037792144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13690</v>
      </c>
      <c r="D470" s="370">
        <f>SUMIFS(Data!$AP:$AP,Data!$AN:$AN,MarketProfile!A470,Data!$AS:$AS,"0")</f>
        <v>13315</v>
      </c>
      <c r="E470" s="370"/>
      <c r="F470" s="179">
        <f t="shared" si="44"/>
        <v>2.816372512204281E-2</v>
      </c>
      <c r="G470" s="370">
        <f>SUMIFS(Data!$BD:$BD,Data!$BB:$BB,MarketProfile!A470,Data!BG:BG,"0")</f>
        <v>30323</v>
      </c>
      <c r="H470" s="370"/>
      <c r="I470" s="179">
        <f t="shared" si="45"/>
        <v>-0.54852752036408003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50</v>
      </c>
      <c r="D471" s="370">
        <f>SUMIFS(Data!$AP:$AP,Data!$AN:$AN,MarketProfile!A471,Data!$AS:$AS,"0")</f>
        <v>0</v>
      </c>
      <c r="E471" s="370"/>
      <c r="F471" s="179">
        <f t="shared" si="44"/>
        <v>1</v>
      </c>
      <c r="G471" s="370">
        <f>SUMIFS(Data!$BD:$BD,Data!$BB:$BB,MarketProfile!A471,Data!BG:BG,"0")</f>
        <v>40</v>
      </c>
      <c r="H471" s="370"/>
      <c r="I471" s="179">
        <f t="shared" si="45"/>
        <v>0.25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0">
        <f>SUMIFS(Data!$AP:$AP,Data!$AN:$AN,MarketProfile!A472,Data!$AS:$AS,"0")</f>
        <v>0</v>
      </c>
      <c r="E472" s="370"/>
      <c r="F472" s="179" t="str">
        <f t="shared" si="44"/>
        <v/>
      </c>
      <c r="G472" s="370">
        <f>SUMIFS(Data!$BD:$BD,Data!$BB:$BB,MarketProfile!A472,Data!BG:BG,"0")</f>
        <v>0</v>
      </c>
      <c r="H472" s="37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21276</v>
      </c>
      <c r="D473" s="371">
        <f>SUM(D465:E472)</f>
        <v>23172</v>
      </c>
      <c r="E473" s="371">
        <v>34213</v>
      </c>
      <c r="F473" s="166">
        <f t="shared" si="44"/>
        <v>-8.1822889694458834E-2</v>
      </c>
      <c r="G473" s="371">
        <f>SUM(G465:H472)</f>
        <v>39338</v>
      </c>
      <c r="H473" s="371">
        <f>SUM(H465:H472)</f>
        <v>0</v>
      </c>
      <c r="I473" s="166">
        <f t="shared" si="45"/>
        <v>-0.45914891453556356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1887316.46031</v>
      </c>
      <c r="D476" s="370">
        <f>SUMIFS(Data!$AO:$AO,Data!$AN:$AN,MarketProfile!A476,Data!$AS:$AS,"1")/1000</f>
        <v>3409461.4939699997</v>
      </c>
      <c r="E476" s="370"/>
      <c r="F476" s="179">
        <f t="shared" ref="F476:F484" si="46">IFERROR(IF(OR(AND(D476="",C476=""),AND(D476=0,C476=0)),"",
IF(OR(D476="",D476=0),1,
IF(OR(D476&lt;&gt;"",D476&lt;&gt;0),(C476-D476)/ABS(D476)))),-1)</f>
        <v>-0.44644734552716825</v>
      </c>
      <c r="G476" s="370">
        <f>SUMIFS(Data!$BC:$BC,Data!$BB:$BB,MarketProfile!A476,Data!BG:BG,"1")/1000</f>
        <v>2045079.5117000001</v>
      </c>
      <c r="H476" s="370"/>
      <c r="I476" s="179">
        <f t="shared" ref="I476:I484" si="47">IFERROR(IF(OR(AND(G476="",C476=""),AND(G476=0,C476=0)),"",
IF(OR(G476="",G476=0),1,
IF(OR(G476&lt;&gt;"",G476&lt;&gt;0),(C476-G476)/ABS(G476)))),-1)</f>
        <v>-7.714274701175676E-2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4333807.3932400001</v>
      </c>
      <c r="D477" s="370">
        <f>SUMIFS(Data!$AO:$AO,Data!$AN:$AN,MarketProfile!A477,Data!$AS:$AS,"1")/1000</f>
        <v>7385630.5273549994</v>
      </c>
      <c r="E477" s="370"/>
      <c r="F477" s="179">
        <f t="shared" si="46"/>
        <v>-0.41321091311183455</v>
      </c>
      <c r="G477" s="370">
        <f>SUMIFS(Data!$BC:$BC,Data!$BB:$BB,MarketProfile!A477,Data!BG:BG,"1")/1000</f>
        <v>3369885.8673149999</v>
      </c>
      <c r="H477" s="370"/>
      <c r="I477" s="179">
        <f t="shared" si="47"/>
        <v>0.28603981377357957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7256354.4907600004</v>
      </c>
      <c r="D478" s="370">
        <f>SUMIFS(Data!$AO:$AO,Data!$AN:$AN,MarketProfile!A478,Data!$AS:$AS,"1")/1000</f>
        <v>10863374.468429999</v>
      </c>
      <c r="E478" s="370"/>
      <c r="F478" s="179">
        <f t="shared" si="46"/>
        <v>-0.33203494808655842</v>
      </c>
      <c r="G478" s="370">
        <f>SUMIFS(Data!$BC:$BC,Data!$BB:$BB,MarketProfile!A478,Data!BG:BG,"1")/1000</f>
        <v>13418841.029959999</v>
      </c>
      <c r="H478" s="370"/>
      <c r="I478" s="179">
        <f t="shared" si="47"/>
        <v>-0.45924134024996111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25013.350899999998</v>
      </c>
      <c r="D479" s="370">
        <f>SUMIFS(Data!$AO:$AO,Data!$AN:$AN,MarketProfile!A479,Data!$AS:$AS,"1")/1000</f>
        <v>377047.78669500002</v>
      </c>
      <c r="E479" s="370"/>
      <c r="F479" s="179">
        <f t="shared" si="46"/>
        <v>-0.93365999806217215</v>
      </c>
      <c r="G479" s="370">
        <f>SUMIFS(Data!$BC:$BC,Data!$BB:$BB,MarketProfile!A479,Data!BG:BG,"1")/1000</f>
        <v>115587.978347</v>
      </c>
      <c r="H479" s="370"/>
      <c r="I479" s="179">
        <f t="shared" si="47"/>
        <v>-0.78359902770417134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2844437.416555</v>
      </c>
      <c r="D480" s="370">
        <f>SUMIFS(Data!$AO:$AO,Data!$AN:$AN,MarketProfile!A480,Data!$AS:$AS,"1")/1000</f>
        <v>7722790.2186650001</v>
      </c>
      <c r="E480" s="370"/>
      <c r="F480" s="179">
        <f t="shared" si="46"/>
        <v>-0.6316826773721812</v>
      </c>
      <c r="G480" s="370">
        <f>SUMIFS(Data!$BC:$BC,Data!$BB:$BB,MarketProfile!A480,Data!BG:BG,"1")/1000</f>
        <v>5158049.2386000007</v>
      </c>
      <c r="H480" s="370"/>
      <c r="I480" s="179">
        <f t="shared" si="47"/>
        <v>-0.44854395819473836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10114218.642270001</v>
      </c>
      <c r="D481" s="370">
        <f>SUMIFS(Data!$AO:$AO,Data!$AN:$AN,MarketProfile!A481,Data!$AS:$AS,"1")/1000</f>
        <v>16633149.560999991</v>
      </c>
      <c r="E481" s="370"/>
      <c r="F481" s="179">
        <f t="shared" si="46"/>
        <v>-0.39192402466067106</v>
      </c>
      <c r="G481" s="370">
        <f>SUMIFS(Data!$BC:$BC,Data!$BB:$BB,MarketProfile!A481,Data!BG:BG,"1")/1000</f>
        <v>37404429.796230003</v>
      </c>
      <c r="H481" s="370"/>
      <c r="I481" s="179">
        <f t="shared" si="47"/>
        <v>-0.72959837384583226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29245.016955999999</v>
      </c>
      <c r="D482" s="370">
        <f>SUMIFS(Data!$AO:$AO,Data!$AN:$AN,MarketProfile!A482,Data!$AS:$AS,"1")/1000</f>
        <v>71440.519972000009</v>
      </c>
      <c r="E482" s="370"/>
      <c r="F482" s="179">
        <f t="shared" si="46"/>
        <v>-0.59063824049066094</v>
      </c>
      <c r="G482" s="370">
        <f>SUMIFS(Data!$BC:$BC,Data!$BB:$BB,MarketProfile!A482,Data!BG:BG,"1")/1000</f>
        <v>47593.622681000001</v>
      </c>
      <c r="H482" s="370"/>
      <c r="I482" s="179">
        <f t="shared" si="47"/>
        <v>-0.38552656199304208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144818.84641999999</v>
      </c>
      <c r="D483" s="370">
        <f>SUMIFS(Data!$AO:$AO,Data!$AN:$AN,MarketProfile!A483,Data!$AS:$AS,"1")/1000</f>
        <v>191.42</v>
      </c>
      <c r="E483" s="370"/>
      <c r="F483" s="179">
        <f t="shared" si="46"/>
        <v>755.55023727928108</v>
      </c>
      <c r="G483" s="370">
        <f>SUMIFS(Data!$BC:$BC,Data!$BB:$BB,MarketProfile!A483,Data!BG:BG,"1")/1000</f>
        <v>15604.97999</v>
      </c>
      <c r="H483" s="370"/>
      <c r="I483" s="179">
        <f t="shared" si="47"/>
        <v>8.2802968355488424</v>
      </c>
    </row>
    <row r="484" spans="1:9" x14ac:dyDescent="0.2">
      <c r="A484" s="246" t="s">
        <v>187</v>
      </c>
      <c r="B484" s="247"/>
      <c r="C484" s="4">
        <f>SUM(C476:C483)</f>
        <v>26635211.617411006</v>
      </c>
      <c r="D484" s="371">
        <f>SUM(D476:E483)</f>
        <v>46463085.996086985</v>
      </c>
      <c r="E484" s="371">
        <f>SUM(E476:E483)</f>
        <v>0</v>
      </c>
      <c r="F484" s="166">
        <f t="shared" si="46"/>
        <v>-0.42674467168077979</v>
      </c>
      <c r="G484" s="371">
        <f>SUM(G476:H483)</f>
        <v>61575072.024822995</v>
      </c>
      <c r="H484" s="371">
        <f>SUM(H476:H483)</f>
        <v>0</v>
      </c>
      <c r="I484" s="166">
        <f t="shared" si="47"/>
        <v>-0.5674351528704108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0">
        <f>SUMIFS(Data!$AO:$AO,Data!$AN:$AN,MarketProfile!A486,Data!$AS:$AS,"0")/1000</f>
        <v>0</v>
      </c>
      <c r="E486" s="370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0">
        <f>SUMIFS(Data!$BC:$BC,Data!$BB:$BB,MarketProfile!A486,Data!BG:BG,"0")/1000</f>
        <v>0</v>
      </c>
      <c r="H486" s="370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49459.001680000001</v>
      </c>
      <c r="D487" s="370">
        <f>SUMIFS(Data!$AO:$AO,Data!$AN:$AN,MarketProfile!A487,Data!$AS:$AS,"0")/1000</f>
        <v>15163.1402</v>
      </c>
      <c r="E487" s="370"/>
      <c r="F487" s="179">
        <f t="shared" si="48"/>
        <v>2.2617914909208583</v>
      </c>
      <c r="G487" s="370">
        <f>SUMIFS(Data!$BC:$BC,Data!$BB:$BB,MarketProfile!A487,Data!BG:BG,"0")/1000</f>
        <v>45038.6008</v>
      </c>
      <c r="H487" s="370"/>
      <c r="I487" s="179">
        <f t="shared" si="49"/>
        <v>9.814694065717959E-2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25507.781780000001</v>
      </c>
      <c r="D488" s="370">
        <f>SUMIFS(Data!$AO:$AO,Data!$AN:$AN,MarketProfile!A488,Data!$AS:$AS,"0")/1000</f>
        <v>45298.972430000002</v>
      </c>
      <c r="E488" s="370"/>
      <c r="F488" s="179">
        <f t="shared" si="48"/>
        <v>-0.43690153635566698</v>
      </c>
      <c r="G488" s="370">
        <f>SUMIFS(Data!$BC:$BC,Data!$BB:$BB,MarketProfile!A488,Data!BG:BG,"0")/1000</f>
        <v>49950.916520000006</v>
      </c>
      <c r="H488" s="370"/>
      <c r="I488" s="179">
        <f t="shared" si="49"/>
        <v>-0.48934306801383998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0">
        <f>SUMIFS(Data!$AO:$AO,Data!$AN:$AN,MarketProfile!A489,Data!$AS:$AS,"0")/1000</f>
        <v>0</v>
      </c>
      <c r="E489" s="370"/>
      <c r="F489" s="179" t="str">
        <f t="shared" si="48"/>
        <v/>
      </c>
      <c r="G489" s="370">
        <f>SUMIFS(Data!$BC:$BC,Data!$BB:$BB,MarketProfile!A489,Data!BG:BG,"0")/1000</f>
        <v>0</v>
      </c>
      <c r="H489" s="37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10746.143900000001</v>
      </c>
      <c r="D490" s="370">
        <f>SUMIFS(Data!$AO:$AO,Data!$AN:$AN,MarketProfile!A490,Data!$AS:$AS,"0")/1000</f>
        <v>41218.993799999997</v>
      </c>
      <c r="E490" s="370"/>
      <c r="F490" s="179">
        <f t="shared" si="48"/>
        <v>-0.73929145499907856</v>
      </c>
      <c r="G490" s="370">
        <f>SUMIFS(Data!$BC:$BC,Data!$BB:$BB,MarketProfile!A490,Data!BG:BG,"0")/1000</f>
        <v>21816.744200000001</v>
      </c>
      <c r="H490" s="370"/>
      <c r="I490" s="179">
        <f t="shared" si="49"/>
        <v>-0.5074359491275513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111176.63141</v>
      </c>
      <c r="D491" s="370">
        <f>SUMIFS(Data!$AO:$AO,Data!$AN:$AN,MarketProfile!A491,Data!$AS:$AS,"0")/1000</f>
        <v>143005.79746999999</v>
      </c>
      <c r="E491" s="370"/>
      <c r="F491" s="179">
        <f>IFERROR(IF(OR(AND(D491="",C491=""),AND(D491=0,C491=0)),"",
IF(OR(D491="",D491=0),1,
IF(OR(D491&lt;&gt;"",D491&lt;&gt;0),(C491-D491)/ABS(D491)))),-1)</f>
        <v>-0.22257255735857259</v>
      </c>
      <c r="G491" s="370">
        <f>SUMIFS(Data!$BC:$BC,Data!$BB:$BB,MarketProfile!A491,Data!BG:BG,"0")/1000</f>
        <v>972772.17839999998</v>
      </c>
      <c r="H491" s="370"/>
      <c r="I491" s="179">
        <f t="shared" si="49"/>
        <v>-0.88571154286827825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221.28800000000001</v>
      </c>
      <c r="D492" s="370">
        <f>SUMIFS(Data!$AO:$AO,Data!$AN:$AN,MarketProfile!A492,Data!$AS:$AS,"0")/1000</f>
        <v>0</v>
      </c>
      <c r="E492" s="370"/>
      <c r="F492" s="179">
        <f t="shared" si="48"/>
        <v>1</v>
      </c>
      <c r="G492" s="370">
        <f>SUMIFS(Data!$BC:$BC,Data!$BB:$BB,MarketProfile!A492,Data!BG:BG,"0")/1000</f>
        <v>78.2</v>
      </c>
      <c r="H492" s="370"/>
      <c r="I492" s="179">
        <f t="shared" si="49"/>
        <v>1.8297698209718671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0">
        <f>SUMIFS(Data!$AO:$AO,Data!$AN:$AN,MarketProfile!A493,Data!$AS:$AS,"0")/1000</f>
        <v>0</v>
      </c>
      <c r="E493" s="370"/>
      <c r="F493" s="179" t="str">
        <f t="shared" si="48"/>
        <v/>
      </c>
      <c r="G493" s="370">
        <f>SUMIFS(Data!$BC:$BC,Data!$BB:$BB,MarketProfile!A493,Data!BG:BG,"0")/1000</f>
        <v>0</v>
      </c>
      <c r="H493" s="37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197110.84677</v>
      </c>
      <c r="D494" s="371">
        <f>SUM(D486:E493)</f>
        <v>244686.90389999998</v>
      </c>
      <c r="E494" s="371">
        <f>SUM(E486:E493)</f>
        <v>0</v>
      </c>
      <c r="F494" s="166">
        <f t="shared" si="48"/>
        <v>-0.19443646705932258</v>
      </c>
      <c r="G494" s="371">
        <f>SUM(G486:H493)</f>
        <v>1089656.63992</v>
      </c>
      <c r="H494" s="371">
        <f>SUM(H486:H493)</f>
        <v>0</v>
      </c>
      <c r="I494" s="166">
        <f t="shared" si="49"/>
        <v>-0.81910737791266852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19056</v>
      </c>
      <c r="D497" s="370">
        <f>SUMIFS(Data!$AY:$AY,Data!$AU:$AU,MarketProfile!A497,Data!$AZ:$AZ,"1")</f>
        <v>18311</v>
      </c>
      <c r="E497" s="370"/>
      <c r="F497" s="179">
        <f t="shared" ref="F497:F512" si="50">IFERROR(IF(OR(AND(D497="",C497=""),AND(D497=0,C497=0)),"",
IF(OR(D497="",D497=0),1,
IF(OR(D497&lt;&gt;"",D497&lt;&gt;0),(C497-D497)/ABS(D497)))),-1)</f>
        <v>4.0685926492272408E-2</v>
      </c>
      <c r="G497" s="370">
        <f>SUMIFS(Data!$BL:$BL,Data!$BH:$BH,MarketProfile!A497,Data!$BM:$BM,"1")</f>
        <v>1848</v>
      </c>
      <c r="H497" s="370"/>
      <c r="I497" s="179">
        <f t="shared" ref="I497:I504" si="51">IFERROR(IF(OR(AND(G497="",C497=""),AND(G497=0,C497=0)),"",
IF(OR(G497="",G497=0),1,
IF(OR(G497&lt;&gt;"",G497&lt;&gt;0),(C497-G497)/ABS(G497)))),-1)</f>
        <v>9.3116883116883109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16426</v>
      </c>
      <c r="D498" s="370">
        <f>SUMIFS(Data!$AY:$AY,Data!$AU:$AU,MarketProfile!A498,Data!$AZ:$AZ,"1")</f>
        <v>14731</v>
      </c>
      <c r="E498" s="370"/>
      <c r="F498" s="179">
        <f t="shared" si="50"/>
        <v>0.11506347159052338</v>
      </c>
      <c r="G498" s="370">
        <f>SUMIFS(Data!$BL:$BL,Data!$BH:$BH,MarketProfile!A498,Data!$BM:$BM,"1")</f>
        <v>7155</v>
      </c>
      <c r="H498" s="370"/>
      <c r="I498" s="179">
        <f t="shared" si="51"/>
        <v>1.2957372466806429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28983</v>
      </c>
      <c r="D499" s="370">
        <f>SUMIFS(Data!$AY:$AY,Data!$AU:$AU,MarketProfile!A499,Data!$AZ:$AZ,"1")</f>
        <v>29568</v>
      </c>
      <c r="E499" s="370"/>
      <c r="F499" s="179">
        <f t="shared" si="50"/>
        <v>-1.9784902597402596E-2</v>
      </c>
      <c r="G499" s="370">
        <f>SUMIFS(Data!$BL:$BL,Data!$BH:$BH,MarketProfile!A499,Data!$BM:$BM,"1")</f>
        <v>18673</v>
      </c>
      <c r="H499" s="370"/>
      <c r="I499" s="179">
        <f t="shared" si="51"/>
        <v>0.55213409735982433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1310</v>
      </c>
      <c r="D500" s="370">
        <f>SUMIFS(Data!$AY:$AY,Data!$AU:$AU,MarketProfile!A500,Data!$AZ:$AZ,"1")</f>
        <v>1310</v>
      </c>
      <c r="E500" s="370"/>
      <c r="F500" s="179">
        <f t="shared" si="50"/>
        <v>0</v>
      </c>
      <c r="G500" s="370">
        <f>SUMIFS(Data!$BL:$BL,Data!$BH:$BH,MarketProfile!A500,Data!$BM:$BM,"1")</f>
        <v>455</v>
      </c>
      <c r="H500" s="370"/>
      <c r="I500" s="179">
        <f t="shared" si="51"/>
        <v>1.8791208791208791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12148</v>
      </c>
      <c r="D501" s="370">
        <f>SUMIFS(Data!$AY:$AY,Data!$AU:$AU,MarketProfile!A501,Data!$AZ:$AZ,"1")</f>
        <v>11789</v>
      </c>
      <c r="E501" s="370"/>
      <c r="F501" s="179">
        <f t="shared" si="50"/>
        <v>3.0452116379675969E-2</v>
      </c>
      <c r="G501" s="370">
        <f>SUMIFS(Data!$BL:$BL,Data!$BH:$BH,MarketProfile!A501,Data!$BM:$BM,"1")</f>
        <v>5577</v>
      </c>
      <c r="H501" s="370"/>
      <c r="I501" s="179">
        <f t="shared" si="51"/>
        <v>1.1782320243858706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40048</v>
      </c>
      <c r="D502" s="370">
        <f>SUMIFS(Data!$AY:$AY,Data!$AU:$AU,MarketProfile!A502,Data!$AZ:$AZ,"1")</f>
        <v>39391</v>
      </c>
      <c r="E502" s="370"/>
      <c r="F502" s="179">
        <f t="shared" si="50"/>
        <v>1.6678936812977583E-2</v>
      </c>
      <c r="G502" s="370">
        <f>SUMIFS(Data!$BL:$BL,Data!$BH:$BH,MarketProfile!A502,Data!$BM:$BM,"1")</f>
        <v>23243</v>
      </c>
      <c r="H502" s="370"/>
      <c r="I502" s="179">
        <f t="shared" si="51"/>
        <v>0.72301338037258533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666</v>
      </c>
      <c r="D503" s="370">
        <f>SUMIFS(Data!$AY:$AY,Data!$AU:$AU,MarketProfile!A503,Data!$AZ:$AZ,"1")</f>
        <v>507</v>
      </c>
      <c r="E503" s="370"/>
      <c r="F503" s="179">
        <f t="shared" si="50"/>
        <v>0.31360946745562129</v>
      </c>
      <c r="G503" s="370">
        <f>SUMIFS(Data!$BL:$BL,Data!$BH:$BH,MarketProfile!A503,Data!$BM:$BM,"1")</f>
        <v>22</v>
      </c>
      <c r="H503" s="370"/>
      <c r="I503" s="179">
        <f t="shared" si="51"/>
        <v>29.272727272727273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6</v>
      </c>
      <c r="D504" s="370">
        <f>SUMIFS(Data!$AY:$AY,Data!$AU:$AU,MarketProfile!A504,Data!$AZ:$AZ,"1")</f>
        <v>957</v>
      </c>
      <c r="E504" s="370"/>
      <c r="F504" s="179">
        <f t="shared" si="50"/>
        <v>-0.99373040752351094</v>
      </c>
      <c r="G504" s="370">
        <f>SUMIFS(Data!$BL:$BL,Data!$BH:$BH,MarketProfile!A504,Data!$BM:$BM,"1")</f>
        <v>31</v>
      </c>
      <c r="H504" s="370"/>
      <c r="I504" s="179">
        <f t="shared" si="51"/>
        <v>-0.80645161290322576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0">
        <f>SUMIFS(Data!$AY:$AY,Data!$AU:$AU,MarketProfile!A506,Data!$AZ:$AZ,"0")</f>
        <v>0</v>
      </c>
      <c r="E506" s="370"/>
      <c r="F506" s="179" t="str">
        <f t="shared" si="50"/>
        <v/>
      </c>
      <c r="G506" s="370">
        <f>SUMIFS(Data!$BL:$BL,Data!$BH:$BH,MarketProfile!A506,Data!$BM:$BM,"0")</f>
        <v>281</v>
      </c>
      <c r="H506" s="370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3663</v>
      </c>
      <c r="D507" s="370">
        <f>SUMIFS(Data!$AY:$AY,Data!$AU:$AU,MarketProfile!A507,Data!$AZ:$AZ,"0")</f>
        <v>2414</v>
      </c>
      <c r="E507" s="370"/>
      <c r="F507" s="179">
        <f t="shared" si="50"/>
        <v>0.5173985086992543</v>
      </c>
      <c r="G507" s="370">
        <f>SUMIFS(Data!$BL:$BL,Data!$BH:$BH,MarketProfile!A507,Data!$BM:$BM,"0")</f>
        <v>2468</v>
      </c>
      <c r="H507" s="370"/>
      <c r="I507" s="179">
        <f t="shared" si="52"/>
        <v>0.48419773095623986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9533</v>
      </c>
      <c r="D508" s="370">
        <f>SUMIFS(Data!$AY:$AY,Data!$AU:$AU,MarketProfile!A508,Data!$AZ:$AZ,"0")</f>
        <v>7891</v>
      </c>
      <c r="E508" s="370"/>
      <c r="F508" s="179">
        <f t="shared" si="50"/>
        <v>0.20808516030921304</v>
      </c>
      <c r="G508" s="370">
        <f>SUMIFS(Data!$BL:$BL,Data!$BH:$BH,MarketProfile!A508,Data!$BM:$BM,"0")</f>
        <v>14939</v>
      </c>
      <c r="H508" s="370"/>
      <c r="I508" s="179">
        <f t="shared" si="52"/>
        <v>-0.36187161121895711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0">
        <f>SUMIFS(Data!$AY:$AY,Data!$AU:$AU,MarketProfile!A509,Data!$AZ:$AZ,"0")</f>
        <v>0</v>
      </c>
      <c r="E509" s="370"/>
      <c r="F509" s="179" t="str">
        <f t="shared" si="50"/>
        <v/>
      </c>
      <c r="G509" s="370">
        <f>SUMIFS(Data!$BL:$BL,Data!$BH:$BH,MarketProfile!A509,Data!$BM:$BM,"0")</f>
        <v>0</v>
      </c>
      <c r="H509" s="37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5055</v>
      </c>
      <c r="D510" s="370">
        <f>SUMIFS(Data!$AY:$AY,Data!$AU:$AU,MarketProfile!A510,Data!$AZ:$AZ,"0")</f>
        <v>4388</v>
      </c>
      <c r="E510" s="370"/>
      <c r="F510" s="179">
        <f t="shared" si="50"/>
        <v>0.15200546946216956</v>
      </c>
      <c r="G510" s="370">
        <f>SUMIFS(Data!$BL:$BL,Data!$BH:$BH,MarketProfile!A510,Data!$BM:$BM,"0")</f>
        <v>3100</v>
      </c>
      <c r="H510" s="370"/>
      <c r="I510" s="179">
        <f t="shared" si="52"/>
        <v>0.63064516129032255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33210</v>
      </c>
      <c r="D511" s="370">
        <f>SUMIFS(Data!$AY:$AY,Data!$AU:$AU,MarketProfile!A511,Data!$AZ:$AZ,"0")</f>
        <v>27299</v>
      </c>
      <c r="E511" s="370"/>
      <c r="F511" s="179">
        <f t="shared" si="50"/>
        <v>0.21652807795157331</v>
      </c>
      <c r="G511" s="370">
        <f>SUMIFS(Data!$BL:$BL,Data!$BH:$BH,MarketProfile!A511,Data!$BM:$BM,"0")</f>
        <v>37539</v>
      </c>
      <c r="H511" s="370"/>
      <c r="I511" s="179">
        <f t="shared" si="52"/>
        <v>-0.11532006713018461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0">
        <f>SUMIFS(Data!$AY:$AY,Data!$AU:$AU,MarketProfile!A512,Data!$AZ:$AZ,"0")</f>
        <v>30</v>
      </c>
      <c r="E512" s="370"/>
      <c r="F512" s="179">
        <f t="shared" si="50"/>
        <v>0.33333333333333331</v>
      </c>
      <c r="G512" s="370">
        <f>SUMIFS(Data!$BL:$BL,Data!$BH:$BH,MarketProfile!A512,Data!$BM:$BM,"0")</f>
        <v>40</v>
      </c>
      <c r="H512" s="370"/>
      <c r="I512" s="179">
        <f t="shared" si="52"/>
        <v>0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0">
        <f>SUMIFS(Data!$AY:$AY,Data!$AU:$AU,MarketProfile!A513,Data!$AZ:$AZ,"0")</f>
        <v>0</v>
      </c>
      <c r="E513" s="370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0">
        <f>SUMIFS(Data!$BL:$BL,Data!$BH:$BH,MarketProfile!A513,Data!$BM:$BM,"0")</f>
        <v>0</v>
      </c>
      <c r="H513" s="37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Page &amp;P</oddFooter>
  </headerFooter>
  <rowBreaks count="5" manualBreakCount="5">
    <brk id="80" max="16383" man="1"/>
    <brk id="169" max="16383" man="1"/>
    <brk id="251" max="16383" man="1"/>
    <brk id="335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6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560</v>
      </c>
      <c r="T1" s="257" t="s">
        <v>561</v>
      </c>
      <c r="U1" s="257" t="s">
        <v>562</v>
      </c>
      <c r="V1" s="257" t="s">
        <v>563</v>
      </c>
      <c r="W1" s="257" t="s">
        <v>564</v>
      </c>
      <c r="X1" s="257" t="s">
        <v>565</v>
      </c>
      <c r="Y1" s="252" t="s">
        <v>458</v>
      </c>
      <c r="Z1" s="254" t="s">
        <v>521</v>
      </c>
      <c r="AA1" s="254" t="s">
        <v>561</v>
      </c>
      <c r="AB1" s="254" t="s">
        <v>562</v>
      </c>
      <c r="AC1" s="254" t="s">
        <v>563</v>
      </c>
      <c r="AD1" s="254" t="s">
        <v>564</v>
      </c>
      <c r="AE1" s="254" t="s">
        <v>565</v>
      </c>
      <c r="AF1" s="252" t="s">
        <v>466</v>
      </c>
      <c r="AG1" s="254" t="s">
        <v>521</v>
      </c>
      <c r="AH1" s="254" t="s">
        <v>561</v>
      </c>
      <c r="AI1" s="254" t="s">
        <v>562</v>
      </c>
      <c r="AJ1" s="254" t="s">
        <v>563</v>
      </c>
      <c r="AK1" s="254" t="s">
        <v>564</v>
      </c>
      <c r="AL1" s="254" t="s">
        <v>565</v>
      </c>
      <c r="AM1" s="252" t="s">
        <v>460</v>
      </c>
      <c r="AN1" s="254" t="s">
        <v>521</v>
      </c>
      <c r="AO1" s="254" t="s">
        <v>561</v>
      </c>
      <c r="AP1" s="254" t="s">
        <v>562</v>
      </c>
      <c r="AQ1" s="254" t="s">
        <v>563</v>
      </c>
      <c r="AR1" s="254" t="s">
        <v>564</v>
      </c>
      <c r="AS1" s="254" t="s">
        <v>565</v>
      </c>
      <c r="AT1" s="252" t="s">
        <v>467</v>
      </c>
      <c r="AU1" s="254" t="s">
        <v>521</v>
      </c>
      <c r="AV1" s="254" t="s">
        <v>561</v>
      </c>
      <c r="AW1" s="254" t="s">
        <v>562</v>
      </c>
      <c r="AX1" s="254" t="s">
        <v>563</v>
      </c>
      <c r="AY1" s="254" t="s">
        <v>564</v>
      </c>
      <c r="AZ1" s="254" t="s">
        <v>565</v>
      </c>
      <c r="BA1" s="252" t="s">
        <v>459</v>
      </c>
      <c r="BB1" s="254" t="s">
        <v>521</v>
      </c>
      <c r="BC1" s="254" t="s">
        <v>561</v>
      </c>
      <c r="BD1" s="254" t="s">
        <v>562</v>
      </c>
      <c r="BE1" s="254" t="s">
        <v>563</v>
      </c>
      <c r="BF1" s="254" t="s">
        <v>564</v>
      </c>
      <c r="BG1" s="254" t="s">
        <v>565</v>
      </c>
      <c r="BH1" s="252" t="s">
        <v>521</v>
      </c>
      <c r="BI1" s="254" t="s">
        <v>561</v>
      </c>
      <c r="BJ1" s="254" t="s">
        <v>562</v>
      </c>
      <c r="BK1" s="254" t="s">
        <v>563</v>
      </c>
      <c r="BL1" s="254" t="s">
        <v>564</v>
      </c>
      <c r="BM1" s="254" t="s">
        <v>565</v>
      </c>
      <c r="BN1" s="254"/>
      <c r="BO1" s="252" t="s">
        <v>468</v>
      </c>
      <c r="BP1" s="264" t="s">
        <v>561</v>
      </c>
      <c r="BQ1" s="264" t="s">
        <v>562</v>
      </c>
      <c r="BR1" s="264" t="s">
        <v>563</v>
      </c>
      <c r="BS1" s="261" t="s">
        <v>501</v>
      </c>
      <c r="BT1" s="266" t="s">
        <v>619</v>
      </c>
      <c r="BU1" s="266" t="s">
        <v>620</v>
      </c>
      <c r="BV1" s="266" t="s">
        <v>621</v>
      </c>
      <c r="BW1" s="266" t="s">
        <v>622</v>
      </c>
      <c r="BX1" s="266" t="s">
        <v>623</v>
      </c>
      <c r="BY1" s="266" t="s">
        <v>624</v>
      </c>
      <c r="BZ1" s="266" t="s">
        <v>625</v>
      </c>
      <c r="CA1" s="266" t="s">
        <v>626</v>
      </c>
      <c r="CB1" s="266" t="s">
        <v>627</v>
      </c>
      <c r="CC1" s="267" t="s">
        <v>502</v>
      </c>
      <c r="CD1" s="268" t="s">
        <v>632</v>
      </c>
      <c r="CE1" s="268" t="s">
        <v>633</v>
      </c>
      <c r="CF1" s="267" t="s">
        <v>507</v>
      </c>
      <c r="CG1" s="266" t="s">
        <v>6</v>
      </c>
      <c r="CH1" s="266" t="s">
        <v>634</v>
      </c>
      <c r="CI1" s="267" t="s">
        <v>509</v>
      </c>
      <c r="CJ1" s="247" t="s">
        <v>117</v>
      </c>
      <c r="CK1" s="247">
        <v>25745</v>
      </c>
      <c r="CL1" s="267" t="s">
        <v>512</v>
      </c>
      <c r="CM1" s="247" t="s">
        <v>117</v>
      </c>
      <c r="CN1" s="247">
        <v>13786</v>
      </c>
      <c r="CO1" s="267" t="s">
        <v>515</v>
      </c>
      <c r="CP1" s="247" t="s">
        <v>117</v>
      </c>
      <c r="CQ1" s="247">
        <v>996</v>
      </c>
      <c r="CR1" s="267" t="s">
        <v>518</v>
      </c>
      <c r="CS1" s="276" t="s">
        <v>638</v>
      </c>
      <c r="CT1" s="275" t="s">
        <v>639</v>
      </c>
      <c r="CU1" s="275" t="s">
        <v>640</v>
      </c>
      <c r="CV1" s="275" t="s">
        <v>641</v>
      </c>
      <c r="CW1" s="275" t="s">
        <v>642</v>
      </c>
      <c r="CX1" s="275" t="s">
        <v>643</v>
      </c>
      <c r="CY1" s="275" t="s">
        <v>644</v>
      </c>
      <c r="CZ1" s="275" t="s">
        <v>645</v>
      </c>
      <c r="DA1" s="275" t="s">
        <v>646</v>
      </c>
      <c r="DB1" s="275" t="s">
        <v>647</v>
      </c>
      <c r="DC1" s="275" t="s">
        <v>648</v>
      </c>
      <c r="DD1" s="275" t="s">
        <v>649</v>
      </c>
      <c r="DF1" s="356" t="s">
        <v>529</v>
      </c>
      <c r="DG1" s="347" t="s">
        <v>659</v>
      </c>
      <c r="DH1" s="347" t="s">
        <v>660</v>
      </c>
      <c r="DI1" s="356" t="s">
        <v>530</v>
      </c>
      <c r="DJ1" s="354" t="s">
        <v>659</v>
      </c>
      <c r="DK1" s="354" t="s">
        <v>660</v>
      </c>
      <c r="DL1" s="356" t="s">
        <v>531</v>
      </c>
      <c r="DM1" s="349" t="s">
        <v>659</v>
      </c>
      <c r="DN1" s="349" t="s">
        <v>660</v>
      </c>
    </row>
    <row r="2" spans="1:118" x14ac:dyDescent="0.2">
      <c r="B2" s="188">
        <v>7522720199</v>
      </c>
      <c r="C2" s="188">
        <v>499083817529.21362</v>
      </c>
      <c r="D2" s="188">
        <v>5516950</v>
      </c>
      <c r="E2" s="209"/>
      <c r="F2" s="211">
        <v>2645</v>
      </c>
      <c r="G2" s="211">
        <v>894992034</v>
      </c>
      <c r="H2" s="211">
        <v>50755757502.968636</v>
      </c>
      <c r="J2" s="152" t="str">
        <f>K2&amp;L2</f>
        <v>ABuy</v>
      </c>
      <c r="K2" s="234" t="s">
        <v>541</v>
      </c>
      <c r="L2" s="234" t="s">
        <v>542</v>
      </c>
      <c r="M2" s="238">
        <v>219358064148.6684</v>
      </c>
      <c r="O2" s="241">
        <v>81775815140.979996</v>
      </c>
      <c r="P2" s="241">
        <v>-105925029025.58</v>
      </c>
      <c r="Q2" s="241">
        <v>-24149213884.599998</v>
      </c>
      <c r="S2" s="253" t="s">
        <v>449</v>
      </c>
      <c r="T2" s="258">
        <v>4906303361.0114002</v>
      </c>
      <c r="U2" s="258">
        <v>23718040</v>
      </c>
      <c r="V2" s="258">
        <v>591</v>
      </c>
      <c r="W2" s="258">
        <v>12118562</v>
      </c>
      <c r="X2" s="258">
        <v>1</v>
      </c>
      <c r="Y2" s="245"/>
      <c r="Z2" s="253" t="s">
        <v>567</v>
      </c>
      <c r="AA2" s="253">
        <v>0</v>
      </c>
      <c r="AB2" s="253">
        <v>0</v>
      </c>
      <c r="AC2" s="253">
        <v>0</v>
      </c>
      <c r="AD2" s="253">
        <v>0</v>
      </c>
      <c r="AE2" s="253">
        <v>0</v>
      </c>
      <c r="AF2" s="253"/>
      <c r="AG2" s="253" t="s">
        <v>567</v>
      </c>
      <c r="AH2" s="253">
        <v>0</v>
      </c>
      <c r="AI2" s="253">
        <v>0</v>
      </c>
      <c r="AJ2" s="253">
        <v>0</v>
      </c>
      <c r="AK2" s="253">
        <v>0</v>
      </c>
      <c r="AL2" s="253">
        <v>0</v>
      </c>
      <c r="AM2" s="245"/>
      <c r="AN2" s="253" t="s">
        <v>567</v>
      </c>
      <c r="AO2" s="253">
        <v>0</v>
      </c>
      <c r="AP2" s="253">
        <v>0</v>
      </c>
      <c r="AQ2" s="253">
        <v>0</v>
      </c>
      <c r="AR2" s="253">
        <v>0</v>
      </c>
      <c r="AS2" s="253">
        <v>0</v>
      </c>
      <c r="AT2" s="245"/>
      <c r="AU2" s="253" t="s">
        <v>567</v>
      </c>
      <c r="AV2" s="253">
        <v>0</v>
      </c>
      <c r="AW2" s="253">
        <v>0</v>
      </c>
      <c r="AX2" s="253">
        <v>0</v>
      </c>
      <c r="AY2" s="253">
        <v>0</v>
      </c>
      <c r="AZ2" s="253">
        <v>0</v>
      </c>
      <c r="BA2" s="245"/>
      <c r="BB2" s="253" t="s">
        <v>567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567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4579674203474.3467</v>
      </c>
      <c r="BQ2" s="263">
        <v>238590891</v>
      </c>
      <c r="BR2" s="263">
        <v>2448208</v>
      </c>
      <c r="BS2" s="245"/>
      <c r="BT2" s="265" t="s">
        <v>139</v>
      </c>
      <c r="BU2" s="265">
        <v>52</v>
      </c>
      <c r="BV2" s="265">
        <v>0</v>
      </c>
      <c r="BW2" s="265">
        <v>0</v>
      </c>
      <c r="BX2" s="265">
        <v>0</v>
      </c>
      <c r="BY2" s="265">
        <v>0</v>
      </c>
      <c r="BZ2" s="265">
        <v>52</v>
      </c>
      <c r="CA2" s="265">
        <v>40</v>
      </c>
      <c r="CB2" s="265">
        <v>12</v>
      </c>
      <c r="CC2" s="245"/>
      <c r="CD2" s="269">
        <v>805</v>
      </c>
      <c r="CE2" s="269">
        <v>15206978883842.234</v>
      </c>
      <c r="CF2" s="245"/>
      <c r="CG2" s="265">
        <v>2017</v>
      </c>
      <c r="CH2" s="265">
        <v>20</v>
      </c>
      <c r="CI2" s="245"/>
      <c r="CJ2" s="247" t="s">
        <v>636</v>
      </c>
      <c r="CK2" s="247">
        <v>693583405476</v>
      </c>
      <c r="CL2" s="247"/>
      <c r="CM2" s="247" t="s">
        <v>636</v>
      </c>
      <c r="CN2" s="247">
        <v>1589529966424</v>
      </c>
      <c r="CO2" s="247"/>
      <c r="CP2" s="247" t="s">
        <v>636</v>
      </c>
      <c r="CQ2" s="247">
        <v>95486003367</v>
      </c>
      <c r="CR2" s="245"/>
      <c r="CS2" s="277">
        <v>2017</v>
      </c>
      <c r="CT2" s="275">
        <v>45</v>
      </c>
      <c r="CU2" s="275" t="s">
        <v>650</v>
      </c>
      <c r="CV2" s="275">
        <v>0</v>
      </c>
      <c r="CW2" s="275">
        <v>29701697843</v>
      </c>
      <c r="CX2" s="275">
        <v>3200</v>
      </c>
      <c r="CY2" s="275">
        <v>0</v>
      </c>
      <c r="CZ2" s="275">
        <v>134148921004</v>
      </c>
      <c r="DA2" s="275">
        <v>1760</v>
      </c>
      <c r="DB2" s="275">
        <v>0</v>
      </c>
      <c r="DC2" s="275">
        <v>104447223161</v>
      </c>
      <c r="DD2" s="275">
        <v>1440</v>
      </c>
      <c r="DG2" s="348" t="s">
        <v>661</v>
      </c>
      <c r="DH2" s="346">
        <v>1532877107.8</v>
      </c>
      <c r="DJ2" s="352" t="s">
        <v>661</v>
      </c>
      <c r="DK2" s="350">
        <v>16385206664.379999</v>
      </c>
      <c r="DM2" s="351" t="s">
        <v>661</v>
      </c>
      <c r="DN2" s="353">
        <v>11293203978.940001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279725753380.54523</v>
      </c>
      <c r="N3" s="136"/>
      <c r="O3" s="239"/>
      <c r="P3" s="239"/>
      <c r="Q3" s="239"/>
      <c r="S3" s="253" t="s">
        <v>447</v>
      </c>
      <c r="T3" s="258">
        <v>616376871.90999997</v>
      </c>
      <c r="U3" s="258">
        <v>1073368</v>
      </c>
      <c r="V3" s="258">
        <v>1480</v>
      </c>
      <c r="W3" s="258">
        <v>1733536</v>
      </c>
      <c r="X3" s="258">
        <v>0</v>
      </c>
      <c r="Y3" s="245"/>
      <c r="Z3" s="253" t="s">
        <v>568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568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568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568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568</v>
      </c>
      <c r="BC3" s="253">
        <v>0</v>
      </c>
      <c r="BD3" s="253">
        <v>0</v>
      </c>
      <c r="BE3" s="253">
        <v>0</v>
      </c>
      <c r="BF3" s="253">
        <v>6182</v>
      </c>
      <c r="BG3" s="253">
        <v>0</v>
      </c>
      <c r="BH3" s="247" t="s">
        <v>568</v>
      </c>
      <c r="BI3" s="253">
        <v>0</v>
      </c>
      <c r="BJ3" s="253">
        <v>0</v>
      </c>
      <c r="BK3" s="253">
        <v>0</v>
      </c>
      <c r="BL3" s="253">
        <v>281</v>
      </c>
      <c r="BM3" s="253">
        <v>0</v>
      </c>
      <c r="BN3" s="253"/>
      <c r="BO3" s="245"/>
      <c r="BP3" s="245"/>
      <c r="BQ3" s="245"/>
      <c r="BR3" s="245"/>
      <c r="BS3" s="245"/>
      <c r="BT3" s="265" t="s">
        <v>628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22</v>
      </c>
      <c r="CI3" s="245"/>
      <c r="CJ3" s="247" t="s">
        <v>637</v>
      </c>
      <c r="CK3" s="247">
        <v>722668366460.09766</v>
      </c>
      <c r="CL3" s="247"/>
      <c r="CM3" s="247" t="s">
        <v>637</v>
      </c>
      <c r="CN3" s="247">
        <v>1540732900628.822</v>
      </c>
      <c r="CO3" s="247"/>
      <c r="CP3" s="247" t="s">
        <v>637</v>
      </c>
      <c r="CQ3" s="247">
        <v>56355664167.739998</v>
      </c>
      <c r="CR3" s="245"/>
      <c r="CS3" s="277">
        <v>2017</v>
      </c>
      <c r="CT3" s="275">
        <v>3</v>
      </c>
      <c r="CU3" s="275" t="s">
        <v>651</v>
      </c>
      <c r="CV3" s="275">
        <v>294276509.67000002</v>
      </c>
      <c r="CW3" s="275">
        <v>299810000</v>
      </c>
      <c r="CX3" s="275">
        <v>3</v>
      </c>
      <c r="CY3" s="275">
        <v>294888623.24000001</v>
      </c>
      <c r="CZ3" s="275">
        <v>300110000</v>
      </c>
      <c r="DA3" s="275">
        <v>2</v>
      </c>
      <c r="DB3" s="275">
        <v>612113.56999999995</v>
      </c>
      <c r="DC3" s="275">
        <v>300000</v>
      </c>
      <c r="DD3" s="275">
        <v>1</v>
      </c>
      <c r="DG3" s="348" t="s">
        <v>662</v>
      </c>
      <c r="DH3" s="346">
        <v>1281636797.7</v>
      </c>
      <c r="DJ3" s="352" t="s">
        <v>662</v>
      </c>
      <c r="DK3" s="350">
        <v>15269765098.58</v>
      </c>
      <c r="DM3" s="351" t="s">
        <v>662</v>
      </c>
      <c r="DN3" s="353">
        <v>24210094622.650002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219682887210.13687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114596448.84999999</v>
      </c>
      <c r="U4" s="258">
        <v>184186</v>
      </c>
      <c r="V4" s="258">
        <v>191</v>
      </c>
      <c r="W4" s="258">
        <v>312255</v>
      </c>
      <c r="X4" s="258">
        <v>0</v>
      </c>
      <c r="Y4" s="245"/>
      <c r="Z4" s="253" t="s">
        <v>569</v>
      </c>
      <c r="AA4" s="253">
        <v>49459001.68</v>
      </c>
      <c r="AB4" s="253">
        <v>3564</v>
      </c>
      <c r="AC4" s="253">
        <v>122</v>
      </c>
      <c r="AD4" s="253">
        <v>56886</v>
      </c>
      <c r="AE4" s="253">
        <v>0</v>
      </c>
      <c r="AF4" s="253"/>
      <c r="AG4" s="253" t="s">
        <v>569</v>
      </c>
      <c r="AH4" s="253">
        <v>35200</v>
      </c>
      <c r="AI4" s="253">
        <v>4</v>
      </c>
      <c r="AJ4" s="253">
        <v>1</v>
      </c>
      <c r="AK4" s="253">
        <v>3663</v>
      </c>
      <c r="AL4" s="253">
        <v>0</v>
      </c>
      <c r="AM4" s="245"/>
      <c r="AN4" s="253" t="s">
        <v>569</v>
      </c>
      <c r="AO4" s="253">
        <v>15163140.199999999</v>
      </c>
      <c r="AP4" s="253">
        <v>1383</v>
      </c>
      <c r="AQ4" s="253">
        <v>72</v>
      </c>
      <c r="AR4" s="253">
        <v>53083</v>
      </c>
      <c r="AS4" s="253">
        <v>0</v>
      </c>
      <c r="AT4" s="245"/>
      <c r="AU4" s="253" t="s">
        <v>569</v>
      </c>
      <c r="AV4" s="253">
        <v>76278</v>
      </c>
      <c r="AW4" s="253">
        <v>6</v>
      </c>
      <c r="AX4" s="253">
        <v>4</v>
      </c>
      <c r="AY4" s="253">
        <v>2414</v>
      </c>
      <c r="AZ4" s="253">
        <v>0</v>
      </c>
      <c r="BA4" s="245"/>
      <c r="BB4" s="253" t="s">
        <v>612</v>
      </c>
      <c r="BC4" s="253">
        <v>0</v>
      </c>
      <c r="BD4" s="253">
        <v>0</v>
      </c>
      <c r="BE4" s="253">
        <v>0</v>
      </c>
      <c r="BF4" s="253">
        <v>0</v>
      </c>
      <c r="BG4" s="253">
        <v>1</v>
      </c>
      <c r="BH4" s="247" t="s">
        <v>612</v>
      </c>
      <c r="BI4" s="253">
        <v>0</v>
      </c>
      <c r="BJ4" s="253">
        <v>0</v>
      </c>
      <c r="BK4" s="253">
        <v>0</v>
      </c>
      <c r="BL4" s="253">
        <v>0</v>
      </c>
      <c r="BM4" s="253">
        <v>1</v>
      </c>
      <c r="BN4" s="253"/>
      <c r="BO4" s="252" t="s">
        <v>469</v>
      </c>
      <c r="BP4" s="264" t="s">
        <v>561</v>
      </c>
      <c r="BQ4" s="264" t="s">
        <v>562</v>
      </c>
      <c r="BR4" s="264" t="s">
        <v>563</v>
      </c>
      <c r="BS4" s="245"/>
      <c r="BT4" s="265" t="s">
        <v>629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632</v>
      </c>
      <c r="CE4" s="270" t="s">
        <v>633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25</v>
      </c>
      <c r="CU4" s="275" t="s">
        <v>652</v>
      </c>
      <c r="CV4" s="275">
        <v>-41253681776.309921</v>
      </c>
      <c r="CW4" s="275">
        <v>-14477671571</v>
      </c>
      <c r="CX4" s="275">
        <v>6272</v>
      </c>
      <c r="CY4" s="275">
        <v>354503900751.96997</v>
      </c>
      <c r="CZ4" s="275">
        <v>373591555000</v>
      </c>
      <c r="DA4" s="275">
        <v>4267</v>
      </c>
      <c r="DB4" s="275">
        <v>395757582528.27997</v>
      </c>
      <c r="DC4" s="275">
        <v>388069226571</v>
      </c>
      <c r="DD4" s="275">
        <v>2005</v>
      </c>
      <c r="DG4" s="348" t="s">
        <v>663</v>
      </c>
      <c r="DH4" s="346">
        <v>7863661.2999999998</v>
      </c>
      <c r="DJ4" s="352" t="s">
        <v>663</v>
      </c>
      <c r="DK4" s="350">
        <v>9388915313.8199997</v>
      </c>
      <c r="DM4" s="351" t="s">
        <v>663</v>
      </c>
      <c r="DN4" s="353">
        <v>31289854057.169998</v>
      </c>
    </row>
    <row r="5" spans="1:118" x14ac:dyDescent="0.2">
      <c r="B5" s="188">
        <v>59007405765</v>
      </c>
      <c r="C5" s="188">
        <v>3913704084396.0713</v>
      </c>
      <c r="D5" s="194">
        <v>51473450</v>
      </c>
      <c r="E5" s="209"/>
      <c r="F5" s="211">
        <v>26081</v>
      </c>
      <c r="G5" s="211">
        <v>5358613759</v>
      </c>
      <c r="H5" s="225">
        <v>269046390797.28168</v>
      </c>
      <c r="J5" s="152" t="str">
        <f t="shared" si="0"/>
        <v>PSell</v>
      </c>
      <c r="K5" s="234" t="s">
        <v>543</v>
      </c>
      <c r="L5" s="234" t="s">
        <v>544</v>
      </c>
      <c r="M5" s="238">
        <v>279400930319.07678</v>
      </c>
      <c r="N5" s="136"/>
      <c r="O5" s="241">
        <v>666420613326.95996</v>
      </c>
      <c r="P5" s="241">
        <v>-755725560427.26001</v>
      </c>
      <c r="Q5" s="241">
        <v>-89304947100.300003</v>
      </c>
      <c r="S5" s="253" t="s">
        <v>446</v>
      </c>
      <c r="T5" s="258">
        <v>1652105662.97</v>
      </c>
      <c r="U5" s="258">
        <v>378323</v>
      </c>
      <c r="V5" s="258">
        <v>510</v>
      </c>
      <c r="W5" s="258">
        <v>933499</v>
      </c>
      <c r="X5" s="258">
        <v>0</v>
      </c>
      <c r="Y5" s="245"/>
      <c r="Z5" s="253" t="s">
        <v>570</v>
      </c>
      <c r="AA5" s="253">
        <v>332201238.07999998</v>
      </c>
      <c r="AB5" s="253">
        <v>4474</v>
      </c>
      <c r="AC5" s="253">
        <v>55</v>
      </c>
      <c r="AD5" s="253">
        <v>15303</v>
      </c>
      <c r="AE5" s="253">
        <v>1</v>
      </c>
      <c r="AF5" s="253"/>
      <c r="AG5" s="253" t="s">
        <v>570</v>
      </c>
      <c r="AH5" s="253">
        <v>21726834.809999999</v>
      </c>
      <c r="AI5" s="253">
        <v>279</v>
      </c>
      <c r="AJ5" s="253">
        <v>12</v>
      </c>
      <c r="AK5" s="253">
        <v>1661</v>
      </c>
      <c r="AL5" s="253">
        <v>1</v>
      </c>
      <c r="AM5" s="245"/>
      <c r="AN5" s="253" t="s">
        <v>570</v>
      </c>
      <c r="AO5" s="253">
        <v>94159940.230000004</v>
      </c>
      <c r="AP5" s="253">
        <v>1372</v>
      </c>
      <c r="AQ5" s="253">
        <v>34</v>
      </c>
      <c r="AR5" s="253">
        <v>4234</v>
      </c>
      <c r="AS5" s="253">
        <v>1</v>
      </c>
      <c r="AT5" s="245"/>
      <c r="AU5" s="253" t="s">
        <v>570</v>
      </c>
      <c r="AV5" s="253">
        <v>0</v>
      </c>
      <c r="AW5" s="253">
        <v>0</v>
      </c>
      <c r="AX5" s="253">
        <v>0</v>
      </c>
      <c r="AY5" s="253">
        <v>329</v>
      </c>
      <c r="AZ5" s="253">
        <v>1</v>
      </c>
      <c r="BA5" s="245"/>
      <c r="BB5" s="253" t="s">
        <v>569</v>
      </c>
      <c r="BC5" s="253">
        <v>45038600.799999997</v>
      </c>
      <c r="BD5" s="253">
        <v>3155</v>
      </c>
      <c r="BE5" s="253">
        <v>158</v>
      </c>
      <c r="BF5" s="253">
        <v>39550</v>
      </c>
      <c r="BG5" s="253">
        <v>0</v>
      </c>
      <c r="BH5" s="247" t="s">
        <v>569</v>
      </c>
      <c r="BI5" s="253">
        <v>1561382.7</v>
      </c>
      <c r="BJ5" s="253">
        <v>110</v>
      </c>
      <c r="BK5" s="253">
        <v>5</v>
      </c>
      <c r="BL5" s="253">
        <v>2468</v>
      </c>
      <c r="BM5" s="253">
        <v>0</v>
      </c>
      <c r="BN5" s="253"/>
      <c r="BO5" s="245"/>
      <c r="BP5" s="263">
        <v>30406700281.34</v>
      </c>
      <c r="BQ5" s="263">
        <v>14583970</v>
      </c>
      <c r="BR5" s="263">
        <v>19829</v>
      </c>
      <c r="BS5" s="245"/>
      <c r="BT5" s="265" t="s">
        <v>630</v>
      </c>
      <c r="BU5" s="265">
        <v>319</v>
      </c>
      <c r="BV5" s="265">
        <v>3</v>
      </c>
      <c r="BW5" s="265">
        <v>0</v>
      </c>
      <c r="BX5" s="265">
        <v>0</v>
      </c>
      <c r="BY5" s="265">
        <v>0</v>
      </c>
      <c r="BZ5" s="265">
        <v>322</v>
      </c>
      <c r="CA5" s="265">
        <v>258</v>
      </c>
      <c r="CB5" s="265">
        <v>61</v>
      </c>
      <c r="CC5" s="245"/>
      <c r="CD5" s="271">
        <v>801</v>
      </c>
      <c r="CE5" s="271">
        <v>15291034992302.59</v>
      </c>
      <c r="CF5" s="267" t="s">
        <v>508</v>
      </c>
      <c r="CG5" s="266" t="s">
        <v>6</v>
      </c>
      <c r="CH5" s="266" t="s">
        <v>634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25</v>
      </c>
      <c r="CU5" s="275" t="s">
        <v>653</v>
      </c>
      <c r="CV5" s="275">
        <v>37074108639.569878</v>
      </c>
      <c r="CW5" s="275">
        <v>10863671571</v>
      </c>
      <c r="CX5" s="275">
        <v>6197</v>
      </c>
      <c r="CY5" s="275">
        <v>386865909560.17017</v>
      </c>
      <c r="CZ5" s="275">
        <v>379345226571</v>
      </c>
      <c r="DA5" s="275">
        <v>1978</v>
      </c>
      <c r="DB5" s="275">
        <v>349791800920.59918</v>
      </c>
      <c r="DC5" s="275">
        <v>368481555000</v>
      </c>
      <c r="DD5" s="275">
        <v>4219</v>
      </c>
      <c r="DG5" s="348" t="s">
        <v>664</v>
      </c>
      <c r="DH5" s="346">
        <v>61845060.990000002</v>
      </c>
      <c r="DJ5" s="352" t="s">
        <v>664</v>
      </c>
      <c r="DK5" s="350">
        <v>709704402.91999996</v>
      </c>
      <c r="DM5" s="351" t="s">
        <v>664</v>
      </c>
      <c r="DN5" s="353">
        <v>1631305132.6600001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566</v>
      </c>
      <c r="T6" s="258">
        <v>0</v>
      </c>
      <c r="U6" s="258">
        <v>0</v>
      </c>
      <c r="V6" s="258">
        <v>0</v>
      </c>
      <c r="W6" s="258">
        <v>0</v>
      </c>
      <c r="X6" s="258">
        <v>1</v>
      </c>
      <c r="Y6" s="245"/>
      <c r="Z6" s="253" t="s">
        <v>571</v>
      </c>
      <c r="AA6" s="253">
        <v>18991328.899999999</v>
      </c>
      <c r="AB6" s="253">
        <v>669</v>
      </c>
      <c r="AC6" s="253">
        <v>6</v>
      </c>
      <c r="AD6" s="253">
        <v>40729</v>
      </c>
      <c r="AE6" s="253">
        <v>1</v>
      </c>
      <c r="AF6" s="253"/>
      <c r="AG6" s="253" t="s">
        <v>571</v>
      </c>
      <c r="AH6" s="253">
        <v>0</v>
      </c>
      <c r="AI6" s="253">
        <v>0</v>
      </c>
      <c r="AJ6" s="253">
        <v>0</v>
      </c>
      <c r="AK6" s="253">
        <v>2279</v>
      </c>
      <c r="AL6" s="253">
        <v>1</v>
      </c>
      <c r="AM6" s="245"/>
      <c r="AN6" s="253" t="s">
        <v>571</v>
      </c>
      <c r="AO6" s="253">
        <v>44825994.799999997</v>
      </c>
      <c r="AP6" s="253">
        <v>1620</v>
      </c>
      <c r="AQ6" s="253">
        <v>4</v>
      </c>
      <c r="AR6" s="253">
        <v>34423</v>
      </c>
      <c r="AS6" s="253">
        <v>1</v>
      </c>
      <c r="AT6" s="245"/>
      <c r="AU6" s="253" t="s">
        <v>571</v>
      </c>
      <c r="AV6" s="253">
        <v>0</v>
      </c>
      <c r="AW6" s="253">
        <v>0</v>
      </c>
      <c r="AX6" s="253">
        <v>0</v>
      </c>
      <c r="AY6" s="253">
        <v>1638</v>
      </c>
      <c r="AZ6" s="253">
        <v>1</v>
      </c>
      <c r="BA6" s="245"/>
      <c r="BB6" s="253" t="s">
        <v>570</v>
      </c>
      <c r="BC6" s="253">
        <v>787026300.88999999</v>
      </c>
      <c r="BD6" s="253">
        <v>11322</v>
      </c>
      <c r="BE6" s="253">
        <v>201</v>
      </c>
      <c r="BF6" s="253">
        <v>49560</v>
      </c>
      <c r="BG6" s="253">
        <v>1</v>
      </c>
      <c r="BH6" s="247" t="s">
        <v>570</v>
      </c>
      <c r="BI6" s="253">
        <v>142400</v>
      </c>
      <c r="BJ6" s="253">
        <v>2</v>
      </c>
      <c r="BK6" s="253">
        <v>2</v>
      </c>
      <c r="BL6" s="253">
        <v>1590</v>
      </c>
      <c r="BM6" s="253">
        <v>1</v>
      </c>
      <c r="BN6" s="253"/>
      <c r="BO6" s="247"/>
      <c r="BP6" s="263"/>
      <c r="BQ6" s="263"/>
      <c r="BR6" s="263"/>
      <c r="BS6" s="245"/>
      <c r="BT6" s="265" t="s">
        <v>631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186</v>
      </c>
      <c r="CI6" s="267" t="s">
        <v>510</v>
      </c>
      <c r="CJ6" s="247" t="s">
        <v>117</v>
      </c>
      <c r="CK6" s="247">
        <v>211684</v>
      </c>
      <c r="CL6" s="267" t="s">
        <v>513</v>
      </c>
      <c r="CM6" s="247" t="s">
        <v>117</v>
      </c>
      <c r="CN6" s="247">
        <v>116895</v>
      </c>
      <c r="CO6" s="267" t="s">
        <v>516</v>
      </c>
      <c r="CP6" s="247" t="s">
        <v>117</v>
      </c>
      <c r="CQ6" s="247">
        <v>5781</v>
      </c>
      <c r="CR6" s="245"/>
      <c r="CS6" s="277">
        <v>2017</v>
      </c>
      <c r="CT6" s="275">
        <v>463</v>
      </c>
      <c r="CU6" s="275" t="s">
        <v>654</v>
      </c>
      <c r="CV6" s="275">
        <v>-32590542884.35997</v>
      </c>
      <c r="CW6" s="275">
        <v>-31176259435</v>
      </c>
      <c r="CX6" s="275">
        <v>6794</v>
      </c>
      <c r="CY6" s="275">
        <v>76914543338.609955</v>
      </c>
      <c r="CZ6" s="275">
        <v>76039830316</v>
      </c>
      <c r="DA6" s="275">
        <v>3862</v>
      </c>
      <c r="DB6" s="275">
        <v>109505086222.96991</v>
      </c>
      <c r="DC6" s="275">
        <v>107216089751</v>
      </c>
      <c r="DD6" s="275">
        <v>2932</v>
      </c>
      <c r="DG6" s="348" t="s">
        <v>665</v>
      </c>
      <c r="DH6" s="346">
        <v>1559946804.9400001</v>
      </c>
      <c r="DJ6" s="352" t="s">
        <v>665</v>
      </c>
      <c r="DK6" s="350">
        <v>6771424705.7799997</v>
      </c>
      <c r="DM6" s="351" t="s">
        <v>665</v>
      </c>
      <c r="DN6" s="353">
        <v>5704053231.4899998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447</v>
      </c>
      <c r="T7" s="258">
        <v>29475469194.820999</v>
      </c>
      <c r="U7" s="258">
        <v>2493178</v>
      </c>
      <c r="V7" s="258">
        <v>8075</v>
      </c>
      <c r="W7" s="258">
        <v>1265530</v>
      </c>
      <c r="X7" s="258">
        <v>1</v>
      </c>
      <c r="Y7" s="245"/>
      <c r="Z7" s="253" t="s">
        <v>572</v>
      </c>
      <c r="AA7" s="253">
        <v>32456669.684999999</v>
      </c>
      <c r="AB7" s="253">
        <v>299</v>
      </c>
      <c r="AC7" s="253">
        <v>57</v>
      </c>
      <c r="AD7" s="253">
        <v>2773</v>
      </c>
      <c r="AE7" s="253">
        <v>1</v>
      </c>
      <c r="AF7" s="253"/>
      <c r="AG7" s="253" t="s">
        <v>572</v>
      </c>
      <c r="AH7" s="253">
        <v>340500</v>
      </c>
      <c r="AI7" s="253">
        <v>3</v>
      </c>
      <c r="AJ7" s="253">
        <v>2</v>
      </c>
      <c r="AK7" s="253">
        <v>57</v>
      </c>
      <c r="AL7" s="253">
        <v>1</v>
      </c>
      <c r="AM7" s="245"/>
      <c r="AN7" s="253" t="s">
        <v>572</v>
      </c>
      <c r="AO7" s="253">
        <v>28321900.07</v>
      </c>
      <c r="AP7" s="253">
        <v>245</v>
      </c>
      <c r="AQ7" s="253">
        <v>24</v>
      </c>
      <c r="AR7" s="253">
        <v>1706</v>
      </c>
      <c r="AS7" s="253">
        <v>1</v>
      </c>
      <c r="AT7" s="245"/>
      <c r="AU7" s="253" t="s">
        <v>572</v>
      </c>
      <c r="AV7" s="253">
        <v>0</v>
      </c>
      <c r="AW7" s="253">
        <v>0</v>
      </c>
      <c r="AX7" s="253">
        <v>0</v>
      </c>
      <c r="AY7" s="253">
        <v>103</v>
      </c>
      <c r="AZ7" s="253">
        <v>1</v>
      </c>
      <c r="BA7" s="245"/>
      <c r="BB7" s="253" t="s">
        <v>571</v>
      </c>
      <c r="BC7" s="253">
        <v>47618105</v>
      </c>
      <c r="BD7" s="253">
        <v>2001</v>
      </c>
      <c r="BE7" s="253">
        <v>3</v>
      </c>
      <c r="BF7" s="253">
        <v>60934</v>
      </c>
      <c r="BG7" s="253">
        <v>1</v>
      </c>
      <c r="BH7" s="247" t="s">
        <v>571</v>
      </c>
      <c r="BI7" s="253">
        <v>0</v>
      </c>
      <c r="BJ7" s="253">
        <v>0</v>
      </c>
      <c r="BK7" s="253">
        <v>0</v>
      </c>
      <c r="BL7" s="253">
        <v>1907</v>
      </c>
      <c r="BM7" s="253">
        <v>1</v>
      </c>
      <c r="BN7" s="253"/>
      <c r="BO7" s="252" t="s">
        <v>471</v>
      </c>
      <c r="BP7" s="264" t="s">
        <v>561</v>
      </c>
      <c r="BQ7" s="264" t="s">
        <v>562</v>
      </c>
      <c r="BR7" s="264" t="s">
        <v>563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187</v>
      </c>
      <c r="CI7" s="245"/>
      <c r="CJ7" s="247" t="s">
        <v>636</v>
      </c>
      <c r="CK7" s="247">
        <v>5568738229080</v>
      </c>
      <c r="CL7" s="247"/>
      <c r="CM7" s="247" t="s">
        <v>636</v>
      </c>
      <c r="CN7" s="247">
        <v>14306940970935</v>
      </c>
      <c r="CO7" s="247"/>
      <c r="CP7" s="247" t="s">
        <v>636</v>
      </c>
      <c r="CQ7" s="247">
        <v>417360706810</v>
      </c>
      <c r="CR7" s="245"/>
      <c r="CS7" s="277">
        <v>2017</v>
      </c>
      <c r="CT7" s="275">
        <v>191</v>
      </c>
      <c r="CU7" s="275" t="s">
        <v>655</v>
      </c>
      <c r="CV7" s="275">
        <v>102913477083.62984</v>
      </c>
      <c r="CW7" s="275">
        <v>103588544553</v>
      </c>
      <c r="CX7" s="275">
        <v>24666</v>
      </c>
      <c r="CY7" s="275">
        <v>708607235353.24292</v>
      </c>
      <c r="CZ7" s="275">
        <v>682770620207</v>
      </c>
      <c r="DA7" s="275">
        <v>13521</v>
      </c>
      <c r="DB7" s="275">
        <v>605693758269.61072</v>
      </c>
      <c r="DC7" s="275">
        <v>579182075654</v>
      </c>
      <c r="DD7" s="275">
        <v>11145</v>
      </c>
      <c r="DJ7" s="10" t="s">
        <v>666</v>
      </c>
      <c r="DK7" s="366">
        <v>27933846667.669998</v>
      </c>
      <c r="DM7" s="10" t="s">
        <v>666</v>
      </c>
      <c r="DN7" s="366">
        <v>12114967204.379999</v>
      </c>
    </row>
    <row r="8" spans="1:118" x14ac:dyDescent="0.2">
      <c r="B8" s="188">
        <v>61136604365</v>
      </c>
      <c r="C8" s="188">
        <v>4594163447549.04</v>
      </c>
      <c r="D8" s="194">
        <v>53156490</v>
      </c>
      <c r="E8" s="209"/>
      <c r="F8" s="211">
        <v>29272</v>
      </c>
      <c r="G8" s="211">
        <v>5264733967</v>
      </c>
      <c r="H8" s="225">
        <v>302967072843.14008</v>
      </c>
      <c r="J8" s="152" t="str">
        <f>K8&amp;L8</f>
        <v>ABuy</v>
      </c>
      <c r="K8" s="234" t="s">
        <v>541</v>
      </c>
      <c r="L8" s="234" t="s">
        <v>542</v>
      </c>
      <c r="M8" s="238">
        <v>200861217710.23972</v>
      </c>
      <c r="O8" s="244">
        <v>798407810777.20996</v>
      </c>
      <c r="P8" s="244">
        <v>-894589773576.14001</v>
      </c>
      <c r="Q8" s="241">
        <v>-96181962798.929993</v>
      </c>
      <c r="S8" s="253" t="s">
        <v>182</v>
      </c>
      <c r="T8" s="258">
        <v>33231524.969000001</v>
      </c>
      <c r="U8" s="258">
        <v>404283</v>
      </c>
      <c r="V8" s="258">
        <v>240</v>
      </c>
      <c r="W8" s="258">
        <v>1905943</v>
      </c>
      <c r="X8" s="258">
        <v>1</v>
      </c>
      <c r="Y8" s="245"/>
      <c r="Z8" s="253" t="s">
        <v>573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573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573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573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572</v>
      </c>
      <c r="BC8" s="253">
        <v>4530579.9950000001</v>
      </c>
      <c r="BD8" s="253">
        <v>43</v>
      </c>
      <c r="BE8" s="253">
        <v>12</v>
      </c>
      <c r="BF8" s="253">
        <v>334</v>
      </c>
      <c r="BG8" s="253">
        <v>1</v>
      </c>
      <c r="BH8" s="247" t="s">
        <v>572</v>
      </c>
      <c r="BI8" s="253">
        <v>0</v>
      </c>
      <c r="BJ8" s="253">
        <v>0</v>
      </c>
      <c r="BK8" s="253">
        <v>0</v>
      </c>
      <c r="BL8" s="253">
        <v>19</v>
      </c>
      <c r="BM8" s="253">
        <v>1</v>
      </c>
      <c r="BN8" s="253"/>
      <c r="BO8" s="247"/>
      <c r="BP8" s="263">
        <v>5272236263814.9385</v>
      </c>
      <c r="BQ8" s="263">
        <v>313694539</v>
      </c>
      <c r="BR8" s="263">
        <v>2785792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633</v>
      </c>
      <c r="CE8" s="266" t="s">
        <v>635</v>
      </c>
      <c r="CF8" s="245"/>
      <c r="CG8" s="245"/>
      <c r="CH8" s="245"/>
      <c r="CI8" s="245"/>
      <c r="CJ8" s="247" t="s">
        <v>637</v>
      </c>
      <c r="CK8" s="247">
        <v>5858366070572.1533</v>
      </c>
      <c r="CL8" s="247"/>
      <c r="CM8" s="247" t="s">
        <v>637</v>
      </c>
      <c r="CN8" s="247">
        <v>13962641225592.758</v>
      </c>
      <c r="CO8" s="247"/>
      <c r="CP8" s="247" t="s">
        <v>637</v>
      </c>
      <c r="CQ8" s="247">
        <v>147441598762.47995</v>
      </c>
      <c r="CR8" s="245"/>
      <c r="CS8" s="277">
        <v>2017</v>
      </c>
      <c r="CT8" s="275">
        <v>24</v>
      </c>
      <c r="CU8" s="275" t="s">
        <v>656</v>
      </c>
      <c r="CV8" s="275">
        <v>-7124585508.6100006</v>
      </c>
      <c r="CW8" s="275">
        <v>-7817006848</v>
      </c>
      <c r="CX8" s="275">
        <v>647</v>
      </c>
      <c r="CY8" s="275">
        <v>21234936707.069996</v>
      </c>
      <c r="CZ8" s="275">
        <v>22429977232</v>
      </c>
      <c r="DA8" s="275">
        <v>268</v>
      </c>
      <c r="DB8" s="275">
        <v>28359522215.67997</v>
      </c>
      <c r="DC8" s="275">
        <v>30246984080</v>
      </c>
      <c r="DD8" s="275">
        <v>379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245511937021.24091</v>
      </c>
      <c r="N9" s="19"/>
      <c r="O9" s="239"/>
      <c r="P9" s="239"/>
      <c r="Q9" s="239"/>
      <c r="S9" s="253" t="s">
        <v>449</v>
      </c>
      <c r="T9" s="258">
        <v>0</v>
      </c>
      <c r="U9" s="258">
        <v>0</v>
      </c>
      <c r="V9" s="258">
        <v>0</v>
      </c>
      <c r="W9" s="258">
        <v>0</v>
      </c>
      <c r="X9" s="258">
        <v>0</v>
      </c>
      <c r="Y9" s="245"/>
      <c r="Z9" s="253" t="s">
        <v>574</v>
      </c>
      <c r="AA9" s="253">
        <v>542629324.21000004</v>
      </c>
      <c r="AB9" s="253">
        <v>1138</v>
      </c>
      <c r="AC9" s="253">
        <v>105</v>
      </c>
      <c r="AD9" s="253">
        <v>6325</v>
      </c>
      <c r="AE9" s="253">
        <v>1</v>
      </c>
      <c r="AF9" s="253"/>
      <c r="AG9" s="253" t="s">
        <v>574</v>
      </c>
      <c r="AH9" s="253">
        <v>12359319.970000001</v>
      </c>
      <c r="AI9" s="253">
        <v>25</v>
      </c>
      <c r="AJ9" s="253">
        <v>5</v>
      </c>
      <c r="AK9" s="253">
        <v>438</v>
      </c>
      <c r="AL9" s="253">
        <v>1</v>
      </c>
      <c r="AM9" s="245"/>
      <c r="AN9" s="253" t="s">
        <v>574</v>
      </c>
      <c r="AO9" s="253">
        <v>242647480.03999999</v>
      </c>
      <c r="AP9" s="253">
        <v>517</v>
      </c>
      <c r="AQ9" s="253">
        <v>50</v>
      </c>
      <c r="AR9" s="253">
        <v>11505</v>
      </c>
      <c r="AS9" s="253">
        <v>1</v>
      </c>
      <c r="AT9" s="245"/>
      <c r="AU9" s="253" t="s">
        <v>574</v>
      </c>
      <c r="AV9" s="253">
        <v>904000</v>
      </c>
      <c r="AW9" s="253">
        <v>2</v>
      </c>
      <c r="AX9" s="253">
        <v>1</v>
      </c>
      <c r="AY9" s="253">
        <v>524</v>
      </c>
      <c r="AZ9" s="253">
        <v>1</v>
      </c>
      <c r="BA9" s="245"/>
      <c r="BB9" s="253" t="s">
        <v>573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573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619</v>
      </c>
      <c r="BU9" s="266" t="s">
        <v>620</v>
      </c>
      <c r="BV9" s="266" t="s">
        <v>621</v>
      </c>
      <c r="BW9" s="266" t="s">
        <v>622</v>
      </c>
      <c r="BX9" s="266" t="s">
        <v>623</v>
      </c>
      <c r="BY9" s="266" t="s">
        <v>624</v>
      </c>
      <c r="BZ9" s="266" t="s">
        <v>625</v>
      </c>
      <c r="CA9" s="266" t="s">
        <v>626</v>
      </c>
      <c r="CB9" s="266" t="s">
        <v>627</v>
      </c>
      <c r="CC9" s="245"/>
      <c r="CD9" s="269">
        <v>298363563685277.87</v>
      </c>
      <c r="CE9" s="272">
        <v>494013680366.24683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217616551506.70145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446</v>
      </c>
      <c r="T10" s="258">
        <v>877918281645.64673</v>
      </c>
      <c r="U10" s="258">
        <v>2969562</v>
      </c>
      <c r="V10" s="258">
        <v>289421</v>
      </c>
      <c r="W10" s="258">
        <v>624401</v>
      </c>
      <c r="X10" s="258">
        <v>1</v>
      </c>
      <c r="Y10" s="245"/>
      <c r="Z10" s="253" t="s">
        <v>575</v>
      </c>
      <c r="AA10" s="253">
        <v>1966500</v>
      </c>
      <c r="AB10" s="253">
        <v>20</v>
      </c>
      <c r="AC10" s="253">
        <v>1</v>
      </c>
      <c r="AD10" s="253">
        <v>6480</v>
      </c>
      <c r="AE10" s="253">
        <v>1</v>
      </c>
      <c r="AF10" s="253"/>
      <c r="AG10" s="253" t="s">
        <v>575</v>
      </c>
      <c r="AH10" s="253">
        <v>0</v>
      </c>
      <c r="AI10" s="253">
        <v>0</v>
      </c>
      <c r="AJ10" s="253">
        <v>0</v>
      </c>
      <c r="AK10" s="253">
        <v>313</v>
      </c>
      <c r="AL10" s="253">
        <v>1</v>
      </c>
      <c r="AM10" s="245"/>
      <c r="AN10" s="253" t="s">
        <v>575</v>
      </c>
      <c r="AO10" s="253">
        <v>54868119.75</v>
      </c>
      <c r="AP10" s="253">
        <v>543</v>
      </c>
      <c r="AQ10" s="253">
        <v>5</v>
      </c>
      <c r="AR10" s="253">
        <v>6921</v>
      </c>
      <c r="AS10" s="253">
        <v>1</v>
      </c>
      <c r="AT10" s="245"/>
      <c r="AU10" s="253" t="s">
        <v>575</v>
      </c>
      <c r="AV10" s="253">
        <v>0</v>
      </c>
      <c r="AW10" s="253">
        <v>0</v>
      </c>
      <c r="AX10" s="253">
        <v>0</v>
      </c>
      <c r="AY10" s="253">
        <v>333</v>
      </c>
      <c r="AZ10" s="253">
        <v>1</v>
      </c>
      <c r="BA10" s="245"/>
      <c r="BB10" s="253" t="s">
        <v>574</v>
      </c>
      <c r="BC10" s="253">
        <v>345777152.32999998</v>
      </c>
      <c r="BD10" s="253">
        <v>692</v>
      </c>
      <c r="BE10" s="253">
        <v>61</v>
      </c>
      <c r="BF10" s="253">
        <v>3733</v>
      </c>
      <c r="BG10" s="253">
        <v>1</v>
      </c>
      <c r="BH10" s="247" t="s">
        <v>574</v>
      </c>
      <c r="BI10" s="253">
        <v>25435419.960000001</v>
      </c>
      <c r="BJ10" s="253">
        <v>52</v>
      </c>
      <c r="BK10" s="253">
        <v>3</v>
      </c>
      <c r="BL10" s="253">
        <v>143</v>
      </c>
      <c r="BM10" s="253">
        <v>1</v>
      </c>
      <c r="BN10" s="253"/>
      <c r="BO10" s="252" t="s">
        <v>472</v>
      </c>
      <c r="BP10" s="264" t="s">
        <v>561</v>
      </c>
      <c r="BQ10" s="264" t="s">
        <v>562</v>
      </c>
      <c r="BR10" s="264" t="s">
        <v>563</v>
      </c>
      <c r="BS10" s="245"/>
      <c r="BT10" s="265" t="s">
        <v>139</v>
      </c>
      <c r="BU10" s="265">
        <v>52</v>
      </c>
      <c r="BV10" s="265">
        <v>5</v>
      </c>
      <c r="BW10" s="265">
        <v>10</v>
      </c>
      <c r="BX10" s="265">
        <v>4</v>
      </c>
      <c r="BY10" s="265">
        <v>0</v>
      </c>
      <c r="BZ10" s="265">
        <v>43</v>
      </c>
      <c r="CA10" s="265">
        <v>40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228756603224.77917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451</v>
      </c>
      <c r="T11" s="258">
        <v>5674698614.6359997</v>
      </c>
      <c r="U11" s="258">
        <v>524065</v>
      </c>
      <c r="V11" s="258">
        <v>303</v>
      </c>
      <c r="W11" s="258">
        <v>480854</v>
      </c>
      <c r="X11" s="258">
        <v>1</v>
      </c>
      <c r="Y11" s="245"/>
      <c r="Z11" s="253" t="s">
        <v>576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576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576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576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575</v>
      </c>
      <c r="BC11" s="253">
        <v>0</v>
      </c>
      <c r="BD11" s="253">
        <v>0</v>
      </c>
      <c r="BE11" s="253">
        <v>0</v>
      </c>
      <c r="BF11" s="253">
        <v>0</v>
      </c>
      <c r="BG11" s="253">
        <v>1</v>
      </c>
      <c r="BH11" s="247" t="s">
        <v>575</v>
      </c>
      <c r="BI11" s="253">
        <v>0</v>
      </c>
      <c r="BJ11" s="253">
        <v>0</v>
      </c>
      <c r="BK11" s="253">
        <v>0</v>
      </c>
      <c r="BL11" s="253">
        <v>0</v>
      </c>
      <c r="BM11" s="253">
        <v>1</v>
      </c>
      <c r="BN11" s="253"/>
      <c r="BO11" s="247"/>
      <c r="BP11" s="263">
        <v>33132394614.310001</v>
      </c>
      <c r="BQ11" s="263">
        <v>11537119</v>
      </c>
      <c r="BR11" s="263">
        <v>15782</v>
      </c>
      <c r="BS11" s="245"/>
      <c r="BT11" s="265" t="s">
        <v>628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633</v>
      </c>
      <c r="CE11" s="266" t="s">
        <v>635</v>
      </c>
      <c r="CF11" s="245"/>
      <c r="CG11" s="245"/>
      <c r="CH11" s="245"/>
      <c r="CI11" s="267" t="s">
        <v>511</v>
      </c>
      <c r="CJ11" s="247" t="s">
        <v>117</v>
      </c>
      <c r="CK11" s="247">
        <v>223419</v>
      </c>
      <c r="CL11" s="267" t="s">
        <v>514</v>
      </c>
      <c r="CM11" s="247" t="s">
        <v>117</v>
      </c>
      <c r="CN11" s="247">
        <v>133047</v>
      </c>
      <c r="CO11" s="267" t="s">
        <v>517</v>
      </c>
      <c r="CP11" s="247" t="s">
        <v>117</v>
      </c>
      <c r="CQ11" s="247">
        <v>5354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180113.53</v>
      </c>
      <c r="U12" s="258">
        <v>22301888</v>
      </c>
      <c r="V12" s="258">
        <v>572</v>
      </c>
      <c r="W12" s="258">
        <v>11617567</v>
      </c>
      <c r="X12" s="258">
        <v>1</v>
      </c>
      <c r="Y12" s="245"/>
      <c r="Z12" s="253" t="s">
        <v>577</v>
      </c>
      <c r="AA12" s="253">
        <v>7256354490.7600002</v>
      </c>
      <c r="AB12" s="253">
        <v>36036</v>
      </c>
      <c r="AC12" s="253">
        <v>4313</v>
      </c>
      <c r="AD12" s="253">
        <v>585370</v>
      </c>
      <c r="AE12" s="253">
        <v>1</v>
      </c>
      <c r="AF12" s="253"/>
      <c r="AG12" s="253" t="s">
        <v>577</v>
      </c>
      <c r="AH12" s="253">
        <v>315362504.19</v>
      </c>
      <c r="AI12" s="253">
        <v>1550</v>
      </c>
      <c r="AJ12" s="253">
        <v>240</v>
      </c>
      <c r="AK12" s="253">
        <v>28983</v>
      </c>
      <c r="AL12" s="253">
        <v>1</v>
      </c>
      <c r="AM12" s="245"/>
      <c r="AN12" s="253" t="s">
        <v>577</v>
      </c>
      <c r="AO12" s="253">
        <v>10863374468.43</v>
      </c>
      <c r="AP12" s="253">
        <v>54154</v>
      </c>
      <c r="AQ12" s="253">
        <v>6046</v>
      </c>
      <c r="AR12" s="253">
        <v>672600</v>
      </c>
      <c r="AS12" s="253">
        <v>1</v>
      </c>
      <c r="AT12" s="245"/>
      <c r="AU12" s="253" t="s">
        <v>577</v>
      </c>
      <c r="AV12" s="253">
        <v>526115924.63</v>
      </c>
      <c r="AW12" s="253">
        <v>2663</v>
      </c>
      <c r="AX12" s="253">
        <v>375</v>
      </c>
      <c r="AY12" s="253">
        <v>29568</v>
      </c>
      <c r="AZ12" s="253">
        <v>1</v>
      </c>
      <c r="BA12" s="245"/>
      <c r="BB12" s="253" t="s">
        <v>576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576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629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2600019086011935</v>
      </c>
      <c r="CE12" s="272">
        <v>3854970424604.7217</v>
      </c>
      <c r="CF12" s="245"/>
      <c r="CG12" s="245"/>
      <c r="CH12" s="245"/>
      <c r="CI12" s="247"/>
      <c r="CJ12" s="247" t="s">
        <v>636</v>
      </c>
      <c r="CK12" s="247">
        <v>5834646471578</v>
      </c>
      <c r="CL12" s="247"/>
      <c r="CM12" s="247" t="s">
        <v>636</v>
      </c>
      <c r="CN12" s="247">
        <v>15691066647654</v>
      </c>
      <c r="CO12" s="247"/>
      <c r="CP12" s="247" t="s">
        <v>636</v>
      </c>
      <c r="CQ12" s="247">
        <v>577278517973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448</v>
      </c>
      <c r="T13" s="258">
        <v>238445.32</v>
      </c>
      <c r="U13" s="258">
        <v>1729690</v>
      </c>
      <c r="V13" s="258">
        <v>7464</v>
      </c>
      <c r="W13" s="258">
        <v>916942</v>
      </c>
      <c r="X13" s="258">
        <v>1</v>
      </c>
      <c r="Y13" s="245"/>
      <c r="Z13" s="253" t="s">
        <v>578</v>
      </c>
      <c r="AA13" s="253">
        <v>0</v>
      </c>
      <c r="AB13" s="253">
        <v>0</v>
      </c>
      <c r="AC13" s="253">
        <v>0</v>
      </c>
      <c r="AD13" s="253">
        <v>0</v>
      </c>
      <c r="AE13" s="253">
        <v>1</v>
      </c>
      <c r="AF13" s="253"/>
      <c r="AG13" s="253" t="s">
        <v>578</v>
      </c>
      <c r="AH13" s="253">
        <v>0</v>
      </c>
      <c r="AI13" s="253">
        <v>0</v>
      </c>
      <c r="AJ13" s="253">
        <v>0</v>
      </c>
      <c r="AK13" s="253">
        <v>0</v>
      </c>
      <c r="AL13" s="253">
        <v>1</v>
      </c>
      <c r="AM13" s="245"/>
      <c r="AN13" s="253" t="s">
        <v>578</v>
      </c>
      <c r="AO13" s="253">
        <v>0</v>
      </c>
      <c r="AP13" s="253">
        <v>0</v>
      </c>
      <c r="AQ13" s="253">
        <v>0</v>
      </c>
      <c r="AR13" s="253">
        <v>0</v>
      </c>
      <c r="AS13" s="253">
        <v>1</v>
      </c>
      <c r="AT13" s="245"/>
      <c r="AU13" s="253" t="s">
        <v>578</v>
      </c>
      <c r="AV13" s="253">
        <v>0</v>
      </c>
      <c r="AW13" s="253">
        <v>0</v>
      </c>
      <c r="AX13" s="253">
        <v>0</v>
      </c>
      <c r="AY13" s="253">
        <v>0</v>
      </c>
      <c r="AZ13" s="253">
        <v>1</v>
      </c>
      <c r="BA13" s="245"/>
      <c r="BB13" s="253" t="s">
        <v>577</v>
      </c>
      <c r="BC13" s="253">
        <v>13418841029.959999</v>
      </c>
      <c r="BD13" s="253">
        <v>43017</v>
      </c>
      <c r="BE13" s="253">
        <v>6020</v>
      </c>
      <c r="BF13" s="253">
        <v>428694</v>
      </c>
      <c r="BG13" s="253">
        <v>1</v>
      </c>
      <c r="BH13" s="247" t="s">
        <v>577</v>
      </c>
      <c r="BI13" s="253">
        <v>551248350.74000001</v>
      </c>
      <c r="BJ13" s="253">
        <v>1814</v>
      </c>
      <c r="BK13" s="253">
        <v>236</v>
      </c>
      <c r="BL13" s="253">
        <v>18673</v>
      </c>
      <c r="BM13" s="253">
        <v>1</v>
      </c>
      <c r="BN13" s="253"/>
      <c r="BO13" s="252" t="s">
        <v>484</v>
      </c>
      <c r="BP13" s="264" t="s">
        <v>564</v>
      </c>
      <c r="BQ13" s="263"/>
      <c r="BR13" s="263"/>
      <c r="BS13" s="245"/>
      <c r="BT13" s="265" t="s">
        <v>630</v>
      </c>
      <c r="BU13" s="265">
        <v>319</v>
      </c>
      <c r="BV13" s="265">
        <v>9</v>
      </c>
      <c r="BW13" s="265">
        <v>19</v>
      </c>
      <c r="BX13" s="265">
        <v>0</v>
      </c>
      <c r="BY13" s="265">
        <v>4</v>
      </c>
      <c r="BZ13" s="265">
        <v>313</v>
      </c>
      <c r="CA13" s="265">
        <v>258</v>
      </c>
      <c r="CB13" s="265">
        <v>61</v>
      </c>
      <c r="CC13" s="245"/>
      <c r="CD13" s="245"/>
      <c r="CE13" s="245"/>
      <c r="CF13" s="245"/>
      <c r="CG13" s="245"/>
      <c r="CH13" s="245"/>
      <c r="CI13" s="247"/>
      <c r="CJ13" s="247" t="s">
        <v>637</v>
      </c>
      <c r="CK13" s="247">
        <v>6005763579509.7998</v>
      </c>
      <c r="CL13" s="247"/>
      <c r="CM13" s="247" t="s">
        <v>637</v>
      </c>
      <c r="CN13" s="247">
        <v>15302978074535.199</v>
      </c>
      <c r="CO13" s="247"/>
      <c r="CP13" s="247" t="s">
        <v>637</v>
      </c>
      <c r="CQ13" s="247">
        <v>292816804705.51984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202541039422.32498</v>
      </c>
      <c r="N14" s="156"/>
      <c r="O14" s="344">
        <v>784579000000</v>
      </c>
      <c r="P14" s="344">
        <v>-771216000000</v>
      </c>
      <c r="Q14" s="344">
        <v>13363000000</v>
      </c>
      <c r="S14" s="245"/>
      <c r="T14" s="245"/>
      <c r="U14" s="245"/>
      <c r="V14" s="245"/>
      <c r="W14" s="245"/>
      <c r="X14" s="245"/>
      <c r="Y14" s="245"/>
      <c r="Z14" s="253" t="s">
        <v>579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579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579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579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578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578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42098853</v>
      </c>
      <c r="BQ14" s="263"/>
      <c r="BR14" s="263"/>
      <c r="BS14" s="245"/>
      <c r="BT14" s="265" t="s">
        <v>631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633</v>
      </c>
      <c r="CE14" s="273" t="s">
        <v>635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657</v>
      </c>
      <c r="CT14" s="275" t="s">
        <v>639</v>
      </c>
      <c r="CU14" s="275" t="s">
        <v>640</v>
      </c>
      <c r="CV14" s="275" t="s">
        <v>641</v>
      </c>
      <c r="CW14" s="275" t="s">
        <v>642</v>
      </c>
      <c r="CX14" s="275" t="s">
        <v>643</v>
      </c>
      <c r="CY14" s="275" t="s">
        <v>644</v>
      </c>
      <c r="CZ14" s="275" t="s">
        <v>645</v>
      </c>
      <c r="DA14" s="275" t="s">
        <v>646</v>
      </c>
      <c r="DB14" s="275" t="s">
        <v>647</v>
      </c>
      <c r="DC14" s="275" t="s">
        <v>648</v>
      </c>
      <c r="DD14" s="275" t="s">
        <v>649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245787020603.92001</v>
      </c>
      <c r="N15" s="156"/>
      <c r="O15" s="240"/>
      <c r="P15" s="240"/>
      <c r="Q15" s="240"/>
      <c r="R15" s="153" t="s">
        <v>453</v>
      </c>
      <c r="S15" s="254" t="s">
        <v>560</v>
      </c>
      <c r="T15" s="257" t="s">
        <v>561</v>
      </c>
      <c r="U15" s="257" t="s">
        <v>562</v>
      </c>
      <c r="V15" s="257" t="s">
        <v>563</v>
      </c>
      <c r="W15" s="257" t="s">
        <v>564</v>
      </c>
      <c r="X15" s="257" t="s">
        <v>565</v>
      </c>
      <c r="Y15" s="245"/>
      <c r="Z15" s="253" t="s">
        <v>580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580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580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580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579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579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2758436316044753</v>
      </c>
      <c r="CE15" s="274">
        <v>4519902382927.2031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658</v>
      </c>
      <c r="CT15" s="275">
        <v>18</v>
      </c>
      <c r="CU15" s="275" t="s">
        <v>650</v>
      </c>
      <c r="CV15" s="275">
        <v>0</v>
      </c>
      <c r="CW15" s="275">
        <v>4058583973</v>
      </c>
      <c r="CX15" s="275">
        <v>435</v>
      </c>
      <c r="CY15" s="275">
        <v>0</v>
      </c>
      <c r="CZ15" s="275">
        <v>20469519090</v>
      </c>
      <c r="DA15" s="275">
        <v>248</v>
      </c>
      <c r="DB15" s="275">
        <v>0</v>
      </c>
      <c r="DC15" s="275">
        <v>16410935117</v>
      </c>
      <c r="DD15" s="275">
        <v>187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209457720305.435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2145247.216</v>
      </c>
      <c r="U16" s="258">
        <v>4382</v>
      </c>
      <c r="V16" s="258">
        <v>6</v>
      </c>
      <c r="W16" s="258">
        <v>12118562</v>
      </c>
      <c r="X16" s="258">
        <v>1</v>
      </c>
      <c r="Y16" s="245"/>
      <c r="Z16" s="253" t="s">
        <v>581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581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581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581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613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613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564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658</v>
      </c>
      <c r="CT16" s="275">
        <v>22</v>
      </c>
      <c r="CU16" s="275" t="s">
        <v>652</v>
      </c>
      <c r="CV16" s="275">
        <v>-33866561905.539997</v>
      </c>
      <c r="CW16" s="275">
        <v>-28959329000</v>
      </c>
      <c r="CX16" s="275">
        <v>846</v>
      </c>
      <c r="CY16" s="275">
        <v>38089022612.399994</v>
      </c>
      <c r="CZ16" s="275">
        <v>40799150000</v>
      </c>
      <c r="DA16" s="275">
        <v>504</v>
      </c>
      <c r="DB16" s="275">
        <v>71955584517.939941</v>
      </c>
      <c r="DC16" s="275">
        <v>69758479000</v>
      </c>
      <c r="DD16" s="275">
        <v>342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238870339720.81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8015491.9699999997</v>
      </c>
      <c r="U17" s="258">
        <v>42573</v>
      </c>
      <c r="V17" s="258">
        <v>13</v>
      </c>
      <c r="W17" s="258">
        <v>1733536</v>
      </c>
      <c r="X17" s="258">
        <v>0</v>
      </c>
      <c r="Y17" s="245"/>
      <c r="Z17" s="253" t="s">
        <v>582</v>
      </c>
      <c r="AA17" s="253">
        <v>0</v>
      </c>
      <c r="AB17" s="253">
        <v>0</v>
      </c>
      <c r="AC17" s="253">
        <v>0</v>
      </c>
      <c r="AD17" s="253">
        <v>5100</v>
      </c>
      <c r="AE17" s="253">
        <v>1</v>
      </c>
      <c r="AF17" s="253"/>
      <c r="AG17" s="253" t="s">
        <v>582</v>
      </c>
      <c r="AH17" s="253">
        <v>0</v>
      </c>
      <c r="AI17" s="253">
        <v>0</v>
      </c>
      <c r="AJ17" s="253">
        <v>0</v>
      </c>
      <c r="AK17" s="253">
        <v>255</v>
      </c>
      <c r="AL17" s="253">
        <v>1</v>
      </c>
      <c r="AM17" s="245"/>
      <c r="AN17" s="253" t="s">
        <v>582</v>
      </c>
      <c r="AO17" s="253">
        <v>65343030.18</v>
      </c>
      <c r="AP17" s="253">
        <v>530</v>
      </c>
      <c r="AQ17" s="253">
        <v>3</v>
      </c>
      <c r="AR17" s="253">
        <v>5610</v>
      </c>
      <c r="AS17" s="253">
        <v>1</v>
      </c>
      <c r="AT17" s="245"/>
      <c r="AU17" s="253" t="s">
        <v>582</v>
      </c>
      <c r="AV17" s="253">
        <v>0</v>
      </c>
      <c r="AW17" s="253">
        <v>0</v>
      </c>
      <c r="AX17" s="253">
        <v>0</v>
      </c>
      <c r="AY17" s="253">
        <v>255</v>
      </c>
      <c r="AZ17" s="253">
        <v>1</v>
      </c>
      <c r="BA17" s="245"/>
      <c r="BB17" s="253" t="s">
        <v>580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580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2525783</v>
      </c>
      <c r="BQ17" s="263"/>
      <c r="BR17" s="263"/>
      <c r="BS17" s="256" t="s">
        <v>500</v>
      </c>
      <c r="BT17" s="266" t="s">
        <v>619</v>
      </c>
      <c r="BU17" s="266" t="s">
        <v>620</v>
      </c>
      <c r="BV17" s="266" t="s">
        <v>621</v>
      </c>
      <c r="BW17" s="266" t="s">
        <v>622</v>
      </c>
      <c r="BX17" s="266" t="s">
        <v>623</v>
      </c>
      <c r="BY17" s="266" t="s">
        <v>624</v>
      </c>
      <c r="BZ17" s="266" t="s">
        <v>625</v>
      </c>
      <c r="CA17" s="266" t="s">
        <v>626</v>
      </c>
      <c r="CB17" s="266" t="s">
        <v>627</v>
      </c>
      <c r="CC17" s="358" t="s">
        <v>528</v>
      </c>
      <c r="CD17" s="357" t="s">
        <v>633</v>
      </c>
      <c r="CE17" s="357" t="s">
        <v>635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658</v>
      </c>
      <c r="CT17" s="275">
        <v>22</v>
      </c>
      <c r="CU17" s="275" t="s">
        <v>653</v>
      </c>
      <c r="CV17" s="275">
        <v>34181414721.690002</v>
      </c>
      <c r="CW17" s="275">
        <v>29338329000</v>
      </c>
      <c r="CX17" s="275">
        <v>837</v>
      </c>
      <c r="CY17" s="275">
        <v>71766238781.330002</v>
      </c>
      <c r="CZ17" s="275">
        <v>69582479000</v>
      </c>
      <c r="DA17" s="275">
        <v>342</v>
      </c>
      <c r="DB17" s="275">
        <v>37584824059.639999</v>
      </c>
      <c r="DC17" s="275">
        <v>40244150000</v>
      </c>
      <c r="DD17" s="275">
        <v>495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5593322.6799999997</v>
      </c>
      <c r="U18" s="258">
        <v>19386</v>
      </c>
      <c r="V18" s="258">
        <v>22</v>
      </c>
      <c r="W18" s="258">
        <v>312255</v>
      </c>
      <c r="X18" s="258">
        <v>0</v>
      </c>
      <c r="Y18" s="245"/>
      <c r="Z18" s="253" t="s">
        <v>583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583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583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583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581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581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59</v>
      </c>
      <c r="BV18" s="265">
        <v>3</v>
      </c>
      <c r="BW18" s="265">
        <v>7</v>
      </c>
      <c r="BX18" s="265">
        <v>1</v>
      </c>
      <c r="BY18" s="265">
        <v>0</v>
      </c>
      <c r="BZ18" s="265">
        <v>54</v>
      </c>
      <c r="CA18" s="265">
        <v>41</v>
      </c>
      <c r="CB18" s="265">
        <v>18</v>
      </c>
      <c r="CC18" s="355"/>
      <c r="CD18" s="359">
        <v>15012703131579.42</v>
      </c>
      <c r="CE18" s="360">
        <v>25203098726.128284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658</v>
      </c>
      <c r="CT18" s="275">
        <v>77</v>
      </c>
      <c r="CU18" s="275" t="s">
        <v>654</v>
      </c>
      <c r="CV18" s="275">
        <v>-5590743613.3800011</v>
      </c>
      <c r="CW18" s="275">
        <v>-5683785767</v>
      </c>
      <c r="CX18" s="275">
        <v>674</v>
      </c>
      <c r="CY18" s="275">
        <v>12148569965.489998</v>
      </c>
      <c r="CZ18" s="275">
        <v>11915028522</v>
      </c>
      <c r="DA18" s="275">
        <v>365</v>
      </c>
      <c r="DB18" s="275">
        <v>17739313578.870007</v>
      </c>
      <c r="DC18" s="275">
        <v>17598814289</v>
      </c>
      <c r="DD18" s="275">
        <v>309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321240233</v>
      </c>
      <c r="U19" s="258">
        <v>83035</v>
      </c>
      <c r="V19" s="258">
        <v>19</v>
      </c>
      <c r="W19" s="258">
        <v>933499</v>
      </c>
      <c r="X19" s="258">
        <v>0</v>
      </c>
      <c r="Y19" s="245"/>
      <c r="Z19" s="253" t="s">
        <v>584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584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584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584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582</v>
      </c>
      <c r="BC19" s="253">
        <v>31480680.971000001</v>
      </c>
      <c r="BD19" s="253">
        <v>325</v>
      </c>
      <c r="BE19" s="253">
        <v>2</v>
      </c>
      <c r="BF19" s="253">
        <v>6603</v>
      </c>
      <c r="BG19" s="253">
        <v>1</v>
      </c>
      <c r="BH19" s="247" t="s">
        <v>582</v>
      </c>
      <c r="BI19" s="253">
        <v>0</v>
      </c>
      <c r="BJ19" s="253">
        <v>0</v>
      </c>
      <c r="BK19" s="253">
        <v>0</v>
      </c>
      <c r="BL19" s="253">
        <v>325</v>
      </c>
      <c r="BM19" s="253">
        <v>1</v>
      </c>
      <c r="BN19" s="253"/>
      <c r="BO19" s="256" t="s">
        <v>482</v>
      </c>
      <c r="BP19" s="264" t="s">
        <v>537</v>
      </c>
      <c r="BQ19" s="264" t="s">
        <v>562</v>
      </c>
      <c r="BR19" s="264" t="s">
        <v>563</v>
      </c>
      <c r="BS19" s="245"/>
      <c r="BT19" s="265" t="s">
        <v>628</v>
      </c>
      <c r="BU19" s="265">
        <v>3</v>
      </c>
      <c r="BV19" s="265">
        <v>1</v>
      </c>
      <c r="BW19" s="265">
        <v>0</v>
      </c>
      <c r="BX19" s="265">
        <v>0</v>
      </c>
      <c r="BY19" s="265">
        <v>0</v>
      </c>
      <c r="BZ19" s="265">
        <v>4</v>
      </c>
      <c r="CA19" s="265">
        <v>3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658</v>
      </c>
      <c r="CT19" s="275">
        <v>43</v>
      </c>
      <c r="CU19" s="275" t="s">
        <v>655</v>
      </c>
      <c r="CV19" s="275">
        <v>26112813934.729977</v>
      </c>
      <c r="CW19" s="275">
        <v>24159439562</v>
      </c>
      <c r="CX19" s="275">
        <v>2543</v>
      </c>
      <c r="CY19" s="275">
        <v>88477006043.319946</v>
      </c>
      <c r="CZ19" s="275">
        <v>84146082466</v>
      </c>
      <c r="DA19" s="275">
        <v>1504</v>
      </c>
      <c r="DB19" s="275">
        <v>62364192108.590012</v>
      </c>
      <c r="DC19" s="275">
        <v>59986642904</v>
      </c>
      <c r="DD19" s="275">
        <v>1039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192129352812.52499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566</v>
      </c>
      <c r="T20" s="258">
        <v>0</v>
      </c>
      <c r="U20" s="258">
        <v>0</v>
      </c>
      <c r="V20" s="258">
        <v>0</v>
      </c>
      <c r="W20" s="258">
        <v>0</v>
      </c>
      <c r="X20" s="258">
        <v>1</v>
      </c>
      <c r="Y20" s="245"/>
      <c r="Z20" s="253" t="s">
        <v>585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585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585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585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583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583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27018581597.18</v>
      </c>
      <c r="BQ20" s="263">
        <v>236324</v>
      </c>
      <c r="BR20" s="263">
        <v>641</v>
      </c>
      <c r="BS20" s="245"/>
      <c r="BT20" s="265" t="s">
        <v>629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633</v>
      </c>
      <c r="CE20" s="357" t="s">
        <v>635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658</v>
      </c>
      <c r="CT20" s="275">
        <v>14</v>
      </c>
      <c r="CU20" s="275" t="s">
        <v>656</v>
      </c>
      <c r="CV20" s="275">
        <v>71679532.200000048</v>
      </c>
      <c r="CW20" s="275">
        <v>-65252000</v>
      </c>
      <c r="CX20" s="275">
        <v>120</v>
      </c>
      <c r="CY20" s="275">
        <v>3727465558.0599999</v>
      </c>
      <c r="CZ20" s="275">
        <v>3620100000</v>
      </c>
      <c r="DA20" s="275">
        <v>59</v>
      </c>
      <c r="DB20" s="275">
        <v>3655786025.8599997</v>
      </c>
      <c r="DC20" s="275">
        <v>3685352000</v>
      </c>
      <c r="DD20" s="275">
        <v>61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222940861770.72</v>
      </c>
      <c r="O21" s="239"/>
      <c r="P21" s="239"/>
      <c r="Q21" s="239"/>
      <c r="S21" s="253" t="s">
        <v>447</v>
      </c>
      <c r="T21" s="258">
        <v>352024711.5</v>
      </c>
      <c r="U21" s="258">
        <v>23395</v>
      </c>
      <c r="V21" s="258">
        <v>157</v>
      </c>
      <c r="W21" s="258">
        <v>1265530</v>
      </c>
      <c r="X21" s="258">
        <v>1</v>
      </c>
      <c r="Y21" s="245"/>
      <c r="Z21" s="253" t="s">
        <v>586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586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586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586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584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584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630</v>
      </c>
      <c r="BU21" s="265">
        <v>324</v>
      </c>
      <c r="BV21" s="265">
        <v>8</v>
      </c>
      <c r="BW21" s="265">
        <v>12</v>
      </c>
      <c r="BX21" s="265">
        <v>0</v>
      </c>
      <c r="BY21" s="265">
        <v>2</v>
      </c>
      <c r="BZ21" s="265">
        <v>322</v>
      </c>
      <c r="CA21" s="265">
        <v>266</v>
      </c>
      <c r="CB21" s="265">
        <v>58</v>
      </c>
      <c r="CC21" s="355"/>
      <c r="CD21" s="359">
        <v>3458844983053467.5</v>
      </c>
      <c r="CE21" s="360">
        <v>5164746996905.6191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207235537549.17999</v>
      </c>
      <c r="O22" s="239"/>
      <c r="P22" s="239"/>
      <c r="Q22" s="239"/>
      <c r="S22" s="253" t="s">
        <v>182</v>
      </c>
      <c r="T22" s="258">
        <v>2403.8449999999998</v>
      </c>
      <c r="U22" s="258">
        <v>89</v>
      </c>
      <c r="V22" s="258">
        <v>3</v>
      </c>
      <c r="W22" s="258">
        <v>1905943</v>
      </c>
      <c r="X22" s="258">
        <v>1</v>
      </c>
      <c r="Y22" s="245"/>
      <c r="Z22" s="253" t="s">
        <v>587</v>
      </c>
      <c r="AA22" s="253">
        <v>10746143.9</v>
      </c>
      <c r="AB22" s="253">
        <v>1174</v>
      </c>
      <c r="AC22" s="253">
        <v>100</v>
      </c>
      <c r="AD22" s="253">
        <v>97311</v>
      </c>
      <c r="AE22" s="253">
        <v>0</v>
      </c>
      <c r="AF22" s="253"/>
      <c r="AG22" s="253" t="s">
        <v>587</v>
      </c>
      <c r="AH22" s="253">
        <v>219311</v>
      </c>
      <c r="AI22" s="253">
        <v>25</v>
      </c>
      <c r="AJ22" s="253">
        <v>6</v>
      </c>
      <c r="AK22" s="253">
        <v>5055</v>
      </c>
      <c r="AL22" s="253">
        <v>0</v>
      </c>
      <c r="AM22" s="245"/>
      <c r="AN22" s="253" t="s">
        <v>587</v>
      </c>
      <c r="AO22" s="253">
        <v>41218993.799999997</v>
      </c>
      <c r="AP22" s="253">
        <v>4165</v>
      </c>
      <c r="AQ22" s="253">
        <v>123</v>
      </c>
      <c r="AR22" s="253">
        <v>107399</v>
      </c>
      <c r="AS22" s="253">
        <v>0</v>
      </c>
      <c r="AT22" s="245"/>
      <c r="AU22" s="253" t="s">
        <v>587</v>
      </c>
      <c r="AV22" s="253">
        <v>6165</v>
      </c>
      <c r="AW22" s="253">
        <v>1</v>
      </c>
      <c r="AX22" s="253">
        <v>1</v>
      </c>
      <c r="AY22" s="253">
        <v>4388</v>
      </c>
      <c r="AZ22" s="253">
        <v>0</v>
      </c>
      <c r="BA22" s="245"/>
      <c r="BB22" s="253" t="s">
        <v>585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585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562</v>
      </c>
      <c r="BR22" s="264" t="s">
        <v>563</v>
      </c>
      <c r="BS22" s="245"/>
      <c r="BT22" s="245" t="s">
        <v>631</v>
      </c>
      <c r="BU22" s="265">
        <v>1</v>
      </c>
      <c r="BV22" s="245">
        <v>0</v>
      </c>
      <c r="BW22" s="245">
        <v>0</v>
      </c>
      <c r="BX22" s="245">
        <v>1</v>
      </c>
      <c r="BY22" s="245">
        <v>0</v>
      </c>
      <c r="BZ22" s="245">
        <v>0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559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207834677034.065</v>
      </c>
      <c r="N23" s="163" t="s">
        <v>445</v>
      </c>
      <c r="O23" s="242" t="s">
        <v>226</v>
      </c>
      <c r="P23" s="242" t="s">
        <v>545</v>
      </c>
      <c r="Q23" s="239"/>
      <c r="S23" s="253" t="s">
        <v>449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45"/>
      <c r="Z23" s="253" t="s">
        <v>588</v>
      </c>
      <c r="AA23" s="253">
        <v>11745927.699999999</v>
      </c>
      <c r="AB23" s="253">
        <v>2555</v>
      </c>
      <c r="AC23" s="253">
        <v>67</v>
      </c>
      <c r="AD23" s="253">
        <v>65070</v>
      </c>
      <c r="AE23" s="253">
        <v>0</v>
      </c>
      <c r="AF23" s="253"/>
      <c r="AG23" s="253" t="s">
        <v>588</v>
      </c>
      <c r="AH23" s="253">
        <v>1383750</v>
      </c>
      <c r="AI23" s="253">
        <v>415</v>
      </c>
      <c r="AJ23" s="253">
        <v>14</v>
      </c>
      <c r="AK23" s="253">
        <v>3613</v>
      </c>
      <c r="AL23" s="253">
        <v>0</v>
      </c>
      <c r="AM23" s="245"/>
      <c r="AN23" s="253" t="s">
        <v>588</v>
      </c>
      <c r="AO23" s="253">
        <v>9224790.1999999993</v>
      </c>
      <c r="AP23" s="253">
        <v>1482</v>
      </c>
      <c r="AQ23" s="253">
        <v>68</v>
      </c>
      <c r="AR23" s="253">
        <v>54205</v>
      </c>
      <c r="AS23" s="253">
        <v>0</v>
      </c>
      <c r="AT23" s="245"/>
      <c r="AU23" s="253" t="s">
        <v>588</v>
      </c>
      <c r="AV23" s="253">
        <v>0</v>
      </c>
      <c r="AW23" s="253">
        <v>0</v>
      </c>
      <c r="AX23" s="253">
        <v>0</v>
      </c>
      <c r="AY23" s="253">
        <v>2588</v>
      </c>
      <c r="AZ23" s="253">
        <v>0</v>
      </c>
      <c r="BA23" s="245"/>
      <c r="BB23" s="253" t="s">
        <v>586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586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2005155788.6300001</v>
      </c>
      <c r="BQ23" s="263">
        <v>22555</v>
      </c>
      <c r="BR23" s="263">
        <v>25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10237.81833025</v>
      </c>
      <c r="I24" s="164"/>
      <c r="K24" s="231"/>
      <c r="L24" s="228"/>
      <c r="M24" s="228"/>
      <c r="O24" s="241" t="s">
        <v>271</v>
      </c>
      <c r="P24" s="241">
        <v>10629.43618246</v>
      </c>
      <c r="Q24" s="239"/>
      <c r="S24" s="253" t="s">
        <v>446</v>
      </c>
      <c r="T24" s="258">
        <v>17951922667.676601</v>
      </c>
      <c r="U24" s="258">
        <v>82339</v>
      </c>
      <c r="V24" s="258">
        <v>12674</v>
      </c>
      <c r="W24" s="258">
        <v>624401</v>
      </c>
      <c r="X24" s="258">
        <v>1</v>
      </c>
      <c r="Y24" s="245"/>
      <c r="Z24" s="253" t="s">
        <v>589</v>
      </c>
      <c r="AA24" s="253">
        <v>10114218642.27</v>
      </c>
      <c r="AB24" s="253">
        <v>52743</v>
      </c>
      <c r="AC24" s="253">
        <v>9186</v>
      </c>
      <c r="AD24" s="253">
        <v>799221</v>
      </c>
      <c r="AE24" s="253">
        <v>1</v>
      </c>
      <c r="AF24" s="253"/>
      <c r="AG24" s="253" t="s">
        <v>589</v>
      </c>
      <c r="AH24" s="253">
        <v>424320565.88999999</v>
      </c>
      <c r="AI24" s="253">
        <v>2196</v>
      </c>
      <c r="AJ24" s="253">
        <v>388</v>
      </c>
      <c r="AK24" s="253">
        <v>40048</v>
      </c>
      <c r="AL24" s="253">
        <v>1</v>
      </c>
      <c r="AM24" s="245"/>
      <c r="AN24" s="253" t="s">
        <v>589</v>
      </c>
      <c r="AO24" s="253">
        <v>16633149560.99999</v>
      </c>
      <c r="AP24" s="253">
        <v>87779</v>
      </c>
      <c r="AQ24" s="253">
        <v>11878</v>
      </c>
      <c r="AR24" s="253">
        <v>854121</v>
      </c>
      <c r="AS24" s="253">
        <v>1</v>
      </c>
      <c r="AT24" s="245"/>
      <c r="AU24" s="253" t="s">
        <v>589</v>
      </c>
      <c r="AV24" s="253">
        <v>693579380.89999998</v>
      </c>
      <c r="AW24" s="253">
        <v>3734</v>
      </c>
      <c r="AX24" s="253">
        <v>508</v>
      </c>
      <c r="AY24" s="253">
        <v>39391</v>
      </c>
      <c r="AZ24" s="253">
        <v>1</v>
      </c>
      <c r="BA24" s="245"/>
      <c r="BB24" s="253" t="s">
        <v>587</v>
      </c>
      <c r="BC24" s="253">
        <v>21816744.199999999</v>
      </c>
      <c r="BD24" s="253">
        <v>2011</v>
      </c>
      <c r="BE24" s="253">
        <v>107</v>
      </c>
      <c r="BF24" s="253">
        <v>66816</v>
      </c>
      <c r="BG24" s="253">
        <v>0</v>
      </c>
      <c r="BH24" s="247" t="s">
        <v>587</v>
      </c>
      <c r="BI24" s="253">
        <v>1101960</v>
      </c>
      <c r="BJ24" s="253">
        <v>148</v>
      </c>
      <c r="BK24" s="253">
        <v>14</v>
      </c>
      <c r="BL24" s="253">
        <v>3100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10699.509603099999</v>
      </c>
      <c r="I25" s="164"/>
      <c r="K25" s="231"/>
      <c r="L25" s="228"/>
      <c r="M25" s="228"/>
      <c r="O25" s="241" t="s">
        <v>272</v>
      </c>
      <c r="P25" s="241">
        <v>10986.124489809999</v>
      </c>
      <c r="Q25" s="239"/>
      <c r="S25" s="253" t="s">
        <v>451</v>
      </c>
      <c r="T25" s="258">
        <v>0</v>
      </c>
      <c r="U25" s="258">
        <v>0</v>
      </c>
      <c r="V25" s="258">
        <v>0</v>
      </c>
      <c r="W25" s="258">
        <v>480854</v>
      </c>
      <c r="X25" s="258">
        <v>1</v>
      </c>
      <c r="Y25" s="245"/>
      <c r="Z25" s="253" t="s">
        <v>590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590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590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590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588</v>
      </c>
      <c r="BC25" s="253">
        <v>3239949.8</v>
      </c>
      <c r="BD25" s="253">
        <v>441</v>
      </c>
      <c r="BE25" s="253">
        <v>44</v>
      </c>
      <c r="BF25" s="253">
        <v>86050</v>
      </c>
      <c r="BG25" s="253">
        <v>0</v>
      </c>
      <c r="BH25" s="247" t="s">
        <v>588</v>
      </c>
      <c r="BI25" s="253">
        <v>19116</v>
      </c>
      <c r="BJ25" s="253">
        <v>2</v>
      </c>
      <c r="BK25" s="253">
        <v>1</v>
      </c>
      <c r="BL25" s="253">
        <v>3951</v>
      </c>
      <c r="BM25" s="253">
        <v>0</v>
      </c>
      <c r="BN25" s="253"/>
      <c r="BO25" s="256" t="s">
        <v>486</v>
      </c>
      <c r="BP25" s="264" t="s">
        <v>564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19189.78882012</v>
      </c>
      <c r="I26" s="164"/>
      <c r="J26" s="157"/>
      <c r="K26" s="232"/>
      <c r="L26" s="228"/>
      <c r="M26" s="228"/>
      <c r="O26" s="241" t="s">
        <v>273</v>
      </c>
      <c r="P26" s="241">
        <v>20218.714550429999</v>
      </c>
      <c r="Q26" s="239"/>
      <c r="S26" s="253" t="s">
        <v>450</v>
      </c>
      <c r="T26" s="258">
        <v>0</v>
      </c>
      <c r="U26" s="258">
        <v>1974</v>
      </c>
      <c r="V26" s="258">
        <v>3</v>
      </c>
      <c r="W26" s="258">
        <v>11617567</v>
      </c>
      <c r="X26" s="258">
        <v>1</v>
      </c>
      <c r="Y26" s="245"/>
      <c r="Z26" s="253" t="s">
        <v>591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591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591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591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589</v>
      </c>
      <c r="BC26" s="253">
        <v>37404429796.230003</v>
      </c>
      <c r="BD26" s="253">
        <v>97397</v>
      </c>
      <c r="BE26" s="253">
        <v>14633</v>
      </c>
      <c r="BF26" s="253">
        <v>505096</v>
      </c>
      <c r="BG26" s="253">
        <v>1</v>
      </c>
      <c r="BH26" s="247" t="s">
        <v>589</v>
      </c>
      <c r="BI26" s="253">
        <v>1596799544.28</v>
      </c>
      <c r="BJ26" s="253">
        <v>4487</v>
      </c>
      <c r="BK26" s="253">
        <v>662</v>
      </c>
      <c r="BL26" s="253">
        <v>23243</v>
      </c>
      <c r="BM26" s="253">
        <v>1</v>
      </c>
      <c r="BN26" s="253"/>
      <c r="BO26" s="247"/>
      <c r="BP26" s="263">
        <v>987022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3110.9302899300001</v>
      </c>
      <c r="I27" s="164"/>
      <c r="J27" s="157"/>
      <c r="K27" s="231"/>
      <c r="L27" s="228"/>
      <c r="M27" s="228"/>
      <c r="O27" s="241" t="s">
        <v>274</v>
      </c>
      <c r="P27" s="241">
        <v>3187.6251511800001</v>
      </c>
      <c r="Q27" s="239"/>
      <c r="S27" s="253" t="s">
        <v>448</v>
      </c>
      <c r="T27" s="258">
        <v>41120</v>
      </c>
      <c r="U27" s="258">
        <v>10949</v>
      </c>
      <c r="V27" s="258">
        <v>144</v>
      </c>
      <c r="W27" s="258">
        <v>916942</v>
      </c>
      <c r="X27" s="258">
        <v>1</v>
      </c>
      <c r="Y27" s="245"/>
      <c r="Z27" s="253" t="s">
        <v>592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592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592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592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590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590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638</v>
      </c>
      <c r="CT27" s="275" t="s">
        <v>639</v>
      </c>
      <c r="CU27" s="275" t="s">
        <v>640</v>
      </c>
      <c r="CV27" s="275" t="s">
        <v>641</v>
      </c>
      <c r="CW27" s="275" t="s">
        <v>642</v>
      </c>
      <c r="CX27" s="275" t="s">
        <v>643</v>
      </c>
      <c r="CY27" s="275" t="s">
        <v>644</v>
      </c>
      <c r="CZ27" s="275" t="s">
        <v>645</v>
      </c>
      <c r="DA27" s="275" t="s">
        <v>646</v>
      </c>
      <c r="DB27" s="275" t="s">
        <v>647</v>
      </c>
      <c r="DC27" s="275" t="s">
        <v>648</v>
      </c>
      <c r="DD27" s="275" t="s">
        <v>649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3362.0517302100002</v>
      </c>
      <c r="I28" s="164"/>
      <c r="J28" s="157"/>
      <c r="K28" s="231"/>
      <c r="L28" s="233"/>
      <c r="M28" s="236"/>
      <c r="O28" s="241" t="s">
        <v>275</v>
      </c>
      <c r="P28" s="241">
        <v>3448.1309530100002</v>
      </c>
      <c r="Q28" s="239"/>
      <c r="S28" s="245"/>
      <c r="T28" s="245"/>
      <c r="U28" s="245"/>
      <c r="V28" s="245"/>
      <c r="W28" s="245"/>
      <c r="X28" s="245"/>
      <c r="Y28" s="245"/>
      <c r="Z28" s="253" t="s">
        <v>593</v>
      </c>
      <c r="AA28" s="253">
        <v>1250000</v>
      </c>
      <c r="AB28" s="253">
        <v>5</v>
      </c>
      <c r="AC28" s="253">
        <v>1</v>
      </c>
      <c r="AD28" s="253">
        <v>190</v>
      </c>
      <c r="AE28" s="253">
        <v>1</v>
      </c>
      <c r="AF28" s="253"/>
      <c r="AG28" s="253" t="s">
        <v>593</v>
      </c>
      <c r="AH28" s="253">
        <v>0</v>
      </c>
      <c r="AI28" s="253">
        <v>0</v>
      </c>
      <c r="AJ28" s="253">
        <v>0</v>
      </c>
      <c r="AK28" s="253">
        <v>9</v>
      </c>
      <c r="AL28" s="253">
        <v>1</v>
      </c>
      <c r="AM28" s="245"/>
      <c r="AN28" s="253" t="s">
        <v>593</v>
      </c>
      <c r="AO28" s="253">
        <v>2803700</v>
      </c>
      <c r="AP28" s="253">
        <v>11</v>
      </c>
      <c r="AQ28" s="253">
        <v>4</v>
      </c>
      <c r="AR28" s="253">
        <v>229</v>
      </c>
      <c r="AS28" s="253">
        <v>1</v>
      </c>
      <c r="AT28" s="245"/>
      <c r="AU28" s="253" t="s">
        <v>593</v>
      </c>
      <c r="AV28" s="253">
        <v>0</v>
      </c>
      <c r="AW28" s="253">
        <v>0</v>
      </c>
      <c r="AX28" s="253">
        <v>0</v>
      </c>
      <c r="AY28" s="253">
        <v>14</v>
      </c>
      <c r="AZ28" s="253">
        <v>1</v>
      </c>
      <c r="BA28" s="245"/>
      <c r="BB28" s="253" t="s">
        <v>591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591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564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32</v>
      </c>
      <c r="CU28" s="275" t="s">
        <v>650</v>
      </c>
      <c r="CV28" s="275">
        <v>0</v>
      </c>
      <c r="CW28" s="275">
        <v>-4771782573</v>
      </c>
      <c r="CX28" s="275">
        <v>1536</v>
      </c>
      <c r="CY28" s="275">
        <v>0</v>
      </c>
      <c r="CZ28" s="275">
        <v>82798554264</v>
      </c>
      <c r="DA28" s="275">
        <v>808</v>
      </c>
      <c r="DB28" s="275">
        <v>0</v>
      </c>
      <c r="DC28" s="275">
        <v>87570336837</v>
      </c>
      <c r="DD28" s="275">
        <v>728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3480.5164960000002</v>
      </c>
      <c r="I29" s="164"/>
      <c r="J29" s="157"/>
      <c r="K29" s="231"/>
      <c r="L29" s="228"/>
      <c r="M29" s="228"/>
      <c r="O29" s="241" t="s">
        <v>93</v>
      </c>
      <c r="P29" s="241">
        <v>3584.0809128800001</v>
      </c>
      <c r="Q29" s="239"/>
      <c r="S29" s="245"/>
      <c r="T29" s="245"/>
      <c r="U29" s="245"/>
      <c r="V29" s="245"/>
      <c r="W29" s="245"/>
      <c r="X29" s="245"/>
      <c r="Y29" s="245"/>
      <c r="Z29" s="253" t="s">
        <v>594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594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594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594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592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592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78396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5</v>
      </c>
      <c r="CU29" s="275" t="s">
        <v>651</v>
      </c>
      <c r="CV29" s="275">
        <v>290440491.09000003</v>
      </c>
      <c r="CW29" s="275">
        <v>247330000</v>
      </c>
      <c r="CX29" s="275">
        <v>5</v>
      </c>
      <c r="CY29" s="275">
        <v>336208806.75</v>
      </c>
      <c r="CZ29" s="275">
        <v>298330000</v>
      </c>
      <c r="DA29" s="275">
        <v>3</v>
      </c>
      <c r="DB29" s="275">
        <v>45768315.659999996</v>
      </c>
      <c r="DC29" s="275">
        <v>51000000</v>
      </c>
      <c r="DD29" s="275">
        <v>2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1324.6363397800001</v>
      </c>
      <c r="I30" s="164"/>
      <c r="J30" s="157"/>
      <c r="K30" s="231"/>
      <c r="L30" s="228"/>
      <c r="M30" s="228"/>
      <c r="O30" s="241" t="s">
        <v>63</v>
      </c>
      <c r="P30" s="241">
        <v>1434.81479623</v>
      </c>
      <c r="Q30" s="239"/>
      <c r="R30" s="153" t="s">
        <v>454</v>
      </c>
      <c r="S30" s="254" t="s">
        <v>560</v>
      </c>
      <c r="T30" s="257" t="s">
        <v>561</v>
      </c>
      <c r="U30" s="257" t="s">
        <v>562</v>
      </c>
      <c r="V30" s="257" t="s">
        <v>563</v>
      </c>
      <c r="W30" s="257" t="s">
        <v>564</v>
      </c>
      <c r="X30" s="257" t="s">
        <v>565</v>
      </c>
      <c r="Y30" s="245"/>
      <c r="Z30" s="253" t="s">
        <v>579</v>
      </c>
      <c r="AA30" s="253">
        <v>100000</v>
      </c>
      <c r="AB30" s="253">
        <v>5</v>
      </c>
      <c r="AC30" s="253">
        <v>1</v>
      </c>
      <c r="AD30" s="253">
        <v>1285</v>
      </c>
      <c r="AE30" s="253">
        <v>1</v>
      </c>
      <c r="AF30" s="253"/>
      <c r="AG30" s="253" t="s">
        <v>579</v>
      </c>
      <c r="AH30" s="253">
        <v>0</v>
      </c>
      <c r="AI30" s="253">
        <v>0</v>
      </c>
      <c r="AJ30" s="253">
        <v>0</v>
      </c>
      <c r="AK30" s="253">
        <v>62</v>
      </c>
      <c r="AL30" s="253">
        <v>1</v>
      </c>
      <c r="AM30" s="245"/>
      <c r="AN30" s="253" t="s">
        <v>579</v>
      </c>
      <c r="AO30" s="253">
        <v>2416270</v>
      </c>
      <c r="AP30" s="253">
        <v>127</v>
      </c>
      <c r="AQ30" s="253">
        <v>22</v>
      </c>
      <c r="AR30" s="253">
        <v>1039</v>
      </c>
      <c r="AS30" s="253">
        <v>1</v>
      </c>
      <c r="AT30" s="245"/>
      <c r="AU30" s="253" t="s">
        <v>579</v>
      </c>
      <c r="AV30" s="253">
        <v>0</v>
      </c>
      <c r="AW30" s="253">
        <v>0</v>
      </c>
      <c r="AX30" s="253">
        <v>0</v>
      </c>
      <c r="AY30" s="253">
        <v>67</v>
      </c>
      <c r="AZ30" s="253">
        <v>1</v>
      </c>
      <c r="BA30" s="245"/>
      <c r="BB30" s="253" t="s">
        <v>593</v>
      </c>
      <c r="BC30" s="253">
        <v>701000</v>
      </c>
      <c r="BD30" s="253">
        <v>2</v>
      </c>
      <c r="BE30" s="253">
        <v>1</v>
      </c>
      <c r="BF30" s="253">
        <v>62</v>
      </c>
      <c r="BG30" s="253">
        <v>1</v>
      </c>
      <c r="BH30" s="247" t="s">
        <v>593</v>
      </c>
      <c r="BI30" s="253">
        <v>0</v>
      </c>
      <c r="BJ30" s="253">
        <v>0</v>
      </c>
      <c r="BK30" s="253">
        <v>0</v>
      </c>
      <c r="BL30" s="253">
        <v>4</v>
      </c>
      <c r="BM30" s="253">
        <v>1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27</v>
      </c>
      <c r="CU30" s="275" t="s">
        <v>652</v>
      </c>
      <c r="CV30" s="275">
        <v>37606021606.539963</v>
      </c>
      <c r="CW30" s="275">
        <v>39496535700</v>
      </c>
      <c r="CX30" s="275">
        <v>7017</v>
      </c>
      <c r="CY30" s="275">
        <v>510288443547.52094</v>
      </c>
      <c r="CZ30" s="275">
        <v>533282542000</v>
      </c>
      <c r="DA30" s="275">
        <v>4053</v>
      </c>
      <c r="DB30" s="275">
        <v>472682421940.98041</v>
      </c>
      <c r="DC30" s="275">
        <v>493786006300</v>
      </c>
      <c r="DD30" s="275">
        <v>2964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15530.399319579999</v>
      </c>
      <c r="I31" s="164"/>
      <c r="J31" s="158"/>
      <c r="K31" s="229"/>
      <c r="L31" s="228"/>
      <c r="M31" s="228"/>
      <c r="O31" s="241" t="s">
        <v>276</v>
      </c>
      <c r="P31" s="241">
        <v>16544.26828615</v>
      </c>
      <c r="Q31" s="239"/>
      <c r="R31" s="157"/>
      <c r="S31" s="253" t="s">
        <v>449</v>
      </c>
      <c r="T31" s="258">
        <v>1007432552.701</v>
      </c>
      <c r="U31" s="258">
        <v>4472269</v>
      </c>
      <c r="V31" s="258">
        <v>183</v>
      </c>
      <c r="W31" s="258">
        <v>12407363</v>
      </c>
      <c r="X31" s="258">
        <v>1</v>
      </c>
      <c r="Y31" s="245"/>
      <c r="Z31" s="253" t="s">
        <v>595</v>
      </c>
      <c r="AA31" s="253">
        <v>0</v>
      </c>
      <c r="AB31" s="253">
        <v>0</v>
      </c>
      <c r="AC31" s="253">
        <v>0</v>
      </c>
      <c r="AD31" s="253">
        <v>80</v>
      </c>
      <c r="AE31" s="253">
        <v>1</v>
      </c>
      <c r="AF31" s="253"/>
      <c r="AG31" s="253" t="s">
        <v>595</v>
      </c>
      <c r="AH31" s="253">
        <v>0</v>
      </c>
      <c r="AI31" s="253">
        <v>0</v>
      </c>
      <c r="AJ31" s="253">
        <v>0</v>
      </c>
      <c r="AK31" s="253">
        <v>4</v>
      </c>
      <c r="AL31" s="253">
        <v>1</v>
      </c>
      <c r="AM31" s="245"/>
      <c r="AN31" s="253" t="s">
        <v>595</v>
      </c>
      <c r="AO31" s="253">
        <v>0</v>
      </c>
      <c r="AP31" s="253">
        <v>0</v>
      </c>
      <c r="AQ31" s="253">
        <v>0</v>
      </c>
      <c r="AR31" s="253">
        <v>88</v>
      </c>
      <c r="AS31" s="253">
        <v>1</v>
      </c>
      <c r="AT31" s="245"/>
      <c r="AU31" s="253" t="s">
        <v>595</v>
      </c>
      <c r="AV31" s="253">
        <v>0</v>
      </c>
      <c r="AW31" s="253">
        <v>0</v>
      </c>
      <c r="AX31" s="253">
        <v>0</v>
      </c>
      <c r="AY31" s="253">
        <v>4</v>
      </c>
      <c r="AZ31" s="253">
        <v>1</v>
      </c>
      <c r="BA31" s="245"/>
      <c r="BB31" s="253" t="s">
        <v>594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594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537</v>
      </c>
      <c r="BQ31" s="264" t="s">
        <v>562</v>
      </c>
      <c r="BR31" s="264" t="s">
        <v>563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27</v>
      </c>
      <c r="CU31" s="275" t="s">
        <v>653</v>
      </c>
      <c r="CV31" s="275">
        <v>-46651238335.129898</v>
      </c>
      <c r="CW31" s="275">
        <v>-48479959700</v>
      </c>
      <c r="CX31" s="275">
        <v>6931</v>
      </c>
      <c r="CY31" s="275">
        <v>458890812852.15997</v>
      </c>
      <c r="CZ31" s="275">
        <v>479850282300</v>
      </c>
      <c r="DA31" s="275">
        <v>2913</v>
      </c>
      <c r="DB31" s="275">
        <v>505542051187.29053</v>
      </c>
      <c r="DC31" s="275">
        <v>528330242000</v>
      </c>
      <c r="DD31" s="275">
        <v>4018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18.475716429999999</v>
      </c>
      <c r="I32" s="164"/>
      <c r="J32" s="157"/>
      <c r="K32" s="229"/>
      <c r="L32" s="228"/>
      <c r="M32" s="228"/>
      <c r="O32" s="241" t="s">
        <v>106</v>
      </c>
      <c r="P32" s="241">
        <v>20.77701566</v>
      </c>
      <c r="Q32" s="239"/>
      <c r="R32" s="157"/>
      <c r="S32" s="253" t="s">
        <v>447</v>
      </c>
      <c r="T32" s="258">
        <v>559450825.01999998</v>
      </c>
      <c r="U32" s="258">
        <v>1081236</v>
      </c>
      <c r="V32" s="258">
        <v>404</v>
      </c>
      <c r="W32" s="258">
        <v>2518229</v>
      </c>
      <c r="X32" s="258">
        <v>0</v>
      </c>
      <c r="Y32" s="245"/>
      <c r="Z32" s="253" t="s">
        <v>596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596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596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596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579</v>
      </c>
      <c r="BC32" s="253">
        <v>0</v>
      </c>
      <c r="BD32" s="253">
        <v>0</v>
      </c>
      <c r="BE32" s="253">
        <v>0</v>
      </c>
      <c r="BF32" s="253">
        <v>0</v>
      </c>
      <c r="BG32" s="253">
        <v>1</v>
      </c>
      <c r="BH32" s="247" t="s">
        <v>579</v>
      </c>
      <c r="BI32" s="253">
        <v>0</v>
      </c>
      <c r="BJ32" s="253">
        <v>0</v>
      </c>
      <c r="BK32" s="253">
        <v>0</v>
      </c>
      <c r="BL32" s="253">
        <v>0</v>
      </c>
      <c r="BM32" s="253">
        <v>1</v>
      </c>
      <c r="BN32" s="253"/>
      <c r="BO32" s="245"/>
      <c r="BP32" s="263">
        <v>959995040940.02991</v>
      </c>
      <c r="BQ32" s="263">
        <v>8506201</v>
      </c>
      <c r="BR32" s="263">
        <v>9076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562</v>
      </c>
      <c r="CU32" s="275" t="s">
        <v>654</v>
      </c>
      <c r="CV32" s="275">
        <v>-38432645624.519867</v>
      </c>
      <c r="CW32" s="275">
        <v>-36515607836</v>
      </c>
      <c r="CX32" s="275">
        <v>8439</v>
      </c>
      <c r="CY32" s="275">
        <v>99863337830.840149</v>
      </c>
      <c r="CZ32" s="275">
        <v>101234363520</v>
      </c>
      <c r="DA32" s="275">
        <v>4922</v>
      </c>
      <c r="DB32" s="275">
        <v>138295983455.35995</v>
      </c>
      <c r="DC32" s="275">
        <v>137749971356</v>
      </c>
      <c r="DD32" s="275">
        <v>3517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7891.8090986200004</v>
      </c>
      <c r="I33" s="164"/>
      <c r="J33" s="157"/>
      <c r="K33" s="228"/>
      <c r="L33" s="228"/>
      <c r="M33" s="228"/>
      <c r="O33" s="241" t="s">
        <v>108</v>
      </c>
      <c r="P33" s="241">
        <v>7975.34409375</v>
      </c>
      <c r="Q33" s="239"/>
      <c r="R33" s="157"/>
      <c r="S33" s="253" t="s">
        <v>451</v>
      </c>
      <c r="T33" s="258">
        <v>77544983.939999998</v>
      </c>
      <c r="U33" s="258">
        <v>100397</v>
      </c>
      <c r="V33" s="258">
        <v>66</v>
      </c>
      <c r="W33" s="258">
        <v>222915</v>
      </c>
      <c r="X33" s="258">
        <v>0</v>
      </c>
      <c r="Y33" s="245"/>
      <c r="Z33" s="253" t="s">
        <v>597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597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597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597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595</v>
      </c>
      <c r="BC33" s="253">
        <v>82500</v>
      </c>
      <c r="BD33" s="253">
        <v>2</v>
      </c>
      <c r="BE33" s="253">
        <v>2</v>
      </c>
      <c r="BF33" s="253">
        <v>1030</v>
      </c>
      <c r="BG33" s="253">
        <v>1</v>
      </c>
      <c r="BH33" s="247" t="s">
        <v>595</v>
      </c>
      <c r="BI33" s="253">
        <v>0</v>
      </c>
      <c r="BJ33" s="253">
        <v>0</v>
      </c>
      <c r="BK33" s="253">
        <v>0</v>
      </c>
      <c r="BL33" s="253">
        <v>46</v>
      </c>
      <c r="BM33" s="253">
        <v>1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155</v>
      </c>
      <c r="CU33" s="275" t="s">
        <v>655</v>
      </c>
      <c r="CV33" s="275">
        <v>100925399410.37984</v>
      </c>
      <c r="CW33" s="275">
        <v>103111764494</v>
      </c>
      <c r="CX33" s="275">
        <v>26152</v>
      </c>
      <c r="CY33" s="275">
        <v>688505905451.37183</v>
      </c>
      <c r="CZ33" s="275">
        <v>683115085120</v>
      </c>
      <c r="DA33" s="275">
        <v>13882</v>
      </c>
      <c r="DB33" s="275">
        <v>587580506040.98962</v>
      </c>
      <c r="DC33" s="275">
        <v>580003320626</v>
      </c>
      <c r="DD33" s="275">
        <v>12270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64373.660499500002</v>
      </c>
      <c r="I34" s="164"/>
      <c r="J34" s="157"/>
      <c r="K34" s="228"/>
      <c r="L34" s="228"/>
      <c r="M34" s="228"/>
      <c r="O34" s="241" t="s">
        <v>279</v>
      </c>
      <c r="P34" s="241">
        <v>62547.383733269999</v>
      </c>
      <c r="Q34" s="239"/>
      <c r="R34" s="157"/>
      <c r="S34" s="253" t="s">
        <v>446</v>
      </c>
      <c r="T34" s="258">
        <v>2661039010.0900002</v>
      </c>
      <c r="U34" s="258">
        <v>432407</v>
      </c>
      <c r="V34" s="258">
        <v>790</v>
      </c>
      <c r="W34" s="258">
        <v>1068544</v>
      </c>
      <c r="X34" s="258">
        <v>0</v>
      </c>
      <c r="Y34" s="245"/>
      <c r="Z34" s="253" t="s">
        <v>580</v>
      </c>
      <c r="AA34" s="253">
        <v>0</v>
      </c>
      <c r="AB34" s="253">
        <v>0</v>
      </c>
      <c r="AC34" s="253">
        <v>0</v>
      </c>
      <c r="AD34" s="253">
        <v>0</v>
      </c>
      <c r="AE34" s="253">
        <v>1</v>
      </c>
      <c r="AF34" s="253"/>
      <c r="AG34" s="253" t="s">
        <v>580</v>
      </c>
      <c r="AH34" s="253">
        <v>0</v>
      </c>
      <c r="AI34" s="253">
        <v>0</v>
      </c>
      <c r="AJ34" s="253">
        <v>0</v>
      </c>
      <c r="AK34" s="253">
        <v>0</v>
      </c>
      <c r="AL34" s="253">
        <v>1</v>
      </c>
      <c r="AM34" s="245"/>
      <c r="AN34" s="253" t="s">
        <v>580</v>
      </c>
      <c r="AO34" s="253">
        <v>1233960</v>
      </c>
      <c r="AP34" s="253">
        <v>20</v>
      </c>
      <c r="AQ34" s="253">
        <v>2</v>
      </c>
      <c r="AR34" s="253">
        <v>90</v>
      </c>
      <c r="AS34" s="253">
        <v>1</v>
      </c>
      <c r="AT34" s="245"/>
      <c r="AU34" s="253" t="s">
        <v>580</v>
      </c>
      <c r="AV34" s="253">
        <v>0</v>
      </c>
      <c r="AW34" s="253">
        <v>0</v>
      </c>
      <c r="AX34" s="253">
        <v>0</v>
      </c>
      <c r="AY34" s="253">
        <v>0</v>
      </c>
      <c r="AZ34" s="253">
        <v>1</v>
      </c>
      <c r="BA34" s="245"/>
      <c r="BB34" s="253" t="s">
        <v>596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596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537</v>
      </c>
      <c r="BQ34" s="264" t="s">
        <v>562</v>
      </c>
      <c r="BR34" s="264" t="s">
        <v>563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33</v>
      </c>
      <c r="CU34" s="275" t="s">
        <v>656</v>
      </c>
      <c r="CV34" s="275">
        <v>-36481891112.860031</v>
      </c>
      <c r="CW34" s="275">
        <v>-40233210950</v>
      </c>
      <c r="CX34" s="275">
        <v>2313</v>
      </c>
      <c r="CY34" s="275">
        <v>92021764025.740067</v>
      </c>
      <c r="CZ34" s="275">
        <v>95773961300</v>
      </c>
      <c r="DA34" s="275">
        <v>1018</v>
      </c>
      <c r="DB34" s="275">
        <v>128503655138.60025</v>
      </c>
      <c r="DC34" s="275">
        <v>136007172250</v>
      </c>
      <c r="DD34" s="275">
        <v>1295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11942.27765269</v>
      </c>
      <c r="I35" s="164"/>
      <c r="J35" s="157"/>
      <c r="K35" s="228"/>
      <c r="L35" s="228"/>
      <c r="M35" s="228"/>
      <c r="O35" s="241" t="s">
        <v>280</v>
      </c>
      <c r="P35" s="241">
        <v>11596.17350863</v>
      </c>
      <c r="Q35" s="239"/>
      <c r="R35" s="157"/>
      <c r="S35" s="253" t="s">
        <v>566</v>
      </c>
      <c r="T35" s="258">
        <v>0</v>
      </c>
      <c r="U35" s="258">
        <v>0</v>
      </c>
      <c r="V35" s="258">
        <v>0</v>
      </c>
      <c r="W35" s="258">
        <v>0</v>
      </c>
      <c r="X35" s="258">
        <v>1</v>
      </c>
      <c r="Y35" s="245"/>
      <c r="Z35" s="253" t="s">
        <v>588</v>
      </c>
      <c r="AA35" s="253">
        <v>3330213398.5999999</v>
      </c>
      <c r="AB35" s="253">
        <v>16530</v>
      </c>
      <c r="AC35" s="253">
        <v>1686</v>
      </c>
      <c r="AD35" s="253">
        <v>189342</v>
      </c>
      <c r="AE35" s="253">
        <v>1</v>
      </c>
      <c r="AF35" s="253"/>
      <c r="AG35" s="253" t="s">
        <v>588</v>
      </c>
      <c r="AH35" s="253">
        <v>195903232.33000001</v>
      </c>
      <c r="AI35" s="253">
        <v>968</v>
      </c>
      <c r="AJ35" s="253">
        <v>161</v>
      </c>
      <c r="AK35" s="253">
        <v>9255</v>
      </c>
      <c r="AL35" s="253">
        <v>1</v>
      </c>
      <c r="AM35" s="245"/>
      <c r="AN35" s="253" t="s">
        <v>588</v>
      </c>
      <c r="AO35" s="253">
        <v>5425711457.4899998</v>
      </c>
      <c r="AP35" s="253">
        <v>26463</v>
      </c>
      <c r="AQ35" s="253">
        <v>4320</v>
      </c>
      <c r="AR35" s="253">
        <v>220126</v>
      </c>
      <c r="AS35" s="253">
        <v>1</v>
      </c>
      <c r="AT35" s="245"/>
      <c r="AU35" s="253" t="s">
        <v>588</v>
      </c>
      <c r="AV35" s="253">
        <v>146456347.34</v>
      </c>
      <c r="AW35" s="253">
        <v>722</v>
      </c>
      <c r="AX35" s="253">
        <v>82</v>
      </c>
      <c r="AY35" s="253">
        <v>9602</v>
      </c>
      <c r="AZ35" s="253">
        <v>1</v>
      </c>
      <c r="BA35" s="245"/>
      <c r="BB35" s="253" t="s">
        <v>597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597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17290782948.880001</v>
      </c>
      <c r="BQ35" s="263">
        <v>183474</v>
      </c>
      <c r="BR35" s="263">
        <v>505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25981.864597690001</v>
      </c>
      <c r="I36" s="164"/>
      <c r="J36" s="157"/>
      <c r="K36" s="228"/>
      <c r="L36" s="228"/>
      <c r="M36" s="228"/>
      <c r="O36" s="241" t="s">
        <v>281</v>
      </c>
      <c r="P36" s="241">
        <v>26713.580934699999</v>
      </c>
      <c r="Q36" s="239"/>
      <c r="R36" s="157"/>
      <c r="S36" s="253" t="s">
        <v>447</v>
      </c>
      <c r="T36" s="258">
        <v>8247404970.6969995</v>
      </c>
      <c r="U36" s="258">
        <v>393492</v>
      </c>
      <c r="V36" s="258">
        <v>3978</v>
      </c>
      <c r="W36" s="258">
        <v>1306483</v>
      </c>
      <c r="X36" s="258">
        <v>1</v>
      </c>
      <c r="Y36" s="245"/>
      <c r="Z36" s="253" t="s">
        <v>598</v>
      </c>
      <c r="AA36" s="253">
        <v>0</v>
      </c>
      <c r="AB36" s="253">
        <v>0</v>
      </c>
      <c r="AC36" s="253">
        <v>0</v>
      </c>
      <c r="AD36" s="253">
        <v>0</v>
      </c>
      <c r="AE36" s="253">
        <v>1</v>
      </c>
      <c r="AF36" s="253"/>
      <c r="AG36" s="253" t="s">
        <v>598</v>
      </c>
      <c r="AH36" s="253">
        <v>0</v>
      </c>
      <c r="AI36" s="253">
        <v>0</v>
      </c>
      <c r="AJ36" s="253">
        <v>0</v>
      </c>
      <c r="AK36" s="253">
        <v>0</v>
      </c>
      <c r="AL36" s="253">
        <v>1</v>
      </c>
      <c r="AM36" s="245"/>
      <c r="AN36" s="253" t="s">
        <v>598</v>
      </c>
      <c r="AO36" s="253">
        <v>0</v>
      </c>
      <c r="AP36" s="253">
        <v>0</v>
      </c>
      <c r="AQ36" s="253">
        <v>0</v>
      </c>
      <c r="AR36" s="253">
        <v>0</v>
      </c>
      <c r="AS36" s="253">
        <v>1</v>
      </c>
      <c r="AT36" s="245"/>
      <c r="AU36" s="253" t="s">
        <v>598</v>
      </c>
      <c r="AV36" s="253">
        <v>0</v>
      </c>
      <c r="AW36" s="253">
        <v>0</v>
      </c>
      <c r="AX36" s="253">
        <v>0</v>
      </c>
      <c r="AY36" s="253">
        <v>0</v>
      </c>
      <c r="AZ36" s="253">
        <v>1</v>
      </c>
      <c r="BA36" s="245"/>
      <c r="BB36" s="253" t="s">
        <v>580</v>
      </c>
      <c r="BC36" s="253">
        <v>58951.199999999997</v>
      </c>
      <c r="BD36" s="253">
        <v>1</v>
      </c>
      <c r="BE36" s="253">
        <v>1</v>
      </c>
      <c r="BF36" s="253">
        <v>2</v>
      </c>
      <c r="BG36" s="253">
        <v>1</v>
      </c>
      <c r="BH36" s="247" t="s">
        <v>580</v>
      </c>
      <c r="BI36" s="253">
        <v>0</v>
      </c>
      <c r="BJ36" s="253">
        <v>0</v>
      </c>
      <c r="BK36" s="253">
        <v>0</v>
      </c>
      <c r="BL36" s="253">
        <v>1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49376.463990099997</v>
      </c>
      <c r="I37" s="164"/>
      <c r="J37" s="157"/>
      <c r="K37" s="228"/>
      <c r="L37" s="228"/>
      <c r="M37" s="228"/>
      <c r="O37" s="241" t="s">
        <v>56</v>
      </c>
      <c r="P37" s="241">
        <v>49997.269851260004</v>
      </c>
      <c r="Q37" s="239"/>
      <c r="R37" s="157"/>
      <c r="S37" s="253" t="s">
        <v>182</v>
      </c>
      <c r="T37" s="258">
        <v>35216710.005999997</v>
      </c>
      <c r="U37" s="258">
        <v>674315</v>
      </c>
      <c r="V37" s="258">
        <v>234</v>
      </c>
      <c r="W37" s="258">
        <v>1880974</v>
      </c>
      <c r="X37" s="258">
        <v>1</v>
      </c>
      <c r="Y37" s="245"/>
      <c r="Z37" s="253" t="s">
        <v>568</v>
      </c>
      <c r="AA37" s="253">
        <v>1887316460.3099999</v>
      </c>
      <c r="AB37" s="253">
        <v>9669</v>
      </c>
      <c r="AC37" s="253">
        <v>586</v>
      </c>
      <c r="AD37" s="253">
        <v>364047</v>
      </c>
      <c r="AE37" s="253">
        <v>1</v>
      </c>
      <c r="AF37" s="253"/>
      <c r="AG37" s="253" t="s">
        <v>568</v>
      </c>
      <c r="AH37" s="253">
        <v>69386349.629999995</v>
      </c>
      <c r="AI37" s="253">
        <v>345</v>
      </c>
      <c r="AJ37" s="253">
        <v>24</v>
      </c>
      <c r="AK37" s="253">
        <v>19056</v>
      </c>
      <c r="AL37" s="253">
        <v>1</v>
      </c>
      <c r="AM37" s="245"/>
      <c r="AN37" s="253" t="s">
        <v>568</v>
      </c>
      <c r="AO37" s="253">
        <v>3409461493.9699998</v>
      </c>
      <c r="AP37" s="253">
        <v>17068</v>
      </c>
      <c r="AQ37" s="253">
        <v>1126</v>
      </c>
      <c r="AR37" s="253">
        <v>412510</v>
      </c>
      <c r="AS37" s="253">
        <v>1</v>
      </c>
      <c r="AT37" s="245"/>
      <c r="AU37" s="253" t="s">
        <v>568</v>
      </c>
      <c r="AV37" s="253">
        <v>107472591.17</v>
      </c>
      <c r="AW37" s="253">
        <v>562</v>
      </c>
      <c r="AX37" s="253">
        <v>65</v>
      </c>
      <c r="AY37" s="253">
        <v>18311</v>
      </c>
      <c r="AZ37" s="253">
        <v>1</v>
      </c>
      <c r="BA37" s="245"/>
      <c r="BB37" s="253" t="s">
        <v>588</v>
      </c>
      <c r="BC37" s="253">
        <v>5427985061.3649998</v>
      </c>
      <c r="BD37" s="253">
        <v>26600</v>
      </c>
      <c r="BE37" s="253">
        <v>2903</v>
      </c>
      <c r="BF37" s="253">
        <v>228701</v>
      </c>
      <c r="BG37" s="253">
        <v>1</v>
      </c>
      <c r="BH37" s="247" t="s">
        <v>588</v>
      </c>
      <c r="BI37" s="253">
        <v>165752037.91499999</v>
      </c>
      <c r="BJ37" s="253">
        <v>794</v>
      </c>
      <c r="BK37" s="253">
        <v>80</v>
      </c>
      <c r="BL37" s="253">
        <v>10500</v>
      </c>
      <c r="BM37" s="253">
        <v>1</v>
      </c>
      <c r="BN37" s="253"/>
      <c r="BO37" s="256" t="s">
        <v>473</v>
      </c>
      <c r="BP37" s="264" t="s">
        <v>537</v>
      </c>
      <c r="BQ37" s="264" t="s">
        <v>562</v>
      </c>
      <c r="BR37" s="264" t="s">
        <v>563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72251.808059770003</v>
      </c>
      <c r="I38" s="164"/>
      <c r="J38" s="157"/>
      <c r="K38" s="228"/>
      <c r="L38" s="228"/>
      <c r="M38" s="228"/>
      <c r="O38" s="241" t="s">
        <v>45</v>
      </c>
      <c r="P38" s="241">
        <v>76713.244597779994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599</v>
      </c>
      <c r="AA38" s="253">
        <v>0</v>
      </c>
      <c r="AB38" s="253">
        <v>0</v>
      </c>
      <c r="AC38" s="253">
        <v>0</v>
      </c>
      <c r="AD38" s="253">
        <v>0</v>
      </c>
      <c r="AE38" s="253">
        <v>0</v>
      </c>
      <c r="AF38" s="253"/>
      <c r="AG38" s="253" t="s">
        <v>599</v>
      </c>
      <c r="AH38" s="253">
        <v>0</v>
      </c>
      <c r="AI38" s="253">
        <v>0</v>
      </c>
      <c r="AJ38" s="253">
        <v>0</v>
      </c>
      <c r="AK38" s="253">
        <v>0</v>
      </c>
      <c r="AL38" s="253">
        <v>0</v>
      </c>
      <c r="AM38" s="245"/>
      <c r="AN38" s="253" t="s">
        <v>599</v>
      </c>
      <c r="AO38" s="253">
        <v>0</v>
      </c>
      <c r="AP38" s="253">
        <v>0</v>
      </c>
      <c r="AQ38" s="253">
        <v>0</v>
      </c>
      <c r="AR38" s="253">
        <v>0</v>
      </c>
      <c r="AS38" s="253">
        <v>0</v>
      </c>
      <c r="AT38" s="245"/>
      <c r="AU38" s="253" t="s">
        <v>599</v>
      </c>
      <c r="AV38" s="253">
        <v>0</v>
      </c>
      <c r="AW38" s="253">
        <v>0</v>
      </c>
      <c r="AX38" s="253">
        <v>0</v>
      </c>
      <c r="AY38" s="253">
        <v>0</v>
      </c>
      <c r="AZ38" s="253">
        <v>0</v>
      </c>
      <c r="BA38" s="245"/>
      <c r="BB38" s="253" t="s">
        <v>598</v>
      </c>
      <c r="BC38" s="253">
        <v>905590275</v>
      </c>
      <c r="BD38" s="253">
        <v>19000</v>
      </c>
      <c r="BE38" s="253">
        <v>13</v>
      </c>
      <c r="BF38" s="253">
        <v>15000</v>
      </c>
      <c r="BG38" s="253">
        <v>1</v>
      </c>
      <c r="BH38" s="247" t="s">
        <v>598</v>
      </c>
      <c r="BI38" s="253">
        <v>0</v>
      </c>
      <c r="BJ38" s="253">
        <v>0</v>
      </c>
      <c r="BK38" s="253">
        <v>0</v>
      </c>
      <c r="BL38" s="253">
        <v>0</v>
      </c>
      <c r="BM38" s="253">
        <v>1</v>
      </c>
      <c r="BN38" s="253"/>
      <c r="BO38" s="247"/>
      <c r="BP38" s="263">
        <v>774371012866.5</v>
      </c>
      <c r="BQ38" s="263">
        <v>6755253</v>
      </c>
      <c r="BR38" s="263">
        <v>11089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59709.158381419998</v>
      </c>
      <c r="I39" s="164"/>
      <c r="J39" s="157"/>
      <c r="K39" s="228"/>
      <c r="L39" s="228"/>
      <c r="M39" s="228"/>
      <c r="O39" s="241" t="s">
        <v>47</v>
      </c>
      <c r="P39" s="241">
        <v>59917.561333830003</v>
      </c>
      <c r="Q39" s="239"/>
      <c r="R39" s="157"/>
      <c r="S39" s="253" t="s">
        <v>446</v>
      </c>
      <c r="T39" s="258">
        <v>361778092379.57825</v>
      </c>
      <c r="U39" s="258">
        <v>1193945</v>
      </c>
      <c r="V39" s="258">
        <v>273032</v>
      </c>
      <c r="W39" s="258">
        <v>828932</v>
      </c>
      <c r="X39" s="258">
        <v>1</v>
      </c>
      <c r="Y39" s="245"/>
      <c r="Z39" s="253" t="s">
        <v>600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600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601</v>
      </c>
      <c r="AO39" s="253">
        <v>102286132.75</v>
      </c>
      <c r="AP39" s="253">
        <v>5581</v>
      </c>
      <c r="AQ39" s="253">
        <v>213</v>
      </c>
      <c r="AR39" s="253">
        <v>43686</v>
      </c>
      <c r="AS39" s="253">
        <v>1</v>
      </c>
      <c r="AT39" s="245"/>
      <c r="AU39" s="253" t="s">
        <v>601</v>
      </c>
      <c r="AV39" s="253">
        <v>6735400.4000000004</v>
      </c>
      <c r="AW39" s="253">
        <v>383</v>
      </c>
      <c r="AX39" s="253">
        <v>38</v>
      </c>
      <c r="AY39" s="253">
        <v>1728</v>
      </c>
      <c r="AZ39" s="253">
        <v>1</v>
      </c>
      <c r="BA39" s="245"/>
      <c r="BB39" s="253" t="s">
        <v>568</v>
      </c>
      <c r="BC39" s="253">
        <v>2045079511.7</v>
      </c>
      <c r="BD39" s="253">
        <v>10757</v>
      </c>
      <c r="BE39" s="253">
        <v>852</v>
      </c>
      <c r="BF39" s="253">
        <v>58870</v>
      </c>
      <c r="BG39" s="253">
        <v>1</v>
      </c>
      <c r="BH39" s="247" t="s">
        <v>568</v>
      </c>
      <c r="BI39" s="253">
        <v>17104430.030000001</v>
      </c>
      <c r="BJ39" s="253">
        <v>91</v>
      </c>
      <c r="BK39" s="253">
        <v>22</v>
      </c>
      <c r="BL39" s="253">
        <v>1848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55579.922932970003</v>
      </c>
      <c r="I40" s="164"/>
      <c r="J40" s="157"/>
      <c r="K40" s="228"/>
      <c r="L40" s="228"/>
      <c r="M40" s="228"/>
      <c r="O40" s="241" t="s">
        <v>43</v>
      </c>
      <c r="P40" s="241">
        <v>56522.113845200001</v>
      </c>
      <c r="Q40" s="239"/>
      <c r="R40" s="157"/>
      <c r="S40" s="253" t="s">
        <v>451</v>
      </c>
      <c r="T40" s="258">
        <v>1934446645.71</v>
      </c>
      <c r="U40" s="258">
        <v>58318</v>
      </c>
      <c r="V40" s="258">
        <v>185</v>
      </c>
      <c r="W40" s="258">
        <v>301241</v>
      </c>
      <c r="X40" s="258">
        <v>1</v>
      </c>
      <c r="Y40" s="245"/>
      <c r="Z40" s="253" t="s">
        <v>601</v>
      </c>
      <c r="AA40" s="253">
        <v>39610855.049999997</v>
      </c>
      <c r="AB40" s="253">
        <v>2216</v>
      </c>
      <c r="AC40" s="253">
        <v>41</v>
      </c>
      <c r="AD40" s="253">
        <v>44020</v>
      </c>
      <c r="AE40" s="253">
        <v>1</v>
      </c>
      <c r="AF40" s="253"/>
      <c r="AG40" s="253" t="s">
        <v>601</v>
      </c>
      <c r="AH40" s="253">
        <v>0</v>
      </c>
      <c r="AI40" s="253">
        <v>0</v>
      </c>
      <c r="AJ40" s="253">
        <v>0</v>
      </c>
      <c r="AK40" s="253">
        <v>2241</v>
      </c>
      <c r="AL40" s="253">
        <v>1</v>
      </c>
      <c r="AM40" s="245"/>
      <c r="AN40" s="253" t="s">
        <v>602</v>
      </c>
      <c r="AO40" s="253">
        <v>555632</v>
      </c>
      <c r="AP40" s="253">
        <v>35</v>
      </c>
      <c r="AQ40" s="253">
        <v>4</v>
      </c>
      <c r="AR40" s="253">
        <v>230</v>
      </c>
      <c r="AS40" s="253">
        <v>1</v>
      </c>
      <c r="AT40" s="245"/>
      <c r="AU40" s="253" t="s">
        <v>602</v>
      </c>
      <c r="AV40" s="253">
        <v>0</v>
      </c>
      <c r="AW40" s="253">
        <v>0</v>
      </c>
      <c r="AX40" s="253">
        <v>0</v>
      </c>
      <c r="AY40" s="253">
        <v>10</v>
      </c>
      <c r="AZ40" s="253">
        <v>1</v>
      </c>
      <c r="BA40" s="245"/>
      <c r="BB40" s="253" t="s">
        <v>599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599</v>
      </c>
      <c r="BI40" s="253">
        <v>0</v>
      </c>
      <c r="BJ40" s="253">
        <v>0</v>
      </c>
      <c r="BK40" s="253">
        <v>0</v>
      </c>
      <c r="BL40" s="253">
        <v>0</v>
      </c>
      <c r="BM40" s="253">
        <v>0</v>
      </c>
      <c r="BN40" s="253"/>
      <c r="BO40" s="256" t="s">
        <v>474</v>
      </c>
      <c r="BP40" s="264" t="s">
        <v>537</v>
      </c>
      <c r="BQ40" s="264" t="s">
        <v>562</v>
      </c>
      <c r="BR40" s="264" t="s">
        <v>563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546</v>
      </c>
      <c r="H41" s="223">
        <v>1262.6910051699999</v>
      </c>
      <c r="I41" s="164"/>
      <c r="J41" s="157"/>
      <c r="K41" s="228"/>
      <c r="L41" s="228"/>
      <c r="M41" s="228"/>
      <c r="O41" s="241" t="s">
        <v>49</v>
      </c>
      <c r="P41" s="241">
        <v>7508.0870176999997</v>
      </c>
      <c r="Q41" s="239"/>
      <c r="R41" s="157"/>
      <c r="S41" s="253" t="s">
        <v>450</v>
      </c>
      <c r="T41" s="258">
        <v>0</v>
      </c>
      <c r="U41" s="258">
        <v>4230010</v>
      </c>
      <c r="V41" s="258">
        <v>161</v>
      </c>
      <c r="W41" s="258">
        <v>11899416</v>
      </c>
      <c r="X41" s="258">
        <v>1</v>
      </c>
      <c r="Y41" s="245"/>
      <c r="Z41" s="253" t="s">
        <v>602</v>
      </c>
      <c r="AA41" s="253">
        <v>645960</v>
      </c>
      <c r="AB41" s="253">
        <v>40</v>
      </c>
      <c r="AC41" s="253">
        <v>6</v>
      </c>
      <c r="AD41" s="253">
        <v>265</v>
      </c>
      <c r="AE41" s="253">
        <v>1</v>
      </c>
      <c r="AF41" s="253"/>
      <c r="AG41" s="253" t="s">
        <v>602</v>
      </c>
      <c r="AH41" s="253">
        <v>0</v>
      </c>
      <c r="AI41" s="253">
        <v>0</v>
      </c>
      <c r="AJ41" s="253">
        <v>0</v>
      </c>
      <c r="AK41" s="253">
        <v>20</v>
      </c>
      <c r="AL41" s="253">
        <v>1</v>
      </c>
      <c r="AM41" s="245"/>
      <c r="AN41" s="253" t="s">
        <v>573</v>
      </c>
      <c r="AO41" s="253">
        <v>31828710.039999999</v>
      </c>
      <c r="AP41" s="253">
        <v>245</v>
      </c>
      <c r="AQ41" s="253">
        <v>40</v>
      </c>
      <c r="AR41" s="253">
        <v>958</v>
      </c>
      <c r="AS41" s="253">
        <v>1</v>
      </c>
      <c r="AT41" s="245"/>
      <c r="AU41" s="253" t="s">
        <v>573</v>
      </c>
      <c r="AV41" s="253">
        <v>1321000</v>
      </c>
      <c r="AW41" s="253">
        <v>10</v>
      </c>
      <c r="AX41" s="253">
        <v>1</v>
      </c>
      <c r="AY41" s="253">
        <v>67</v>
      </c>
      <c r="AZ41" s="253">
        <v>1</v>
      </c>
      <c r="BA41" s="245"/>
      <c r="BB41" s="253" t="s">
        <v>601</v>
      </c>
      <c r="BC41" s="253">
        <v>99369663.549999997</v>
      </c>
      <c r="BD41" s="253">
        <v>5750</v>
      </c>
      <c r="BE41" s="253">
        <v>57</v>
      </c>
      <c r="BF41" s="253">
        <v>56254</v>
      </c>
      <c r="BG41" s="253">
        <v>1</v>
      </c>
      <c r="BH41" s="247" t="s">
        <v>601</v>
      </c>
      <c r="BI41" s="253">
        <v>65500</v>
      </c>
      <c r="BJ41" s="253">
        <v>4</v>
      </c>
      <c r="BK41" s="253">
        <v>1</v>
      </c>
      <c r="BL41" s="253">
        <v>1315</v>
      </c>
      <c r="BM41" s="253">
        <v>1</v>
      </c>
      <c r="BN41" s="253"/>
      <c r="BO41" s="245"/>
      <c r="BP41" s="263">
        <v>20581896991.27</v>
      </c>
      <c r="BQ41" s="263">
        <v>193020</v>
      </c>
      <c r="BR41" s="263">
        <v>803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547</v>
      </c>
      <c r="H42" s="223">
        <v>1081.2328275499999</v>
      </c>
      <c r="I42" s="164"/>
      <c r="J42" s="157"/>
      <c r="K42" s="228"/>
      <c r="L42" s="228"/>
      <c r="M42" s="228"/>
      <c r="O42" s="241" t="s">
        <v>554</v>
      </c>
      <c r="P42" s="241">
        <v>55296.422052280002</v>
      </c>
      <c r="Q42" s="239"/>
      <c r="R42" s="157"/>
      <c r="S42" s="253" t="s">
        <v>448</v>
      </c>
      <c r="T42" s="258">
        <v>0</v>
      </c>
      <c r="U42" s="258">
        <v>313086</v>
      </c>
      <c r="V42" s="258">
        <v>3721</v>
      </c>
      <c r="W42" s="258">
        <v>961654</v>
      </c>
      <c r="X42" s="258">
        <v>1</v>
      </c>
      <c r="Y42" s="245"/>
      <c r="Z42" s="253" t="s">
        <v>573</v>
      </c>
      <c r="AA42" s="253">
        <v>27658339.710000001</v>
      </c>
      <c r="AB42" s="253">
        <v>209</v>
      </c>
      <c r="AC42" s="253">
        <v>33</v>
      </c>
      <c r="AD42" s="253">
        <v>1459</v>
      </c>
      <c r="AE42" s="253">
        <v>1</v>
      </c>
      <c r="AF42" s="253"/>
      <c r="AG42" s="253" t="s">
        <v>573</v>
      </c>
      <c r="AH42" s="253">
        <v>646800</v>
      </c>
      <c r="AI42" s="253">
        <v>5</v>
      </c>
      <c r="AJ42" s="253">
        <v>1</v>
      </c>
      <c r="AK42" s="253">
        <v>67</v>
      </c>
      <c r="AL42" s="253">
        <v>1</v>
      </c>
      <c r="AM42" s="245"/>
      <c r="AN42" s="253" t="s">
        <v>574</v>
      </c>
      <c r="AO42" s="253">
        <v>0</v>
      </c>
      <c r="AP42" s="253">
        <v>0</v>
      </c>
      <c r="AQ42" s="253">
        <v>0</v>
      </c>
      <c r="AR42" s="253">
        <v>0</v>
      </c>
      <c r="AS42" s="253">
        <v>0</v>
      </c>
      <c r="AT42" s="245"/>
      <c r="AU42" s="253" t="s">
        <v>574</v>
      </c>
      <c r="AV42" s="253">
        <v>0</v>
      </c>
      <c r="AW42" s="253">
        <v>0</v>
      </c>
      <c r="AX42" s="253">
        <v>0</v>
      </c>
      <c r="AY42" s="253">
        <v>0</v>
      </c>
      <c r="AZ42" s="253">
        <v>0</v>
      </c>
      <c r="BA42" s="245"/>
      <c r="BB42" s="253" t="s">
        <v>602</v>
      </c>
      <c r="BC42" s="253">
        <v>0</v>
      </c>
      <c r="BD42" s="253">
        <v>0</v>
      </c>
      <c r="BE42" s="253">
        <v>0</v>
      </c>
      <c r="BF42" s="253">
        <v>0</v>
      </c>
      <c r="BG42" s="253">
        <v>1</v>
      </c>
      <c r="BH42" s="247" t="s">
        <v>602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1218.5101341100001</v>
      </c>
      <c r="I43" s="164"/>
      <c r="J43" s="157"/>
      <c r="K43" s="228"/>
      <c r="L43" s="228"/>
      <c r="M43" s="228"/>
      <c r="O43" s="241" t="s">
        <v>555</v>
      </c>
      <c r="P43" s="241">
        <v>54776.170641500001</v>
      </c>
      <c r="Q43" s="239"/>
      <c r="S43" s="245"/>
      <c r="T43" s="245"/>
      <c r="U43" s="245"/>
      <c r="V43" s="245"/>
      <c r="W43" s="245"/>
      <c r="X43" s="245"/>
      <c r="Y43" s="245"/>
      <c r="Z43" s="253" t="s">
        <v>574</v>
      </c>
      <c r="AA43" s="253">
        <v>0</v>
      </c>
      <c r="AB43" s="253">
        <v>0</v>
      </c>
      <c r="AC43" s="253">
        <v>0</v>
      </c>
      <c r="AD43" s="253">
        <v>0</v>
      </c>
      <c r="AE43" s="253">
        <v>0</v>
      </c>
      <c r="AF43" s="253"/>
      <c r="AG43" s="253" t="s">
        <v>574</v>
      </c>
      <c r="AH43" s="253">
        <v>0</v>
      </c>
      <c r="AI43" s="253">
        <v>0</v>
      </c>
      <c r="AJ43" s="253">
        <v>0</v>
      </c>
      <c r="AK43" s="253">
        <v>0</v>
      </c>
      <c r="AL43" s="253">
        <v>0</v>
      </c>
      <c r="AM43" s="245"/>
      <c r="AN43" s="253" t="s">
        <v>575</v>
      </c>
      <c r="AO43" s="253">
        <v>0</v>
      </c>
      <c r="AP43" s="253">
        <v>0</v>
      </c>
      <c r="AQ43" s="253">
        <v>0</v>
      </c>
      <c r="AR43" s="253">
        <v>0</v>
      </c>
      <c r="AS43" s="253">
        <v>0</v>
      </c>
      <c r="AT43" s="245"/>
      <c r="AU43" s="253" t="s">
        <v>575</v>
      </c>
      <c r="AV43" s="253">
        <v>0</v>
      </c>
      <c r="AW43" s="253">
        <v>0</v>
      </c>
      <c r="AX43" s="253">
        <v>0</v>
      </c>
      <c r="AY43" s="253">
        <v>0</v>
      </c>
      <c r="AZ43" s="253">
        <v>0</v>
      </c>
      <c r="BA43" s="245"/>
      <c r="BB43" s="253" t="s">
        <v>573</v>
      </c>
      <c r="BC43" s="253">
        <v>12911699.949999999</v>
      </c>
      <c r="BD43" s="253">
        <v>97</v>
      </c>
      <c r="BE43" s="253">
        <v>20</v>
      </c>
      <c r="BF43" s="253">
        <v>1785</v>
      </c>
      <c r="BG43" s="253">
        <v>1</v>
      </c>
      <c r="BH43" s="247" t="s">
        <v>573</v>
      </c>
      <c r="BI43" s="253">
        <v>267400</v>
      </c>
      <c r="BJ43" s="253">
        <v>2</v>
      </c>
      <c r="BK43" s="253">
        <v>1</v>
      </c>
      <c r="BL43" s="253">
        <v>78</v>
      </c>
      <c r="BM43" s="253">
        <v>1</v>
      </c>
      <c r="BN43" s="253"/>
      <c r="BO43" s="252" t="s">
        <v>488</v>
      </c>
      <c r="BP43" s="264" t="s">
        <v>564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549</v>
      </c>
      <c r="H44" s="223">
        <v>1228.9350883899999</v>
      </c>
      <c r="I44" s="164"/>
      <c r="J44" s="157"/>
      <c r="K44" s="228"/>
      <c r="L44" s="228"/>
      <c r="M44" s="228"/>
      <c r="O44" s="241" t="s">
        <v>282</v>
      </c>
      <c r="P44" s="241">
        <v>4134.9448578399997</v>
      </c>
      <c r="Q44" s="239"/>
      <c r="S44" s="245"/>
      <c r="T44" s="245"/>
      <c r="U44" s="245"/>
      <c r="V44" s="245"/>
      <c r="W44" s="245"/>
      <c r="X44" s="245"/>
      <c r="Y44" s="245"/>
      <c r="Z44" s="253" t="s">
        <v>575</v>
      </c>
      <c r="AA44" s="253">
        <v>0</v>
      </c>
      <c r="AB44" s="253">
        <v>0</v>
      </c>
      <c r="AC44" s="253">
        <v>0</v>
      </c>
      <c r="AD44" s="253">
        <v>0</v>
      </c>
      <c r="AE44" s="253">
        <v>0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0</v>
      </c>
      <c r="AM44" s="245"/>
      <c r="AN44" s="253" t="s">
        <v>576</v>
      </c>
      <c r="AO44" s="253">
        <v>38178480</v>
      </c>
      <c r="AP44" s="253">
        <v>339</v>
      </c>
      <c r="AQ44" s="253">
        <v>22</v>
      </c>
      <c r="AR44" s="253">
        <v>2411</v>
      </c>
      <c r="AS44" s="253">
        <v>1</v>
      </c>
      <c r="AT44" s="245"/>
      <c r="AU44" s="253" t="s">
        <v>576</v>
      </c>
      <c r="AV44" s="253">
        <v>1462000</v>
      </c>
      <c r="AW44" s="253">
        <v>14</v>
      </c>
      <c r="AX44" s="253">
        <v>2</v>
      </c>
      <c r="AY44" s="253">
        <v>134</v>
      </c>
      <c r="AZ44" s="253">
        <v>1</v>
      </c>
      <c r="BA44" s="245"/>
      <c r="BB44" s="253" t="s">
        <v>574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574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672093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550</v>
      </c>
      <c r="H45" s="223">
        <v>1155.8783122699999</v>
      </c>
      <c r="I45" s="164"/>
      <c r="J45" s="157"/>
      <c r="K45" s="228"/>
      <c r="L45" s="228"/>
      <c r="M45" s="228"/>
      <c r="O45" s="241" t="s">
        <v>61</v>
      </c>
      <c r="P45" s="241">
        <v>35773.836190399998</v>
      </c>
      <c r="Q45" s="239"/>
      <c r="R45" s="153" t="s">
        <v>455</v>
      </c>
      <c r="S45" s="254" t="s">
        <v>560</v>
      </c>
      <c r="T45" s="257" t="s">
        <v>561</v>
      </c>
      <c r="U45" s="257" t="s">
        <v>562</v>
      </c>
      <c r="V45" s="257" t="s">
        <v>563</v>
      </c>
      <c r="W45" s="257" t="s">
        <v>564</v>
      </c>
      <c r="X45" s="257" t="s">
        <v>565</v>
      </c>
      <c r="Y45" s="245"/>
      <c r="Z45" s="253" t="s">
        <v>576</v>
      </c>
      <c r="AA45" s="253">
        <v>36313165.060000002</v>
      </c>
      <c r="AB45" s="253">
        <v>348</v>
      </c>
      <c r="AC45" s="253">
        <v>33</v>
      </c>
      <c r="AD45" s="253">
        <v>1638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18</v>
      </c>
      <c r="AL45" s="253">
        <v>1</v>
      </c>
      <c r="AM45" s="245"/>
      <c r="AN45" s="253" t="s">
        <v>578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578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575</v>
      </c>
      <c r="BC45" s="253">
        <v>0</v>
      </c>
      <c r="BD45" s="253">
        <v>0</v>
      </c>
      <c r="BE45" s="253">
        <v>0</v>
      </c>
      <c r="BF45" s="253">
        <v>0</v>
      </c>
      <c r="BG45" s="253">
        <v>0</v>
      </c>
      <c r="BH45" s="247" t="s">
        <v>575</v>
      </c>
      <c r="BI45" s="253">
        <v>0</v>
      </c>
      <c r="BJ45" s="253">
        <v>0</v>
      </c>
      <c r="BK45" s="253">
        <v>0</v>
      </c>
      <c r="BL45" s="253">
        <v>0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551</v>
      </c>
      <c r="H46" s="223">
        <v>1192.2495230500001</v>
      </c>
      <c r="I46" s="164"/>
      <c r="J46" s="157"/>
      <c r="K46" s="228"/>
      <c r="L46" s="228"/>
      <c r="M46" s="228"/>
      <c r="O46" s="241" t="s">
        <v>65</v>
      </c>
      <c r="P46" s="241">
        <v>76137.670788620002</v>
      </c>
      <c r="Q46" s="239"/>
      <c r="S46" s="253" t="s">
        <v>449</v>
      </c>
      <c r="T46" s="258">
        <v>205558.236</v>
      </c>
      <c r="U46" s="258">
        <v>481</v>
      </c>
      <c r="V46" s="258">
        <v>1</v>
      </c>
      <c r="W46" s="258">
        <v>12407363</v>
      </c>
      <c r="X46" s="258">
        <v>1</v>
      </c>
      <c r="Y46" s="245"/>
      <c r="Z46" s="253" t="s">
        <v>578</v>
      </c>
      <c r="AA46" s="253">
        <v>0</v>
      </c>
      <c r="AB46" s="253">
        <v>0</v>
      </c>
      <c r="AC46" s="253">
        <v>0</v>
      </c>
      <c r="AD46" s="253">
        <v>0</v>
      </c>
      <c r="AE46" s="253">
        <v>0</v>
      </c>
      <c r="AF46" s="253"/>
      <c r="AG46" s="253" t="s">
        <v>578</v>
      </c>
      <c r="AH46" s="253">
        <v>0</v>
      </c>
      <c r="AI46" s="253">
        <v>0</v>
      </c>
      <c r="AJ46" s="253">
        <v>0</v>
      </c>
      <c r="AK46" s="253">
        <v>0</v>
      </c>
      <c r="AL46" s="253">
        <v>0</v>
      </c>
      <c r="AM46" s="245"/>
      <c r="AN46" s="253" t="s">
        <v>577</v>
      </c>
      <c r="AO46" s="253">
        <v>45298972.43</v>
      </c>
      <c r="AP46" s="253">
        <v>4309</v>
      </c>
      <c r="AQ46" s="253">
        <v>311</v>
      </c>
      <c r="AR46" s="253">
        <v>145444</v>
      </c>
      <c r="AS46" s="253">
        <v>0</v>
      </c>
      <c r="AT46" s="245"/>
      <c r="AU46" s="253" t="s">
        <v>577</v>
      </c>
      <c r="AV46" s="253">
        <v>5737467.5999999996</v>
      </c>
      <c r="AW46" s="253">
        <v>529</v>
      </c>
      <c r="AX46" s="253">
        <v>20</v>
      </c>
      <c r="AY46" s="253">
        <v>7891</v>
      </c>
      <c r="AZ46" s="253">
        <v>0</v>
      </c>
      <c r="BA46" s="245"/>
      <c r="BB46" s="253" t="s">
        <v>576</v>
      </c>
      <c r="BC46" s="253">
        <v>21723949.91</v>
      </c>
      <c r="BD46" s="253">
        <v>195</v>
      </c>
      <c r="BE46" s="253">
        <v>22</v>
      </c>
      <c r="BF46" s="253">
        <v>1573</v>
      </c>
      <c r="BG46" s="253">
        <v>1</v>
      </c>
      <c r="BH46" s="247" t="s">
        <v>576</v>
      </c>
      <c r="BI46" s="253">
        <v>1296499.98</v>
      </c>
      <c r="BJ46" s="253">
        <v>12</v>
      </c>
      <c r="BK46" s="253">
        <v>1</v>
      </c>
      <c r="BL46" s="253">
        <v>46</v>
      </c>
      <c r="BM46" s="253">
        <v>1</v>
      </c>
      <c r="BN46" s="253"/>
      <c r="BO46" s="260" t="s">
        <v>489</v>
      </c>
      <c r="BP46" s="264" t="s">
        <v>564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552</v>
      </c>
      <c r="H47" s="223">
        <v>1141.2323060599999</v>
      </c>
      <c r="I47" s="164"/>
      <c r="J47" s="159"/>
      <c r="K47" s="228"/>
      <c r="L47" s="228"/>
      <c r="M47" s="228"/>
      <c r="O47" s="241" t="s">
        <v>67</v>
      </c>
      <c r="P47" s="241">
        <v>15699.36139667</v>
      </c>
      <c r="Q47" s="239"/>
      <c r="S47" s="253" t="s">
        <v>447</v>
      </c>
      <c r="T47" s="258">
        <v>274707735.50999999</v>
      </c>
      <c r="U47" s="258">
        <v>607015</v>
      </c>
      <c r="V47" s="258">
        <v>54</v>
      </c>
      <c r="W47" s="258">
        <v>2518229</v>
      </c>
      <c r="X47" s="258">
        <v>0</v>
      </c>
      <c r="Y47" s="245"/>
      <c r="Z47" s="253" t="s">
        <v>577</v>
      </c>
      <c r="AA47" s="253">
        <v>25507781.780000001</v>
      </c>
      <c r="AB47" s="253">
        <v>2798</v>
      </c>
      <c r="AC47" s="253">
        <v>226</v>
      </c>
      <c r="AD47" s="253">
        <v>174295</v>
      </c>
      <c r="AE47" s="253">
        <v>0</v>
      </c>
      <c r="AF47" s="253"/>
      <c r="AG47" s="253" t="s">
        <v>577</v>
      </c>
      <c r="AH47" s="253">
        <v>957070.99</v>
      </c>
      <c r="AI47" s="253">
        <v>76</v>
      </c>
      <c r="AJ47" s="253">
        <v>22</v>
      </c>
      <c r="AK47" s="253">
        <v>9533</v>
      </c>
      <c r="AL47" s="253">
        <v>0</v>
      </c>
      <c r="AM47" s="245"/>
      <c r="AN47" s="253" t="s">
        <v>599</v>
      </c>
      <c r="AO47" s="253">
        <v>2718050</v>
      </c>
      <c r="AP47" s="253">
        <v>52</v>
      </c>
      <c r="AQ47" s="253">
        <v>7</v>
      </c>
      <c r="AR47" s="253">
        <v>889</v>
      </c>
      <c r="AS47" s="253">
        <v>1</v>
      </c>
      <c r="AT47" s="245"/>
      <c r="AU47" s="253" t="s">
        <v>599</v>
      </c>
      <c r="AV47" s="253">
        <v>0</v>
      </c>
      <c r="AW47" s="253">
        <v>0</v>
      </c>
      <c r="AX47" s="253">
        <v>0</v>
      </c>
      <c r="AY47" s="253">
        <v>36</v>
      </c>
      <c r="AZ47" s="253">
        <v>1</v>
      </c>
      <c r="BA47" s="245"/>
      <c r="BB47" s="253" t="s">
        <v>578</v>
      </c>
      <c r="BC47" s="253">
        <v>0</v>
      </c>
      <c r="BD47" s="253">
        <v>0</v>
      </c>
      <c r="BE47" s="253">
        <v>0</v>
      </c>
      <c r="BF47" s="253">
        <v>0</v>
      </c>
      <c r="BG47" s="253">
        <v>0</v>
      </c>
      <c r="BH47" s="247" t="s">
        <v>578</v>
      </c>
      <c r="BI47" s="253">
        <v>0</v>
      </c>
      <c r="BJ47" s="253">
        <v>0</v>
      </c>
      <c r="BK47" s="253">
        <v>0</v>
      </c>
      <c r="BL47" s="253">
        <v>0</v>
      </c>
      <c r="BM47" s="253">
        <v>0</v>
      </c>
      <c r="BN47" s="253"/>
      <c r="BO47" s="247"/>
      <c r="BP47" s="263">
        <v>41268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553</v>
      </c>
      <c r="H48" s="223">
        <v>1233.88775586</v>
      </c>
      <c r="I48" s="164"/>
      <c r="J48" s="159"/>
      <c r="K48" s="228"/>
      <c r="L48" s="228"/>
      <c r="M48" s="228"/>
      <c r="O48" s="241" t="s">
        <v>69</v>
      </c>
      <c r="P48" s="241">
        <v>79071.687177700005</v>
      </c>
      <c r="Q48" s="239"/>
      <c r="S48" s="253" t="s">
        <v>451</v>
      </c>
      <c r="T48" s="258">
        <v>0</v>
      </c>
      <c r="U48" s="258">
        <v>0</v>
      </c>
      <c r="V48" s="258">
        <v>0</v>
      </c>
      <c r="W48" s="258">
        <v>222915</v>
      </c>
      <c r="X48" s="258">
        <v>0</v>
      </c>
      <c r="Y48" s="245"/>
      <c r="Z48" s="253" t="s">
        <v>603</v>
      </c>
      <c r="AA48" s="253">
        <v>394400</v>
      </c>
      <c r="AB48" s="253">
        <v>240</v>
      </c>
      <c r="AC48" s="253">
        <v>3</v>
      </c>
      <c r="AD48" s="253">
        <v>2880</v>
      </c>
      <c r="AE48" s="253">
        <v>0</v>
      </c>
      <c r="AF48" s="253"/>
      <c r="AG48" s="253" t="s">
        <v>603</v>
      </c>
      <c r="AH48" s="253">
        <v>0</v>
      </c>
      <c r="AI48" s="253">
        <v>0</v>
      </c>
      <c r="AJ48" s="253">
        <v>0</v>
      </c>
      <c r="AK48" s="253">
        <v>240</v>
      </c>
      <c r="AL48" s="253">
        <v>0</v>
      </c>
      <c r="AM48" s="245"/>
      <c r="AN48" s="253" t="s">
        <v>604</v>
      </c>
      <c r="AO48" s="253">
        <v>0</v>
      </c>
      <c r="AP48" s="253">
        <v>0</v>
      </c>
      <c r="AQ48" s="253">
        <v>0</v>
      </c>
      <c r="AR48" s="253">
        <v>176</v>
      </c>
      <c r="AS48" s="253">
        <v>1</v>
      </c>
      <c r="AT48" s="245"/>
      <c r="AU48" s="253" t="s">
        <v>604</v>
      </c>
      <c r="AV48" s="253">
        <v>0</v>
      </c>
      <c r="AW48" s="253">
        <v>0</v>
      </c>
      <c r="AX48" s="253">
        <v>0</v>
      </c>
      <c r="AY48" s="253">
        <v>8</v>
      </c>
      <c r="AZ48" s="253">
        <v>1</v>
      </c>
      <c r="BA48" s="245"/>
      <c r="BB48" s="253" t="s">
        <v>614</v>
      </c>
      <c r="BC48" s="253">
        <v>0</v>
      </c>
      <c r="BD48" s="253">
        <v>0</v>
      </c>
      <c r="BE48" s="253">
        <v>0</v>
      </c>
      <c r="BF48" s="253">
        <v>0</v>
      </c>
      <c r="BG48" s="253">
        <v>1</v>
      </c>
      <c r="BH48" s="247" t="s">
        <v>614</v>
      </c>
      <c r="BI48" s="253">
        <v>0</v>
      </c>
      <c r="BJ48" s="253">
        <v>0</v>
      </c>
      <c r="BK48" s="253">
        <v>0</v>
      </c>
      <c r="BL48" s="253">
        <v>0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49</v>
      </c>
      <c r="H49" s="223">
        <v>7489.5620405999998</v>
      </c>
      <c r="I49" s="164"/>
      <c r="J49" s="159"/>
      <c r="K49" s="228"/>
      <c r="L49" s="228"/>
      <c r="M49" s="228"/>
      <c r="O49" s="241" t="s">
        <v>115</v>
      </c>
      <c r="P49" s="241">
        <v>1165.0699531600001</v>
      </c>
      <c r="Q49" s="239"/>
      <c r="S49" s="253" t="s">
        <v>446</v>
      </c>
      <c r="T49" s="258">
        <v>33645231</v>
      </c>
      <c r="U49" s="258">
        <v>3712</v>
      </c>
      <c r="V49" s="258">
        <v>34</v>
      </c>
      <c r="W49" s="258">
        <v>1068544</v>
      </c>
      <c r="X49" s="258">
        <v>0</v>
      </c>
      <c r="Y49" s="245"/>
      <c r="Z49" s="253" t="s">
        <v>599</v>
      </c>
      <c r="AA49" s="253">
        <v>917489.9</v>
      </c>
      <c r="AB49" s="253">
        <v>17</v>
      </c>
      <c r="AC49" s="253">
        <v>6</v>
      </c>
      <c r="AD49" s="253">
        <v>699</v>
      </c>
      <c r="AE49" s="253">
        <v>1</v>
      </c>
      <c r="AF49" s="253"/>
      <c r="AG49" s="253" t="s">
        <v>599</v>
      </c>
      <c r="AH49" s="253">
        <v>0</v>
      </c>
      <c r="AI49" s="253">
        <v>0</v>
      </c>
      <c r="AJ49" s="253">
        <v>0</v>
      </c>
      <c r="AK49" s="253">
        <v>33</v>
      </c>
      <c r="AL49" s="253">
        <v>1</v>
      </c>
      <c r="AM49" s="245"/>
      <c r="AN49" s="253" t="s">
        <v>583</v>
      </c>
      <c r="AO49" s="253">
        <v>3094387.5</v>
      </c>
      <c r="AP49" s="253">
        <v>59</v>
      </c>
      <c r="AQ49" s="253">
        <v>10</v>
      </c>
      <c r="AR49" s="253">
        <v>397</v>
      </c>
      <c r="AS49" s="253">
        <v>1</v>
      </c>
      <c r="AT49" s="245"/>
      <c r="AU49" s="253" t="s">
        <v>583</v>
      </c>
      <c r="AV49" s="253">
        <v>0</v>
      </c>
      <c r="AW49" s="253">
        <v>0</v>
      </c>
      <c r="AX49" s="253">
        <v>0</v>
      </c>
      <c r="AY49" s="253">
        <v>19</v>
      </c>
      <c r="AZ49" s="253">
        <v>1</v>
      </c>
      <c r="BA49" s="245"/>
      <c r="BB49" s="253" t="s">
        <v>577</v>
      </c>
      <c r="BC49" s="253">
        <v>49950916.520000003</v>
      </c>
      <c r="BD49" s="253">
        <v>3809</v>
      </c>
      <c r="BE49" s="253">
        <v>449</v>
      </c>
      <c r="BF49" s="253">
        <v>311900</v>
      </c>
      <c r="BG49" s="253">
        <v>0</v>
      </c>
      <c r="BH49" s="247" t="s">
        <v>577</v>
      </c>
      <c r="BI49" s="253">
        <v>4389170.5999999996</v>
      </c>
      <c r="BJ49" s="253">
        <v>573</v>
      </c>
      <c r="BK49" s="253">
        <v>20</v>
      </c>
      <c r="BL49" s="253">
        <v>14939</v>
      </c>
      <c r="BM49" s="253">
        <v>0</v>
      </c>
      <c r="BN49" s="253"/>
      <c r="BO49" s="256" t="s">
        <v>491</v>
      </c>
      <c r="BP49" s="264" t="s">
        <v>537</v>
      </c>
      <c r="BQ49" s="264" t="s">
        <v>562</v>
      </c>
      <c r="BR49" s="264" t="s">
        <v>563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554</v>
      </c>
      <c r="H50" s="223">
        <v>54682.103105690003</v>
      </c>
      <c r="I50" s="164"/>
      <c r="J50" s="159"/>
      <c r="K50" s="228"/>
      <c r="L50" s="228"/>
      <c r="M50" s="228"/>
      <c r="O50" s="241" t="s">
        <v>283</v>
      </c>
      <c r="P50" s="241">
        <v>392.61426706999998</v>
      </c>
      <c r="Q50" s="239"/>
      <c r="S50" s="253" t="s">
        <v>566</v>
      </c>
      <c r="T50" s="258">
        <v>0</v>
      </c>
      <c r="U50" s="258">
        <v>0</v>
      </c>
      <c r="V50" s="258">
        <v>0</v>
      </c>
      <c r="W50" s="258">
        <v>0</v>
      </c>
      <c r="X50" s="258">
        <v>1</v>
      </c>
      <c r="Y50" s="245"/>
      <c r="Z50" s="253" t="s">
        <v>604</v>
      </c>
      <c r="AA50" s="253">
        <v>157080</v>
      </c>
      <c r="AB50" s="253">
        <v>4</v>
      </c>
      <c r="AC50" s="253">
        <v>1</v>
      </c>
      <c r="AD50" s="253">
        <v>80</v>
      </c>
      <c r="AE50" s="253">
        <v>1</v>
      </c>
      <c r="AF50" s="253"/>
      <c r="AG50" s="253" t="s">
        <v>604</v>
      </c>
      <c r="AH50" s="253">
        <v>0</v>
      </c>
      <c r="AI50" s="253">
        <v>0</v>
      </c>
      <c r="AJ50" s="253">
        <v>0</v>
      </c>
      <c r="AK50" s="253">
        <v>4</v>
      </c>
      <c r="AL50" s="253">
        <v>1</v>
      </c>
      <c r="AM50" s="245"/>
      <c r="AN50" s="253" t="s">
        <v>584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584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599</v>
      </c>
      <c r="BC50" s="253">
        <v>14089268.800000001</v>
      </c>
      <c r="BD50" s="253">
        <v>292</v>
      </c>
      <c r="BE50" s="253">
        <v>33</v>
      </c>
      <c r="BF50" s="253">
        <v>4187</v>
      </c>
      <c r="BG50" s="253">
        <v>1</v>
      </c>
      <c r="BH50" s="247" t="s">
        <v>599</v>
      </c>
      <c r="BI50" s="253">
        <v>0</v>
      </c>
      <c r="BJ50" s="253">
        <v>0</v>
      </c>
      <c r="BK50" s="253">
        <v>0</v>
      </c>
      <c r="BL50" s="253">
        <v>191</v>
      </c>
      <c r="BM50" s="253">
        <v>1</v>
      </c>
      <c r="BN50" s="253"/>
      <c r="BO50" s="247"/>
      <c r="BP50" s="263">
        <v>73364903087.600006</v>
      </c>
      <c r="BQ50" s="263">
        <v>5291242</v>
      </c>
      <c r="BR50" s="263">
        <v>5546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555</v>
      </c>
      <c r="H51" s="223">
        <v>53838.344519760001</v>
      </c>
      <c r="I51" s="164"/>
      <c r="J51" s="157"/>
      <c r="K51" s="228"/>
      <c r="L51" s="228"/>
      <c r="M51" s="228"/>
      <c r="O51" s="241" t="s">
        <v>284</v>
      </c>
      <c r="P51" s="241">
        <v>20.322749259999998</v>
      </c>
      <c r="Q51" s="239"/>
      <c r="S51" s="253" t="s">
        <v>447</v>
      </c>
      <c r="T51" s="258">
        <v>1040439879.899</v>
      </c>
      <c r="U51" s="258">
        <v>27049</v>
      </c>
      <c r="V51" s="258">
        <v>166</v>
      </c>
      <c r="W51" s="258">
        <v>1306483</v>
      </c>
      <c r="X51" s="258">
        <v>1</v>
      </c>
      <c r="Y51" s="245"/>
      <c r="Z51" s="253" t="s">
        <v>583</v>
      </c>
      <c r="AA51" s="253">
        <v>5572762.5</v>
      </c>
      <c r="AB51" s="253">
        <v>109</v>
      </c>
      <c r="AC51" s="253">
        <v>34</v>
      </c>
      <c r="AD51" s="253">
        <v>1100</v>
      </c>
      <c r="AE51" s="253">
        <v>1</v>
      </c>
      <c r="AF51" s="253"/>
      <c r="AG51" s="253" t="s">
        <v>583</v>
      </c>
      <c r="AH51" s="253">
        <v>0</v>
      </c>
      <c r="AI51" s="253">
        <v>0</v>
      </c>
      <c r="AJ51" s="253">
        <v>0</v>
      </c>
      <c r="AK51" s="253">
        <v>82</v>
      </c>
      <c r="AL51" s="253">
        <v>1</v>
      </c>
      <c r="AM51" s="245"/>
      <c r="AN51" s="253" t="s">
        <v>605</v>
      </c>
      <c r="AO51" s="253">
        <v>0</v>
      </c>
      <c r="AP51" s="253">
        <v>0</v>
      </c>
      <c r="AQ51" s="253">
        <v>0</v>
      </c>
      <c r="AR51" s="253">
        <v>0</v>
      </c>
      <c r="AS51" s="253">
        <v>1</v>
      </c>
      <c r="AT51" s="245"/>
      <c r="AU51" s="253" t="s">
        <v>605</v>
      </c>
      <c r="AV51" s="253">
        <v>0</v>
      </c>
      <c r="AW51" s="253">
        <v>0</v>
      </c>
      <c r="AX51" s="253">
        <v>0</v>
      </c>
      <c r="AY51" s="253">
        <v>0</v>
      </c>
      <c r="AZ51" s="253">
        <v>1</v>
      </c>
      <c r="BA51" s="245"/>
      <c r="BB51" s="253" t="s">
        <v>613</v>
      </c>
      <c r="BC51" s="253">
        <v>0</v>
      </c>
      <c r="BD51" s="253">
        <v>0</v>
      </c>
      <c r="BE51" s="253">
        <v>0</v>
      </c>
      <c r="BF51" s="253">
        <v>0</v>
      </c>
      <c r="BG51" s="253">
        <v>1</v>
      </c>
      <c r="BH51" s="247" t="s">
        <v>613</v>
      </c>
      <c r="BI51" s="253">
        <v>0</v>
      </c>
      <c r="BJ51" s="253">
        <v>0</v>
      </c>
      <c r="BK51" s="253">
        <v>0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282</v>
      </c>
      <c r="H52" s="223">
        <v>3930.8734101700002</v>
      </c>
      <c r="I52" s="164"/>
      <c r="J52" s="157"/>
      <c r="K52" s="228"/>
      <c r="L52" s="228"/>
      <c r="M52" s="228"/>
      <c r="O52" s="241" t="s">
        <v>285</v>
      </c>
      <c r="P52" s="241">
        <v>323.68463294999998</v>
      </c>
      <c r="Q52" s="239"/>
      <c r="S52" s="253" t="s">
        <v>182</v>
      </c>
      <c r="T52" s="258">
        <v>602042</v>
      </c>
      <c r="U52" s="258">
        <v>16500</v>
      </c>
      <c r="V52" s="258">
        <v>5</v>
      </c>
      <c r="W52" s="258">
        <v>1880974</v>
      </c>
      <c r="X52" s="258">
        <v>1</v>
      </c>
      <c r="Y52" s="245"/>
      <c r="Z52" s="253" t="s">
        <v>584</v>
      </c>
      <c r="AA52" s="253">
        <v>0</v>
      </c>
      <c r="AB52" s="253">
        <v>0</v>
      </c>
      <c r="AC52" s="253">
        <v>0</v>
      </c>
      <c r="AD52" s="253">
        <v>0</v>
      </c>
      <c r="AE52" s="253">
        <v>1</v>
      </c>
      <c r="AF52" s="253"/>
      <c r="AG52" s="253" t="s">
        <v>584</v>
      </c>
      <c r="AH52" s="253">
        <v>0</v>
      </c>
      <c r="AI52" s="253">
        <v>0</v>
      </c>
      <c r="AJ52" s="253">
        <v>0</v>
      </c>
      <c r="AK52" s="253">
        <v>0</v>
      </c>
      <c r="AL52" s="253">
        <v>1</v>
      </c>
      <c r="AM52" s="245"/>
      <c r="AN52" s="253" t="s">
        <v>586</v>
      </c>
      <c r="AO52" s="253">
        <v>10610500.02</v>
      </c>
      <c r="AP52" s="253">
        <v>24</v>
      </c>
      <c r="AQ52" s="253">
        <v>5</v>
      </c>
      <c r="AR52" s="253">
        <v>2867</v>
      </c>
      <c r="AS52" s="253">
        <v>1</v>
      </c>
      <c r="AT52" s="245"/>
      <c r="AU52" s="253" t="s">
        <v>586</v>
      </c>
      <c r="AV52" s="253">
        <v>0</v>
      </c>
      <c r="AW52" s="253">
        <v>0</v>
      </c>
      <c r="AX52" s="253">
        <v>0</v>
      </c>
      <c r="AY52" s="253">
        <v>126</v>
      </c>
      <c r="AZ52" s="253">
        <v>1</v>
      </c>
      <c r="BA52" s="245"/>
      <c r="BB52" s="253" t="s">
        <v>583</v>
      </c>
      <c r="BC52" s="253">
        <v>2390381.25</v>
      </c>
      <c r="BD52" s="253">
        <v>41</v>
      </c>
      <c r="BE52" s="253">
        <v>7</v>
      </c>
      <c r="BF52" s="253">
        <v>1364</v>
      </c>
      <c r="BG52" s="253">
        <v>1</v>
      </c>
      <c r="BH52" s="247" t="s">
        <v>583</v>
      </c>
      <c r="BI52" s="253">
        <v>0</v>
      </c>
      <c r="BJ52" s="253">
        <v>0</v>
      </c>
      <c r="BK52" s="253">
        <v>0</v>
      </c>
      <c r="BL52" s="253">
        <v>42</v>
      </c>
      <c r="BM52" s="253">
        <v>1</v>
      </c>
      <c r="BN52" s="253"/>
      <c r="BO52" s="259" t="s">
        <v>492</v>
      </c>
      <c r="BP52" s="264" t="s">
        <v>537</v>
      </c>
      <c r="BQ52" s="264" t="s">
        <v>562</v>
      </c>
      <c r="BR52" s="264" t="s">
        <v>563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61</v>
      </c>
      <c r="H53" s="223">
        <v>35015.426659179997</v>
      </c>
      <c r="I53" s="164"/>
      <c r="J53" s="157"/>
      <c r="K53" s="228"/>
      <c r="L53" s="228"/>
      <c r="M53" s="228"/>
      <c r="O53" s="241" t="s">
        <v>286</v>
      </c>
      <c r="P53" s="241">
        <v>231.70407501</v>
      </c>
      <c r="Q53" s="239"/>
      <c r="S53" s="253" t="s">
        <v>449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605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605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585</v>
      </c>
      <c r="AO53" s="253">
        <v>377047786.69499999</v>
      </c>
      <c r="AP53" s="253">
        <v>2174</v>
      </c>
      <c r="AQ53" s="253">
        <v>25</v>
      </c>
      <c r="AR53" s="253">
        <v>24176</v>
      </c>
      <c r="AS53" s="253">
        <v>1</v>
      </c>
      <c r="AT53" s="245"/>
      <c r="AU53" s="253" t="s">
        <v>585</v>
      </c>
      <c r="AV53" s="253">
        <v>0</v>
      </c>
      <c r="AW53" s="253">
        <v>0</v>
      </c>
      <c r="AX53" s="253">
        <v>0</v>
      </c>
      <c r="AY53" s="253">
        <v>1310</v>
      </c>
      <c r="AZ53" s="253">
        <v>1</v>
      </c>
      <c r="BA53" s="245"/>
      <c r="BB53" s="253" t="s">
        <v>584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584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22468223736.099998</v>
      </c>
      <c r="BQ53" s="263">
        <v>1593886</v>
      </c>
      <c r="BR53" s="263">
        <v>326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65</v>
      </c>
      <c r="H54" s="223">
        <v>75728.592672319995</v>
      </c>
      <c r="I54" s="164"/>
      <c r="J54" s="157"/>
      <c r="K54" s="228"/>
      <c r="L54" s="228"/>
      <c r="M54" s="228"/>
      <c r="O54" s="241" t="s">
        <v>287</v>
      </c>
      <c r="P54" s="241">
        <v>188.33264958000001</v>
      </c>
      <c r="Q54" s="239"/>
      <c r="S54" s="253" t="s">
        <v>446</v>
      </c>
      <c r="T54" s="258">
        <v>14661909410.5224</v>
      </c>
      <c r="U54" s="258">
        <v>44612</v>
      </c>
      <c r="V54" s="258">
        <v>12493</v>
      </c>
      <c r="W54" s="258">
        <v>828932</v>
      </c>
      <c r="X54" s="258">
        <v>1</v>
      </c>
      <c r="Y54" s="245"/>
      <c r="Z54" s="253" t="s">
        <v>586</v>
      </c>
      <c r="AA54" s="253">
        <v>882000</v>
      </c>
      <c r="AB54" s="253">
        <v>2</v>
      </c>
      <c r="AC54" s="253">
        <v>1</v>
      </c>
      <c r="AD54" s="253">
        <v>2520</v>
      </c>
      <c r="AE54" s="253">
        <v>1</v>
      </c>
      <c r="AF54" s="253"/>
      <c r="AG54" s="253" t="s">
        <v>586</v>
      </c>
      <c r="AH54" s="253">
        <v>0</v>
      </c>
      <c r="AI54" s="253">
        <v>0</v>
      </c>
      <c r="AJ54" s="253">
        <v>0</v>
      </c>
      <c r="AK54" s="253">
        <v>126</v>
      </c>
      <c r="AL54" s="253">
        <v>1</v>
      </c>
      <c r="AM54" s="245"/>
      <c r="AN54" s="253" t="s">
        <v>581</v>
      </c>
      <c r="AO54" s="253">
        <v>4388409.5</v>
      </c>
      <c r="AP54" s="253">
        <v>51</v>
      </c>
      <c r="AQ54" s="253">
        <v>7</v>
      </c>
      <c r="AR54" s="253">
        <v>483</v>
      </c>
      <c r="AS54" s="253">
        <v>1</v>
      </c>
      <c r="AT54" s="245"/>
      <c r="AU54" s="253" t="s">
        <v>581</v>
      </c>
      <c r="AV54" s="253">
        <v>0</v>
      </c>
      <c r="AW54" s="253">
        <v>0</v>
      </c>
      <c r="AX54" s="253">
        <v>0</v>
      </c>
      <c r="AY54" s="253">
        <v>29</v>
      </c>
      <c r="AZ54" s="253">
        <v>1</v>
      </c>
      <c r="BA54" s="245"/>
      <c r="BB54" s="253" t="s">
        <v>586</v>
      </c>
      <c r="BC54" s="253">
        <v>5992838</v>
      </c>
      <c r="BD54" s="253">
        <v>12</v>
      </c>
      <c r="BE54" s="253">
        <v>2</v>
      </c>
      <c r="BF54" s="253">
        <v>17</v>
      </c>
      <c r="BG54" s="253">
        <v>1</v>
      </c>
      <c r="BH54" s="247" t="s">
        <v>586</v>
      </c>
      <c r="BI54" s="253">
        <v>0</v>
      </c>
      <c r="BJ54" s="253">
        <v>0</v>
      </c>
      <c r="BK54" s="253">
        <v>0</v>
      </c>
      <c r="BL54" s="253">
        <v>1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67</v>
      </c>
      <c r="H55" s="223">
        <v>15108.12248589</v>
      </c>
      <c r="I55" s="164"/>
      <c r="J55" s="157"/>
      <c r="K55" s="228"/>
      <c r="L55" s="228"/>
      <c r="M55" s="228"/>
      <c r="O55" s="241" t="s">
        <v>288</v>
      </c>
      <c r="P55" s="241">
        <v>419.09346475000001</v>
      </c>
      <c r="Q55" s="239"/>
      <c r="S55" s="253" t="s">
        <v>451</v>
      </c>
      <c r="T55" s="258">
        <v>0</v>
      </c>
      <c r="U55" s="258">
        <v>0</v>
      </c>
      <c r="V55" s="258">
        <v>0</v>
      </c>
      <c r="W55" s="258">
        <v>301241</v>
      </c>
      <c r="X55" s="258">
        <v>1</v>
      </c>
      <c r="Y55" s="245"/>
      <c r="Z55" s="253" t="s">
        <v>585</v>
      </c>
      <c r="AA55" s="253">
        <v>25013350.899999999</v>
      </c>
      <c r="AB55" s="253">
        <v>142</v>
      </c>
      <c r="AC55" s="253">
        <v>25</v>
      </c>
      <c r="AD55" s="253">
        <v>26113</v>
      </c>
      <c r="AE55" s="253">
        <v>1</v>
      </c>
      <c r="AF55" s="253"/>
      <c r="AG55" s="253" t="s">
        <v>585</v>
      </c>
      <c r="AH55" s="253">
        <v>176530</v>
      </c>
      <c r="AI55" s="253">
        <v>1</v>
      </c>
      <c r="AJ55" s="253">
        <v>1</v>
      </c>
      <c r="AK55" s="253">
        <v>1310</v>
      </c>
      <c r="AL55" s="253">
        <v>1</v>
      </c>
      <c r="AM55" s="245"/>
      <c r="AN55" s="253" t="s">
        <v>606</v>
      </c>
      <c r="AO55" s="253">
        <v>6929039.9299999997</v>
      </c>
      <c r="AP55" s="253">
        <v>71</v>
      </c>
      <c r="AQ55" s="253">
        <v>29</v>
      </c>
      <c r="AR55" s="253">
        <v>667</v>
      </c>
      <c r="AS55" s="253">
        <v>1</v>
      </c>
      <c r="AT55" s="245"/>
      <c r="AU55" s="253" t="s">
        <v>606</v>
      </c>
      <c r="AV55" s="253">
        <v>0</v>
      </c>
      <c r="AW55" s="253">
        <v>0</v>
      </c>
      <c r="AX55" s="253">
        <v>0</v>
      </c>
      <c r="AY55" s="253">
        <v>25</v>
      </c>
      <c r="AZ55" s="253">
        <v>1</v>
      </c>
      <c r="BA55" s="245"/>
      <c r="BB55" s="253" t="s">
        <v>585</v>
      </c>
      <c r="BC55" s="253">
        <v>115587978.347</v>
      </c>
      <c r="BD55" s="253">
        <v>615</v>
      </c>
      <c r="BE55" s="253">
        <v>30</v>
      </c>
      <c r="BF55" s="253">
        <v>9533</v>
      </c>
      <c r="BG55" s="253">
        <v>1</v>
      </c>
      <c r="BH55" s="247" t="s">
        <v>585</v>
      </c>
      <c r="BI55" s="253">
        <v>0</v>
      </c>
      <c r="BJ55" s="253">
        <v>0</v>
      </c>
      <c r="BK55" s="253">
        <v>0</v>
      </c>
      <c r="BL55" s="253">
        <v>455</v>
      </c>
      <c r="BM55" s="253">
        <v>1</v>
      </c>
      <c r="BN55" s="253"/>
      <c r="BO55" s="256" t="s">
        <v>493</v>
      </c>
      <c r="BP55" s="264" t="s">
        <v>616</v>
      </c>
      <c r="BQ55" s="264" t="s">
        <v>564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69</v>
      </c>
      <c r="H56" s="223">
        <v>78153.621633329996</v>
      </c>
      <c r="I56" s="164"/>
      <c r="J56" s="157"/>
      <c r="K56" s="228"/>
      <c r="L56" s="228"/>
      <c r="M56" s="228"/>
      <c r="O56" s="241" t="s">
        <v>289</v>
      </c>
      <c r="P56" s="241">
        <v>8240.6094386700006</v>
      </c>
      <c r="Q56" s="239"/>
      <c r="S56" s="253" t="s">
        <v>450</v>
      </c>
      <c r="T56" s="258">
        <v>0</v>
      </c>
      <c r="U56" s="258">
        <v>409</v>
      </c>
      <c r="V56" s="258">
        <v>1</v>
      </c>
      <c r="W56" s="258">
        <v>11899416</v>
      </c>
      <c r="X56" s="258">
        <v>1</v>
      </c>
      <c r="Y56" s="245"/>
      <c r="Z56" s="253" t="s">
        <v>581</v>
      </c>
      <c r="AA56" s="253">
        <v>1441825</v>
      </c>
      <c r="AB56" s="253">
        <v>16</v>
      </c>
      <c r="AC56" s="253">
        <v>5</v>
      </c>
      <c r="AD56" s="253">
        <v>361</v>
      </c>
      <c r="AE56" s="253">
        <v>1</v>
      </c>
      <c r="AF56" s="253"/>
      <c r="AG56" s="253" t="s">
        <v>581</v>
      </c>
      <c r="AH56" s="253">
        <v>0</v>
      </c>
      <c r="AI56" s="253">
        <v>0</v>
      </c>
      <c r="AJ56" s="253">
        <v>0</v>
      </c>
      <c r="AK56" s="253">
        <v>16</v>
      </c>
      <c r="AL56" s="253">
        <v>1</v>
      </c>
      <c r="AM56" s="245"/>
      <c r="AN56" s="253" t="s">
        <v>590</v>
      </c>
      <c r="AO56" s="253">
        <v>10091450</v>
      </c>
      <c r="AP56" s="253">
        <v>40</v>
      </c>
      <c r="AQ56" s="253">
        <v>2</v>
      </c>
      <c r="AR56" s="253">
        <v>1980</v>
      </c>
      <c r="AS56" s="253">
        <v>1</v>
      </c>
      <c r="AT56" s="245"/>
      <c r="AU56" s="253" t="s">
        <v>590</v>
      </c>
      <c r="AV56" s="253">
        <v>0</v>
      </c>
      <c r="AW56" s="253">
        <v>0</v>
      </c>
      <c r="AX56" s="253">
        <v>0</v>
      </c>
      <c r="AY56" s="253">
        <v>90</v>
      </c>
      <c r="AZ56" s="253">
        <v>1</v>
      </c>
      <c r="BA56" s="245"/>
      <c r="BB56" s="253" t="s">
        <v>581</v>
      </c>
      <c r="BC56" s="253">
        <v>1161775</v>
      </c>
      <c r="BD56" s="253">
        <v>12</v>
      </c>
      <c r="BE56" s="253">
        <v>9</v>
      </c>
      <c r="BF56" s="253">
        <v>1658</v>
      </c>
      <c r="BG56" s="253">
        <v>1</v>
      </c>
      <c r="BH56" s="247" t="s">
        <v>581</v>
      </c>
      <c r="BI56" s="253">
        <v>393000</v>
      </c>
      <c r="BJ56" s="253">
        <v>4</v>
      </c>
      <c r="BK56" s="253">
        <v>2</v>
      </c>
      <c r="BL56" s="253">
        <v>82</v>
      </c>
      <c r="BM56" s="253">
        <v>1</v>
      </c>
      <c r="BN56" s="253"/>
      <c r="BO56" s="247"/>
      <c r="BP56" s="263" t="s">
        <v>617</v>
      </c>
      <c r="BQ56" s="263">
        <v>3462332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115</v>
      </c>
      <c r="H57" s="223">
        <v>1168.9173940600001</v>
      </c>
      <c r="I57" s="164"/>
      <c r="J57" s="157"/>
      <c r="K57" s="228"/>
      <c r="L57" s="228"/>
      <c r="M57" s="228"/>
      <c r="O57" s="241" t="s">
        <v>290</v>
      </c>
      <c r="P57" s="241">
        <v>881.61322364</v>
      </c>
      <c r="Q57" s="239"/>
      <c r="S57" s="253" t="s">
        <v>448</v>
      </c>
      <c r="T57" s="258">
        <v>0</v>
      </c>
      <c r="U57" s="258">
        <v>8454</v>
      </c>
      <c r="V57" s="258">
        <v>139</v>
      </c>
      <c r="W57" s="258">
        <v>961654</v>
      </c>
      <c r="X57" s="258">
        <v>1</v>
      </c>
      <c r="Y57" s="245"/>
      <c r="Z57" s="253" t="s">
        <v>606</v>
      </c>
      <c r="AA57" s="253">
        <v>6496969.9199999999</v>
      </c>
      <c r="AB57" s="253">
        <v>66</v>
      </c>
      <c r="AC57" s="253">
        <v>27</v>
      </c>
      <c r="AD57" s="253">
        <v>921</v>
      </c>
      <c r="AE57" s="253">
        <v>1</v>
      </c>
      <c r="AF57" s="253"/>
      <c r="AG57" s="253" t="s">
        <v>606</v>
      </c>
      <c r="AH57" s="253">
        <v>0</v>
      </c>
      <c r="AI57" s="253">
        <v>0</v>
      </c>
      <c r="AJ57" s="253">
        <v>0</v>
      </c>
      <c r="AK57" s="253">
        <v>55</v>
      </c>
      <c r="AL57" s="253">
        <v>1</v>
      </c>
      <c r="AM57" s="245"/>
      <c r="AN57" s="253" t="s">
        <v>591</v>
      </c>
      <c r="AO57" s="253">
        <v>8306750</v>
      </c>
      <c r="AP57" s="253">
        <v>175</v>
      </c>
      <c r="AQ57" s="253">
        <v>7</v>
      </c>
      <c r="AR57" s="253">
        <v>1330</v>
      </c>
      <c r="AS57" s="253">
        <v>1</v>
      </c>
      <c r="AT57" s="245"/>
      <c r="AU57" s="253" t="s">
        <v>591</v>
      </c>
      <c r="AV57" s="253">
        <v>0</v>
      </c>
      <c r="AW57" s="253">
        <v>0</v>
      </c>
      <c r="AX57" s="253">
        <v>0</v>
      </c>
      <c r="AY57" s="253">
        <v>70</v>
      </c>
      <c r="AZ57" s="253">
        <v>1</v>
      </c>
      <c r="BA57" s="245"/>
      <c r="BB57" s="253" t="s">
        <v>606</v>
      </c>
      <c r="BC57" s="253">
        <v>4425380</v>
      </c>
      <c r="BD57" s="253">
        <v>41</v>
      </c>
      <c r="BE57" s="253">
        <v>8</v>
      </c>
      <c r="BF57" s="253">
        <v>223</v>
      </c>
      <c r="BG57" s="253">
        <v>1</v>
      </c>
      <c r="BH57" s="247" t="s">
        <v>606</v>
      </c>
      <c r="BI57" s="253">
        <v>0</v>
      </c>
      <c r="BJ57" s="253">
        <v>0</v>
      </c>
      <c r="BK57" s="253">
        <v>0</v>
      </c>
      <c r="BL57" s="253">
        <v>21</v>
      </c>
      <c r="BM57" s="253">
        <v>1</v>
      </c>
      <c r="BN57" s="253"/>
      <c r="BO57" s="247"/>
      <c r="BP57" s="263" t="s">
        <v>618</v>
      </c>
      <c r="BQ57" s="263">
        <v>1772228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283</v>
      </c>
      <c r="H58" s="223">
        <v>403.83125308000001</v>
      </c>
      <c r="I58" s="164"/>
      <c r="J58" s="157"/>
      <c r="K58" s="228"/>
      <c r="L58" s="228"/>
      <c r="M58" s="228"/>
      <c r="O58" s="241" t="s">
        <v>95</v>
      </c>
      <c r="P58" s="241">
        <v>653.30403851999995</v>
      </c>
      <c r="Q58" s="239"/>
      <c r="S58" s="245"/>
      <c r="T58" s="245"/>
      <c r="U58" s="245"/>
      <c r="V58" s="245"/>
      <c r="W58" s="245"/>
      <c r="X58" s="245"/>
      <c r="Y58" s="245"/>
      <c r="Z58" s="253" t="s">
        <v>590</v>
      </c>
      <c r="AA58" s="253">
        <v>0</v>
      </c>
      <c r="AB58" s="253">
        <v>0</v>
      </c>
      <c r="AC58" s="253">
        <v>0</v>
      </c>
      <c r="AD58" s="253">
        <v>1800</v>
      </c>
      <c r="AE58" s="253">
        <v>1</v>
      </c>
      <c r="AF58" s="253"/>
      <c r="AG58" s="253" t="s">
        <v>590</v>
      </c>
      <c r="AH58" s="253">
        <v>0</v>
      </c>
      <c r="AI58" s="253">
        <v>0</v>
      </c>
      <c r="AJ58" s="253">
        <v>0</v>
      </c>
      <c r="AK58" s="253">
        <v>90</v>
      </c>
      <c r="AL58" s="253">
        <v>1</v>
      </c>
      <c r="AM58" s="245"/>
      <c r="AN58" s="253" t="s">
        <v>567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567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590</v>
      </c>
      <c r="BC58" s="253">
        <v>806500</v>
      </c>
      <c r="BD58" s="253">
        <v>3</v>
      </c>
      <c r="BE58" s="253">
        <v>3</v>
      </c>
      <c r="BF58" s="253">
        <v>62</v>
      </c>
      <c r="BG58" s="253">
        <v>1</v>
      </c>
      <c r="BH58" s="247" t="s">
        <v>590</v>
      </c>
      <c r="BI58" s="253">
        <v>0</v>
      </c>
      <c r="BJ58" s="253">
        <v>0</v>
      </c>
      <c r="BK58" s="253">
        <v>0</v>
      </c>
      <c r="BL58" s="253">
        <v>3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284</v>
      </c>
      <c r="H59" s="223">
        <v>20.822979520000001</v>
      </c>
      <c r="I59" s="164"/>
      <c r="J59" s="157"/>
      <c r="K59" s="228"/>
      <c r="L59" s="228"/>
      <c r="M59" s="228"/>
      <c r="O59" s="241" t="s">
        <v>97</v>
      </c>
      <c r="P59" s="241">
        <v>525.92576029999998</v>
      </c>
      <c r="Q59" s="239"/>
      <c r="S59" s="245"/>
      <c r="T59" s="245"/>
      <c r="U59" s="245"/>
      <c r="V59" s="245"/>
      <c r="W59" s="245"/>
      <c r="X59" s="245"/>
      <c r="Y59" s="245"/>
      <c r="Z59" s="253" t="s">
        <v>591</v>
      </c>
      <c r="AA59" s="253">
        <v>7295112.5</v>
      </c>
      <c r="AB59" s="253">
        <v>151</v>
      </c>
      <c r="AC59" s="253">
        <v>3</v>
      </c>
      <c r="AD59" s="253">
        <v>442</v>
      </c>
      <c r="AE59" s="253">
        <v>1</v>
      </c>
      <c r="AF59" s="253"/>
      <c r="AG59" s="253" t="s">
        <v>591</v>
      </c>
      <c r="AH59" s="253">
        <v>0</v>
      </c>
      <c r="AI59" s="253">
        <v>0</v>
      </c>
      <c r="AJ59" s="253">
        <v>0</v>
      </c>
      <c r="AK59" s="253">
        <v>1</v>
      </c>
      <c r="AL59" s="253">
        <v>1</v>
      </c>
      <c r="AM59" s="245"/>
      <c r="AN59" s="253" t="s">
        <v>582</v>
      </c>
      <c r="AO59" s="253">
        <v>0</v>
      </c>
      <c r="AP59" s="253">
        <v>0</v>
      </c>
      <c r="AQ59" s="253">
        <v>0</v>
      </c>
      <c r="AR59" s="253">
        <v>0</v>
      </c>
      <c r="AS59" s="253">
        <v>0</v>
      </c>
      <c r="AT59" s="245"/>
      <c r="AU59" s="253" t="s">
        <v>582</v>
      </c>
      <c r="AV59" s="253">
        <v>0</v>
      </c>
      <c r="AW59" s="253">
        <v>0</v>
      </c>
      <c r="AX59" s="253">
        <v>0</v>
      </c>
      <c r="AY59" s="253">
        <v>0</v>
      </c>
      <c r="AZ59" s="253">
        <v>0</v>
      </c>
      <c r="BA59" s="245"/>
      <c r="BB59" s="253" t="s">
        <v>591</v>
      </c>
      <c r="BC59" s="253">
        <v>390536950</v>
      </c>
      <c r="BD59" s="253">
        <v>8001</v>
      </c>
      <c r="BE59" s="253">
        <v>8</v>
      </c>
      <c r="BF59" s="253">
        <v>11009</v>
      </c>
      <c r="BG59" s="253">
        <v>1</v>
      </c>
      <c r="BH59" s="247" t="s">
        <v>591</v>
      </c>
      <c r="BI59" s="253">
        <v>0</v>
      </c>
      <c r="BJ59" s="253">
        <v>0</v>
      </c>
      <c r="BK59" s="253">
        <v>0</v>
      </c>
      <c r="BL59" s="253">
        <v>1</v>
      </c>
      <c r="BM59" s="253">
        <v>1</v>
      </c>
      <c r="BN59" s="253"/>
      <c r="BO59" s="256" t="s">
        <v>475</v>
      </c>
      <c r="BP59" s="264" t="s">
        <v>537</v>
      </c>
      <c r="BQ59" s="264" t="s">
        <v>562</v>
      </c>
      <c r="BR59" s="264" t="s">
        <v>563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285</v>
      </c>
      <c r="H60" s="223">
        <v>343.42188779000003</v>
      </c>
      <c r="I60" s="164"/>
      <c r="J60" s="157"/>
      <c r="K60" s="228"/>
      <c r="L60" s="228"/>
      <c r="M60" s="228"/>
      <c r="O60" s="241" t="s">
        <v>293</v>
      </c>
      <c r="P60" s="241">
        <v>84069.906424910005</v>
      </c>
      <c r="Q60" s="239"/>
      <c r="R60" s="153" t="s">
        <v>456</v>
      </c>
      <c r="S60" s="254" t="s">
        <v>560</v>
      </c>
      <c r="T60" s="257" t="s">
        <v>561</v>
      </c>
      <c r="U60" s="257" t="s">
        <v>562</v>
      </c>
      <c r="V60" s="257" t="s">
        <v>563</v>
      </c>
      <c r="W60" s="257" t="s">
        <v>564</v>
      </c>
      <c r="X60" s="257" t="s">
        <v>565</v>
      </c>
      <c r="Y60" s="245"/>
      <c r="Z60" s="253" t="s">
        <v>567</v>
      </c>
      <c r="AA60" s="253">
        <v>746187.5</v>
      </c>
      <c r="AB60" s="253">
        <v>10</v>
      </c>
      <c r="AC60" s="253">
        <v>2</v>
      </c>
      <c r="AD60" s="253">
        <v>25</v>
      </c>
      <c r="AE60" s="253">
        <v>1</v>
      </c>
      <c r="AF60" s="253"/>
      <c r="AG60" s="253" t="s">
        <v>567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570</v>
      </c>
      <c r="AO60" s="253">
        <v>0</v>
      </c>
      <c r="AP60" s="253">
        <v>0</v>
      </c>
      <c r="AQ60" s="253">
        <v>0</v>
      </c>
      <c r="AR60" s="253">
        <v>0</v>
      </c>
      <c r="AS60" s="253">
        <v>0</v>
      </c>
      <c r="AT60" s="245"/>
      <c r="AU60" s="253" t="s">
        <v>570</v>
      </c>
      <c r="AV60" s="253">
        <v>0</v>
      </c>
      <c r="AW60" s="253">
        <v>0</v>
      </c>
      <c r="AX60" s="253">
        <v>0</v>
      </c>
      <c r="AY60" s="253">
        <v>0</v>
      </c>
      <c r="AZ60" s="253">
        <v>0</v>
      </c>
      <c r="BA60" s="245"/>
      <c r="BB60" s="253" t="s">
        <v>567</v>
      </c>
      <c r="BC60" s="253">
        <v>1440650</v>
      </c>
      <c r="BD60" s="253">
        <v>27</v>
      </c>
      <c r="BE60" s="253">
        <v>3</v>
      </c>
      <c r="BF60" s="253">
        <v>655</v>
      </c>
      <c r="BG60" s="253">
        <v>1</v>
      </c>
      <c r="BH60" s="247" t="s">
        <v>567</v>
      </c>
      <c r="BI60" s="253">
        <v>0</v>
      </c>
      <c r="BJ60" s="253">
        <v>0</v>
      </c>
      <c r="BK60" s="253">
        <v>0</v>
      </c>
      <c r="BL60" s="253">
        <v>15</v>
      </c>
      <c r="BM60" s="253">
        <v>1</v>
      </c>
      <c r="BN60" s="253"/>
      <c r="BO60" s="247"/>
      <c r="BP60" s="263">
        <v>487650499549.40002</v>
      </c>
      <c r="BQ60" s="263">
        <v>35842498</v>
      </c>
      <c r="BR60" s="263">
        <v>47958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286</v>
      </c>
      <c r="H61" s="223">
        <v>254.7706944</v>
      </c>
      <c r="I61" s="164"/>
      <c r="J61" s="157"/>
      <c r="K61" s="228"/>
      <c r="L61" s="228"/>
      <c r="M61" s="228"/>
      <c r="O61" s="241" t="s">
        <v>99</v>
      </c>
      <c r="P61" s="241">
        <v>20184.429523030001</v>
      </c>
      <c r="Q61" s="239"/>
      <c r="R61" s="157"/>
      <c r="S61" s="253" t="s">
        <v>449</v>
      </c>
      <c r="T61" s="258">
        <v>4335900997.9742002</v>
      </c>
      <c r="U61" s="258">
        <v>23982658</v>
      </c>
      <c r="V61" s="258">
        <v>695</v>
      </c>
      <c r="W61" s="258">
        <v>19149275</v>
      </c>
      <c r="X61" s="258">
        <v>1</v>
      </c>
      <c r="Y61" s="245"/>
      <c r="Z61" s="253" t="s">
        <v>582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582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607</v>
      </c>
      <c r="AO61" s="253">
        <v>0</v>
      </c>
      <c r="AP61" s="253">
        <v>0</v>
      </c>
      <c r="AQ61" s="253">
        <v>0</v>
      </c>
      <c r="AR61" s="253">
        <v>660</v>
      </c>
      <c r="AS61" s="253">
        <v>0</v>
      </c>
      <c r="AT61" s="245"/>
      <c r="AU61" s="253" t="s">
        <v>607</v>
      </c>
      <c r="AV61" s="253">
        <v>0</v>
      </c>
      <c r="AW61" s="253">
        <v>0</v>
      </c>
      <c r="AX61" s="253">
        <v>0</v>
      </c>
      <c r="AY61" s="253">
        <v>30</v>
      </c>
      <c r="AZ61" s="253">
        <v>0</v>
      </c>
      <c r="BA61" s="245"/>
      <c r="BB61" s="253" t="s">
        <v>582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582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287</v>
      </c>
      <c r="H62" s="223">
        <v>201.32410985999999</v>
      </c>
      <c r="I62" s="164"/>
      <c r="J62" s="157"/>
      <c r="K62" s="228"/>
      <c r="L62" s="228"/>
      <c r="M62" s="228"/>
      <c r="O62" s="241" t="s">
        <v>294</v>
      </c>
      <c r="P62" s="241">
        <v>222.46856237</v>
      </c>
      <c r="Q62" s="239"/>
      <c r="R62" s="157"/>
      <c r="S62" s="253" t="s">
        <v>447</v>
      </c>
      <c r="T62" s="258">
        <v>558920123.36000001</v>
      </c>
      <c r="U62" s="258">
        <v>1252891</v>
      </c>
      <c r="V62" s="258">
        <v>849</v>
      </c>
      <c r="W62" s="258">
        <v>1271559</v>
      </c>
      <c r="X62" s="258">
        <v>0</v>
      </c>
      <c r="Y62" s="245"/>
      <c r="Z62" s="253" t="s">
        <v>570</v>
      </c>
      <c r="AA62" s="253">
        <v>0</v>
      </c>
      <c r="AB62" s="253">
        <v>0</v>
      </c>
      <c r="AC62" s="253">
        <v>0</v>
      </c>
      <c r="AD62" s="253">
        <v>0</v>
      </c>
      <c r="AE62" s="253">
        <v>0</v>
      </c>
      <c r="AF62" s="253"/>
      <c r="AG62" s="253" t="s">
        <v>570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608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608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570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570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562</v>
      </c>
      <c r="BR62" s="264" t="s">
        <v>563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288</v>
      </c>
      <c r="H63" s="223">
        <v>441.13609058999998</v>
      </c>
      <c r="I63" s="164"/>
      <c r="J63" s="157"/>
      <c r="K63" s="228"/>
      <c r="L63" s="228"/>
      <c r="M63" s="228"/>
      <c r="O63" s="241" t="s">
        <v>295</v>
      </c>
      <c r="P63" s="241">
        <v>10546.325617189999</v>
      </c>
      <c r="Q63" s="239"/>
      <c r="R63" s="157"/>
      <c r="S63" s="253" t="s">
        <v>451</v>
      </c>
      <c r="T63" s="258">
        <v>95568814.219999999</v>
      </c>
      <c r="U63" s="258">
        <v>149076</v>
      </c>
      <c r="V63" s="258">
        <v>84</v>
      </c>
      <c r="W63" s="258">
        <v>508592</v>
      </c>
      <c r="X63" s="258">
        <v>0</v>
      </c>
      <c r="Y63" s="245"/>
      <c r="Z63" s="253" t="s">
        <v>607</v>
      </c>
      <c r="AA63" s="253">
        <v>221288</v>
      </c>
      <c r="AB63" s="253">
        <v>50</v>
      </c>
      <c r="AC63" s="253">
        <v>4</v>
      </c>
      <c r="AD63" s="253">
        <v>630</v>
      </c>
      <c r="AE63" s="253">
        <v>0</v>
      </c>
      <c r="AF63" s="253"/>
      <c r="AG63" s="253" t="s">
        <v>607</v>
      </c>
      <c r="AH63" s="253">
        <v>0</v>
      </c>
      <c r="AI63" s="253">
        <v>0</v>
      </c>
      <c r="AJ63" s="253">
        <v>0</v>
      </c>
      <c r="AK63" s="253">
        <v>40</v>
      </c>
      <c r="AL63" s="253">
        <v>0</v>
      </c>
      <c r="AM63" s="245"/>
      <c r="AN63" s="253" t="s">
        <v>571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571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607</v>
      </c>
      <c r="BC63" s="253">
        <v>78200</v>
      </c>
      <c r="BD63" s="253">
        <v>40</v>
      </c>
      <c r="BE63" s="253">
        <v>4</v>
      </c>
      <c r="BF63" s="253">
        <v>700</v>
      </c>
      <c r="BG63" s="253">
        <v>0</v>
      </c>
      <c r="BH63" s="247" t="s">
        <v>607</v>
      </c>
      <c r="BI63" s="253">
        <v>0</v>
      </c>
      <c r="BJ63" s="253">
        <v>0</v>
      </c>
      <c r="BK63" s="253">
        <v>0</v>
      </c>
      <c r="BL63" s="253">
        <v>40</v>
      </c>
      <c r="BM63" s="253">
        <v>0</v>
      </c>
      <c r="BN63" s="253"/>
      <c r="BO63" s="251"/>
      <c r="BP63" s="263">
        <v>162176544324.60001</v>
      </c>
      <c r="BQ63" s="263">
        <v>11652474</v>
      </c>
      <c r="BR63" s="263">
        <v>2522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289</v>
      </c>
      <c r="H64" s="223">
        <v>8115.6106448500004</v>
      </c>
      <c r="I64" s="164"/>
      <c r="J64" s="3"/>
      <c r="K64" s="228"/>
      <c r="L64" s="228"/>
      <c r="M64" s="228"/>
      <c r="O64" s="241" t="s">
        <v>296</v>
      </c>
      <c r="P64" s="241">
        <v>9960.6663038299994</v>
      </c>
      <c r="Q64" s="239"/>
      <c r="R64" s="157"/>
      <c r="S64" s="253" t="s">
        <v>446</v>
      </c>
      <c r="T64" s="258">
        <v>4270433241.8400002</v>
      </c>
      <c r="U64" s="258">
        <v>457799</v>
      </c>
      <c r="V64" s="258">
        <v>1700</v>
      </c>
      <c r="W64" s="258">
        <v>745632</v>
      </c>
      <c r="X64" s="258">
        <v>0</v>
      </c>
      <c r="Y64" s="245"/>
      <c r="Z64" s="253" t="s">
        <v>608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608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609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609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608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608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290</v>
      </c>
      <c r="H65" s="223">
        <v>866.15373050000005</v>
      </c>
      <c r="I65" s="164"/>
      <c r="J65" s="3"/>
      <c r="K65" s="228"/>
      <c r="L65" s="228"/>
      <c r="M65" s="228"/>
      <c r="O65" s="241" t="s">
        <v>297</v>
      </c>
      <c r="P65" s="241">
        <v>181.48620283</v>
      </c>
      <c r="Q65" s="239"/>
      <c r="R65" s="157"/>
      <c r="S65" s="253" t="s">
        <v>566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571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571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572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572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571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571</v>
      </c>
      <c r="BI65" s="253">
        <v>0</v>
      </c>
      <c r="BJ65" s="253">
        <v>0</v>
      </c>
      <c r="BK65" s="253">
        <v>0</v>
      </c>
      <c r="BL65" s="253">
        <v>0</v>
      </c>
      <c r="BM65" s="253">
        <v>0</v>
      </c>
      <c r="BN65" s="253"/>
      <c r="BO65" s="256" t="s">
        <v>476</v>
      </c>
      <c r="BP65" s="264" t="s">
        <v>537</v>
      </c>
      <c r="BQ65" s="264" t="s">
        <v>562</v>
      </c>
      <c r="BR65" s="264" t="s">
        <v>563</v>
      </c>
    </row>
    <row r="66" spans="1:70" x14ac:dyDescent="0.2">
      <c r="A66" s="83"/>
      <c r="B66" s="190" t="s">
        <v>271</v>
      </c>
      <c r="C66" s="193">
        <v>42761</v>
      </c>
      <c r="D66" s="190">
        <v>10880.162418039999</v>
      </c>
      <c r="E66" s="223">
        <v>1</v>
      </c>
      <c r="F66" s="220"/>
      <c r="G66" s="223" t="s">
        <v>95</v>
      </c>
      <c r="H66" s="223">
        <v>648.65662951000002</v>
      </c>
      <c r="I66" s="164"/>
      <c r="J66" s="3"/>
      <c r="K66" s="228"/>
      <c r="L66" s="228"/>
      <c r="M66" s="228"/>
      <c r="O66" s="241" t="s">
        <v>298</v>
      </c>
      <c r="P66" s="241">
        <v>13463.03851108</v>
      </c>
      <c r="Q66" s="239"/>
      <c r="R66" s="157"/>
      <c r="S66" s="253" t="s">
        <v>447</v>
      </c>
      <c r="T66" s="258">
        <v>33889965637.779999</v>
      </c>
      <c r="U66" s="258">
        <v>2083343</v>
      </c>
      <c r="V66" s="258">
        <v>10426</v>
      </c>
      <c r="W66" s="258">
        <v>819242</v>
      </c>
      <c r="X66" s="258">
        <v>1</v>
      </c>
      <c r="Y66" s="245"/>
      <c r="Z66" s="253" t="s">
        <v>609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609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610</v>
      </c>
      <c r="AO66" s="253">
        <v>0</v>
      </c>
      <c r="AP66" s="253">
        <v>0</v>
      </c>
      <c r="AQ66" s="253">
        <v>0</v>
      </c>
      <c r="AR66" s="253">
        <v>0</v>
      </c>
      <c r="AS66" s="253">
        <v>1</v>
      </c>
      <c r="AT66" s="245"/>
      <c r="AU66" s="253" t="s">
        <v>610</v>
      </c>
      <c r="AV66" s="253">
        <v>0</v>
      </c>
      <c r="AW66" s="253">
        <v>0</v>
      </c>
      <c r="AX66" s="253">
        <v>0</v>
      </c>
      <c r="AY66" s="253">
        <v>0</v>
      </c>
      <c r="AZ66" s="253">
        <v>1</v>
      </c>
      <c r="BA66" s="245"/>
      <c r="BB66" s="253" t="s">
        <v>609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609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416256302768.49994</v>
      </c>
      <c r="BQ66" s="263">
        <v>26876402</v>
      </c>
      <c r="BR66" s="263">
        <v>52544</v>
      </c>
    </row>
    <row r="67" spans="1:70" x14ac:dyDescent="0.2">
      <c r="A67" s="83"/>
      <c r="B67" s="190" t="s">
        <v>272</v>
      </c>
      <c r="C67" s="193">
        <v>42972</v>
      </c>
      <c r="D67" s="190">
        <v>11053.906936359999</v>
      </c>
      <c r="E67" s="223">
        <v>1</v>
      </c>
      <c r="F67" s="213"/>
      <c r="G67" s="223" t="s">
        <v>97</v>
      </c>
      <c r="H67" s="223">
        <v>524.0559164</v>
      </c>
      <c r="I67" s="164"/>
      <c r="J67" s="3"/>
      <c r="K67" s="228"/>
      <c r="L67" s="228"/>
      <c r="M67" s="228"/>
      <c r="O67" s="241" t="s">
        <v>299</v>
      </c>
      <c r="P67" s="241">
        <v>5992.90591597</v>
      </c>
      <c r="Q67" s="239"/>
      <c r="R67" s="157"/>
      <c r="S67" s="253" t="s">
        <v>182</v>
      </c>
      <c r="T67" s="258">
        <v>92822877.038000003</v>
      </c>
      <c r="U67" s="258">
        <v>709092</v>
      </c>
      <c r="V67" s="258">
        <v>309</v>
      </c>
      <c r="W67" s="258">
        <v>1258426</v>
      </c>
      <c r="X67" s="258">
        <v>1</v>
      </c>
      <c r="Y67" s="245"/>
      <c r="Z67" s="253" t="s">
        <v>572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572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608</v>
      </c>
      <c r="AO67" s="253">
        <v>41037046.149999999</v>
      </c>
      <c r="AP67" s="253">
        <v>353</v>
      </c>
      <c r="AQ67" s="253">
        <v>9</v>
      </c>
      <c r="AR67" s="253">
        <v>5548</v>
      </c>
      <c r="AS67" s="253">
        <v>1</v>
      </c>
      <c r="AT67" s="245"/>
      <c r="AU67" s="253" t="s">
        <v>608</v>
      </c>
      <c r="AV67" s="253">
        <v>0</v>
      </c>
      <c r="AW67" s="253">
        <v>0</v>
      </c>
      <c r="AX67" s="253">
        <v>0</v>
      </c>
      <c r="AY67" s="253">
        <v>371</v>
      </c>
      <c r="AZ67" s="253">
        <v>1</v>
      </c>
      <c r="BA67" s="245"/>
      <c r="BB67" s="253" t="s">
        <v>572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572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293</v>
      </c>
      <c r="H68" s="223">
        <v>83416.333804590002</v>
      </c>
      <c r="I68" s="164"/>
      <c r="J68" s="3"/>
      <c r="K68" s="228"/>
      <c r="L68" s="228"/>
      <c r="M68" s="228"/>
      <c r="O68" s="241" t="s">
        <v>300</v>
      </c>
      <c r="P68" s="241">
        <v>183.41511209999999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610</v>
      </c>
      <c r="AA68" s="253">
        <v>0</v>
      </c>
      <c r="AB68" s="253">
        <v>0</v>
      </c>
      <c r="AC68" s="253">
        <v>0</v>
      </c>
      <c r="AD68" s="253">
        <v>0</v>
      </c>
      <c r="AE68" s="253">
        <v>1</v>
      </c>
      <c r="AF68" s="253"/>
      <c r="AG68" s="253" t="s">
        <v>610</v>
      </c>
      <c r="AH68" s="253">
        <v>0</v>
      </c>
      <c r="AI68" s="253">
        <v>0</v>
      </c>
      <c r="AJ68" s="253">
        <v>0</v>
      </c>
      <c r="AK68" s="253">
        <v>0</v>
      </c>
      <c r="AL68" s="253">
        <v>1</v>
      </c>
      <c r="AM68" s="245"/>
      <c r="AN68" s="253" t="s">
        <v>607</v>
      </c>
      <c r="AO68" s="253">
        <v>71440519.972000003</v>
      </c>
      <c r="AP68" s="253">
        <v>536</v>
      </c>
      <c r="AQ68" s="253">
        <v>49</v>
      </c>
      <c r="AR68" s="253">
        <v>6097</v>
      </c>
      <c r="AS68" s="253">
        <v>1</v>
      </c>
      <c r="AT68" s="245"/>
      <c r="AU68" s="253" t="s">
        <v>607</v>
      </c>
      <c r="AV68" s="253">
        <v>7919549.9730000002</v>
      </c>
      <c r="AW68" s="253">
        <v>60</v>
      </c>
      <c r="AX68" s="253">
        <v>4</v>
      </c>
      <c r="AY68" s="253">
        <v>507</v>
      </c>
      <c r="AZ68" s="253">
        <v>1</v>
      </c>
      <c r="BA68" s="245"/>
      <c r="BB68" s="253" t="s">
        <v>608</v>
      </c>
      <c r="BC68" s="253">
        <v>47804616.75</v>
      </c>
      <c r="BD68" s="253">
        <v>348</v>
      </c>
      <c r="BE68" s="253">
        <v>9</v>
      </c>
      <c r="BF68" s="253">
        <v>6799</v>
      </c>
      <c r="BG68" s="253">
        <v>1</v>
      </c>
      <c r="BH68" s="247" t="s">
        <v>608</v>
      </c>
      <c r="BI68" s="253">
        <v>0</v>
      </c>
      <c r="BJ68" s="253">
        <v>0</v>
      </c>
      <c r="BK68" s="253">
        <v>0</v>
      </c>
      <c r="BL68" s="253">
        <v>327</v>
      </c>
      <c r="BM68" s="253">
        <v>1</v>
      </c>
      <c r="BN68" s="253"/>
      <c r="BO68" s="256" t="s">
        <v>477</v>
      </c>
      <c r="BP68" s="264" t="s">
        <v>537</v>
      </c>
      <c r="BQ68" s="264" t="s">
        <v>562</v>
      </c>
      <c r="BR68" s="264" t="s">
        <v>563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99</v>
      </c>
      <c r="H69" s="223">
        <v>19737.327620659999</v>
      </c>
      <c r="I69" s="164"/>
      <c r="J69" s="3"/>
      <c r="K69" s="228"/>
      <c r="L69" s="228"/>
      <c r="M69" s="228"/>
      <c r="O69" s="241" t="s">
        <v>301</v>
      </c>
      <c r="P69" s="241">
        <v>1972.8354269199999</v>
      </c>
      <c r="Q69" s="239"/>
      <c r="R69" s="157"/>
      <c r="S69" s="253" t="s">
        <v>446</v>
      </c>
      <c r="T69" s="258">
        <v>852390881971.93762</v>
      </c>
      <c r="U69" s="258">
        <v>2722659</v>
      </c>
      <c r="V69" s="258">
        <v>328208</v>
      </c>
      <c r="W69" s="258">
        <v>753712</v>
      </c>
      <c r="X69" s="258">
        <v>1</v>
      </c>
      <c r="Y69" s="245"/>
      <c r="Z69" s="253" t="s">
        <v>608</v>
      </c>
      <c r="AA69" s="253">
        <v>24982600.350000001</v>
      </c>
      <c r="AB69" s="253">
        <v>209</v>
      </c>
      <c r="AC69" s="253">
        <v>10</v>
      </c>
      <c r="AD69" s="253">
        <v>9561</v>
      </c>
      <c r="AE69" s="253">
        <v>1</v>
      </c>
      <c r="AF69" s="253"/>
      <c r="AG69" s="253" t="s">
        <v>608</v>
      </c>
      <c r="AH69" s="253">
        <v>0</v>
      </c>
      <c r="AI69" s="253">
        <v>0</v>
      </c>
      <c r="AJ69" s="253">
        <v>0</v>
      </c>
      <c r="AK69" s="253">
        <v>542</v>
      </c>
      <c r="AL69" s="253">
        <v>1</v>
      </c>
      <c r="AM69" s="245"/>
      <c r="AN69" s="253" t="s">
        <v>601</v>
      </c>
      <c r="AO69" s="253">
        <v>0</v>
      </c>
      <c r="AP69" s="253">
        <v>0</v>
      </c>
      <c r="AQ69" s="253">
        <v>0</v>
      </c>
      <c r="AR69" s="253">
        <v>0</v>
      </c>
      <c r="AS69" s="253">
        <v>0</v>
      </c>
      <c r="AT69" s="245"/>
      <c r="AU69" s="253" t="s">
        <v>601</v>
      </c>
      <c r="AV69" s="253">
        <v>0</v>
      </c>
      <c r="AW69" s="253">
        <v>0</v>
      </c>
      <c r="AX69" s="253">
        <v>0</v>
      </c>
      <c r="AY69" s="253">
        <v>0</v>
      </c>
      <c r="AZ69" s="253">
        <v>0</v>
      </c>
      <c r="BA69" s="245"/>
      <c r="BB69" s="253" t="s">
        <v>607</v>
      </c>
      <c r="BC69" s="253">
        <v>47593622.681000002</v>
      </c>
      <c r="BD69" s="253">
        <v>327</v>
      </c>
      <c r="BE69" s="253">
        <v>30</v>
      </c>
      <c r="BF69" s="253">
        <v>2430</v>
      </c>
      <c r="BG69" s="253">
        <v>1</v>
      </c>
      <c r="BH69" s="247" t="s">
        <v>607</v>
      </c>
      <c r="BI69" s="253">
        <v>146500</v>
      </c>
      <c r="BJ69" s="253">
        <v>1</v>
      </c>
      <c r="BK69" s="253">
        <v>1</v>
      </c>
      <c r="BL69" s="253">
        <v>22</v>
      </c>
      <c r="BM69" s="253">
        <v>1</v>
      </c>
      <c r="BN69" s="253"/>
      <c r="BO69" s="247"/>
      <c r="BP69" s="263">
        <v>164800503976.39999</v>
      </c>
      <c r="BQ69" s="263">
        <v>10764496</v>
      </c>
      <c r="BR69" s="263">
        <v>2476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294</v>
      </c>
      <c r="H70" s="223">
        <v>212.83505775</v>
      </c>
      <c r="I70" s="164"/>
      <c r="J70" s="3"/>
      <c r="K70" s="228"/>
      <c r="L70" s="228"/>
      <c r="M70" s="228"/>
      <c r="O70" s="241" t="s">
        <v>302</v>
      </c>
      <c r="P70" s="241">
        <v>10402.56049287</v>
      </c>
      <c r="Q70" s="239"/>
      <c r="R70" s="157"/>
      <c r="S70" s="253" t="s">
        <v>451</v>
      </c>
      <c r="T70" s="258">
        <v>7339900587.1639996</v>
      </c>
      <c r="U70" s="258">
        <v>1337472</v>
      </c>
      <c r="V70" s="258">
        <v>173</v>
      </c>
      <c r="W70" s="258">
        <v>798614</v>
      </c>
      <c r="X70" s="258">
        <v>1</v>
      </c>
      <c r="Y70" s="245"/>
      <c r="Z70" s="253" t="s">
        <v>607</v>
      </c>
      <c r="AA70" s="253">
        <v>29245016.956</v>
      </c>
      <c r="AB70" s="253">
        <v>223</v>
      </c>
      <c r="AC70" s="253">
        <v>21</v>
      </c>
      <c r="AD70" s="253">
        <v>12098</v>
      </c>
      <c r="AE70" s="253">
        <v>1</v>
      </c>
      <c r="AF70" s="253"/>
      <c r="AG70" s="253" t="s">
        <v>607</v>
      </c>
      <c r="AH70" s="253">
        <v>0</v>
      </c>
      <c r="AI70" s="253">
        <v>0</v>
      </c>
      <c r="AJ70" s="253">
        <v>0</v>
      </c>
      <c r="AK70" s="253">
        <v>666</v>
      </c>
      <c r="AL70" s="253">
        <v>1</v>
      </c>
      <c r="AM70" s="245"/>
      <c r="AN70" s="253" t="s">
        <v>602</v>
      </c>
      <c r="AO70" s="253">
        <v>0</v>
      </c>
      <c r="AP70" s="253">
        <v>0</v>
      </c>
      <c r="AQ70" s="253">
        <v>0</v>
      </c>
      <c r="AR70" s="253">
        <v>0</v>
      </c>
      <c r="AS70" s="253">
        <v>0</v>
      </c>
      <c r="AT70" s="245"/>
      <c r="AU70" s="253" t="s">
        <v>602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 t="s">
        <v>601</v>
      </c>
      <c r="BC70" s="253">
        <v>0</v>
      </c>
      <c r="BD70" s="253">
        <v>0</v>
      </c>
      <c r="BE70" s="253">
        <v>0</v>
      </c>
      <c r="BF70" s="253">
        <v>0</v>
      </c>
      <c r="BG70" s="253">
        <v>0</v>
      </c>
      <c r="BH70" s="247" t="s">
        <v>601</v>
      </c>
      <c r="BI70" s="253">
        <v>0</v>
      </c>
      <c r="BJ70" s="253">
        <v>0</v>
      </c>
      <c r="BK70" s="253">
        <v>0</v>
      </c>
      <c r="BL70" s="253">
        <v>0</v>
      </c>
      <c r="BM70" s="253">
        <v>0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295</v>
      </c>
      <c r="H71" s="223">
        <v>10326.952565220001</v>
      </c>
      <c r="I71" s="164"/>
      <c r="J71" s="3"/>
      <c r="K71" s="228"/>
      <c r="L71" s="228"/>
      <c r="M71" s="228"/>
      <c r="O71" s="241" t="s">
        <v>303</v>
      </c>
      <c r="P71" s="241">
        <v>11705.088299999999</v>
      </c>
      <c r="Q71" s="239"/>
      <c r="R71" s="157"/>
      <c r="S71" s="253" t="s">
        <v>450</v>
      </c>
      <c r="T71" s="258">
        <v>24370.37</v>
      </c>
      <c r="U71" s="258">
        <v>22297322</v>
      </c>
      <c r="V71" s="258">
        <v>610</v>
      </c>
      <c r="W71" s="258">
        <v>18679543</v>
      </c>
      <c r="X71" s="258">
        <v>1</v>
      </c>
      <c r="Y71" s="245"/>
      <c r="Z71" s="253" t="s">
        <v>601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601</v>
      </c>
      <c r="AH71" s="253">
        <v>0</v>
      </c>
      <c r="AI71" s="253">
        <v>0</v>
      </c>
      <c r="AJ71" s="253">
        <v>0</v>
      </c>
      <c r="AK71" s="253">
        <v>0</v>
      </c>
      <c r="AL71" s="253">
        <v>0</v>
      </c>
      <c r="AM71" s="245"/>
      <c r="AN71" s="253" t="s">
        <v>587</v>
      </c>
      <c r="AO71" s="253">
        <v>7722790218.665</v>
      </c>
      <c r="AP71" s="253">
        <v>31994</v>
      </c>
      <c r="AQ71" s="253">
        <v>2578</v>
      </c>
      <c r="AR71" s="253">
        <v>289486</v>
      </c>
      <c r="AS71" s="253">
        <v>1</v>
      </c>
      <c r="AT71" s="245"/>
      <c r="AU71" s="253" t="s">
        <v>587</v>
      </c>
      <c r="AV71" s="253">
        <v>315839634.70499998</v>
      </c>
      <c r="AW71" s="253">
        <v>1328</v>
      </c>
      <c r="AX71" s="253">
        <v>74</v>
      </c>
      <c r="AY71" s="253">
        <v>11789</v>
      </c>
      <c r="AZ71" s="253">
        <v>1</v>
      </c>
      <c r="BA71" s="245"/>
      <c r="BB71" s="253" t="s">
        <v>602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602</v>
      </c>
      <c r="BI71" s="253">
        <v>0</v>
      </c>
      <c r="BJ71" s="253">
        <v>0</v>
      </c>
      <c r="BK71" s="253">
        <v>0</v>
      </c>
      <c r="BL71" s="253">
        <v>0</v>
      </c>
      <c r="BM71" s="253">
        <v>0</v>
      </c>
      <c r="BN71" s="253"/>
      <c r="BO71" s="256" t="s">
        <v>494</v>
      </c>
      <c r="BP71" s="264" t="s">
        <v>616</v>
      </c>
      <c r="BQ71" s="264" t="s">
        <v>564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296</v>
      </c>
      <c r="H72" s="223">
        <v>9719.7569603299999</v>
      </c>
      <c r="I72" s="164"/>
      <c r="J72" s="3"/>
      <c r="K72" s="228"/>
      <c r="L72" s="228"/>
      <c r="M72" s="228"/>
      <c r="O72" s="241" t="s">
        <v>304</v>
      </c>
      <c r="P72" s="241">
        <v>24914.850417260001</v>
      </c>
      <c r="Q72" s="239"/>
      <c r="R72" s="157"/>
      <c r="S72" s="253" t="s">
        <v>448</v>
      </c>
      <c r="T72" s="258">
        <v>12079285.74</v>
      </c>
      <c r="U72" s="258">
        <v>1343793</v>
      </c>
      <c r="V72" s="258">
        <v>9806</v>
      </c>
      <c r="W72" s="258">
        <v>640041</v>
      </c>
      <c r="X72" s="258">
        <v>1</v>
      </c>
      <c r="Y72" s="245"/>
      <c r="Z72" s="253" t="s">
        <v>600</v>
      </c>
      <c r="AA72" s="253">
        <v>970000</v>
      </c>
      <c r="AB72" s="253">
        <v>700</v>
      </c>
      <c r="AC72" s="253">
        <v>4</v>
      </c>
      <c r="AD72" s="253">
        <v>4900</v>
      </c>
      <c r="AE72" s="253">
        <v>0</v>
      </c>
      <c r="AF72" s="253"/>
      <c r="AG72" s="253" t="s">
        <v>600</v>
      </c>
      <c r="AH72" s="253">
        <v>0</v>
      </c>
      <c r="AI72" s="253">
        <v>0</v>
      </c>
      <c r="AJ72" s="253">
        <v>0</v>
      </c>
      <c r="AK72" s="253">
        <v>700</v>
      </c>
      <c r="AL72" s="253">
        <v>0</v>
      </c>
      <c r="AM72" s="245"/>
      <c r="AN72" s="253" t="s">
        <v>609</v>
      </c>
      <c r="AO72" s="253">
        <v>191420</v>
      </c>
      <c r="AP72" s="253">
        <v>3</v>
      </c>
      <c r="AQ72" s="253">
        <v>3</v>
      </c>
      <c r="AR72" s="253">
        <v>21086</v>
      </c>
      <c r="AS72" s="253">
        <v>1</v>
      </c>
      <c r="AT72" s="245"/>
      <c r="AU72" s="253" t="s">
        <v>609</v>
      </c>
      <c r="AV72" s="253">
        <v>0</v>
      </c>
      <c r="AW72" s="253">
        <v>0</v>
      </c>
      <c r="AX72" s="253">
        <v>0</v>
      </c>
      <c r="AY72" s="253">
        <v>957</v>
      </c>
      <c r="AZ72" s="253">
        <v>1</v>
      </c>
      <c r="BA72" s="245"/>
      <c r="BB72" s="253" t="s">
        <v>587</v>
      </c>
      <c r="BC72" s="253">
        <v>5158049238.6000004</v>
      </c>
      <c r="BD72" s="253">
        <v>16199</v>
      </c>
      <c r="BE72" s="253">
        <v>1844</v>
      </c>
      <c r="BF72" s="253">
        <v>137011</v>
      </c>
      <c r="BG72" s="253">
        <v>1</v>
      </c>
      <c r="BH72" s="247" t="s">
        <v>587</v>
      </c>
      <c r="BI72" s="253">
        <v>152953852.41499999</v>
      </c>
      <c r="BJ72" s="253">
        <v>477</v>
      </c>
      <c r="BK72" s="253">
        <v>88</v>
      </c>
      <c r="BL72" s="253">
        <v>5577</v>
      </c>
      <c r="BM72" s="253">
        <v>1</v>
      </c>
      <c r="BN72" s="253"/>
      <c r="BO72" s="247"/>
      <c r="BP72" s="263" t="s">
        <v>617</v>
      </c>
      <c r="BQ72" s="263">
        <v>2310976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297</v>
      </c>
      <c r="H73" s="223">
        <v>175.72523823</v>
      </c>
      <c r="I73" s="164"/>
      <c r="J73" s="3"/>
      <c r="K73" s="228"/>
      <c r="L73" s="228"/>
      <c r="M73" s="228"/>
      <c r="O73" s="241" t="s">
        <v>58</v>
      </c>
      <c r="P73" s="241">
        <v>26217.084497079999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602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602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592</v>
      </c>
      <c r="AO73" s="253">
        <v>0</v>
      </c>
      <c r="AP73" s="253">
        <v>0</v>
      </c>
      <c r="AQ73" s="253">
        <v>0</v>
      </c>
      <c r="AR73" s="253">
        <v>0</v>
      </c>
      <c r="AS73" s="253">
        <v>1</v>
      </c>
      <c r="AT73" s="245"/>
      <c r="AU73" s="253" t="s">
        <v>592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609</v>
      </c>
      <c r="BC73" s="253">
        <v>15604979.99</v>
      </c>
      <c r="BD73" s="253">
        <v>238</v>
      </c>
      <c r="BE73" s="253">
        <v>43</v>
      </c>
      <c r="BF73" s="253">
        <v>860</v>
      </c>
      <c r="BG73" s="253">
        <v>1</v>
      </c>
      <c r="BH73" s="247" t="s">
        <v>609</v>
      </c>
      <c r="BI73" s="253">
        <v>0</v>
      </c>
      <c r="BJ73" s="253">
        <v>0</v>
      </c>
      <c r="BK73" s="253">
        <v>0</v>
      </c>
      <c r="BL73" s="253">
        <v>31</v>
      </c>
      <c r="BM73" s="253">
        <v>1</v>
      </c>
      <c r="BN73" s="253"/>
      <c r="BO73" s="247"/>
      <c r="BP73" s="263" t="s">
        <v>618</v>
      </c>
      <c r="BQ73" s="263">
        <v>1090969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298</v>
      </c>
      <c r="H74" s="223">
        <v>12893.91651866</v>
      </c>
      <c r="I74" s="164"/>
      <c r="J74" s="3"/>
      <c r="K74" s="228"/>
      <c r="L74" s="228"/>
      <c r="M74" s="228"/>
      <c r="O74" s="241" t="s">
        <v>51</v>
      </c>
      <c r="P74" s="241">
        <v>28554.14433005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587</v>
      </c>
      <c r="AA74" s="253">
        <v>2844437416.5549998</v>
      </c>
      <c r="AB74" s="253">
        <v>11702</v>
      </c>
      <c r="AC74" s="253">
        <v>1430</v>
      </c>
      <c r="AD74" s="253">
        <v>239334</v>
      </c>
      <c r="AE74" s="253">
        <v>1</v>
      </c>
      <c r="AF74" s="253"/>
      <c r="AG74" s="253" t="s">
        <v>587</v>
      </c>
      <c r="AH74" s="253">
        <v>132708550.03</v>
      </c>
      <c r="AI74" s="253">
        <v>546</v>
      </c>
      <c r="AJ74" s="253">
        <v>64</v>
      </c>
      <c r="AK74" s="253">
        <v>12148</v>
      </c>
      <c r="AL74" s="253">
        <v>1</v>
      </c>
      <c r="AM74" s="245"/>
      <c r="AN74" s="253" t="s">
        <v>589</v>
      </c>
      <c r="AO74" s="253">
        <v>143005797.47</v>
      </c>
      <c r="AP74" s="253">
        <v>13315</v>
      </c>
      <c r="AQ74" s="253">
        <v>1374</v>
      </c>
      <c r="AR74" s="253">
        <v>555384</v>
      </c>
      <c r="AS74" s="253">
        <v>0</v>
      </c>
      <c r="AT74" s="245"/>
      <c r="AU74" s="253" t="s">
        <v>589</v>
      </c>
      <c r="AV74" s="253">
        <v>5858110.9000000004</v>
      </c>
      <c r="AW74" s="253">
        <v>555</v>
      </c>
      <c r="AX74" s="253">
        <v>50</v>
      </c>
      <c r="AY74" s="253">
        <v>27299</v>
      </c>
      <c r="AZ74" s="253">
        <v>0</v>
      </c>
      <c r="BA74" s="245"/>
      <c r="BB74" s="253" t="s">
        <v>592</v>
      </c>
      <c r="BC74" s="253">
        <v>0</v>
      </c>
      <c r="BD74" s="253">
        <v>0</v>
      </c>
      <c r="BE74" s="253">
        <v>0</v>
      </c>
      <c r="BF74" s="253">
        <v>0</v>
      </c>
      <c r="BG74" s="253">
        <v>1</v>
      </c>
      <c r="BH74" s="247" t="s">
        <v>592</v>
      </c>
      <c r="BI74" s="253">
        <v>0</v>
      </c>
      <c r="BJ74" s="253">
        <v>0</v>
      </c>
      <c r="BK74" s="253">
        <v>0</v>
      </c>
      <c r="BL74" s="253">
        <v>0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299</v>
      </c>
      <c r="H75" s="223">
        <v>6041.2358023899997</v>
      </c>
      <c r="I75" s="164"/>
      <c r="J75" s="3"/>
      <c r="K75" s="228"/>
      <c r="L75" s="228"/>
      <c r="M75" s="228"/>
      <c r="O75" s="241" t="s">
        <v>305</v>
      </c>
      <c r="P75" s="241">
        <v>13173.7</v>
      </c>
      <c r="Q75" s="239"/>
      <c r="R75" s="153" t="s">
        <v>457</v>
      </c>
      <c r="S75" s="254" t="s">
        <v>560</v>
      </c>
      <c r="T75" s="257" t="s">
        <v>561</v>
      </c>
      <c r="U75" s="257" t="s">
        <v>562</v>
      </c>
      <c r="V75" s="257" t="s">
        <v>563</v>
      </c>
      <c r="W75" s="257" t="s">
        <v>564</v>
      </c>
      <c r="X75" s="257" t="s">
        <v>565</v>
      </c>
      <c r="Y75" s="245"/>
      <c r="Z75" s="253" t="s">
        <v>609</v>
      </c>
      <c r="AA75" s="253">
        <v>144818846.41999999</v>
      </c>
      <c r="AB75" s="253">
        <v>2183</v>
      </c>
      <c r="AC75" s="253">
        <v>31</v>
      </c>
      <c r="AD75" s="253">
        <v>10614</v>
      </c>
      <c r="AE75" s="253">
        <v>1</v>
      </c>
      <c r="AF75" s="253"/>
      <c r="AG75" s="253" t="s">
        <v>609</v>
      </c>
      <c r="AH75" s="253">
        <v>0</v>
      </c>
      <c r="AI75" s="253">
        <v>0</v>
      </c>
      <c r="AJ75" s="253">
        <v>0</v>
      </c>
      <c r="AK75" s="253">
        <v>6</v>
      </c>
      <c r="AL75" s="253">
        <v>1</v>
      </c>
      <c r="AM75" s="245"/>
      <c r="AN75" s="253" t="s">
        <v>593</v>
      </c>
      <c r="AO75" s="253">
        <v>0</v>
      </c>
      <c r="AP75" s="253">
        <v>0</v>
      </c>
      <c r="AQ75" s="253">
        <v>0</v>
      </c>
      <c r="AR75" s="253">
        <v>0</v>
      </c>
      <c r="AS75" s="253">
        <v>0</v>
      </c>
      <c r="AT75" s="245"/>
      <c r="AU75" s="253" t="s">
        <v>593</v>
      </c>
      <c r="AV75" s="253">
        <v>0</v>
      </c>
      <c r="AW75" s="253">
        <v>0</v>
      </c>
      <c r="AX75" s="253">
        <v>0</v>
      </c>
      <c r="AY75" s="253">
        <v>0</v>
      </c>
      <c r="AZ75" s="253">
        <v>0</v>
      </c>
      <c r="BA75" s="245"/>
      <c r="BB75" s="253" t="s">
        <v>589</v>
      </c>
      <c r="BC75" s="253">
        <v>972772178.39999998</v>
      </c>
      <c r="BD75" s="253">
        <v>30323</v>
      </c>
      <c r="BE75" s="253">
        <v>3633</v>
      </c>
      <c r="BF75" s="253">
        <v>757976</v>
      </c>
      <c r="BG75" s="253">
        <v>0</v>
      </c>
      <c r="BH75" s="247" t="s">
        <v>589</v>
      </c>
      <c r="BI75" s="253">
        <v>27446144.859999999</v>
      </c>
      <c r="BJ75" s="253">
        <v>1935</v>
      </c>
      <c r="BK75" s="253">
        <v>148</v>
      </c>
      <c r="BL75" s="253">
        <v>37539</v>
      </c>
      <c r="BM75" s="253">
        <v>0</v>
      </c>
      <c r="BN75" s="253"/>
      <c r="BO75" s="256" t="s">
        <v>478</v>
      </c>
      <c r="BP75" s="264" t="s">
        <v>561</v>
      </c>
      <c r="BQ75" s="264" t="s">
        <v>562</v>
      </c>
      <c r="BR75" s="264" t="s">
        <v>563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300</v>
      </c>
      <c r="H76" s="223">
        <v>176.35203340000001</v>
      </c>
      <c r="I76" s="164"/>
      <c r="J76" s="3"/>
      <c r="K76" s="228"/>
      <c r="L76" s="228"/>
      <c r="M76" s="228"/>
      <c r="O76" s="241" t="s">
        <v>556</v>
      </c>
      <c r="P76" s="241">
        <v>75776.409764290001</v>
      </c>
      <c r="Q76" s="239"/>
      <c r="R76" s="157"/>
      <c r="S76" s="253" t="s">
        <v>449</v>
      </c>
      <c r="T76" s="258">
        <v>47224857.096000001</v>
      </c>
      <c r="U76" s="258">
        <v>555848</v>
      </c>
      <c r="V76" s="258">
        <v>21</v>
      </c>
      <c r="W76" s="258">
        <v>19149275</v>
      </c>
      <c r="X76" s="258">
        <v>1</v>
      </c>
      <c r="Y76" s="245"/>
      <c r="Z76" s="253" t="s">
        <v>592</v>
      </c>
      <c r="AA76" s="253">
        <v>0</v>
      </c>
      <c r="AB76" s="253">
        <v>0</v>
      </c>
      <c r="AC76" s="253">
        <v>0</v>
      </c>
      <c r="AD76" s="253">
        <v>0</v>
      </c>
      <c r="AE76" s="253">
        <v>1</v>
      </c>
      <c r="AF76" s="253"/>
      <c r="AG76" s="253" t="s">
        <v>592</v>
      </c>
      <c r="AH76" s="253">
        <v>0</v>
      </c>
      <c r="AI76" s="253">
        <v>0</v>
      </c>
      <c r="AJ76" s="253">
        <v>0</v>
      </c>
      <c r="AK76" s="253">
        <v>0</v>
      </c>
      <c r="AL76" s="253">
        <v>1</v>
      </c>
      <c r="AM76" s="245"/>
      <c r="AN76" s="253" t="s">
        <v>611</v>
      </c>
      <c r="AO76" s="253">
        <v>0</v>
      </c>
      <c r="AP76" s="253">
        <v>0</v>
      </c>
      <c r="AQ76" s="253">
        <v>0</v>
      </c>
      <c r="AR76" s="253">
        <v>0</v>
      </c>
      <c r="AS76" s="253">
        <v>1</v>
      </c>
      <c r="AT76" s="245"/>
      <c r="AU76" s="253" t="s">
        <v>611</v>
      </c>
      <c r="AV76" s="253">
        <v>0</v>
      </c>
      <c r="AW76" s="253">
        <v>0</v>
      </c>
      <c r="AX76" s="253">
        <v>0</v>
      </c>
      <c r="AY76" s="253">
        <v>0</v>
      </c>
      <c r="AZ76" s="253">
        <v>1</v>
      </c>
      <c r="BA76" s="245"/>
      <c r="BB76" s="253" t="s">
        <v>615</v>
      </c>
      <c r="BC76" s="253">
        <v>0</v>
      </c>
      <c r="BD76" s="253">
        <v>0</v>
      </c>
      <c r="BE76" s="253">
        <v>0</v>
      </c>
      <c r="BF76" s="253">
        <v>0</v>
      </c>
      <c r="BG76" s="253">
        <v>1</v>
      </c>
      <c r="BH76" s="245" t="s">
        <v>615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423034888261.52496</v>
      </c>
      <c r="BQ76" s="263">
        <v>2026038</v>
      </c>
      <c r="BR76" s="263">
        <v>254409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301</v>
      </c>
      <c r="H77" s="223">
        <v>1959.4222658799999</v>
      </c>
      <c r="I77" s="164"/>
      <c r="J77" s="3"/>
      <c r="K77" s="228"/>
      <c r="L77" s="228"/>
      <c r="M77" s="228"/>
      <c r="O77" s="241" t="s">
        <v>101</v>
      </c>
      <c r="P77" s="241">
        <v>375.39718231000001</v>
      </c>
      <c r="Q77" s="239"/>
      <c r="R77" s="157"/>
      <c r="S77" s="253" t="s">
        <v>447</v>
      </c>
      <c r="T77" s="258">
        <v>761428.8</v>
      </c>
      <c r="U77" s="258">
        <v>2420</v>
      </c>
      <c r="V77" s="258">
        <v>2</v>
      </c>
      <c r="W77" s="258">
        <v>1271559</v>
      </c>
      <c r="X77" s="258">
        <v>0</v>
      </c>
      <c r="Y77" s="245"/>
      <c r="Z77" s="253" t="s">
        <v>589</v>
      </c>
      <c r="AA77" s="253">
        <v>111176631.41</v>
      </c>
      <c r="AB77" s="253">
        <v>13690</v>
      </c>
      <c r="AC77" s="253">
        <v>1306</v>
      </c>
      <c r="AD77" s="253">
        <v>612836</v>
      </c>
      <c r="AE77" s="253">
        <v>0</v>
      </c>
      <c r="AF77" s="253"/>
      <c r="AG77" s="253" t="s">
        <v>589</v>
      </c>
      <c r="AH77" s="253">
        <v>7319088</v>
      </c>
      <c r="AI77" s="253">
        <v>725</v>
      </c>
      <c r="AJ77" s="253">
        <v>39</v>
      </c>
      <c r="AK77" s="253">
        <v>33210</v>
      </c>
      <c r="AL77" s="253">
        <v>0</v>
      </c>
      <c r="AM77" s="245"/>
      <c r="AN77" s="253" t="s">
        <v>569</v>
      </c>
      <c r="AO77" s="253">
        <v>7385630527.3549995</v>
      </c>
      <c r="AP77" s="253">
        <v>31305</v>
      </c>
      <c r="AQ77" s="253">
        <v>2340</v>
      </c>
      <c r="AR77" s="253">
        <v>338985</v>
      </c>
      <c r="AS77" s="253">
        <v>1</v>
      </c>
      <c r="AT77" s="245"/>
      <c r="AU77" s="253" t="s">
        <v>569</v>
      </c>
      <c r="AV77" s="253">
        <v>380504773.17000002</v>
      </c>
      <c r="AW77" s="253">
        <v>1632</v>
      </c>
      <c r="AX77" s="253">
        <v>109</v>
      </c>
      <c r="AY77" s="253">
        <v>14731</v>
      </c>
      <c r="AZ77" s="253">
        <v>1</v>
      </c>
      <c r="BA77" s="245"/>
      <c r="BB77" s="253" t="s">
        <v>593</v>
      </c>
      <c r="BC77" s="253">
        <v>0</v>
      </c>
      <c r="BD77" s="253">
        <v>0</v>
      </c>
      <c r="BE77" s="253">
        <v>0</v>
      </c>
      <c r="BF77" s="253">
        <v>0</v>
      </c>
      <c r="BG77" s="253">
        <v>0</v>
      </c>
      <c r="BH77" s="245" t="s">
        <v>593</v>
      </c>
      <c r="BI77" s="253">
        <v>0</v>
      </c>
      <c r="BJ77" s="253">
        <v>0</v>
      </c>
      <c r="BK77" s="253">
        <v>0</v>
      </c>
      <c r="BL77" s="253">
        <v>0</v>
      </c>
      <c r="BM77" s="253">
        <v>0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42860</v>
      </c>
      <c r="D78" s="190">
        <v>65202.115221189997</v>
      </c>
      <c r="E78" s="223">
        <v>1</v>
      </c>
      <c r="F78" s="209"/>
      <c r="G78" s="223" t="s">
        <v>302</v>
      </c>
      <c r="H78" s="223">
        <v>10152.07498084</v>
      </c>
      <c r="I78" s="164"/>
      <c r="J78" s="63"/>
      <c r="K78" s="228"/>
      <c r="L78" s="228"/>
      <c r="M78" s="228"/>
      <c r="O78" s="241" t="s">
        <v>103</v>
      </c>
      <c r="P78" s="241">
        <v>661.50069415999997</v>
      </c>
      <c r="Q78" s="239"/>
      <c r="R78" s="157"/>
      <c r="S78" s="253" t="s">
        <v>451</v>
      </c>
      <c r="T78" s="258">
        <v>0</v>
      </c>
      <c r="U78" s="258">
        <v>0</v>
      </c>
      <c r="V78" s="258">
        <v>0</v>
      </c>
      <c r="W78" s="258">
        <v>508592</v>
      </c>
      <c r="X78" s="258">
        <v>0</v>
      </c>
      <c r="Y78" s="245"/>
      <c r="Z78" s="253" t="s">
        <v>593</v>
      </c>
      <c r="AA78" s="253">
        <v>0</v>
      </c>
      <c r="AB78" s="253">
        <v>0</v>
      </c>
      <c r="AC78" s="253">
        <v>0</v>
      </c>
      <c r="AD78" s="253">
        <v>0</v>
      </c>
      <c r="AE78" s="253">
        <v>0</v>
      </c>
      <c r="AF78" s="253"/>
      <c r="AG78" s="253" t="s">
        <v>593</v>
      </c>
      <c r="AH78" s="253">
        <v>0</v>
      </c>
      <c r="AI78" s="253">
        <v>0</v>
      </c>
      <c r="AJ78" s="253">
        <v>0</v>
      </c>
      <c r="AK78" s="253">
        <v>0</v>
      </c>
      <c r="AL78" s="253">
        <v>0</v>
      </c>
      <c r="AM78" s="245"/>
      <c r="AN78" s="253" t="s">
        <v>594</v>
      </c>
      <c r="AO78" s="253">
        <v>0</v>
      </c>
      <c r="AP78" s="253">
        <v>0</v>
      </c>
      <c r="AQ78" s="253">
        <v>0</v>
      </c>
      <c r="AR78" s="253">
        <v>0</v>
      </c>
      <c r="AS78" s="253">
        <v>1</v>
      </c>
      <c r="AT78" s="245"/>
      <c r="AU78" s="253" t="s">
        <v>594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 t="s">
        <v>569</v>
      </c>
      <c r="BC78" s="253">
        <v>3369885867.3150001</v>
      </c>
      <c r="BD78" s="253">
        <v>10523</v>
      </c>
      <c r="BE78" s="253">
        <v>1158</v>
      </c>
      <c r="BF78" s="253">
        <v>167836</v>
      </c>
      <c r="BG78" s="253">
        <v>1</v>
      </c>
      <c r="BH78" s="245" t="s">
        <v>569</v>
      </c>
      <c r="BI78" s="253">
        <v>94045730.034999996</v>
      </c>
      <c r="BJ78" s="253">
        <v>305</v>
      </c>
      <c r="BK78" s="253">
        <v>36</v>
      </c>
      <c r="BL78" s="253">
        <v>7155</v>
      </c>
      <c r="BM78" s="253">
        <v>1</v>
      </c>
      <c r="BN78" s="253"/>
      <c r="BO78" s="256" t="s">
        <v>497</v>
      </c>
      <c r="BP78" s="264" t="s">
        <v>561</v>
      </c>
      <c r="BQ78" s="264" t="s">
        <v>562</v>
      </c>
      <c r="BR78" s="264" t="s">
        <v>563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303</v>
      </c>
      <c r="H79" s="223">
        <v>12130.459699999999</v>
      </c>
      <c r="I79" s="164"/>
      <c r="J79" s="63"/>
      <c r="K79" s="228"/>
      <c r="L79" s="228"/>
      <c r="M79" s="228"/>
      <c r="O79" s="241" t="s">
        <v>306</v>
      </c>
      <c r="P79" s="241">
        <v>4438.33870346</v>
      </c>
      <c r="Q79" s="239"/>
      <c r="R79" s="157"/>
      <c r="S79" s="253" t="s">
        <v>446</v>
      </c>
      <c r="T79" s="258">
        <v>31560961</v>
      </c>
      <c r="U79" s="258">
        <v>11486</v>
      </c>
      <c r="V79" s="258">
        <v>15</v>
      </c>
      <c r="W79" s="258">
        <v>745632</v>
      </c>
      <c r="X79" s="258">
        <v>0</v>
      </c>
      <c r="Y79" s="245"/>
      <c r="Z79" s="253" t="s">
        <v>611</v>
      </c>
      <c r="AA79" s="253">
        <v>0</v>
      </c>
      <c r="AB79" s="253">
        <v>0</v>
      </c>
      <c r="AC79" s="253">
        <v>0</v>
      </c>
      <c r="AD79" s="253">
        <v>0</v>
      </c>
      <c r="AE79" s="253">
        <v>1</v>
      </c>
      <c r="AF79" s="253"/>
      <c r="AG79" s="253" t="s">
        <v>611</v>
      </c>
      <c r="AH79" s="253">
        <v>0</v>
      </c>
      <c r="AI79" s="253">
        <v>0</v>
      </c>
      <c r="AJ79" s="253">
        <v>0</v>
      </c>
      <c r="AK79" s="253">
        <v>0</v>
      </c>
      <c r="AL79" s="253">
        <v>1</v>
      </c>
      <c r="AM79" s="245"/>
      <c r="AN79" s="253" t="s">
        <v>597</v>
      </c>
      <c r="AO79" s="253">
        <v>0</v>
      </c>
      <c r="AP79" s="253">
        <v>0</v>
      </c>
      <c r="AQ79" s="253">
        <v>0</v>
      </c>
      <c r="AR79" s="253">
        <v>0</v>
      </c>
      <c r="AS79" s="253">
        <v>1</v>
      </c>
      <c r="AT79" s="245"/>
      <c r="AU79" s="253" t="s">
        <v>597</v>
      </c>
      <c r="AV79" s="253">
        <v>0</v>
      </c>
      <c r="AW79" s="253">
        <v>0</v>
      </c>
      <c r="AX79" s="253">
        <v>0</v>
      </c>
      <c r="AY79" s="253">
        <v>0</v>
      </c>
      <c r="AZ79" s="253">
        <v>1</v>
      </c>
      <c r="BA79" s="245"/>
      <c r="BB79" s="253" t="s">
        <v>594</v>
      </c>
      <c r="BC79" s="253">
        <v>0</v>
      </c>
      <c r="BD79" s="253">
        <v>0</v>
      </c>
      <c r="BE79" s="253">
        <v>0</v>
      </c>
      <c r="BF79" s="253">
        <v>0</v>
      </c>
      <c r="BG79" s="253">
        <v>1</v>
      </c>
      <c r="BH79" s="245" t="s">
        <v>594</v>
      </c>
      <c r="BI79" s="253">
        <v>0</v>
      </c>
      <c r="BJ79" s="253">
        <v>0</v>
      </c>
      <c r="BK79" s="253">
        <v>0</v>
      </c>
      <c r="BL79" s="253">
        <v>0</v>
      </c>
      <c r="BM79" s="253">
        <v>1</v>
      </c>
      <c r="BN79" s="253"/>
      <c r="BO79" s="251"/>
      <c r="BP79" s="263">
        <v>2477909382.43999</v>
      </c>
      <c r="BQ79" s="263">
        <v>215991</v>
      </c>
      <c r="BR79" s="263">
        <v>21168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304</v>
      </c>
      <c r="H80" s="223">
        <v>24299.819814869999</v>
      </c>
      <c r="I80" s="164"/>
      <c r="J80" s="3"/>
      <c r="K80" s="228"/>
      <c r="L80" s="228"/>
      <c r="M80" s="228"/>
      <c r="O80" s="241" t="s">
        <v>307</v>
      </c>
      <c r="P80" s="241">
        <v>225.80349095</v>
      </c>
      <c r="Q80" s="239"/>
      <c r="R80" s="157"/>
      <c r="S80" s="253" t="s">
        <v>566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603</v>
      </c>
      <c r="AA80" s="245">
        <v>0</v>
      </c>
      <c r="AB80" s="245">
        <v>0</v>
      </c>
      <c r="AC80" s="245">
        <v>0</v>
      </c>
      <c r="AD80" s="245">
        <v>0</v>
      </c>
      <c r="AE80" s="245">
        <v>1</v>
      </c>
      <c r="AF80" s="245"/>
      <c r="AG80" s="245" t="s">
        <v>603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596</v>
      </c>
      <c r="AO80" s="245">
        <v>0</v>
      </c>
      <c r="AP80" s="245">
        <v>0</v>
      </c>
      <c r="AQ80" s="245">
        <v>0</v>
      </c>
      <c r="AR80" s="245">
        <v>1364</v>
      </c>
      <c r="AS80" s="245">
        <v>1</v>
      </c>
      <c r="AT80" s="245"/>
      <c r="AU80" s="245" t="s">
        <v>596</v>
      </c>
      <c r="AV80" s="245">
        <v>0</v>
      </c>
      <c r="AW80" s="245">
        <v>0</v>
      </c>
      <c r="AX80" s="245">
        <v>0</v>
      </c>
      <c r="AY80" s="245">
        <v>62</v>
      </c>
      <c r="AZ80" s="245">
        <v>1</v>
      </c>
      <c r="BA80" s="245"/>
      <c r="BB80" s="245" t="s">
        <v>597</v>
      </c>
      <c r="BC80" s="245">
        <v>0</v>
      </c>
      <c r="BD80" s="245">
        <v>0</v>
      </c>
      <c r="BE80" s="245">
        <v>0</v>
      </c>
      <c r="BF80" s="245">
        <v>0</v>
      </c>
      <c r="BG80" s="245">
        <v>1</v>
      </c>
      <c r="BH80" s="245" t="s">
        <v>597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42972</v>
      </c>
      <c r="D81" s="190">
        <v>50175.32536409</v>
      </c>
      <c r="E81" s="223">
        <v>1</v>
      </c>
      <c r="F81" s="209"/>
      <c r="G81" s="223" t="s">
        <v>58</v>
      </c>
      <c r="H81" s="223">
        <v>25838.937696969999</v>
      </c>
      <c r="I81" s="164"/>
      <c r="J81" s="3"/>
      <c r="K81" s="228"/>
      <c r="L81" s="228"/>
      <c r="M81" s="228"/>
      <c r="O81" s="241" t="s">
        <v>308</v>
      </c>
      <c r="P81" s="241">
        <v>9646.5795147600002</v>
      </c>
      <c r="Q81" s="239"/>
      <c r="R81" s="157"/>
      <c r="S81" s="253" t="s">
        <v>447</v>
      </c>
      <c r="T81" s="258">
        <v>4639396279.8000002</v>
      </c>
      <c r="U81" s="258">
        <v>74989</v>
      </c>
      <c r="V81" s="258">
        <v>227</v>
      </c>
      <c r="W81" s="258">
        <v>819242</v>
      </c>
      <c r="X81" s="258">
        <v>1</v>
      </c>
      <c r="Y81" s="245"/>
      <c r="Z81" s="245" t="s">
        <v>569</v>
      </c>
      <c r="AA81" s="245">
        <v>4333807393.2399998</v>
      </c>
      <c r="AB81" s="245">
        <v>18010</v>
      </c>
      <c r="AC81" s="245">
        <v>1853</v>
      </c>
      <c r="AD81" s="245">
        <v>308842</v>
      </c>
      <c r="AE81" s="245">
        <v>1</v>
      </c>
      <c r="AF81" s="245"/>
      <c r="AG81" s="245" t="s">
        <v>569</v>
      </c>
      <c r="AH81" s="245">
        <v>116885103.245</v>
      </c>
      <c r="AI81" s="245">
        <v>487</v>
      </c>
      <c r="AJ81" s="245">
        <v>66</v>
      </c>
      <c r="AK81" s="245">
        <v>16426</v>
      </c>
      <c r="AL81" s="245">
        <v>1</v>
      </c>
      <c r="AM81" s="245"/>
      <c r="AN81" s="245" t="s">
        <v>606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/>
      <c r="AU81" s="245" t="s">
        <v>606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/>
      <c r="BB81" s="245" t="s">
        <v>596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596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561</v>
      </c>
      <c r="BQ81" s="264" t="s">
        <v>562</v>
      </c>
      <c r="BR81" s="264" t="s">
        <v>563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51</v>
      </c>
      <c r="H82" s="223">
        <v>28052.083734930002</v>
      </c>
      <c r="I82" s="164"/>
      <c r="J82" s="157"/>
      <c r="K82" s="228"/>
      <c r="L82" s="228"/>
      <c r="M82" s="228"/>
      <c r="O82" s="241" t="s">
        <v>309</v>
      </c>
      <c r="P82" s="241">
        <v>431.39498092000002</v>
      </c>
      <c r="Q82" s="239"/>
      <c r="R82" s="157"/>
      <c r="S82" s="253" t="s">
        <v>182</v>
      </c>
      <c r="T82" s="258">
        <v>3172288</v>
      </c>
      <c r="U82" s="258">
        <v>13850</v>
      </c>
      <c r="V82" s="258">
        <v>10</v>
      </c>
      <c r="W82" s="258">
        <v>1258426</v>
      </c>
      <c r="X82" s="258">
        <v>1</v>
      </c>
      <c r="Y82" s="245"/>
      <c r="Z82" s="245" t="s">
        <v>594</v>
      </c>
      <c r="AA82" s="245">
        <v>1082250</v>
      </c>
      <c r="AB82" s="245">
        <v>30</v>
      </c>
      <c r="AC82" s="245">
        <v>2</v>
      </c>
      <c r="AD82" s="245">
        <v>270</v>
      </c>
      <c r="AE82" s="245">
        <v>1</v>
      </c>
      <c r="AF82" s="245"/>
      <c r="AG82" s="245" t="s">
        <v>594</v>
      </c>
      <c r="AH82" s="245">
        <v>0</v>
      </c>
      <c r="AI82" s="245">
        <v>0</v>
      </c>
      <c r="AJ82" s="245">
        <v>0</v>
      </c>
      <c r="AK82" s="245">
        <v>10</v>
      </c>
      <c r="AL82" s="245">
        <v>1</v>
      </c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606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 t="s">
        <v>606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/>
      <c r="BO82" s="247"/>
      <c r="BP82" s="263">
        <v>762493983876.05298</v>
      </c>
      <c r="BQ82" s="263">
        <v>2317231</v>
      </c>
      <c r="BR82" s="263">
        <v>261071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305</v>
      </c>
      <c r="H83" s="223">
        <v>12904.94</v>
      </c>
      <c r="I83" s="164"/>
      <c r="J83" s="157"/>
      <c r="K83" s="228"/>
      <c r="L83" s="228"/>
      <c r="M83" s="228"/>
      <c r="O83" s="241" t="s">
        <v>311</v>
      </c>
      <c r="P83" s="241">
        <v>1156.1681509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597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 t="s">
        <v>597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42972</v>
      </c>
      <c r="D84" s="190">
        <v>56655.884673820001</v>
      </c>
      <c r="E84" s="223">
        <v>1</v>
      </c>
      <c r="F84" s="213"/>
      <c r="G84" s="223" t="s">
        <v>556</v>
      </c>
      <c r="H84" s="223">
        <v>75374.287673590006</v>
      </c>
      <c r="I84" s="164"/>
      <c r="J84" s="157"/>
      <c r="K84" s="228"/>
      <c r="L84" s="228"/>
      <c r="M84" s="228"/>
      <c r="O84" s="241" t="s">
        <v>312</v>
      </c>
      <c r="P84" s="241">
        <v>10318.43172984</v>
      </c>
      <c r="Q84" s="239"/>
      <c r="R84" s="157"/>
      <c r="S84" s="253" t="s">
        <v>446</v>
      </c>
      <c r="T84" s="258">
        <v>26502376146.977699</v>
      </c>
      <c r="U84" s="258">
        <v>72961</v>
      </c>
      <c r="V84" s="258">
        <v>21650</v>
      </c>
      <c r="W84" s="258">
        <v>753712</v>
      </c>
      <c r="X84" s="258">
        <v>1</v>
      </c>
      <c r="Y84" s="245"/>
      <c r="Z84" s="245" t="s">
        <v>596</v>
      </c>
      <c r="AA84" s="245">
        <v>3327813</v>
      </c>
      <c r="AB84" s="245">
        <v>9</v>
      </c>
      <c r="AC84" s="245">
        <v>2</v>
      </c>
      <c r="AD84" s="245">
        <v>1253</v>
      </c>
      <c r="AE84" s="245">
        <v>1</v>
      </c>
      <c r="AF84" s="245"/>
      <c r="AG84" s="245" t="s">
        <v>596</v>
      </c>
      <c r="AH84" s="245">
        <v>0</v>
      </c>
      <c r="AI84" s="245">
        <v>0</v>
      </c>
      <c r="AJ84" s="245">
        <v>0</v>
      </c>
      <c r="AK84" s="245">
        <v>61</v>
      </c>
      <c r="AL84" s="245">
        <v>1</v>
      </c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561</v>
      </c>
      <c r="BQ84" s="264" t="s">
        <v>562</v>
      </c>
      <c r="BR84" s="264" t="s">
        <v>563</v>
      </c>
    </row>
    <row r="85" spans="1:70" x14ac:dyDescent="0.2">
      <c r="A85" s="149"/>
      <c r="B85" s="190" t="s">
        <v>546</v>
      </c>
      <c r="C85" s="193">
        <v>42115</v>
      </c>
      <c r="D85" s="190">
        <v>1374.4866460000001</v>
      </c>
      <c r="E85" s="223">
        <v>1</v>
      </c>
      <c r="F85" s="213"/>
      <c r="G85" s="223" t="s">
        <v>101</v>
      </c>
      <c r="H85" s="223">
        <v>362.87571001999999</v>
      </c>
      <c r="I85" s="164"/>
      <c r="J85" s="157"/>
      <c r="K85" s="228"/>
      <c r="L85" s="228"/>
      <c r="M85" s="228"/>
      <c r="O85" s="241" t="s">
        <v>313</v>
      </c>
      <c r="P85" s="241">
        <v>1155.86309209</v>
      </c>
      <c r="Q85" s="239"/>
      <c r="R85" s="157"/>
      <c r="S85" s="253" t="s">
        <v>451</v>
      </c>
      <c r="T85" s="258">
        <v>1358090309.576</v>
      </c>
      <c r="U85" s="258">
        <v>10271</v>
      </c>
      <c r="V85" s="258">
        <v>6</v>
      </c>
      <c r="W85" s="258">
        <v>798614</v>
      </c>
      <c r="X85" s="258">
        <v>1</v>
      </c>
      <c r="Y85" s="245"/>
      <c r="Z85" s="245" t="s">
        <v>606</v>
      </c>
      <c r="AA85" s="245">
        <v>0</v>
      </c>
      <c r="AB85" s="245">
        <v>0</v>
      </c>
      <c r="AC85" s="245">
        <v>0</v>
      </c>
      <c r="AD85" s="245">
        <v>0</v>
      </c>
      <c r="AE85" s="245">
        <v>0</v>
      </c>
      <c r="AF85" s="245"/>
      <c r="AG85" s="245" t="s">
        <v>606</v>
      </c>
      <c r="AH85" s="245">
        <v>0</v>
      </c>
      <c r="AI85" s="245">
        <v>0</v>
      </c>
      <c r="AJ85" s="245">
        <v>0</v>
      </c>
      <c r="AK85" s="245">
        <v>0</v>
      </c>
      <c r="AL85" s="245">
        <v>0</v>
      </c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12311122820.74</v>
      </c>
      <c r="BQ85" s="263">
        <v>389243</v>
      </c>
      <c r="BR85" s="263">
        <v>34306</v>
      </c>
    </row>
    <row r="86" spans="1:70" x14ac:dyDescent="0.2">
      <c r="A86" s="149"/>
      <c r="B86" s="190" t="s">
        <v>547</v>
      </c>
      <c r="C86" s="193">
        <v>42118</v>
      </c>
      <c r="D86" s="190">
        <v>1225.1600000000001</v>
      </c>
      <c r="E86" s="223">
        <v>1</v>
      </c>
      <c r="F86" s="213"/>
      <c r="G86" s="223" t="s">
        <v>103</v>
      </c>
      <c r="H86" s="223">
        <v>655.73607408999999</v>
      </c>
      <c r="I86" s="164"/>
      <c r="J86" s="157"/>
      <c r="K86" s="228"/>
      <c r="L86" s="228"/>
      <c r="M86" s="228"/>
      <c r="O86" s="241" t="s">
        <v>60</v>
      </c>
      <c r="P86" s="241">
        <v>11198.96757549</v>
      </c>
      <c r="Q86" s="239"/>
      <c r="R86" s="157"/>
      <c r="S86" s="253" t="s">
        <v>450</v>
      </c>
      <c r="T86" s="258">
        <v>0</v>
      </c>
      <c r="U86" s="258">
        <v>554724</v>
      </c>
      <c r="V86" s="258">
        <v>20</v>
      </c>
      <c r="W86" s="258">
        <v>18679543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548</v>
      </c>
      <c r="C87" s="193">
        <v>42143</v>
      </c>
      <c r="D87" s="190">
        <v>1310.1099999999999</v>
      </c>
      <c r="E87" s="223">
        <v>1</v>
      </c>
      <c r="F87" s="213"/>
      <c r="G87" s="223" t="s">
        <v>306</v>
      </c>
      <c r="H87" s="223">
        <v>4119.0500518400004</v>
      </c>
      <c r="I87" s="164"/>
      <c r="J87" s="157"/>
      <c r="K87" s="228"/>
      <c r="L87" s="228"/>
      <c r="M87" s="228"/>
      <c r="O87" s="241" t="s">
        <v>53</v>
      </c>
      <c r="P87" s="241">
        <v>12474.605410579999</v>
      </c>
      <c r="Q87" s="239"/>
      <c r="R87" s="157"/>
      <c r="S87" s="253" t="s">
        <v>448</v>
      </c>
      <c r="T87" s="258">
        <v>12006536</v>
      </c>
      <c r="U87" s="258">
        <v>49218</v>
      </c>
      <c r="V87" s="258">
        <v>179</v>
      </c>
      <c r="W87" s="258">
        <v>640041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564</v>
      </c>
      <c r="BQ87" s="245"/>
      <c r="BR87" s="245"/>
    </row>
    <row r="88" spans="1:70" x14ac:dyDescent="0.2">
      <c r="A88" s="151"/>
      <c r="B88" s="190" t="s">
        <v>549</v>
      </c>
      <c r="C88" s="193">
        <v>42312</v>
      </c>
      <c r="D88" s="190">
        <v>1315.4607390000001</v>
      </c>
      <c r="E88" s="223">
        <v>1</v>
      </c>
      <c r="F88" s="209"/>
      <c r="G88" s="223" t="s">
        <v>307</v>
      </c>
      <c r="H88" s="223">
        <v>211.34615049000001</v>
      </c>
      <c r="I88" s="164"/>
      <c r="J88" s="157"/>
      <c r="K88" s="228"/>
      <c r="L88" s="228"/>
      <c r="M88" s="228"/>
      <c r="O88" s="241" t="s">
        <v>557</v>
      </c>
      <c r="P88" s="241">
        <v>17989.926255810002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73661</v>
      </c>
      <c r="BQ88" s="245"/>
      <c r="BR88" s="245"/>
    </row>
    <row r="89" spans="1:70" x14ac:dyDescent="0.2">
      <c r="A89" s="14"/>
      <c r="B89" s="190" t="s">
        <v>550</v>
      </c>
      <c r="C89" s="193">
        <v>42312</v>
      </c>
      <c r="D89" s="190">
        <v>1209.71</v>
      </c>
      <c r="E89" s="223">
        <v>1</v>
      </c>
      <c r="F89" s="209"/>
      <c r="G89" s="223" t="s">
        <v>308</v>
      </c>
      <c r="H89" s="223">
        <v>9141.79632528</v>
      </c>
      <c r="I89" s="164"/>
      <c r="J89" s="157"/>
      <c r="K89" s="228"/>
      <c r="L89" s="228"/>
      <c r="M89" s="228"/>
      <c r="O89" s="241" t="s">
        <v>558</v>
      </c>
      <c r="P89" s="241">
        <v>18702.883915549999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551</v>
      </c>
      <c r="C90" s="193">
        <v>42594</v>
      </c>
      <c r="D90" s="190">
        <v>1327.18</v>
      </c>
      <c r="E90" s="223">
        <v>1</v>
      </c>
      <c r="F90" s="213"/>
      <c r="G90" s="223" t="s">
        <v>309</v>
      </c>
      <c r="H90" s="223">
        <v>411.97328514999998</v>
      </c>
      <c r="I90" s="164"/>
      <c r="J90" s="157"/>
      <c r="K90" s="228"/>
      <c r="L90" s="228"/>
      <c r="M90" s="228"/>
      <c r="O90" s="241" t="s">
        <v>314</v>
      </c>
      <c r="P90" s="241">
        <v>7978.3476493400003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564</v>
      </c>
      <c r="BQ90" s="245"/>
      <c r="BR90" s="245"/>
    </row>
    <row r="91" spans="1:70" x14ac:dyDescent="0.2">
      <c r="A91" s="149"/>
      <c r="B91" s="190" t="s">
        <v>552</v>
      </c>
      <c r="C91" s="193">
        <v>42118</v>
      </c>
      <c r="D91" s="190">
        <v>1238.74</v>
      </c>
      <c r="E91" s="223">
        <v>1</v>
      </c>
      <c r="F91" s="213"/>
      <c r="G91" s="223" t="s">
        <v>311</v>
      </c>
      <c r="H91" s="223">
        <v>1227.4798354</v>
      </c>
      <c r="I91" s="164"/>
      <c r="J91" s="157"/>
      <c r="K91" s="228"/>
      <c r="L91" s="228"/>
      <c r="M91" s="228"/>
      <c r="O91" s="241" t="s">
        <v>315</v>
      </c>
      <c r="P91" s="241">
        <v>29290.8933106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62318</v>
      </c>
      <c r="BQ91" s="245"/>
      <c r="BR91" s="245"/>
    </row>
    <row r="92" spans="1:70" x14ac:dyDescent="0.2">
      <c r="A92" s="149"/>
      <c r="B92" s="190" t="s">
        <v>553</v>
      </c>
      <c r="C92" s="193">
        <v>42118</v>
      </c>
      <c r="D92" s="190">
        <v>1315.36</v>
      </c>
      <c r="E92" s="223">
        <v>1</v>
      </c>
      <c r="F92" s="213"/>
      <c r="G92" s="223" t="s">
        <v>312</v>
      </c>
      <c r="H92" s="223">
        <v>10815.760971850001</v>
      </c>
      <c r="I92" s="164"/>
      <c r="J92" s="157"/>
      <c r="K92" s="228"/>
      <c r="L92" s="228"/>
      <c r="M92" s="228"/>
      <c r="O92" s="241" t="s">
        <v>316</v>
      </c>
      <c r="P92" s="241">
        <v>5266.5898480599999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313</v>
      </c>
      <c r="H93" s="223">
        <v>1101.30419867</v>
      </c>
      <c r="I93" s="164"/>
      <c r="J93" s="157"/>
      <c r="K93" s="228"/>
      <c r="L93" s="228"/>
      <c r="M93" s="228"/>
      <c r="O93" s="241" t="s">
        <v>74</v>
      </c>
      <c r="P93" s="241">
        <v>25296.994578760001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554</v>
      </c>
      <c r="C94" s="193">
        <v>42972</v>
      </c>
      <c r="D94" s="190">
        <v>55514.49782009</v>
      </c>
      <c r="E94" s="223">
        <v>1</v>
      </c>
      <c r="F94" s="209"/>
      <c r="G94" s="223" t="s">
        <v>60</v>
      </c>
      <c r="H94" s="223">
        <v>10965.332266089999</v>
      </c>
      <c r="I94" s="164"/>
      <c r="J94" s="157"/>
      <c r="K94" s="228"/>
      <c r="L94" s="228"/>
      <c r="M94" s="228"/>
      <c r="O94" s="241" t="s">
        <v>76</v>
      </c>
      <c r="P94" s="241">
        <v>48395.076502479998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555</v>
      </c>
      <c r="C95" s="193">
        <v>42972</v>
      </c>
      <c r="D95" s="190">
        <v>54942.510268630002</v>
      </c>
      <c r="E95" s="223">
        <v>1</v>
      </c>
      <c r="F95" s="209"/>
      <c r="G95" s="223" t="s">
        <v>53</v>
      </c>
      <c r="H95" s="223">
        <v>12175.01257721</v>
      </c>
      <c r="I95" s="164"/>
      <c r="J95" s="157"/>
      <c r="K95" s="228"/>
      <c r="L95" s="228"/>
      <c r="M95" s="228"/>
      <c r="O95" s="241" t="s">
        <v>78</v>
      </c>
      <c r="P95" s="241">
        <v>77428.187102070005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40662</v>
      </c>
      <c r="D96" s="190">
        <v>4825.42</v>
      </c>
      <c r="E96" s="223">
        <v>1</v>
      </c>
      <c r="F96" s="213"/>
      <c r="G96" s="223" t="s">
        <v>557</v>
      </c>
      <c r="H96" s="223">
        <v>17556.007237189999</v>
      </c>
      <c r="I96" s="164"/>
      <c r="J96" s="157"/>
      <c r="K96" s="228"/>
      <c r="L96" s="228"/>
      <c r="M96" s="228"/>
      <c r="O96" s="241" t="s">
        <v>317</v>
      </c>
      <c r="P96" s="241">
        <v>11637.38640698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558</v>
      </c>
      <c r="H97" s="223">
        <v>18207.432689379999</v>
      </c>
      <c r="I97" s="164"/>
      <c r="K97" s="228"/>
      <c r="L97" s="228"/>
      <c r="M97" s="228"/>
      <c r="O97" s="241" t="s">
        <v>318</v>
      </c>
      <c r="P97" s="241">
        <v>6798.3371452700003</v>
      </c>
    </row>
    <row r="98" spans="1:16" x14ac:dyDescent="0.2">
      <c r="A98" s="149"/>
      <c r="B98" s="190" t="s">
        <v>65</v>
      </c>
      <c r="C98" s="193">
        <v>42971</v>
      </c>
      <c r="D98" s="190">
        <v>76918.317275559995</v>
      </c>
      <c r="E98" s="223">
        <v>1</v>
      </c>
      <c r="F98" s="213"/>
      <c r="G98" s="223" t="s">
        <v>314</v>
      </c>
      <c r="H98" s="223">
        <v>7454.0824510900002</v>
      </c>
      <c r="I98" s="164"/>
      <c r="K98" s="228"/>
      <c r="L98" s="228"/>
      <c r="M98" s="228"/>
      <c r="O98" s="241" t="s">
        <v>88</v>
      </c>
      <c r="P98" s="241">
        <v>7547.4470531999996</v>
      </c>
    </row>
    <row r="99" spans="1:16" x14ac:dyDescent="0.2">
      <c r="A99" s="149"/>
      <c r="B99" s="190" t="s">
        <v>67</v>
      </c>
      <c r="C99" s="193">
        <v>42118</v>
      </c>
      <c r="D99" s="190">
        <v>17911.36431723</v>
      </c>
      <c r="E99" s="223">
        <v>1</v>
      </c>
      <c r="F99" s="213"/>
      <c r="G99" s="223" t="s">
        <v>315</v>
      </c>
      <c r="H99" s="223">
        <v>30411.538803430001</v>
      </c>
      <c r="I99" s="164"/>
      <c r="K99" s="228"/>
      <c r="L99" s="228"/>
      <c r="M99" s="228"/>
      <c r="O99" s="241" t="s">
        <v>80</v>
      </c>
      <c r="P99" s="241">
        <v>22102.838314709999</v>
      </c>
    </row>
    <row r="100" spans="1:16" x14ac:dyDescent="0.2">
      <c r="B100" s="190" t="s">
        <v>69</v>
      </c>
      <c r="C100" s="193">
        <v>42972</v>
      </c>
      <c r="D100" s="190">
        <v>79876.819681349996</v>
      </c>
      <c r="E100" s="223">
        <v>1</v>
      </c>
      <c r="F100" s="209"/>
      <c r="G100" s="223" t="s">
        <v>316</v>
      </c>
      <c r="H100" s="223">
        <v>5086.73646792</v>
      </c>
      <c r="I100" s="164"/>
      <c r="K100" s="228"/>
      <c r="L100" s="228"/>
      <c r="M100" s="228"/>
      <c r="O100" s="241" t="s">
        <v>319</v>
      </c>
      <c r="P100" s="241">
        <v>639.36912159999997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74</v>
      </c>
      <c r="H101" s="223">
        <v>24736.645108019999</v>
      </c>
      <c r="I101" s="164"/>
      <c r="K101" s="228"/>
      <c r="L101" s="228"/>
      <c r="M101" s="228"/>
      <c r="O101" s="241" t="s">
        <v>86</v>
      </c>
      <c r="P101" s="241">
        <v>7435.0345254100002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76</v>
      </c>
      <c r="H102" s="223">
        <v>46998.616028880002</v>
      </c>
      <c r="I102" s="164"/>
      <c r="K102" s="228"/>
      <c r="L102" s="228"/>
      <c r="M102" s="228"/>
      <c r="O102" s="241" t="s">
        <v>320</v>
      </c>
      <c r="P102" s="241">
        <v>4931.0167734200004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78</v>
      </c>
      <c r="H103" s="223">
        <v>79411.713355169995</v>
      </c>
      <c r="I103" s="164"/>
      <c r="K103" s="228"/>
      <c r="L103" s="228"/>
      <c r="M103" s="228"/>
      <c r="O103" s="241" t="s">
        <v>82</v>
      </c>
      <c r="P103" s="241">
        <v>42605.413105489999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317</v>
      </c>
      <c r="H104" s="223">
        <v>11399.84682182</v>
      </c>
      <c r="I104" s="164"/>
      <c r="K104" s="228"/>
      <c r="L104" s="228"/>
      <c r="M104" s="228"/>
      <c r="O104" s="241" t="s">
        <v>84</v>
      </c>
      <c r="P104" s="241">
        <v>49238.238182250003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318</v>
      </c>
      <c r="H105" s="223">
        <v>6556.4088469500002</v>
      </c>
      <c r="I105" s="164"/>
      <c r="K105" s="228"/>
      <c r="L105" s="228"/>
      <c r="M105" s="228"/>
      <c r="O105" s="241" t="s">
        <v>321</v>
      </c>
      <c r="P105" s="241">
        <v>9114.4395316200007</v>
      </c>
    </row>
    <row r="106" spans="1:16" x14ac:dyDescent="0.2">
      <c r="B106" s="190" t="s">
        <v>285</v>
      </c>
      <c r="C106" s="193">
        <v>43007</v>
      </c>
      <c r="D106" s="190">
        <v>343.42188779000003</v>
      </c>
      <c r="E106" s="223">
        <v>1</v>
      </c>
      <c r="F106" s="213"/>
      <c r="G106" s="223" t="s">
        <v>88</v>
      </c>
      <c r="H106" s="223">
        <v>7427.0579468699998</v>
      </c>
      <c r="I106" s="164"/>
      <c r="K106" s="228"/>
      <c r="L106" s="228"/>
      <c r="M106" s="228"/>
      <c r="O106" s="241" t="s">
        <v>322</v>
      </c>
      <c r="P106" s="241">
        <v>2014.4921014900001</v>
      </c>
    </row>
    <row r="107" spans="1:16" x14ac:dyDescent="0.2">
      <c r="B107" s="190" t="s">
        <v>286</v>
      </c>
      <c r="C107" s="193">
        <v>43006</v>
      </c>
      <c r="D107" s="190">
        <v>254.8816965</v>
      </c>
      <c r="E107" s="223">
        <v>1</v>
      </c>
      <c r="F107" s="213"/>
      <c r="G107" s="223" t="s">
        <v>80</v>
      </c>
      <c r="H107" s="223">
        <v>21819.449389879999</v>
      </c>
      <c r="I107" s="164"/>
      <c r="K107" s="228"/>
      <c r="L107" s="228"/>
      <c r="M107" s="228"/>
      <c r="O107" s="241" t="s">
        <v>323</v>
      </c>
      <c r="P107" s="241">
        <v>244.17647722999999</v>
      </c>
    </row>
    <row r="108" spans="1:16" x14ac:dyDescent="0.2">
      <c r="B108" s="190" t="s">
        <v>287</v>
      </c>
      <c r="C108" s="193">
        <v>43007</v>
      </c>
      <c r="D108" s="190">
        <v>201.32410985999999</v>
      </c>
      <c r="E108" s="223">
        <v>1</v>
      </c>
      <c r="F108" s="209"/>
      <c r="G108" s="223" t="s">
        <v>319</v>
      </c>
      <c r="H108" s="223">
        <v>635.36492878000001</v>
      </c>
      <c r="I108" s="164"/>
      <c r="K108" s="228"/>
      <c r="L108" s="228"/>
      <c r="M108" s="228"/>
      <c r="O108" s="241" t="s">
        <v>324</v>
      </c>
      <c r="P108" s="241">
        <v>8050.3880678599999</v>
      </c>
    </row>
    <row r="109" spans="1:16" x14ac:dyDescent="0.2">
      <c r="B109" s="190" t="s">
        <v>288</v>
      </c>
      <c r="C109" s="193">
        <v>43007</v>
      </c>
      <c r="D109" s="190">
        <v>441.13609058999998</v>
      </c>
      <c r="E109" s="223">
        <v>1</v>
      </c>
      <c r="F109" s="209"/>
      <c r="G109" s="223" t="s">
        <v>86</v>
      </c>
      <c r="H109" s="223">
        <v>6989.1840483899996</v>
      </c>
      <c r="I109" s="164"/>
      <c r="K109" s="228"/>
      <c r="L109" s="228"/>
      <c r="M109" s="228"/>
      <c r="O109" s="241" t="s">
        <v>325</v>
      </c>
      <c r="P109" s="241">
        <v>68458.064157190005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320</v>
      </c>
      <c r="H110" s="223">
        <v>4697.5644931799998</v>
      </c>
      <c r="I110" s="164"/>
      <c r="K110" s="228"/>
      <c r="L110" s="228"/>
      <c r="M110" s="228"/>
      <c r="O110" s="241" t="s">
        <v>326</v>
      </c>
      <c r="P110" s="241">
        <v>38272.413209769999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82</v>
      </c>
      <c r="H111" s="223">
        <v>41263.498441479998</v>
      </c>
      <c r="I111" s="164"/>
      <c r="K111" s="228"/>
      <c r="L111" s="228"/>
      <c r="M111" s="228"/>
      <c r="O111" s="241" t="s">
        <v>327</v>
      </c>
      <c r="P111" s="241">
        <v>1502.9086548</v>
      </c>
    </row>
    <row r="112" spans="1:16" x14ac:dyDescent="0.2">
      <c r="B112" s="190" t="s">
        <v>95</v>
      </c>
      <c r="C112" s="193">
        <v>42578</v>
      </c>
      <c r="D112" s="190">
        <v>678.08424324999999</v>
      </c>
      <c r="E112" s="223">
        <v>1</v>
      </c>
      <c r="F112" s="209"/>
      <c r="G112" s="223" t="s">
        <v>84</v>
      </c>
      <c r="H112" s="223">
        <v>45466.831736380002</v>
      </c>
      <c r="I112" s="164"/>
      <c r="K112" s="228"/>
      <c r="L112" s="228"/>
      <c r="M112" s="228"/>
      <c r="O112" s="241" t="s">
        <v>190</v>
      </c>
      <c r="P112" s="241">
        <v>899.16334211000003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321</v>
      </c>
      <c r="H113" s="223">
        <v>8795.5805765700006</v>
      </c>
      <c r="I113" s="164"/>
      <c r="K113" s="228"/>
      <c r="L113" s="228"/>
      <c r="M113" s="228"/>
      <c r="O113" s="241" t="s">
        <v>329</v>
      </c>
      <c r="P113" s="241">
        <v>3878.8844334599999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322</v>
      </c>
      <c r="H114" s="223">
        <v>1903.1108460400001</v>
      </c>
      <c r="I114" s="164"/>
      <c r="K114" s="228"/>
      <c r="L114" s="228"/>
      <c r="M114" s="228"/>
      <c r="O114" s="241" t="s">
        <v>330</v>
      </c>
      <c r="P114" s="241">
        <v>4664.3203457500003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323</v>
      </c>
      <c r="H115" s="223">
        <v>229.46861612999999</v>
      </c>
      <c r="I115" s="164"/>
      <c r="K115" s="228"/>
      <c r="L115" s="228"/>
      <c r="M115" s="228"/>
      <c r="O115" s="241" t="s">
        <v>331</v>
      </c>
      <c r="P115" s="241">
        <v>1055.57856408</v>
      </c>
    </row>
    <row r="116" spans="2:16" x14ac:dyDescent="0.2">
      <c r="B116" s="190" t="s">
        <v>293</v>
      </c>
      <c r="C116" s="193">
        <v>42971</v>
      </c>
      <c r="D116" s="190">
        <v>84792.944095309998</v>
      </c>
      <c r="E116" s="223">
        <v>1</v>
      </c>
      <c r="F116" s="209"/>
      <c r="G116" s="223" t="s">
        <v>324</v>
      </c>
      <c r="H116" s="223">
        <v>7569.8981077199996</v>
      </c>
      <c r="I116" s="164"/>
      <c r="K116" s="228"/>
      <c r="L116" s="228"/>
      <c r="M116" s="228"/>
      <c r="O116" s="241" t="s">
        <v>333</v>
      </c>
      <c r="P116" s="241">
        <v>72.437945290000002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325</v>
      </c>
      <c r="H117" s="223">
        <v>67929.430457130002</v>
      </c>
      <c r="I117" s="164"/>
      <c r="K117" s="228"/>
      <c r="L117" s="228"/>
      <c r="M117" s="228"/>
      <c r="O117" s="241" t="s">
        <v>334</v>
      </c>
      <c r="P117" s="241">
        <v>121.97600968</v>
      </c>
    </row>
    <row r="118" spans="2:16" x14ac:dyDescent="0.2">
      <c r="B118" s="190" t="s">
        <v>294</v>
      </c>
      <c r="C118" s="193">
        <v>42048</v>
      </c>
      <c r="D118" s="190">
        <v>246.82307969999999</v>
      </c>
      <c r="E118" s="223">
        <v>1</v>
      </c>
      <c r="F118" s="209"/>
      <c r="G118" s="223" t="s">
        <v>326</v>
      </c>
      <c r="H118" s="223">
        <v>37028.675279470001</v>
      </c>
      <c r="I118" s="164"/>
      <c r="K118" s="228"/>
      <c r="L118" s="228"/>
      <c r="M118" s="228"/>
      <c r="O118" s="241" t="s">
        <v>335</v>
      </c>
      <c r="P118" s="241">
        <v>53.348020169999998</v>
      </c>
    </row>
    <row r="119" spans="2:16" x14ac:dyDescent="0.2">
      <c r="B119" s="190" t="s">
        <v>295</v>
      </c>
      <c r="C119" s="193">
        <v>42979</v>
      </c>
      <c r="D119" s="190">
        <v>10549.88391728</v>
      </c>
      <c r="E119" s="223">
        <v>1</v>
      </c>
      <c r="F119" s="209"/>
      <c r="G119" s="223" t="s">
        <v>327</v>
      </c>
      <c r="H119" s="223">
        <v>1528.9718585999999</v>
      </c>
      <c r="I119" s="164"/>
      <c r="K119" s="228"/>
      <c r="L119" s="228"/>
      <c r="M119" s="228"/>
      <c r="O119" s="241" t="s">
        <v>336</v>
      </c>
      <c r="P119" s="241">
        <v>86.088729029999996</v>
      </c>
    </row>
    <row r="120" spans="2:16" x14ac:dyDescent="0.2">
      <c r="B120" s="190" t="s">
        <v>296</v>
      </c>
      <c r="C120" s="193">
        <v>42979</v>
      </c>
      <c r="D120" s="190">
        <v>9966.6038446799994</v>
      </c>
      <c r="E120" s="223">
        <v>1</v>
      </c>
      <c r="F120" s="209"/>
      <c r="G120" s="223" t="s">
        <v>190</v>
      </c>
      <c r="H120" s="223">
        <v>891.94522357000005</v>
      </c>
      <c r="I120" s="164"/>
      <c r="K120" s="228"/>
      <c r="L120" s="228"/>
      <c r="M120" s="228"/>
      <c r="O120" s="241" t="s">
        <v>337</v>
      </c>
      <c r="P120" s="241">
        <v>49997.269851260004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329</v>
      </c>
      <c r="H121" s="223">
        <v>3775.7140104499999</v>
      </c>
      <c r="I121" s="164"/>
      <c r="K121" s="228"/>
      <c r="L121" s="228"/>
      <c r="M121" s="228"/>
      <c r="O121" s="241" t="s">
        <v>338</v>
      </c>
      <c r="P121" s="241">
        <v>4134.9448578399997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330</v>
      </c>
      <c r="H122" s="223">
        <v>4780.86812078</v>
      </c>
      <c r="I122" s="164"/>
      <c r="K122" s="228"/>
      <c r="L122" s="228"/>
      <c r="M122" s="228"/>
      <c r="O122" s="241" t="s">
        <v>339</v>
      </c>
      <c r="P122" s="241">
        <v>56522.113845200001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331</v>
      </c>
      <c r="H123" s="223">
        <v>974.72644694999997</v>
      </c>
      <c r="I123" s="164"/>
      <c r="K123" s="228"/>
      <c r="L123" s="228"/>
      <c r="M123" s="228"/>
      <c r="O123" s="241" t="s">
        <v>340</v>
      </c>
      <c r="P123" s="241">
        <v>12474.605410579999</v>
      </c>
    </row>
    <row r="124" spans="2:16" x14ac:dyDescent="0.2">
      <c r="B124" s="190" t="s">
        <v>300</v>
      </c>
      <c r="C124" s="193">
        <v>41800</v>
      </c>
      <c r="D124" s="190">
        <v>210.35973263</v>
      </c>
      <c r="E124" s="223">
        <v>1</v>
      </c>
      <c r="F124" s="209"/>
      <c r="G124" s="223" t="s">
        <v>333</v>
      </c>
      <c r="H124" s="223">
        <v>70.413948379999994</v>
      </c>
      <c r="I124" s="164"/>
      <c r="K124" s="228"/>
      <c r="L124" s="228"/>
      <c r="M124" s="228"/>
      <c r="O124" s="241" t="s">
        <v>341</v>
      </c>
      <c r="P124" s="241">
        <v>881.61322364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334</v>
      </c>
      <c r="H125" s="223">
        <v>123.17465547</v>
      </c>
      <c r="I125" s="164"/>
      <c r="K125" s="228"/>
      <c r="L125" s="228"/>
      <c r="M125" s="228"/>
      <c r="O125" s="241" t="s">
        <v>342</v>
      </c>
      <c r="P125" s="241">
        <v>10546.325617189999</v>
      </c>
    </row>
    <row r="126" spans="2:16" x14ac:dyDescent="0.2">
      <c r="B126" s="190" t="s">
        <v>302</v>
      </c>
      <c r="C126" s="193">
        <v>42979</v>
      </c>
      <c r="D126" s="190">
        <v>10407.937679860001</v>
      </c>
      <c r="E126" s="223">
        <v>1</v>
      </c>
      <c r="F126" s="209"/>
      <c r="G126" s="223" t="s">
        <v>335</v>
      </c>
      <c r="H126" s="223">
        <v>52.43043145</v>
      </c>
      <c r="I126" s="164"/>
      <c r="K126" s="228"/>
      <c r="L126" s="228"/>
      <c r="M126" s="228"/>
      <c r="O126" s="241" t="s">
        <v>343</v>
      </c>
      <c r="P126" s="241">
        <v>3187.6251511800001</v>
      </c>
    </row>
    <row r="127" spans="2:16" x14ac:dyDescent="0.2">
      <c r="B127" s="190" t="s">
        <v>303</v>
      </c>
      <c r="C127" s="193">
        <v>43005</v>
      </c>
      <c r="D127" s="190">
        <v>12130.459699999999</v>
      </c>
      <c r="E127" s="223">
        <v>1</v>
      </c>
      <c r="F127" s="209"/>
      <c r="G127" s="223" t="s">
        <v>336</v>
      </c>
      <c r="H127" s="223">
        <v>87.895325920000005</v>
      </c>
      <c r="I127" s="164"/>
      <c r="K127" s="228"/>
      <c r="L127" s="228"/>
      <c r="M127" s="228"/>
      <c r="O127" s="241" t="s">
        <v>344</v>
      </c>
      <c r="P127" s="241">
        <v>11198.96757549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337</v>
      </c>
      <c r="H128" s="223">
        <v>49376.463990099997</v>
      </c>
      <c r="I128" s="164"/>
      <c r="K128" s="228"/>
      <c r="L128" s="228"/>
      <c r="M128" s="228"/>
      <c r="O128" s="241" t="s">
        <v>346</v>
      </c>
      <c r="P128" s="241">
        <v>7767.29</v>
      </c>
    </row>
    <row r="129" spans="2:16" x14ac:dyDescent="0.2">
      <c r="B129" s="190" t="s">
        <v>58</v>
      </c>
      <c r="C129" s="193">
        <v>42975</v>
      </c>
      <c r="D129" s="190">
        <v>26240.287589439999</v>
      </c>
      <c r="E129" s="223">
        <v>1</v>
      </c>
      <c r="F129" s="209"/>
      <c r="G129" s="223" t="s">
        <v>338</v>
      </c>
      <c r="H129" s="223">
        <v>3930.8734101700002</v>
      </c>
      <c r="I129" s="164"/>
      <c r="K129" s="228"/>
      <c r="L129" s="228"/>
      <c r="M129" s="228"/>
      <c r="O129" s="241" t="s">
        <v>347</v>
      </c>
      <c r="P129" s="241">
        <v>15720.91</v>
      </c>
    </row>
    <row r="130" spans="2:16" x14ac:dyDescent="0.2">
      <c r="B130" s="190" t="s">
        <v>51</v>
      </c>
      <c r="C130" s="193">
        <v>42972</v>
      </c>
      <c r="D130" s="190">
        <v>28567.939084289999</v>
      </c>
      <c r="E130" s="223">
        <v>1</v>
      </c>
      <c r="F130" s="209"/>
      <c r="G130" s="223" t="s">
        <v>339</v>
      </c>
      <c r="H130" s="223">
        <v>55579.922932970003</v>
      </c>
      <c r="I130" s="164"/>
      <c r="K130" s="228"/>
      <c r="L130" s="228"/>
      <c r="M130" s="228"/>
      <c r="O130" s="241" t="s">
        <v>348</v>
      </c>
      <c r="P130" s="241">
        <v>3210.15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340</v>
      </c>
      <c r="H131" s="223">
        <v>12175.01257721</v>
      </c>
      <c r="I131" s="164"/>
      <c r="K131" s="228"/>
      <c r="L131" s="228"/>
      <c r="M131" s="228"/>
      <c r="O131" s="241" t="s">
        <v>349</v>
      </c>
      <c r="P131" s="241">
        <v>4356.04</v>
      </c>
    </row>
    <row r="132" spans="2:16" x14ac:dyDescent="0.2">
      <c r="B132" s="190" t="s">
        <v>556</v>
      </c>
      <c r="C132" s="193">
        <v>42971</v>
      </c>
      <c r="D132" s="190">
        <v>76467.384013169998</v>
      </c>
      <c r="E132" s="223">
        <v>1</v>
      </c>
      <c r="F132" s="209"/>
      <c r="G132" s="223" t="s">
        <v>341</v>
      </c>
      <c r="H132" s="223">
        <v>866.15373050000005</v>
      </c>
      <c r="I132" s="164"/>
      <c r="K132" s="228"/>
      <c r="L132" s="228"/>
      <c r="M132" s="228"/>
      <c r="O132" s="241" t="s">
        <v>350</v>
      </c>
      <c r="P132" s="241">
        <v>2762.53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342</v>
      </c>
      <c r="H133" s="223">
        <v>10326.952565220001</v>
      </c>
      <c r="I133" s="164"/>
      <c r="K133" s="228"/>
      <c r="L133" s="228"/>
      <c r="M133" s="228"/>
      <c r="O133" s="241" t="s">
        <v>351</v>
      </c>
      <c r="P133" s="241">
        <v>21128.02</v>
      </c>
    </row>
    <row r="134" spans="2:16" x14ac:dyDescent="0.2">
      <c r="B134" s="190" t="s">
        <v>103</v>
      </c>
      <c r="C134" s="193">
        <v>42972</v>
      </c>
      <c r="D134" s="190">
        <v>668.9655262</v>
      </c>
      <c r="E134" s="223">
        <v>1</v>
      </c>
      <c r="F134" s="209"/>
      <c r="G134" s="223" t="s">
        <v>343</v>
      </c>
      <c r="H134" s="223">
        <v>3110.9302899300001</v>
      </c>
      <c r="I134" s="164"/>
      <c r="K134" s="228"/>
      <c r="L134" s="228"/>
      <c r="M134" s="228"/>
      <c r="O134" s="241" t="s">
        <v>352</v>
      </c>
      <c r="P134" s="241">
        <v>2912.4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344</v>
      </c>
      <c r="H135" s="223">
        <v>10965.332266089999</v>
      </c>
      <c r="I135" s="164"/>
      <c r="K135" s="228"/>
      <c r="L135" s="228"/>
      <c r="M135" s="228"/>
      <c r="O135" s="241" t="s">
        <v>353</v>
      </c>
      <c r="P135" s="241">
        <v>8616.9599999999991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346</v>
      </c>
      <c r="H136" s="223">
        <v>7372.04</v>
      </c>
      <c r="I136" s="164"/>
      <c r="K136" s="228"/>
      <c r="L136" s="228"/>
      <c r="M136" s="228"/>
      <c r="O136" s="241" t="s">
        <v>354</v>
      </c>
      <c r="P136" s="241">
        <v>6607.5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347</v>
      </c>
      <c r="H137" s="223">
        <v>16247.89</v>
      </c>
      <c r="I137" s="164"/>
      <c r="K137" s="228"/>
      <c r="L137" s="228"/>
      <c r="M137" s="228"/>
      <c r="O137" s="241" t="s">
        <v>355</v>
      </c>
      <c r="P137" s="241">
        <v>5322.5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348</v>
      </c>
      <c r="H138" s="223">
        <v>3305.96</v>
      </c>
      <c r="I138" s="164"/>
      <c r="K138" s="228"/>
      <c r="L138" s="228"/>
      <c r="M138" s="228"/>
      <c r="O138" s="241" t="s">
        <v>356</v>
      </c>
      <c r="P138" s="241">
        <v>7881.45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349</v>
      </c>
      <c r="H139" s="223">
        <v>4187.43</v>
      </c>
      <c r="I139" s="164"/>
      <c r="K139" s="228"/>
      <c r="L139" s="228"/>
      <c r="M139" s="228"/>
      <c r="O139" s="241" t="s">
        <v>357</v>
      </c>
      <c r="P139" s="241">
        <v>21588.92</v>
      </c>
    </row>
    <row r="140" spans="2:16" x14ac:dyDescent="0.2">
      <c r="B140" s="190" t="s">
        <v>311</v>
      </c>
      <c r="C140" s="193">
        <v>43007</v>
      </c>
      <c r="D140" s="190">
        <v>1227.4798354</v>
      </c>
      <c r="E140" s="223">
        <v>1</v>
      </c>
      <c r="F140" s="209"/>
      <c r="G140" s="223" t="s">
        <v>350</v>
      </c>
      <c r="H140" s="223">
        <v>2830.56</v>
      </c>
      <c r="I140" s="164"/>
      <c r="K140" s="228"/>
      <c r="L140" s="228"/>
      <c r="M140" s="228"/>
      <c r="O140" s="241" t="s">
        <v>358</v>
      </c>
      <c r="P140" s="241">
        <v>14493.6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351</v>
      </c>
      <c r="H141" s="223">
        <v>20457.349999999999</v>
      </c>
      <c r="I141" s="164"/>
      <c r="K141" s="228"/>
      <c r="L141" s="228"/>
      <c r="M141" s="228"/>
      <c r="O141" s="241" t="s">
        <v>359</v>
      </c>
      <c r="P141" s="241">
        <v>16669.63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352</v>
      </c>
      <c r="H142" s="223">
        <v>2789.29</v>
      </c>
      <c r="I142" s="164"/>
      <c r="K142" s="228"/>
      <c r="L142" s="228"/>
      <c r="M142" s="228"/>
      <c r="O142" s="241" t="s">
        <v>360</v>
      </c>
      <c r="P142" s="241">
        <v>44675.76</v>
      </c>
    </row>
    <row r="143" spans="2:16" x14ac:dyDescent="0.2">
      <c r="B143" s="190" t="s">
        <v>60</v>
      </c>
      <c r="C143" s="193">
        <v>42972</v>
      </c>
      <c r="D143" s="190">
        <v>11273.33627779</v>
      </c>
      <c r="E143" s="223">
        <v>1</v>
      </c>
      <c r="F143" s="209"/>
      <c r="G143" s="223" t="s">
        <v>353</v>
      </c>
      <c r="H143" s="223">
        <v>8686.4500000000007</v>
      </c>
      <c r="I143" s="164"/>
      <c r="K143" s="228"/>
      <c r="L143" s="228"/>
      <c r="M143" s="228"/>
      <c r="O143" s="241" t="s">
        <v>361</v>
      </c>
      <c r="P143" s="241">
        <v>10131.36</v>
      </c>
    </row>
    <row r="144" spans="2:16" x14ac:dyDescent="0.2">
      <c r="B144" s="190" t="s">
        <v>53</v>
      </c>
      <c r="C144" s="193">
        <v>42972</v>
      </c>
      <c r="D144" s="190">
        <v>12529.92449967</v>
      </c>
      <c r="E144" s="223">
        <v>1</v>
      </c>
      <c r="F144" s="209"/>
      <c r="G144" s="223" t="s">
        <v>354</v>
      </c>
      <c r="H144" s="223">
        <v>6353.06</v>
      </c>
      <c r="I144" s="164"/>
      <c r="K144" s="228"/>
      <c r="L144" s="228"/>
      <c r="M144" s="228"/>
      <c r="O144" s="241" t="s">
        <v>362</v>
      </c>
      <c r="P144" s="241">
        <v>16932.37</v>
      </c>
    </row>
    <row r="145" spans="2:16" x14ac:dyDescent="0.2">
      <c r="B145" s="190" t="s">
        <v>557</v>
      </c>
      <c r="C145" s="193">
        <v>42118</v>
      </c>
      <c r="D145" s="190">
        <v>19023.287199980001</v>
      </c>
      <c r="E145" s="223">
        <v>1</v>
      </c>
      <c r="F145" s="209"/>
      <c r="G145" s="223" t="s">
        <v>355</v>
      </c>
      <c r="H145" s="223">
        <v>5286.31</v>
      </c>
      <c r="I145" s="164"/>
      <c r="K145" s="228"/>
      <c r="L145" s="228"/>
      <c r="M145" s="228"/>
      <c r="O145" s="241" t="s">
        <v>363</v>
      </c>
      <c r="P145" s="241">
        <v>25189.43</v>
      </c>
    </row>
    <row r="146" spans="2:16" x14ac:dyDescent="0.2">
      <c r="B146" s="190" t="s">
        <v>558</v>
      </c>
      <c r="C146" s="193">
        <v>42118</v>
      </c>
      <c r="D146" s="190">
        <v>19104.233152519999</v>
      </c>
      <c r="E146" s="223">
        <v>1</v>
      </c>
      <c r="F146" s="209"/>
      <c r="G146" s="223" t="s">
        <v>356</v>
      </c>
      <c r="H146" s="223">
        <v>7314.47</v>
      </c>
      <c r="I146" s="164"/>
      <c r="K146" s="228"/>
      <c r="L146" s="228"/>
      <c r="M146" s="228"/>
      <c r="O146" s="241" t="s">
        <v>364</v>
      </c>
      <c r="P146" s="241">
        <v>30263.08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357</v>
      </c>
      <c r="H147" s="223">
        <v>20206.66</v>
      </c>
      <c r="I147" s="164"/>
      <c r="K147" s="228"/>
      <c r="L147" s="228"/>
      <c r="M147" s="228"/>
      <c r="O147" s="241" t="s">
        <v>365</v>
      </c>
      <c r="P147" s="241">
        <v>11622.44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358</v>
      </c>
      <c r="H148" s="223">
        <v>13735.18</v>
      </c>
      <c r="I148" s="164"/>
      <c r="K148" s="228"/>
      <c r="L148" s="228"/>
      <c r="M148" s="228"/>
      <c r="O148" s="241" t="s">
        <v>366</v>
      </c>
      <c r="P148" s="241">
        <v>87982.7</v>
      </c>
    </row>
    <row r="149" spans="2:16" x14ac:dyDescent="0.2">
      <c r="B149" s="190" t="s">
        <v>316</v>
      </c>
      <c r="C149" s="193">
        <v>42221</v>
      </c>
      <c r="D149" s="190">
        <v>5959.86148727</v>
      </c>
      <c r="E149" s="223">
        <v>1</v>
      </c>
      <c r="F149" s="209"/>
      <c r="G149" s="223" t="s">
        <v>359</v>
      </c>
      <c r="H149" s="223">
        <v>15919.15</v>
      </c>
      <c r="I149" s="164"/>
      <c r="K149" s="228"/>
      <c r="L149" s="228"/>
      <c r="M149" s="228"/>
      <c r="O149" s="241" t="s">
        <v>367</v>
      </c>
      <c r="P149" s="241">
        <v>6582.13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360</v>
      </c>
      <c r="H150" s="223">
        <v>47431.33</v>
      </c>
      <c r="I150" s="164"/>
      <c r="K150" s="228"/>
      <c r="L150" s="228"/>
      <c r="M150" s="228"/>
      <c r="O150" s="241" t="s">
        <v>368</v>
      </c>
      <c r="P150" s="241">
        <v>5898.87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361</v>
      </c>
      <c r="H151" s="223">
        <v>10619.68</v>
      </c>
      <c r="I151" s="164"/>
      <c r="K151" s="228"/>
      <c r="L151" s="228"/>
      <c r="M151" s="228"/>
      <c r="O151" s="241" t="s">
        <v>369</v>
      </c>
      <c r="P151" s="241">
        <v>9435.2800000000007</v>
      </c>
    </row>
    <row r="152" spans="2:16" x14ac:dyDescent="0.2">
      <c r="B152" s="190" t="s">
        <v>76</v>
      </c>
      <c r="C152" s="193">
        <v>42594</v>
      </c>
      <c r="D152" s="190">
        <v>49802.0548605</v>
      </c>
      <c r="E152" s="223">
        <v>1</v>
      </c>
      <c r="F152" s="209"/>
      <c r="G152" s="223" t="s">
        <v>362</v>
      </c>
      <c r="H152" s="223">
        <v>15819.73</v>
      </c>
      <c r="I152" s="164"/>
      <c r="K152" s="228"/>
      <c r="L152" s="228"/>
      <c r="M152" s="228"/>
      <c r="O152" s="241" t="s">
        <v>370</v>
      </c>
      <c r="P152" s="241">
        <v>10880.07</v>
      </c>
    </row>
    <row r="153" spans="2:16" x14ac:dyDescent="0.2">
      <c r="B153" s="190" t="s">
        <v>78</v>
      </c>
      <c r="C153" s="193">
        <v>42520</v>
      </c>
      <c r="D153" s="190">
        <v>82900.72771716</v>
      </c>
      <c r="E153" s="223">
        <v>1</v>
      </c>
      <c r="F153" s="209"/>
      <c r="G153" s="223" t="s">
        <v>363</v>
      </c>
      <c r="H153" s="223">
        <v>26153.16</v>
      </c>
      <c r="I153" s="164"/>
      <c r="K153" s="228"/>
      <c r="L153" s="228"/>
      <c r="M153" s="228"/>
      <c r="O153" s="241" t="s">
        <v>371</v>
      </c>
      <c r="P153" s="241">
        <v>16174.87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364</v>
      </c>
      <c r="H154" s="223">
        <v>29645.34</v>
      </c>
      <c r="I154" s="164"/>
      <c r="K154" s="228"/>
      <c r="L154" s="228"/>
      <c r="M154" s="228"/>
      <c r="O154" s="241" t="s">
        <v>372</v>
      </c>
      <c r="P154" s="241">
        <v>12110.93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365</v>
      </c>
      <c r="H155" s="223">
        <v>11208.84</v>
      </c>
      <c r="I155" s="164"/>
      <c r="K155" s="228"/>
      <c r="L155" s="228"/>
      <c r="M155" s="228"/>
      <c r="O155" s="241" t="s">
        <v>373</v>
      </c>
      <c r="P155" s="241">
        <v>11280.58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366</v>
      </c>
      <c r="H156" s="223">
        <v>87431.13</v>
      </c>
      <c r="I156" s="164"/>
      <c r="K156" s="228"/>
      <c r="L156" s="228"/>
      <c r="M156" s="228"/>
      <c r="O156" s="241" t="s">
        <v>374</v>
      </c>
      <c r="P156" s="241">
        <v>7123.34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367</v>
      </c>
      <c r="H157" s="223">
        <v>6270.51</v>
      </c>
      <c r="I157" s="164"/>
      <c r="K157" s="228"/>
      <c r="L157" s="228"/>
      <c r="M157" s="228"/>
      <c r="O157" s="241" t="s">
        <v>375</v>
      </c>
      <c r="P157" s="241">
        <v>8597.66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368</v>
      </c>
      <c r="H158" s="223">
        <v>5572.72</v>
      </c>
      <c r="I158" s="164"/>
      <c r="K158" s="228"/>
      <c r="L158" s="228"/>
      <c r="M158" s="228"/>
      <c r="O158" s="241" t="s">
        <v>376</v>
      </c>
      <c r="P158" s="241">
        <v>10586.43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369</v>
      </c>
      <c r="H159" s="223">
        <v>8866.9500000000007</v>
      </c>
      <c r="I159" s="164"/>
      <c r="K159" s="228"/>
      <c r="L159" s="228"/>
      <c r="M159" s="228"/>
      <c r="O159" s="241" t="s">
        <v>377</v>
      </c>
      <c r="P159" s="241">
        <v>19451.88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370</v>
      </c>
      <c r="H160" s="223">
        <v>10230.69</v>
      </c>
      <c r="I160" s="164"/>
      <c r="K160" s="228"/>
      <c r="L160" s="228"/>
      <c r="M160" s="228"/>
      <c r="O160" s="241" t="s">
        <v>380</v>
      </c>
      <c r="P160" s="241">
        <v>5068.1499999999996</v>
      </c>
    </row>
    <row r="161" spans="2:16" x14ac:dyDescent="0.2">
      <c r="B161" s="190" t="s">
        <v>82</v>
      </c>
      <c r="C161" s="193">
        <v>42117</v>
      </c>
      <c r="D161" s="190">
        <v>46982.462386940002</v>
      </c>
      <c r="E161" s="223">
        <v>1</v>
      </c>
      <c r="F161" s="209"/>
      <c r="G161" s="223" t="s">
        <v>371</v>
      </c>
      <c r="H161" s="223">
        <v>16049.97</v>
      </c>
      <c r="I161" s="164"/>
      <c r="K161" s="228"/>
      <c r="L161" s="228"/>
      <c r="M161" s="228"/>
      <c r="O161" s="241" t="s">
        <v>381</v>
      </c>
      <c r="P161" s="241">
        <v>10810.92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372</v>
      </c>
      <c r="H162" s="223">
        <v>11611.6</v>
      </c>
      <c r="I162" s="164"/>
      <c r="K162" s="228"/>
      <c r="L162" s="228"/>
      <c r="M162" s="228"/>
      <c r="O162" s="241" t="s">
        <v>382</v>
      </c>
      <c r="P162" s="241">
        <v>22303.09</v>
      </c>
    </row>
    <row r="163" spans="2:16" x14ac:dyDescent="0.2">
      <c r="B163" s="190" t="s">
        <v>321</v>
      </c>
      <c r="C163" s="193">
        <v>42577</v>
      </c>
      <c r="D163" s="190">
        <v>9766.8870944299997</v>
      </c>
      <c r="E163" s="223">
        <v>1</v>
      </c>
      <c r="F163" s="209"/>
      <c r="G163" s="223" t="s">
        <v>373</v>
      </c>
      <c r="H163" s="223">
        <v>11476.21</v>
      </c>
      <c r="I163" s="164"/>
      <c r="K163" s="228"/>
      <c r="L163" s="228"/>
      <c r="M163" s="228"/>
      <c r="O163" s="241" t="s">
        <v>383</v>
      </c>
      <c r="P163" s="241">
        <v>20837.169999999998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374</v>
      </c>
      <c r="H164" s="223">
        <v>7063.61</v>
      </c>
      <c r="I164" s="164"/>
      <c r="K164" s="228"/>
      <c r="L164" s="228"/>
      <c r="M164" s="228"/>
      <c r="O164" s="241" t="s">
        <v>384</v>
      </c>
      <c r="P164" s="241">
        <v>37309.78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375</v>
      </c>
      <c r="H165" s="223">
        <v>8344.74</v>
      </c>
      <c r="I165" s="164"/>
      <c r="K165" s="228"/>
      <c r="L165" s="228"/>
      <c r="M165" s="228"/>
      <c r="O165" s="241" t="s">
        <v>385</v>
      </c>
      <c r="P165" s="241">
        <v>8552.06</v>
      </c>
    </row>
    <row r="166" spans="2:16" x14ac:dyDescent="0.2">
      <c r="B166" s="190" t="s">
        <v>324</v>
      </c>
      <c r="C166" s="193">
        <v>39381</v>
      </c>
      <c r="D166" s="190">
        <v>42355.94</v>
      </c>
      <c r="E166" s="223">
        <v>1</v>
      </c>
      <c r="F166" s="209"/>
      <c r="G166" s="223" t="s">
        <v>376</v>
      </c>
      <c r="H166" s="223">
        <v>10850.96</v>
      </c>
      <c r="I166" s="164"/>
      <c r="K166" s="228"/>
      <c r="L166" s="228"/>
      <c r="M166" s="228"/>
      <c r="O166" s="241" t="s">
        <v>386</v>
      </c>
      <c r="P166" s="241">
        <v>10279.91</v>
      </c>
    </row>
    <row r="167" spans="2:16" x14ac:dyDescent="0.2">
      <c r="B167" s="190" t="s">
        <v>325</v>
      </c>
      <c r="C167" s="193">
        <v>42983</v>
      </c>
      <c r="D167" s="190">
        <v>70308.282107380001</v>
      </c>
      <c r="E167" s="223">
        <v>1</v>
      </c>
      <c r="F167" s="209"/>
      <c r="G167" s="223" t="s">
        <v>377</v>
      </c>
      <c r="H167" s="223">
        <v>17961.96</v>
      </c>
      <c r="I167" s="164"/>
      <c r="K167" s="228"/>
      <c r="L167" s="228"/>
      <c r="M167" s="228"/>
      <c r="O167" s="241" t="s">
        <v>387</v>
      </c>
      <c r="P167" s="241">
        <v>18089.82</v>
      </c>
    </row>
    <row r="168" spans="2:16" x14ac:dyDescent="0.2">
      <c r="B168" s="190" t="s">
        <v>326</v>
      </c>
      <c r="C168" s="193">
        <v>42110</v>
      </c>
      <c r="D168" s="190">
        <v>45023.057854029998</v>
      </c>
      <c r="E168" s="223">
        <v>1</v>
      </c>
      <c r="F168" s="209"/>
      <c r="G168" s="223" t="s">
        <v>380</v>
      </c>
      <c r="H168" s="223">
        <v>4917.3900000000003</v>
      </c>
      <c r="I168" s="164"/>
      <c r="K168" s="228"/>
      <c r="L168" s="228"/>
      <c r="M168" s="228"/>
      <c r="O168" s="241" t="s">
        <v>388</v>
      </c>
      <c r="P168" s="241">
        <v>3675.64</v>
      </c>
    </row>
    <row r="169" spans="2:16" x14ac:dyDescent="0.2">
      <c r="B169" s="190" t="s">
        <v>327</v>
      </c>
      <c r="C169" s="193">
        <v>42374</v>
      </c>
      <c r="D169" s="190">
        <v>1792.3439825099999</v>
      </c>
      <c r="E169" s="223">
        <v>1</v>
      </c>
      <c r="F169" s="209"/>
      <c r="G169" s="223" t="s">
        <v>381</v>
      </c>
      <c r="H169" s="223">
        <v>10498.97</v>
      </c>
      <c r="I169" s="164"/>
      <c r="K169" s="228"/>
      <c r="L169" s="228"/>
      <c r="M169" s="228"/>
      <c r="O169" s="241" t="s">
        <v>389</v>
      </c>
      <c r="P169" s="241">
        <v>20672.13</v>
      </c>
    </row>
    <row r="170" spans="2:16" x14ac:dyDescent="0.2">
      <c r="B170" s="190" t="s">
        <v>190</v>
      </c>
      <c r="C170" s="193">
        <v>42303</v>
      </c>
      <c r="D170" s="190">
        <v>1035.8389392900001</v>
      </c>
      <c r="E170" s="223">
        <v>1</v>
      </c>
      <c r="F170" s="209"/>
      <c r="G170" s="223" t="s">
        <v>382</v>
      </c>
      <c r="H170" s="223">
        <v>22271.759999999998</v>
      </c>
      <c r="I170" s="164"/>
      <c r="K170" s="228"/>
      <c r="L170" s="228"/>
      <c r="M170" s="228"/>
      <c r="O170" s="241" t="s">
        <v>390</v>
      </c>
      <c r="P170" s="241">
        <v>13078.91</v>
      </c>
    </row>
    <row r="171" spans="2:16" x14ac:dyDescent="0.2">
      <c r="B171" s="190" t="s">
        <v>328</v>
      </c>
      <c r="C171" s="193">
        <v>39209</v>
      </c>
      <c r="D171" s="190">
        <v>910.48</v>
      </c>
      <c r="E171" s="223">
        <v>1</v>
      </c>
      <c r="F171" s="209"/>
      <c r="G171" s="223" t="s">
        <v>383</v>
      </c>
      <c r="H171" s="223">
        <v>20504.8</v>
      </c>
      <c r="I171" s="164"/>
      <c r="K171" s="228"/>
      <c r="L171" s="228"/>
      <c r="M171" s="228"/>
      <c r="O171" s="241" t="s">
        <v>391</v>
      </c>
      <c r="P171" s="241">
        <v>18282.240000000002</v>
      </c>
    </row>
    <row r="172" spans="2:16" x14ac:dyDescent="0.2">
      <c r="B172" s="190" t="s">
        <v>329</v>
      </c>
      <c r="C172" s="193">
        <v>42334</v>
      </c>
      <c r="D172" s="190">
        <v>5012.4318484900004</v>
      </c>
      <c r="E172" s="223">
        <v>1</v>
      </c>
      <c r="F172" s="209"/>
      <c r="G172" s="223" t="s">
        <v>384</v>
      </c>
      <c r="H172" s="223">
        <v>36831.24</v>
      </c>
      <c r="I172" s="164"/>
      <c r="K172" s="228"/>
      <c r="L172" s="228"/>
      <c r="M172" s="228"/>
      <c r="O172" s="241" t="s">
        <v>392</v>
      </c>
      <c r="P172" s="241">
        <v>4008</v>
      </c>
    </row>
    <row r="173" spans="2:16" x14ac:dyDescent="0.2">
      <c r="B173" s="190" t="s">
        <v>330</v>
      </c>
      <c r="C173" s="193">
        <v>42877</v>
      </c>
      <c r="D173" s="190">
        <v>5389.3519094800004</v>
      </c>
      <c r="E173" s="223">
        <v>1</v>
      </c>
      <c r="F173" s="209"/>
      <c r="G173" s="223" t="s">
        <v>385</v>
      </c>
      <c r="H173" s="223">
        <v>8039.22</v>
      </c>
      <c r="I173" s="164"/>
      <c r="K173" s="228"/>
      <c r="L173" s="228"/>
      <c r="M173" s="228"/>
      <c r="O173" s="241" t="s">
        <v>393</v>
      </c>
      <c r="P173" s="241">
        <v>18864.740000000002</v>
      </c>
    </row>
    <row r="174" spans="2:16" x14ac:dyDescent="0.2">
      <c r="B174" s="190" t="s">
        <v>331</v>
      </c>
      <c r="C174" s="193">
        <v>42222</v>
      </c>
      <c r="D174" s="190">
        <v>1524.0086971600001</v>
      </c>
      <c r="E174" s="223">
        <v>1</v>
      </c>
      <c r="F174" s="209"/>
      <c r="G174" s="223" t="s">
        <v>386</v>
      </c>
      <c r="H174" s="223">
        <v>9931.98</v>
      </c>
      <c r="I174" s="164"/>
      <c r="K174" s="228"/>
      <c r="L174" s="228"/>
      <c r="M174" s="228"/>
      <c r="O174" s="241" t="s">
        <v>394</v>
      </c>
      <c r="P174" s="241">
        <v>13439.71</v>
      </c>
    </row>
    <row r="175" spans="2:16" x14ac:dyDescent="0.2">
      <c r="B175" s="190" t="s">
        <v>332</v>
      </c>
      <c r="C175" s="193">
        <v>41492</v>
      </c>
      <c r="D175" s="190">
        <v>4293.55</v>
      </c>
      <c r="E175" s="223">
        <v>1</v>
      </c>
      <c r="F175" s="209"/>
      <c r="G175" s="223" t="s">
        <v>387</v>
      </c>
      <c r="H175" s="223">
        <v>16704.23</v>
      </c>
      <c r="I175" s="164"/>
      <c r="K175" s="228"/>
      <c r="L175" s="228"/>
      <c r="M175" s="228"/>
      <c r="O175" s="241" t="s">
        <v>395</v>
      </c>
      <c r="P175" s="241">
        <v>16909.53</v>
      </c>
    </row>
    <row r="176" spans="2:16" x14ac:dyDescent="0.2">
      <c r="B176" s="190" t="s">
        <v>333</v>
      </c>
      <c r="C176" s="193">
        <v>41849</v>
      </c>
      <c r="D176" s="190">
        <v>92.959638409999997</v>
      </c>
      <c r="E176" s="223">
        <v>1</v>
      </c>
      <c r="F176" s="209"/>
      <c r="G176" s="223" t="s">
        <v>388</v>
      </c>
      <c r="H176" s="223">
        <v>3565.99</v>
      </c>
      <c r="I176" s="164"/>
      <c r="K176" s="228"/>
      <c r="L176" s="228"/>
      <c r="M176" s="228"/>
      <c r="O176" s="241" t="s">
        <v>396</v>
      </c>
      <c r="P176" s="241">
        <v>43664.306082989999</v>
      </c>
    </row>
    <row r="177" spans="2:16" x14ac:dyDescent="0.2">
      <c r="B177" s="190" t="s">
        <v>334</v>
      </c>
      <c r="C177" s="193">
        <v>41901</v>
      </c>
      <c r="D177" s="190">
        <v>131.8028965</v>
      </c>
      <c r="E177" s="223">
        <v>1</v>
      </c>
      <c r="F177" s="209"/>
      <c r="G177" s="223" t="s">
        <v>389</v>
      </c>
      <c r="H177" s="223">
        <v>20338.009999999998</v>
      </c>
      <c r="I177" s="164"/>
      <c r="K177" s="228"/>
      <c r="L177" s="228"/>
      <c r="M177" s="228"/>
      <c r="O177" s="241"/>
      <c r="P177" s="241"/>
    </row>
    <row r="178" spans="2:16" x14ac:dyDescent="0.2">
      <c r="B178" s="190" t="s">
        <v>335</v>
      </c>
      <c r="C178" s="193">
        <v>41901</v>
      </c>
      <c r="D178" s="190">
        <v>76.32416241</v>
      </c>
      <c r="E178" s="223">
        <v>1</v>
      </c>
      <c r="F178" s="209"/>
      <c r="G178" s="223" t="s">
        <v>390</v>
      </c>
      <c r="H178" s="223">
        <v>12543.46</v>
      </c>
      <c r="I178" s="164"/>
      <c r="K178" s="228"/>
      <c r="L178" s="228"/>
      <c r="M178" s="228"/>
      <c r="O178" s="241"/>
      <c r="P178" s="241"/>
    </row>
    <row r="179" spans="2:16" x14ac:dyDescent="0.2">
      <c r="B179" s="190" t="s">
        <v>336</v>
      </c>
      <c r="C179" s="193">
        <v>41912</v>
      </c>
      <c r="D179" s="190">
        <v>106.4349371</v>
      </c>
      <c r="E179" s="223">
        <v>1</v>
      </c>
      <c r="F179" s="209"/>
      <c r="G179" s="223" t="s">
        <v>391</v>
      </c>
      <c r="H179" s="223">
        <v>17894.18</v>
      </c>
      <c r="I179" s="164"/>
      <c r="K179" s="228"/>
      <c r="L179" s="228"/>
      <c r="M179" s="228"/>
      <c r="O179" s="241"/>
      <c r="P179" s="241"/>
    </row>
    <row r="180" spans="2:16" x14ac:dyDescent="0.2">
      <c r="B180" s="190" t="s">
        <v>337</v>
      </c>
      <c r="C180" s="193">
        <v>42972</v>
      </c>
      <c r="D180" s="190">
        <v>50175.32536409</v>
      </c>
      <c r="E180" s="223">
        <v>1</v>
      </c>
      <c r="F180" s="209"/>
      <c r="G180" s="223" t="s">
        <v>392</v>
      </c>
      <c r="H180" s="223">
        <v>3888.77</v>
      </c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338</v>
      </c>
      <c r="C181" s="193">
        <v>41849</v>
      </c>
      <c r="D181" s="190">
        <v>4781.8624027899996</v>
      </c>
      <c r="E181" s="223">
        <v>1</v>
      </c>
      <c r="F181" s="209"/>
      <c r="G181" s="223" t="s">
        <v>393</v>
      </c>
      <c r="H181" s="223">
        <v>18528.37</v>
      </c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339</v>
      </c>
      <c r="C182" s="193">
        <v>42972</v>
      </c>
      <c r="D182" s="190">
        <v>56655.884673820001</v>
      </c>
      <c r="E182" s="223">
        <v>1</v>
      </c>
      <c r="F182" s="209"/>
      <c r="G182" s="223" t="s">
        <v>394</v>
      </c>
      <c r="H182" s="223">
        <v>12984.84</v>
      </c>
      <c r="I182" s="164"/>
      <c r="K182" s="228"/>
      <c r="L182" s="228"/>
      <c r="M182" s="228"/>
      <c r="O182" s="241"/>
      <c r="P182" s="241"/>
    </row>
    <row r="183" spans="2:16" x14ac:dyDescent="0.2">
      <c r="B183" s="190" t="s">
        <v>340</v>
      </c>
      <c r="C183" s="193">
        <v>42972</v>
      </c>
      <c r="D183" s="190">
        <v>12529.92449967</v>
      </c>
      <c r="E183" s="223">
        <v>1</v>
      </c>
      <c r="F183" s="209"/>
      <c r="G183" s="223" t="s">
        <v>395</v>
      </c>
      <c r="H183" s="223">
        <v>16519.439999999999</v>
      </c>
      <c r="I183" s="164"/>
      <c r="K183" s="228"/>
      <c r="L183" s="228"/>
      <c r="M183" s="228"/>
      <c r="O183" s="241"/>
      <c r="P183" s="241"/>
    </row>
    <row r="184" spans="2:16" x14ac:dyDescent="0.2">
      <c r="B184" s="190" t="s">
        <v>341</v>
      </c>
      <c r="C184" s="193">
        <v>41065</v>
      </c>
      <c r="D184" s="190">
        <v>1120.92</v>
      </c>
      <c r="E184" s="223">
        <v>1</v>
      </c>
      <c r="F184" s="209"/>
      <c r="G184" s="223" t="s">
        <v>396</v>
      </c>
      <c r="H184" s="223">
        <v>45232.143969470002</v>
      </c>
      <c r="I184" s="164"/>
      <c r="K184" s="228"/>
      <c r="L184" s="228"/>
      <c r="M184" s="228"/>
      <c r="O184" s="241"/>
      <c r="P184" s="241"/>
    </row>
    <row r="185" spans="2:16" x14ac:dyDescent="0.2">
      <c r="B185" s="190" t="s">
        <v>342</v>
      </c>
      <c r="C185" s="193">
        <v>42979</v>
      </c>
      <c r="D185" s="190">
        <v>10549.88391728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343</v>
      </c>
      <c r="C186" s="193">
        <v>41849</v>
      </c>
      <c r="D186" s="190">
        <v>4482.8823280400002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344</v>
      </c>
      <c r="C187" s="193">
        <v>42972</v>
      </c>
      <c r="D187" s="190">
        <v>11273.33627779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345</v>
      </c>
      <c r="C188" s="193">
        <v>42195</v>
      </c>
      <c r="D188" s="190">
        <v>28365.040000000001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346</v>
      </c>
      <c r="C189" s="193">
        <v>41967</v>
      </c>
      <c r="D189" s="190">
        <v>9721.7199999999993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347</v>
      </c>
      <c r="C190" s="193">
        <v>42860</v>
      </c>
      <c r="D190" s="190">
        <v>16787.900000000001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348</v>
      </c>
      <c r="C191" s="193">
        <v>41929</v>
      </c>
      <c r="D191" s="190">
        <v>4841.3999999999996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349</v>
      </c>
      <c r="C192" s="193">
        <v>41904</v>
      </c>
      <c r="D192" s="190">
        <v>4959.92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350</v>
      </c>
      <c r="C193" s="193">
        <v>41904</v>
      </c>
      <c r="D193" s="190">
        <v>5684.71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351</v>
      </c>
      <c r="C194" s="193">
        <v>42594</v>
      </c>
      <c r="D194" s="190">
        <v>22629.39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352</v>
      </c>
      <c r="C195" s="193">
        <v>41904</v>
      </c>
      <c r="D195" s="190">
        <v>4598.12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353</v>
      </c>
      <c r="C196" s="193">
        <v>42146</v>
      </c>
      <c r="D196" s="190">
        <v>12996.36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354</v>
      </c>
      <c r="C197" s="193">
        <v>41964</v>
      </c>
      <c r="D197" s="190">
        <v>7319.54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355</v>
      </c>
      <c r="C198" s="193">
        <v>42193</v>
      </c>
      <c r="D198" s="190">
        <v>9363.98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356</v>
      </c>
      <c r="C199" s="193">
        <v>41948</v>
      </c>
      <c r="D199" s="190">
        <v>15682.48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357</v>
      </c>
      <c r="C200" s="193">
        <v>42520</v>
      </c>
      <c r="D200" s="190">
        <v>31469.57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358</v>
      </c>
      <c r="C201" s="193">
        <v>42817</v>
      </c>
      <c r="D201" s="190">
        <v>16210.1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359</v>
      </c>
      <c r="C202" s="193">
        <v>42460</v>
      </c>
      <c r="D202" s="190">
        <v>25683.33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360</v>
      </c>
      <c r="C203" s="193">
        <v>43007</v>
      </c>
      <c r="D203" s="190">
        <v>47431.33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361</v>
      </c>
      <c r="C204" s="193">
        <v>42521</v>
      </c>
      <c r="D204" s="190">
        <v>12168.93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362</v>
      </c>
      <c r="C205" s="193">
        <v>42117</v>
      </c>
      <c r="D205" s="190">
        <v>27409.74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363</v>
      </c>
      <c r="C206" s="193">
        <v>42030</v>
      </c>
      <c r="D206" s="190">
        <v>36618.99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364</v>
      </c>
      <c r="C207" s="193">
        <v>42969</v>
      </c>
      <c r="D207" s="190">
        <v>30556.59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365</v>
      </c>
      <c r="C208" s="193">
        <v>42104</v>
      </c>
      <c r="D208" s="190">
        <v>15204.51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366</v>
      </c>
      <c r="C209" s="193">
        <v>42971</v>
      </c>
      <c r="D209" s="190">
        <v>90257.38</v>
      </c>
      <c r="E209" s="223">
        <v>1</v>
      </c>
    </row>
    <row r="210" spans="2:5" x14ac:dyDescent="0.2">
      <c r="B210" s="190" t="s">
        <v>367</v>
      </c>
      <c r="C210" s="193">
        <v>42655</v>
      </c>
      <c r="D210" s="190">
        <v>9116.6</v>
      </c>
      <c r="E210" s="223">
        <v>1</v>
      </c>
    </row>
    <row r="211" spans="2:5" x14ac:dyDescent="0.2">
      <c r="B211" s="190" t="s">
        <v>368</v>
      </c>
      <c r="C211" s="193">
        <v>42066</v>
      </c>
      <c r="D211" s="190">
        <v>7949.83</v>
      </c>
      <c r="E211" s="223">
        <v>1</v>
      </c>
    </row>
    <row r="212" spans="2:5" x14ac:dyDescent="0.2">
      <c r="B212" s="190" t="s">
        <v>369</v>
      </c>
      <c r="C212" s="193">
        <v>42122</v>
      </c>
      <c r="D212" s="190">
        <v>15553.66</v>
      </c>
      <c r="E212" s="223">
        <v>1</v>
      </c>
    </row>
    <row r="213" spans="2:5" x14ac:dyDescent="0.2">
      <c r="B213" s="190" t="s">
        <v>370</v>
      </c>
      <c r="C213" s="193">
        <v>42117</v>
      </c>
      <c r="D213" s="190">
        <v>11507.83</v>
      </c>
      <c r="E213" s="223">
        <v>1</v>
      </c>
    </row>
    <row r="214" spans="2:5" x14ac:dyDescent="0.2">
      <c r="B214" s="190" t="s">
        <v>371</v>
      </c>
      <c r="C214" s="193">
        <v>42983</v>
      </c>
      <c r="D214" s="190">
        <v>16612.03</v>
      </c>
      <c r="E214" s="223">
        <v>1</v>
      </c>
    </row>
    <row r="215" spans="2:5" x14ac:dyDescent="0.2">
      <c r="B215" s="190" t="s">
        <v>372</v>
      </c>
      <c r="C215" s="193">
        <v>42104</v>
      </c>
      <c r="D215" s="190">
        <v>14152.32</v>
      </c>
      <c r="E215" s="223">
        <v>1</v>
      </c>
    </row>
    <row r="216" spans="2:5" x14ac:dyDescent="0.2">
      <c r="B216" s="190" t="s">
        <v>373</v>
      </c>
      <c r="C216" s="193">
        <v>42374</v>
      </c>
      <c r="D216" s="190">
        <v>13453.03</v>
      </c>
      <c r="E216" s="223">
        <v>1</v>
      </c>
    </row>
    <row r="217" spans="2:5" x14ac:dyDescent="0.2">
      <c r="B217" s="190" t="s">
        <v>374</v>
      </c>
      <c r="C217" s="193">
        <v>42303</v>
      </c>
      <c r="D217" s="190">
        <v>7915.02</v>
      </c>
      <c r="E217" s="223">
        <v>1</v>
      </c>
    </row>
    <row r="218" spans="2:5" x14ac:dyDescent="0.2">
      <c r="B218" s="190" t="s">
        <v>375</v>
      </c>
      <c r="C218" s="193">
        <v>42310</v>
      </c>
      <c r="D218" s="190">
        <v>11222.21</v>
      </c>
      <c r="E218" s="223">
        <v>1</v>
      </c>
    </row>
    <row r="219" spans="2:5" x14ac:dyDescent="0.2">
      <c r="B219" s="190" t="s">
        <v>376</v>
      </c>
      <c r="C219" s="193">
        <v>42877</v>
      </c>
      <c r="D219" s="190">
        <v>12232.01</v>
      </c>
      <c r="E219" s="223">
        <v>1</v>
      </c>
    </row>
    <row r="220" spans="2:5" x14ac:dyDescent="0.2">
      <c r="B220" s="190" t="s">
        <v>377</v>
      </c>
      <c r="C220" s="193">
        <v>42222</v>
      </c>
      <c r="D220" s="190">
        <v>28083.96</v>
      </c>
      <c r="E220" s="223">
        <v>1</v>
      </c>
    </row>
    <row r="221" spans="2:5" x14ac:dyDescent="0.2">
      <c r="B221" s="190" t="s">
        <v>378</v>
      </c>
      <c r="C221" s="193">
        <v>41947</v>
      </c>
      <c r="D221" s="190">
        <v>7127.6</v>
      </c>
      <c r="E221" s="223">
        <v>1</v>
      </c>
    </row>
    <row r="222" spans="2:5" x14ac:dyDescent="0.2">
      <c r="B222" s="190" t="s">
        <v>379</v>
      </c>
      <c r="C222" s="193">
        <v>42195</v>
      </c>
      <c r="D222" s="190">
        <v>28365.040000000001</v>
      </c>
      <c r="E222" s="223">
        <v>1</v>
      </c>
    </row>
    <row r="223" spans="2:5" x14ac:dyDescent="0.2">
      <c r="B223" s="190" t="s">
        <v>380</v>
      </c>
      <c r="C223" s="193">
        <v>41904</v>
      </c>
      <c r="D223" s="190">
        <v>5480.24</v>
      </c>
      <c r="E223" s="223">
        <v>1</v>
      </c>
    </row>
    <row r="224" spans="2:5" x14ac:dyDescent="0.2">
      <c r="B224" s="190" t="s">
        <v>381</v>
      </c>
      <c r="C224" s="193">
        <v>42594</v>
      </c>
      <c r="D224" s="190">
        <v>11125.17</v>
      </c>
      <c r="E224" s="223">
        <v>1</v>
      </c>
    </row>
    <row r="225" spans="2:5" x14ac:dyDescent="0.2">
      <c r="B225" s="190" t="s">
        <v>382</v>
      </c>
      <c r="C225" s="193">
        <v>42520</v>
      </c>
      <c r="D225" s="190">
        <v>26408.99</v>
      </c>
      <c r="E225" s="223">
        <v>1</v>
      </c>
    </row>
    <row r="226" spans="2:5" x14ac:dyDescent="0.2">
      <c r="B226" s="190" t="s">
        <v>383</v>
      </c>
      <c r="C226" s="193">
        <v>42069</v>
      </c>
      <c r="D226" s="190">
        <v>31823.85</v>
      </c>
      <c r="E226" s="223">
        <v>1</v>
      </c>
    </row>
    <row r="227" spans="2:5" x14ac:dyDescent="0.2">
      <c r="B227" s="190" t="s">
        <v>384</v>
      </c>
      <c r="C227" s="193">
        <v>42971</v>
      </c>
      <c r="D227" s="190">
        <v>38146.160000000003</v>
      </c>
      <c r="E227" s="223">
        <v>1</v>
      </c>
    </row>
    <row r="228" spans="2:5" x14ac:dyDescent="0.2">
      <c r="B228" s="190" t="s">
        <v>385</v>
      </c>
      <c r="C228" s="193">
        <v>42122</v>
      </c>
      <c r="D228" s="190">
        <v>13908.83</v>
      </c>
      <c r="E228" s="223">
        <v>1</v>
      </c>
    </row>
    <row r="229" spans="2:5" x14ac:dyDescent="0.2">
      <c r="B229" s="190" t="s">
        <v>386</v>
      </c>
      <c r="C229" s="193">
        <v>42117</v>
      </c>
      <c r="D229" s="190">
        <v>11227.41</v>
      </c>
      <c r="E229" s="223">
        <v>1</v>
      </c>
    </row>
    <row r="230" spans="2:5" x14ac:dyDescent="0.2">
      <c r="B230" s="190" t="s">
        <v>387</v>
      </c>
      <c r="C230" s="193">
        <v>42222</v>
      </c>
      <c r="D230" s="190">
        <v>26117.47</v>
      </c>
      <c r="E230" s="223">
        <v>1</v>
      </c>
    </row>
    <row r="231" spans="2:5" x14ac:dyDescent="0.2">
      <c r="B231" s="190" t="s">
        <v>388</v>
      </c>
      <c r="C231" s="193">
        <v>41904</v>
      </c>
      <c r="D231" s="190">
        <v>6904.09</v>
      </c>
      <c r="E231" s="223">
        <v>1</v>
      </c>
    </row>
    <row r="232" spans="2:5" x14ac:dyDescent="0.2">
      <c r="B232" s="190" t="s">
        <v>389</v>
      </c>
      <c r="C232" s="193">
        <v>42971</v>
      </c>
      <c r="D232" s="190">
        <v>20897.330000000002</v>
      </c>
      <c r="E232" s="223">
        <v>1</v>
      </c>
    </row>
    <row r="233" spans="2:5" x14ac:dyDescent="0.2">
      <c r="B233" s="190" t="s">
        <v>390</v>
      </c>
      <c r="C233" s="193">
        <v>42118</v>
      </c>
      <c r="D233" s="190">
        <v>14632.12</v>
      </c>
      <c r="E233" s="223">
        <v>1</v>
      </c>
    </row>
    <row r="234" spans="2:5" x14ac:dyDescent="0.2">
      <c r="B234" s="190" t="s">
        <v>391</v>
      </c>
      <c r="C234" s="193">
        <v>42972</v>
      </c>
      <c r="D234" s="190">
        <v>18463.919999999998</v>
      </c>
      <c r="E234" s="223">
        <v>1</v>
      </c>
    </row>
    <row r="235" spans="2:5" x14ac:dyDescent="0.2">
      <c r="B235" s="190" t="s">
        <v>392</v>
      </c>
      <c r="C235" s="193">
        <v>41904</v>
      </c>
      <c r="D235" s="190">
        <v>6817.36</v>
      </c>
      <c r="E235" s="223">
        <v>1</v>
      </c>
    </row>
    <row r="236" spans="2:5" x14ac:dyDescent="0.2">
      <c r="B236" s="190" t="s">
        <v>393</v>
      </c>
      <c r="C236" s="193">
        <v>42971</v>
      </c>
      <c r="D236" s="190">
        <v>19033.310000000001</v>
      </c>
      <c r="E236" s="223">
        <v>1</v>
      </c>
    </row>
    <row r="237" spans="2:5" x14ac:dyDescent="0.2">
      <c r="B237" s="190" t="s">
        <v>394</v>
      </c>
      <c r="C237" s="193">
        <v>42117</v>
      </c>
      <c r="D237" s="190">
        <v>14678.45</v>
      </c>
      <c r="E237" s="223">
        <v>1</v>
      </c>
    </row>
    <row r="238" spans="2:5" x14ac:dyDescent="0.2">
      <c r="B238" s="190" t="s">
        <v>395</v>
      </c>
      <c r="C238" s="193">
        <v>42971</v>
      </c>
      <c r="D238" s="190">
        <v>17064.759999999998</v>
      </c>
      <c r="E238" s="223">
        <v>1</v>
      </c>
    </row>
    <row r="239" spans="2:5" x14ac:dyDescent="0.2">
      <c r="B239" s="190" t="s">
        <v>396</v>
      </c>
      <c r="C239" s="193">
        <v>42998</v>
      </c>
      <c r="D239" s="190">
        <v>45487.917280740003</v>
      </c>
      <c r="E239" s="223">
        <v>1</v>
      </c>
    </row>
    <row r="240" spans="2:5" x14ac:dyDescent="0.2">
      <c r="B240" s="190" t="s">
        <v>397</v>
      </c>
      <c r="C240" s="193">
        <v>37469</v>
      </c>
      <c r="D240" s="190">
        <v>394.88</v>
      </c>
      <c r="E240" s="223">
        <v>1</v>
      </c>
    </row>
    <row r="241" spans="2:5" x14ac:dyDescent="0.2">
      <c r="B241" s="190" t="s">
        <v>398</v>
      </c>
      <c r="C241" s="193">
        <v>37469</v>
      </c>
      <c r="D241" s="190">
        <v>394.88</v>
      </c>
      <c r="E241" s="223">
        <v>1</v>
      </c>
    </row>
    <row r="242" spans="2:5" x14ac:dyDescent="0.2">
      <c r="B242" s="190" t="s">
        <v>399</v>
      </c>
      <c r="C242" s="193">
        <v>38665</v>
      </c>
      <c r="D242" s="190">
        <v>225.62</v>
      </c>
      <c r="E242" s="223">
        <v>1</v>
      </c>
    </row>
    <row r="243" spans="2:5" x14ac:dyDescent="0.2">
      <c r="B243" s="190" t="s">
        <v>400</v>
      </c>
      <c r="C243" s="193">
        <v>38665</v>
      </c>
      <c r="D243" s="190">
        <v>225.62</v>
      </c>
      <c r="E243" s="223">
        <v>1</v>
      </c>
    </row>
    <row r="244" spans="2:5" x14ac:dyDescent="0.2">
      <c r="B244" s="190" t="s">
        <v>401</v>
      </c>
      <c r="C244" s="193">
        <v>38624</v>
      </c>
      <c r="D244" s="190">
        <v>173.45</v>
      </c>
      <c r="E244" s="223">
        <v>1</v>
      </c>
    </row>
    <row r="245" spans="2:5" x14ac:dyDescent="0.2">
      <c r="B245" s="190" t="s">
        <v>402</v>
      </c>
      <c r="C245" s="193">
        <v>38624</v>
      </c>
      <c r="D245" s="190">
        <v>173.45</v>
      </c>
      <c r="E245" s="223">
        <v>1</v>
      </c>
    </row>
    <row r="246" spans="2:5" x14ac:dyDescent="0.2">
      <c r="B246" s="190" t="s">
        <v>403</v>
      </c>
      <c r="C246" s="193">
        <v>38027</v>
      </c>
      <c r="D246" s="190">
        <v>108.65</v>
      </c>
      <c r="E246" s="223">
        <v>1</v>
      </c>
    </row>
    <row r="247" spans="2:5" x14ac:dyDescent="0.2">
      <c r="B247" s="190" t="s">
        <v>404</v>
      </c>
      <c r="C247" s="193">
        <v>37757</v>
      </c>
      <c r="D247" s="190">
        <v>125</v>
      </c>
      <c r="E247" s="223">
        <v>1</v>
      </c>
    </row>
    <row r="248" spans="2:5" x14ac:dyDescent="0.2">
      <c r="B248" s="190" t="s">
        <v>405</v>
      </c>
      <c r="C248" s="193">
        <v>38006</v>
      </c>
      <c r="D248" s="190">
        <v>106.83</v>
      </c>
      <c r="E248" s="223">
        <v>1</v>
      </c>
    </row>
    <row r="249" spans="2:5" x14ac:dyDescent="0.2">
      <c r="B249" s="190" t="s">
        <v>406</v>
      </c>
      <c r="C249" s="193">
        <v>38715</v>
      </c>
      <c r="D249" s="190">
        <v>508.88</v>
      </c>
      <c r="E249" s="223">
        <v>1</v>
      </c>
    </row>
    <row r="250" spans="2:5" x14ac:dyDescent="0.2">
      <c r="B250" s="190" t="s">
        <v>407</v>
      </c>
      <c r="C250" s="193">
        <v>38715</v>
      </c>
      <c r="D250" s="190">
        <v>510.55</v>
      </c>
      <c r="E250" s="223">
        <v>1</v>
      </c>
    </row>
    <row r="251" spans="2:5" x14ac:dyDescent="0.2">
      <c r="B251" s="190" t="s">
        <v>408</v>
      </c>
      <c r="C251" s="193">
        <v>38260</v>
      </c>
      <c r="D251" s="190">
        <v>730.16</v>
      </c>
      <c r="E251" s="223">
        <v>1</v>
      </c>
    </row>
    <row r="252" spans="2:5" x14ac:dyDescent="0.2">
      <c r="B252" s="190" t="s">
        <v>409</v>
      </c>
      <c r="C252" s="193">
        <v>38716</v>
      </c>
      <c r="D252" s="190">
        <v>250.34</v>
      </c>
      <c r="E252" s="223">
        <v>1</v>
      </c>
    </row>
    <row r="253" spans="2:5" x14ac:dyDescent="0.2">
      <c r="B253" s="190" t="s">
        <v>410</v>
      </c>
      <c r="C253" s="193">
        <v>38716</v>
      </c>
      <c r="D253" s="190">
        <v>250.34</v>
      </c>
      <c r="E253" s="223">
        <v>1</v>
      </c>
    </row>
    <row r="254" spans="2:5" x14ac:dyDescent="0.2">
      <c r="B254" s="190" t="s">
        <v>411</v>
      </c>
      <c r="C254" s="193">
        <v>38713</v>
      </c>
      <c r="D254" s="190">
        <v>185.77</v>
      </c>
      <c r="E254" s="223">
        <v>1</v>
      </c>
    </row>
    <row r="255" spans="2:5" x14ac:dyDescent="0.2">
      <c r="B255" s="190" t="s">
        <v>412</v>
      </c>
      <c r="C255" s="193">
        <v>38713</v>
      </c>
      <c r="D255" s="190">
        <v>232.72</v>
      </c>
      <c r="E255" s="223">
        <v>1</v>
      </c>
    </row>
    <row r="256" spans="2:5" x14ac:dyDescent="0.2">
      <c r="B256" s="190" t="s">
        <v>413</v>
      </c>
      <c r="C256" s="193">
        <v>38713</v>
      </c>
      <c r="D256" s="190">
        <v>137.76</v>
      </c>
      <c r="E256" s="223">
        <v>1</v>
      </c>
    </row>
    <row r="257" spans="2:5" x14ac:dyDescent="0.2">
      <c r="B257" s="190" t="s">
        <v>414</v>
      </c>
      <c r="C257" s="193">
        <v>38713</v>
      </c>
      <c r="D257" s="190">
        <v>141.75</v>
      </c>
      <c r="E257" s="223">
        <v>1</v>
      </c>
    </row>
    <row r="258" spans="2:5" x14ac:dyDescent="0.2">
      <c r="B258" s="190" t="s">
        <v>415</v>
      </c>
      <c r="C258" s="193">
        <v>38370</v>
      </c>
      <c r="D258" s="190">
        <v>242.71</v>
      </c>
      <c r="E258" s="223">
        <v>1</v>
      </c>
    </row>
    <row r="259" spans="2:5" x14ac:dyDescent="0.2">
      <c r="B259" s="190" t="s">
        <v>416</v>
      </c>
      <c r="C259" s="193">
        <v>38706</v>
      </c>
      <c r="D259" s="190">
        <v>128.63</v>
      </c>
      <c r="E259" s="223">
        <v>1</v>
      </c>
    </row>
    <row r="260" spans="2:5" x14ac:dyDescent="0.2">
      <c r="B260" s="190" t="s">
        <v>417</v>
      </c>
      <c r="C260" s="193">
        <v>38705</v>
      </c>
      <c r="D260" s="190">
        <v>217.85</v>
      </c>
      <c r="E260" s="223">
        <v>1</v>
      </c>
    </row>
    <row r="261" spans="2:5" x14ac:dyDescent="0.2">
      <c r="B261" s="190" t="s">
        <v>418</v>
      </c>
      <c r="C261" s="193">
        <v>42129</v>
      </c>
      <c r="D261" s="190">
        <v>1211.2244297899999</v>
      </c>
      <c r="E261" s="223">
        <v>1</v>
      </c>
    </row>
    <row r="262" spans="2:5" x14ac:dyDescent="0.2">
      <c r="B262" s="190" t="s">
        <v>419</v>
      </c>
      <c r="C262" s="193">
        <v>42552</v>
      </c>
      <c r="D262" s="190">
        <v>532.75119029999996</v>
      </c>
      <c r="E262" s="223">
        <v>1</v>
      </c>
    </row>
    <row r="263" spans="2:5" x14ac:dyDescent="0.2">
      <c r="B263" s="190" t="s">
        <v>420</v>
      </c>
      <c r="C263" s="193">
        <v>39329</v>
      </c>
      <c r="D263" s="190">
        <v>321.83999999999997</v>
      </c>
      <c r="E263" s="223">
        <v>1</v>
      </c>
    </row>
    <row r="264" spans="2:5" x14ac:dyDescent="0.2">
      <c r="B264" s="190" t="s">
        <v>421</v>
      </c>
      <c r="C264" s="193">
        <v>40577</v>
      </c>
      <c r="D264" s="190">
        <v>493.46</v>
      </c>
      <c r="E264" s="223">
        <v>1</v>
      </c>
    </row>
    <row r="265" spans="2:5" x14ac:dyDescent="0.2">
      <c r="B265" s="190" t="s">
        <v>422</v>
      </c>
      <c r="C265" s="193">
        <v>39618</v>
      </c>
      <c r="D265" s="190">
        <v>303</v>
      </c>
      <c r="E265" s="223">
        <v>1</v>
      </c>
    </row>
    <row r="266" spans="2:5" x14ac:dyDescent="0.2">
      <c r="B266" s="190" t="s">
        <v>423</v>
      </c>
      <c r="C266" s="193">
        <v>39394</v>
      </c>
      <c r="D266" s="190">
        <v>363.69</v>
      </c>
      <c r="E266" s="223">
        <v>1</v>
      </c>
    </row>
    <row r="267" spans="2:5" x14ac:dyDescent="0.2">
      <c r="B267" s="190" t="s">
        <v>424</v>
      </c>
      <c r="C267" s="193">
        <v>40478</v>
      </c>
      <c r="D267" s="190">
        <v>148.34</v>
      </c>
      <c r="E267" s="223">
        <v>1</v>
      </c>
    </row>
    <row r="268" spans="2:5" x14ac:dyDescent="0.2">
      <c r="B268" s="190" t="s">
        <v>425</v>
      </c>
      <c r="C268" s="193">
        <v>42552</v>
      </c>
      <c r="D268" s="190">
        <v>1062.7544994699999</v>
      </c>
      <c r="E268" s="223">
        <v>1</v>
      </c>
    </row>
    <row r="269" spans="2:5" x14ac:dyDescent="0.2">
      <c r="B269" s="190" t="s">
        <v>426</v>
      </c>
      <c r="C269" s="193">
        <v>42227</v>
      </c>
      <c r="D269" s="190">
        <v>4757.8587041199999</v>
      </c>
      <c r="E269" s="223">
        <v>1</v>
      </c>
    </row>
    <row r="270" spans="2:5" x14ac:dyDescent="0.2">
      <c r="B270" s="190" t="s">
        <v>427</v>
      </c>
      <c r="C270" s="193">
        <v>42550</v>
      </c>
      <c r="D270" s="190">
        <v>147.67885862</v>
      </c>
      <c r="E270" s="223">
        <v>1</v>
      </c>
    </row>
    <row r="271" spans="2:5" x14ac:dyDescent="0.2">
      <c r="B271" s="190" t="s">
        <v>428</v>
      </c>
      <c r="C271" s="193">
        <v>39618</v>
      </c>
      <c r="D271" s="190">
        <v>562.29</v>
      </c>
      <c r="E271" s="223">
        <v>1</v>
      </c>
    </row>
    <row r="272" spans="2:5" x14ac:dyDescent="0.2">
      <c r="B272" s="190" t="s">
        <v>429</v>
      </c>
      <c r="C272" s="193">
        <v>39394</v>
      </c>
      <c r="D272" s="190">
        <v>363.69</v>
      </c>
      <c r="E272" s="223">
        <v>1</v>
      </c>
    </row>
    <row r="273" spans="2:5" x14ac:dyDescent="0.2">
      <c r="B273" s="190" t="s">
        <v>430</v>
      </c>
      <c r="C273" s="193">
        <v>42227</v>
      </c>
      <c r="D273" s="190">
        <v>4215.8333879900001</v>
      </c>
      <c r="E273" s="223">
        <v>1</v>
      </c>
    </row>
    <row r="274" spans="2:5" x14ac:dyDescent="0.2">
      <c r="B274" s="10" t="s">
        <v>431</v>
      </c>
      <c r="C274" s="126">
        <v>41277</v>
      </c>
      <c r="D274" s="10">
        <v>2807.39</v>
      </c>
      <c r="E274" s="10">
        <v>1</v>
      </c>
    </row>
    <row r="275" spans="2:5" x14ac:dyDescent="0.2">
      <c r="B275" s="10" t="s">
        <v>432</v>
      </c>
      <c r="C275" s="126">
        <v>41283</v>
      </c>
      <c r="D275" s="10">
        <v>2316.58</v>
      </c>
      <c r="E275" s="10">
        <v>1</v>
      </c>
    </row>
    <row r="276" spans="2:5" x14ac:dyDescent="0.2">
      <c r="B276" s="10" t="s">
        <v>433</v>
      </c>
      <c r="C276" s="126">
        <v>42550</v>
      </c>
      <c r="D276" s="10">
        <v>130.66139737</v>
      </c>
      <c r="E276" s="10">
        <v>1</v>
      </c>
    </row>
    <row r="277" spans="2:5" x14ac:dyDescent="0.2">
      <c r="B277" s="10" t="s">
        <v>434</v>
      </c>
      <c r="C277" s="126">
        <v>41281</v>
      </c>
      <c r="D277" s="10">
        <v>3365.22</v>
      </c>
      <c r="E277" s="10">
        <v>1</v>
      </c>
    </row>
    <row r="278" spans="2:5" x14ac:dyDescent="0.2">
      <c r="B278" s="10" t="s">
        <v>435</v>
      </c>
      <c r="C278" s="126">
        <v>42110</v>
      </c>
      <c r="D278" s="10">
        <v>522.89537319999999</v>
      </c>
      <c r="E278" s="10">
        <v>1</v>
      </c>
    </row>
    <row r="279" spans="2:5" x14ac:dyDescent="0.2">
      <c r="B279" s="10" t="s">
        <v>436</v>
      </c>
      <c r="C279" s="126">
        <v>42117</v>
      </c>
      <c r="D279" s="10">
        <v>650.14363865999997</v>
      </c>
      <c r="E279" s="10">
        <v>1</v>
      </c>
    </row>
    <row r="280" spans="2:5" x14ac:dyDescent="0.2">
      <c r="B280" s="10" t="s">
        <v>437</v>
      </c>
      <c r="C280" s="126">
        <v>42479</v>
      </c>
      <c r="D280" s="10">
        <v>517.55154836999998</v>
      </c>
      <c r="E280" s="10">
        <v>1</v>
      </c>
    </row>
    <row r="281" spans="2:5" x14ac:dyDescent="0.2">
      <c r="B281" s="10" t="s">
        <v>438</v>
      </c>
      <c r="C281" s="126">
        <v>42110</v>
      </c>
      <c r="D281" s="10">
        <v>419.85620591000003</v>
      </c>
      <c r="E281" s="10">
        <v>1</v>
      </c>
    </row>
    <row r="282" spans="2:5" x14ac:dyDescent="0.2">
      <c r="B282" s="10" t="s">
        <v>439</v>
      </c>
      <c r="C282" s="126">
        <v>41444</v>
      </c>
      <c r="D282" s="10">
        <v>1386.8</v>
      </c>
      <c r="E282" s="10">
        <v>1</v>
      </c>
    </row>
    <row r="283" spans="2:5" x14ac:dyDescent="0.2">
      <c r="B283" s="10" t="s">
        <v>440</v>
      </c>
      <c r="C283" s="126">
        <v>42030</v>
      </c>
      <c r="D283" s="10">
        <v>227.86509369000001</v>
      </c>
      <c r="E283" s="10">
        <v>1</v>
      </c>
    </row>
    <row r="284" spans="2:5" x14ac:dyDescent="0.2">
      <c r="B284" s="10" t="s">
        <v>441</v>
      </c>
      <c r="C284" s="126">
        <v>39604</v>
      </c>
      <c r="D284" s="10">
        <v>233.37</v>
      </c>
      <c r="E284" s="10">
        <v>1</v>
      </c>
    </row>
    <row r="285" spans="2:5" x14ac:dyDescent="0.2">
      <c r="B285" s="10" t="s">
        <v>442</v>
      </c>
      <c r="C285" s="126">
        <v>42339</v>
      </c>
      <c r="D285" s="10">
        <v>487.53221783999999</v>
      </c>
      <c r="E285" s="10">
        <v>1</v>
      </c>
    </row>
    <row r="286" spans="2:5" x14ac:dyDescent="0.2">
      <c r="B286" s="10" t="s">
        <v>443</v>
      </c>
      <c r="C286" s="126">
        <v>38866</v>
      </c>
      <c r="D286" s="10">
        <v>203.88</v>
      </c>
      <c r="E286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4"/>
      <c r="G2" s="394"/>
      <c r="H2" s="394"/>
      <c r="I2" s="394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2016-05-20T07:00:00+00:00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69C10F11-93AC-4D01-BA3E-3ABDEFED6F85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20170930</dc:title>
  <dc:creator>rapelangm</dc:creator>
  <cp:lastModifiedBy>Julia Maluleka</cp:lastModifiedBy>
  <cp:lastPrinted>2017-10-09T10:02:17Z</cp:lastPrinted>
  <dcterms:created xsi:type="dcterms:W3CDTF">2009-10-22T12:59:48Z</dcterms:created>
  <dcterms:modified xsi:type="dcterms:W3CDTF">2017-10-09T10:07:54Z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