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H153" i="1" l="1"/>
  <c r="E199" i="1" l="1"/>
  <c r="D201" i="1"/>
  <c r="D200" i="1"/>
  <c r="D198" i="1"/>
  <c r="D197" i="1"/>
  <c r="C201" i="1"/>
  <c r="C200" i="1"/>
  <c r="C198" i="1"/>
  <c r="E198" i="1" s="1"/>
  <c r="B198" i="1"/>
  <c r="C197" i="1"/>
  <c r="B201" i="1"/>
  <c r="B200" i="1"/>
  <c r="B197" i="1"/>
  <c r="E201" i="1" l="1"/>
  <c r="D202" i="1"/>
  <c r="E200" i="1"/>
  <c r="C202" i="1"/>
  <c r="E197" i="1"/>
  <c r="B202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7" i="1"/>
  <c r="E227" i="1" s="1"/>
  <c r="C226" i="1"/>
  <c r="E226" i="1" s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D354" i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8" i="1"/>
  <c r="D67" i="1"/>
  <c r="D76" i="1"/>
  <c r="D70" i="1"/>
  <c r="C75" i="1"/>
  <c r="C74" i="1"/>
  <c r="C73" i="1"/>
  <c r="C67" i="1"/>
  <c r="C69" i="1"/>
  <c r="C68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G417" i="1"/>
  <c r="G409" i="1"/>
  <c r="G410" i="1"/>
  <c r="G411" i="1"/>
  <c r="G412" i="1"/>
  <c r="G413" i="1"/>
  <c r="G414" i="1"/>
  <c r="G408" i="1"/>
  <c r="G401" i="1"/>
  <c r="G402" i="1"/>
  <c r="G403" i="1"/>
  <c r="G400" i="1"/>
  <c r="G391" i="1"/>
  <c r="G392" i="1"/>
  <c r="G393" i="1"/>
  <c r="G394" i="1"/>
  <c r="G395" i="1"/>
  <c r="G396" i="1"/>
  <c r="G390" i="1"/>
  <c r="G383" i="1"/>
  <c r="G384" i="1"/>
  <c r="G385" i="1"/>
  <c r="G382" i="1"/>
  <c r="G373" i="1"/>
  <c r="G374" i="1"/>
  <c r="G375" i="1"/>
  <c r="G376" i="1"/>
  <c r="G377" i="1"/>
  <c r="G378" i="1"/>
  <c r="G372" i="1"/>
  <c r="G365" i="1"/>
  <c r="G366" i="1"/>
  <c r="G367" i="1"/>
  <c r="G364" i="1"/>
  <c r="G355" i="1"/>
  <c r="G356" i="1"/>
  <c r="G357" i="1"/>
  <c r="G358" i="1"/>
  <c r="G359" i="1"/>
  <c r="G360" i="1"/>
  <c r="G354" i="1"/>
  <c r="D418" i="1"/>
  <c r="D419" i="1"/>
  <c r="D417" i="1"/>
  <c r="D409" i="1"/>
  <c r="D410" i="1"/>
  <c r="D411" i="1"/>
  <c r="D412" i="1"/>
  <c r="D413" i="1"/>
  <c r="D414" i="1"/>
  <c r="D408" i="1"/>
  <c r="D401" i="1"/>
  <c r="D402" i="1"/>
  <c r="D403" i="1"/>
  <c r="D400" i="1"/>
  <c r="D391" i="1"/>
  <c r="D392" i="1"/>
  <c r="D393" i="1"/>
  <c r="D394" i="1"/>
  <c r="D395" i="1"/>
  <c r="D396" i="1"/>
  <c r="D390" i="1"/>
  <c r="D383" i="1"/>
  <c r="D384" i="1"/>
  <c r="D385" i="1"/>
  <c r="D382" i="1"/>
  <c r="D373" i="1"/>
  <c r="D374" i="1"/>
  <c r="D375" i="1"/>
  <c r="D376" i="1"/>
  <c r="D377" i="1"/>
  <c r="D378" i="1"/>
  <c r="D372" i="1"/>
  <c r="E368" i="1"/>
  <c r="D365" i="1"/>
  <c r="D366" i="1"/>
  <c r="D367" i="1"/>
  <c r="D364" i="1"/>
  <c r="D355" i="1"/>
  <c r="D356" i="1"/>
  <c r="D357" i="1"/>
  <c r="D358" i="1"/>
  <c r="D359" i="1"/>
  <c r="D360" i="1"/>
  <c r="C418" i="1"/>
  <c r="C419" i="1"/>
  <c r="C420" i="1"/>
  <c r="C417" i="1"/>
  <c r="C409" i="1"/>
  <c r="C410" i="1"/>
  <c r="C411" i="1"/>
  <c r="C412" i="1"/>
  <c r="C413" i="1"/>
  <c r="C414" i="1"/>
  <c r="C408" i="1"/>
  <c r="C401" i="1"/>
  <c r="C402" i="1"/>
  <c r="C403" i="1"/>
  <c r="C400" i="1"/>
  <c r="C391" i="1"/>
  <c r="C392" i="1"/>
  <c r="C393" i="1"/>
  <c r="C394" i="1"/>
  <c r="C395" i="1"/>
  <c r="C396" i="1"/>
  <c r="C390" i="1"/>
  <c r="C383" i="1"/>
  <c r="C384" i="1"/>
  <c r="C385" i="1"/>
  <c r="C382" i="1"/>
  <c r="C373" i="1"/>
  <c r="C374" i="1"/>
  <c r="C375" i="1"/>
  <c r="C376" i="1"/>
  <c r="C377" i="1"/>
  <c r="C378" i="1"/>
  <c r="C372" i="1"/>
  <c r="C365" i="1"/>
  <c r="C366" i="1"/>
  <c r="C367" i="1"/>
  <c r="C364" i="1"/>
  <c r="C356" i="1"/>
  <c r="C357" i="1"/>
  <c r="C358" i="1"/>
  <c r="C359" i="1"/>
  <c r="C360" i="1"/>
  <c r="C355" i="1"/>
  <c r="C354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G368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79" i="1"/>
  <c r="C361" i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D15" i="1"/>
  <c r="D56" i="1" s="1"/>
  <c r="F15" i="1"/>
  <c r="G15" i="1"/>
  <c r="H15" i="1"/>
  <c r="I15" i="1"/>
  <c r="G65" i="1" l="1"/>
  <c r="G101" i="1"/>
  <c r="F65" i="1"/>
  <c r="F101" i="1"/>
  <c r="I65" i="1"/>
  <c r="I101" i="1"/>
  <c r="H65" i="1"/>
  <c r="H101" i="1"/>
  <c r="B67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C33" i="6"/>
  <c r="B33" i="6"/>
  <c r="D33" i="6" s="1"/>
  <c r="C54" i="6"/>
  <c r="B54" i="6"/>
  <c r="C64" i="6"/>
  <c r="B64" i="6"/>
  <c r="E64" i="6"/>
  <c r="F64" i="6" s="1"/>
  <c r="E54" i="6"/>
  <c r="E43" i="6"/>
  <c r="F43" i="6" s="1"/>
  <c r="E33" i="6"/>
  <c r="E22" i="6"/>
  <c r="F22" i="6" s="1"/>
  <c r="D43" i="6"/>
  <c r="E12" i="6"/>
  <c r="D64" i="6" l="1"/>
  <c r="D22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<sst xmlns="http://schemas.openxmlformats.org/spreadsheetml/2006/main" count="2516" uniqueCount="669">
  <si>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</si>
  <si>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</si>
  <si>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</si>
  <si>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</si>
  <si>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</si>
  <si>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</si>
  <si>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</si>
  <si>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</si>
  <si>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</si>
  <si>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</si>
  <si>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</si>
  <si>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</si>
  <si>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</si>
  <si>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</si>
  <si>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</si>
  <si>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</si>
  <si>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</si>
  <si>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</si>
  <si>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</si>
  <si>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</si>
  <si>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</si>
  <si>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</si>
  <si>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</si>
  <si>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</si>
  <si>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</si>
  <si>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</si>
  <si>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</si>
  <si>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</si>
  <si>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</si>
  <si>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</si>
  <si>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</si>
  <si>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</si>
  <si>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</si>
  <si>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</si>
  <si>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</si>
  <si>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</si>
  <si>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</si>
  <si>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</si>
  <si>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</si>
  <si>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</si>
  <si>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</si>
  <si>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</si>
  <si>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</si>
  <si>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</si>
  <si>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</si>
  <si>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</si>
  <si>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</si>
  <si>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</si>
  <si>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</si>
  <si>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</si>
  <si>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</si>
  <si>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</si>
  <si>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</si>
  <si>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</si>
  <si>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</si>
  <si>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</si>
  <si>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</si>
  <si>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</si>
  <si>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</si>
  <si>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</si>
  <si>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</si>
  <si>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</si>
  <si>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</si>
  <si>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</si>
  <si>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</si>
  <si>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</si>
  <si>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</si>
  <si>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</si>
  <si>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</si>
  <si>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</si>
  <si>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</si>
  <si>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</si>
  <si>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</si>
  <si>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</si>
  <si>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</si>
  <si>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</si>
  <si>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</si>
  <si>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</si>
  <si>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</si>
  <si>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</si>
  <si>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</si>
  <si>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</si>
  <si>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</si>
  <si>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</si>
  <si>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</si>
  <si>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</si>
  <si>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</si>
  <si>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</si>
  <si>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</si>
  <si>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</si>
  <si>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</si>
  <si>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</si>
  <si>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</si>
  <si>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</si>
  <si>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</si>
  <si>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</si>
  <si>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</si>
  <si>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</si>
  <si>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</si>
  <si>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</si>
  <si>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</si>
  <si>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</si>
  <si>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</si>
  <si>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</si>
  <si>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</si>
  <si>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</si>
  <si>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</si>
  <si>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</si>
  <si>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</si>
  <si>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</si>
  <si>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</si>
  <si>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</si>
  <si>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</si>
  <si>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</si>
  <si>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</si>
  <si>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</si>
  <si>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</si>
  <si>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</si>
  <si>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</si>
  <si>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</si>
  <si>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</si>
  <si>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</si>
  <si>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</si>
  <si>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</si>
  <si>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</si>
  <si>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</si>
  <si>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</si>
  <si>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</si>
  <si>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</si>
  <si>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</si>
  <si>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</si>
  <si>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</si>
  <si>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</si>
  <si>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</si>
  <si>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</si>
  <si>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</si>
  <si>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</si>
  <si>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</si>
  <si>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</si>
  <si>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</si>
  <si>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</si>
  <si>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</si>
  <si>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</si>
  <si>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</si>
  <si>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</si>
  <si>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</si>
  <si>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</si>
  <si>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</si>
  <si>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</si>
  <si>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</si>
  <si>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</si>
  <si>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</si>
  <si>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</si>
  <si>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</si>
  <si>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</si>
  <si>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</si>
  <si>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</si>
  <si>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</si>
  <si>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</si>
  <si>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</si>
  <si>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</si>
  <si>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</si>
  <si>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</si>
  <si>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</si>
  <si>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</si>
  <si>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</si>
  <si>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</si>
  <si>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</si>
  <si>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</si>
  <si>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</si>
  <si>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</si>
  <si>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</si>
  <si>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</si>
  <si>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</si>
  <si>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</si>
  <si>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</si>
  <si>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</si>
  <si>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</si>
  <si>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</si>
  <si>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</si>
  <si>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</si>
  <si>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</si>
  <si>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</si>
  <si>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</si>
  <si>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</si>
  <si>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</si>
  <si>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</si>
  <si>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</si>
  <si>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</si>
  <si>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</si>
  <si>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</si>
  <si>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</si>
  <si>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</si>
  <si>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</si>
  <si>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</si>
  <si>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</si>
  <si>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</si>
  <si>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</si>
  <si>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</si>
  <si>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</si>
  <si>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</si>
  <si>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</si>
  <si>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</si>
  <si>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</si>
  <si>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</si>
  <si>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</si>
  <si>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</si>
  <si>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</si>
  <si>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</si>
  <si>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</si>
  <si>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</si>
  <si>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</si>
  <si>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</si>
  <si>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</si>
  <si>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</si>
  <si>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</si>
  <si>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</si>
  <si>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</si>
  <si>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</si>
  <si>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</si>
  <si>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</si>
  <si>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</si>
  <si>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</si>
  <si>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</si>
  <si>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</si>
  <si>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</si>
  <si>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</si>
  <si>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</si>
  <si>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</si>
  <si>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</si>
  <si>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</si>
  <si>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</si>
  <si>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</si>
  <si>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</si>
  <si>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</si>
  <si>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</si>
  <si>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</si>
  <si>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</si>
  <si>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</si>
  <si>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</si>
  <si>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</si>
  <si>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</si>
  <si>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</si>
  <si>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</si>
  <si>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</si>
  <si>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</si>
  <si>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</si>
  <si>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</si>
  <si>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</si>
  <si>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</si>
  <si>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</si>
  <si>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</si>
  <si>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</si>
  <si>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</si>
  <si>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</si>
  <si>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</si>
  <si>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</si>
  <si>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</si>
  <si>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</si>
  <si>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</si>
  <si>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</si>
  <si>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</si>
  <si>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</si>
  <si>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</si>
  <si>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</si>
  <si>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</si>
  <si>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</si>
  <si>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</si>
  <si>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</si>
  <si>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</si>
  <si>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</si>
  <si>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</si>
  <si>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</si>
  <si>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</si>
  <si>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</si>
  <si>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</si>
  <si>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</si>
  <si>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</si>
  <si>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</si>
  <si>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</si>
  <si>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</si>
  <si>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</si>
  <si>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</si>
  <si>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</si>
  <si>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</si>
  <si>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</si>
  <si>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</si>
  <si>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</si>
  <si>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</si>
  <si>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</si>
  <si>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</si>
  <si>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</si>
  <si>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</si>
  <si>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</si>
  <si>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</si>
  <si>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</si>
  <si>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</si>
  <si>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</si>
  <si>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</si>
  <si>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</si>
  <si>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</si>
  <si>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</si>
  <si>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</si>
  <si>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</si>
  <si>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</si>
  <si>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</si>
  <si>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</si>
  <si>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</si>
  <si>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</si>
  <si>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</si>
  <si>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</si>
  <si>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</si>
  <si>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</si>
  <si>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</si>
  <si>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</si>
  <si>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</si>
  <si>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</si>
  <si>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</si>
  <si>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</si>
  <si>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</si>
  <si>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</si>
  <si>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</si>
  <si>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</si>
  <si>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</si>
  <si>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</si>
  <si>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</si>
  <si>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</si>
  <si>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</si>
  <si>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</si>
  <si>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</si>
  <si>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</si>
  <si>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</si>
  <si>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</si>
  <si>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</si>
  <si>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</si>
  <si>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</si>
  <si>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</si>
  <si>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</si>
  <si>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</si>
  <si>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</si>
  <si>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</si>
  <si>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</si>
  <si>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</si>
  <si>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</si>
  <si>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</si>
  <si>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</si>
  <si>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</si>
  <si>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</si>
  <si>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</si>
  <si>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</si>
  <si>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</si>
  <si>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</si>
  <si>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</si>
  <si>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</si>
  <si>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</si>
  <si>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</si>
  <si>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</si>
  <si>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</si>
  <si>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</si>
  <si>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</si>
  <si>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</si>
  <si>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</si>
  <si>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</si>
  <si>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</si>
  <si>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</si>
  <si>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</si>
  <si>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</si>
  <si>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</si>
  <si>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</si>
  <si>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</si>
  <si>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</si>
  <si>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</si>
  <si>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</si>
  <si>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</si>
  <si>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</si>
  <si>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</si>
  <si>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</si>
  <si>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</si>
  <si>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</si>
  <si>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</si>
  <si>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</si>
  <si>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</si>
  <si>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</si>
  <si>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</si>
  <si>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</si>
  <si>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</si>
  <si>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</si>
  <si>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</si>
  <si>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</si>
  <si>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</si>
  <si>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</si>
  <si>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</si>
  <si>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</si>
  <si>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</si>
  <si>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</si>
  <si>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</si>
  <si>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</si>
  <si>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</si>
  <si>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</si>
  <si>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</si>
  <si>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</si>
  <si>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</si>
  <si>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</si>
  <si>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</si>
  <si>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</si>
  <si>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</si>
  <si>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</si>
  <si>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</si>
  <si>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</si>
  <si>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</si>
  <si>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</si>
  <si>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</si>
  <si>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</si>
  <si>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</si>
  <si>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</si>
  <si>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</si>
  <si>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</si>
  <si>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</si>
  <si>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</si>
  <si>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</si>
  <si>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</si>
  <si>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</si>
  <si>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</si>
  <si>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</si>
  <si>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</si>
  <si>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</si>
  <si>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</si>
  <si>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</si>
  <si>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</si>
  <si>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</si>
  <si>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</si>
  <si>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</si>
  <si>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</si>
  <si>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</si>
  <si>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</si>
  <si>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</si>
  <si>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</si>
  <si>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</si>
  <si>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</si>
  <si>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</si>
  <si>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</si>
  <si>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</si>
  <si>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</si>
  <si>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</si>
  <si>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</si>
  <si>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</si>
  <si>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</si>
  <si>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</si>
  <si>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</si>
  <si>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</si>
  <si>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</si>
  <si>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</si>
  <si>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</si>
  <si>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</si>
  <si>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</si>
  <si>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</si>
  <si>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</si>
  <si>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</si>
  <si>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</si>
  <si>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</si>
  <si>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</si>
  <si>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</si>
  <si>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</si>
  <si>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</si>
  <si>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</si>
  <si>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</si>
  <si>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</si>
  <si>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</si>
  <si>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</si>
  <si>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</si>
  <si>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</si>
  <si>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</si>
  <si>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</si>
  <si>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</si>
  <si>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</si>
  <si>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</si>
  <si>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</si>
  <si>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</si>
  <si>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</si>
  <si>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</si>
  <si>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</si>
  <si>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</si>
  <si>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</si>
  <si>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</si>
  <si>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</si>
  <si>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</si>
  <si>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</si>
  <si>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</si>
  <si>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</si>
  <si>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</si>
  <si>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</si>
  <si>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</si>
  <si>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</si>
  <si>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</si>
  <si>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</si>
  <si>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</si>
  <si>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</si>
  <si>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</si>
  <si>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</si>
  <si>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</si>
  <si>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</si>
  <si>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</si>
  <si>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</si>
  <si>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</si>
  <si>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</si>
  <si>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</si>
  <si>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</si>
  <si>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</si>
  <si>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</si>
  <si>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</si>
  <si>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</si>
  <si>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</si>
  <si>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</si>
  <si>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</si>
  <si>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</si>
  <si>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</si>
  <si>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</si>
  <si>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</si>
  <si>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</si>
  <si>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</si>
  <si>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</si>
  <si>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</si>
  <si>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</si>
  <si>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</si>
  <si>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</si>
  <si>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</si>
  <si>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</si>
  <si>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</si>
  <si>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</si>
  <si>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</si>
  <si>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</si>
  <si>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</si>
  <si>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</si>
  <si>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</si>
  <si>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</si>
  <si>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</si>
  <si>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</si>
  <si>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</si>
  <si>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</si>
  <si>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</si>
  <si>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</si>
  <si>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</si>
  <si>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</si>
  <si>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</si>
  <si>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</si>
  <si>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</si>
  <si>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</si>
  <si>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</si>
  <si>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</si>
  <si>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</si>
  <si>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</si>
  <si>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</si>
  <si>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</si>
  <si>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</si>
  <si>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</si>
  <si>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</si>
  <si>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</si>
  <si>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</si>
  <si>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</si>
  <si>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IndexRank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</si>
  <si>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</si>
  <si>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</si>
  <si>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</si>
  <si>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</si>
  <si>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</si>
  <si>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</si>
  <si>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</si>
  <si>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COPPER QUANTO</t>
  </si>
  <si>
    <t>CORN CONTRACT</t>
  </si>
  <si>
    <t>SOYA FUTURE</t>
  </si>
  <si>
    <t>BRENT CRUDE OIL FUTURE</t>
  </si>
  <si>
    <t xml:space="preserve">DIESEL EUROPEAN GASOIL </t>
  </si>
  <si>
    <t xml:space="preserve">SOFT RED WHEAT FUTURES </t>
  </si>
  <si>
    <t>GOLD QUANTO</t>
  </si>
  <si>
    <t>SOYBEAN CONTRACT</t>
  </si>
  <si>
    <t>COPPER</t>
  </si>
  <si>
    <t>HARD RED WINTER WHEAT FUTURES</t>
  </si>
  <si>
    <t>YELLOW MAIZE FUTURE</t>
  </si>
  <si>
    <t>EURONEXT MILLING WHEAT CONTRACT</t>
  </si>
  <si>
    <t>COCOA QUANTO</t>
  </si>
  <si>
    <t>GASOLINE QUANTO</t>
  </si>
  <si>
    <t>SILVER QUANTO</t>
  </si>
  <si>
    <t>PALLADIUM</t>
  </si>
  <si>
    <t>COFFEE QUANTO</t>
  </si>
  <si>
    <t>NATURAL GAS QUANTO</t>
  </si>
  <si>
    <t>GOLD</t>
  </si>
  <si>
    <t>SOYBEAN MEAL CONTRACT</t>
  </si>
  <si>
    <t>SUNFLOWER SEEDS FUTURE</t>
  </si>
  <si>
    <t>BREAD MILLING WHEAT</t>
  </si>
  <si>
    <t>WHITE MAIZE FUTURE</t>
  </si>
  <si>
    <t>SOYBEAN OIL CONTRACT</t>
  </si>
  <si>
    <t>SOYBEAN QUANTO</t>
  </si>
  <si>
    <t>PALLADIUM QUANTO</t>
  </si>
  <si>
    <t>SORGHUM FUTURES</t>
  </si>
  <si>
    <t>COTTON QUANTO</t>
  </si>
  <si>
    <t>BEEF CARCASS</t>
  </si>
  <si>
    <t>SORGHUM  BITTER - GH1 FUTURE</t>
  </si>
  <si>
    <t>HEATING OIL QUANTO</t>
  </si>
  <si>
    <t>QUANTO SOYBEAN COMMODITY CANDO</t>
  </si>
  <si>
    <t>BRENT CRUDE OIL QUANTO</t>
  </si>
  <si>
    <t>BRENT CRUDE OIL COMMODITY CAN-DO</t>
  </si>
  <si>
    <t>CORN QUANTO</t>
  </si>
  <si>
    <t>SUGAR #11 QUANTO</t>
  </si>
  <si>
    <t>QUANTO GOLD COMMODITY CAN-DO</t>
  </si>
  <si>
    <t>SOYABEAN CRUSH FUTURE</t>
  </si>
  <si>
    <t>LAMB CARCASS</t>
  </si>
  <si>
    <t xml:space="preserve">PLATINUM QUANTO </t>
  </si>
  <si>
    <t>PLATINUM</t>
  </si>
  <si>
    <t>SILVER</t>
  </si>
  <si>
    <t>CRUDE OIL</t>
  </si>
  <si>
    <t>MERINO WOOL</t>
  </si>
  <si>
    <t>QUANTO WHITE MAIZE</t>
  </si>
  <si>
    <t>RAND DOLLAR CORN</t>
  </si>
  <si>
    <t>WHITE MAIZE GRADE 2 FUTURE</t>
  </si>
  <si>
    <t>QUANTO SOYBEAN CALANDER SPREAD COMMODITY CANDO</t>
  </si>
  <si>
    <t>QUANTO SOYBEAN MEAL COMMODITY CANDO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</si>
  <si>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</si>
  <si>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</si>
  <si>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</si>
  <si>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</si>
  <si>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</si>
  <si>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</si>
  <si>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</si>
  <si>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</si>
  <si>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</si>
  <si>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</si>
  <si>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</si>
  <si>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</si>
  <si>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</si>
  <si>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</si>
  <si>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</si>
  <si>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</si>
  <si>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</si>
  <si>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</si>
  <si>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</si>
  <si>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</si>
  <si>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</si>
  <si>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</si>
  <si>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</si>
  <si>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</si>
  <si>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</si>
  <si>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</si>
  <si>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</si>
  <si>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</si>
  <si>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</si>
  <si>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</si>
  <si>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</si>
  <si>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</si>
  <si>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</si>
  <si>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</si>
  <si>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</si>
  <si>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Other Trade - I</t>
  </si>
  <si>
    <t>Repo 1</t>
  </si>
  <si>
    <t>Repo 2</t>
  </si>
  <si>
    <t>Standard Trade</t>
  </si>
  <si>
    <t>Standard Trade (Spot)</t>
  </si>
  <si>
    <t>Structured Deal</t>
  </si>
  <si>
    <t>TradeMonth</t>
  </si>
  <si>
    <t>2017/10</t>
  </si>
  <si>
    <t>CorporateActionTypeCode</t>
  </si>
  <si>
    <t>SUM_TotalValue</t>
  </si>
  <si>
    <t>AS</t>
  </si>
  <si>
    <t>GI</t>
  </si>
  <si>
    <t>SI</t>
  </si>
  <si>
    <t>SO</t>
  </si>
  <si>
    <t>SS</t>
  </si>
  <si>
    <t>TU</t>
  </si>
  <si>
    <t>Note: The monthly "local liquidity"  using the value traded and Strate market capitalisation is 63.48%</t>
  </si>
  <si>
    <t>Position in the world league in September 2017 (based on the WFE statistics)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</si>
</sst>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R&quot;#,##0.00_);\(&quot;R&quot;#,##0.00\)"/>
    <numFmt numFmtId="165" formatCode="_ * #,##0_ ;_ * \-#,##0_ ;_ * &quot;-&quot;??_ ;_ @_ "/>
    <numFmt numFmtId="166" formatCode="_ * #,##0.0_ ;_ * \-#,##0.0_ ;_ * &quot;-&quot;??_ ;_ @_ "/>
    <numFmt numFmtId="167" formatCode="_(* #,##0_);_(* \(#,##0\);_(* &quot;-&quot;??_);_(@_)"/>
    <numFmt numFmtId="168" formatCode="mmm\-yyyy"/>
    <numFmt numFmtId="169" formatCode="#,###,###,"/>
    <numFmt numFmtId="170" formatCode="0.0"/>
  </numFmts>
  <fonts count="6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1104">
    <xf numFmtId="0" fontId="0" fillId="0" borderId="0"/>
    <xf numFmtId="43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19" fillId="8" borderId="8" applyNumberFormat="0" applyFont="0" applyAlignment="0" applyProtection="0"/>
    <xf numFmtId="0" fontId="3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4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40" fillId="32" borderId="0" applyNumberFormat="0" applyBorder="0" applyAlignment="0" applyProtection="0"/>
    <xf numFmtId="9" fontId="19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397">
    <xf numFmtId="0" fontId="0" fillId="0" borderId="0" xfId="0"/>
    <xf numFmtId="0" fontId="20" fillId="0" borderId="0" xfId="0" applyFont="1"/>
    <xf numFmtId="43" fontId="0" fillId="0" borderId="0" xfId="1" applyFont="1"/>
    <xf numFmtId="165" fontId="0" fillId="0" borderId="0" xfId="1" applyNumberFormat="1" applyFont="1"/>
    <xf numFmtId="165" fontId="20" fillId="0" borderId="0" xfId="1" applyNumberFormat="1" applyFont="1"/>
    <xf numFmtId="43" fontId="20" fillId="0" borderId="0" xfId="1" applyFont="1"/>
    <xf numFmtId="14" fontId="0" fillId="0" borderId="0" xfId="0" applyNumberFormat="1" applyAlignment="1">
      <alignment horizontal="right"/>
    </xf>
    <xf numFmtId="14" fontId="20" fillId="0" borderId="0" xfId="0" applyNumberFormat="1" applyFont="1" applyAlignment="1">
      <alignment horizontal="right"/>
    </xf>
    <xf numFmtId="0" fontId="22" fillId="0" borderId="0" xfId="0" applyFont="1" applyFill="1"/>
    <xf numFmtId="0" fontId="24" fillId="0" borderId="0" xfId="0" applyFont="1" applyFill="1"/>
    <xf numFmtId="0" fontId="0" fillId="0" borderId="0" xfId="0" applyFont="1"/>
    <xf numFmtId="17" fontId="20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7" fontId="23" fillId="0" borderId="0" xfId="0" applyNumberFormat="1" applyFont="1"/>
    <xf numFmtId="0" fontId="21" fillId="0" borderId="0" xfId="0" applyFont="1"/>
    <xf numFmtId="165" fontId="0" fillId="0" borderId="0" xfId="0" applyNumberFormat="1" applyFont="1"/>
    <xf numFmtId="3" fontId="20" fillId="0" borderId="0" xfId="0" applyNumberFormat="1" applyFont="1"/>
    <xf numFmtId="0" fontId="20" fillId="0" borderId="0" xfId="0" applyFont="1"/>
    <xf numFmtId="0" fontId="41" fillId="0" borderId="0" xfId="0" applyFont="1"/>
    <xf numFmtId="3" fontId="0" fillId="0" borderId="0" xfId="0" applyNumberFormat="1" applyFont="1"/>
    <xf numFmtId="43" fontId="0" fillId="0" borderId="0" xfId="0" applyNumberFormat="1"/>
    <xf numFmtId="0" fontId="25" fillId="0" borderId="0" xfId="0" applyFont="1"/>
    <xf numFmtId="167" fontId="17" fillId="0" borderId="0" xfId="0" applyNumberFormat="1" applyFont="1"/>
    <xf numFmtId="166" fontId="2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0" fontId="20" fillId="0" borderId="0" xfId="0" applyFont="1"/>
    <xf numFmtId="165" fontId="0" fillId="0" borderId="0" xfId="0" applyNumberFormat="1" applyFont="1"/>
    <xf numFmtId="0" fontId="0" fillId="0" borderId="0" xfId="0" applyFont="1"/>
    <xf numFmtId="165" fontId="16" fillId="0" borderId="0" xfId="0" applyNumberFormat="1" applyFont="1" applyFill="1"/>
    <xf numFmtId="3" fontId="17" fillId="0" borderId="0" xfId="0" applyNumberFormat="1" applyFont="1"/>
    <xf numFmtId="165" fontId="21" fillId="0" borderId="0" xfId="0" applyNumberFormat="1" applyFont="1" applyFill="1"/>
    <xf numFmtId="165" fontId="0" fillId="0" borderId="0" xfId="0" applyNumberFormat="1" applyFont="1" applyFill="1"/>
    <xf numFmtId="165" fontId="20" fillId="0" borderId="0" xfId="0" applyNumberFormat="1" applyFont="1"/>
    <xf numFmtId="0" fontId="20" fillId="0" borderId="0" xfId="0" applyFont="1"/>
    <xf numFmtId="0" fontId="23" fillId="0" borderId="0" xfId="0" applyFont="1"/>
    <xf numFmtId="165" fontId="17" fillId="0" borderId="0" xfId="0" applyNumberFormat="1" applyFont="1"/>
    <xf numFmtId="166" fontId="0" fillId="0" borderId="0" xfId="0" applyNumberFormat="1" applyFont="1"/>
    <xf numFmtId="166" fontId="20" fillId="0" borderId="0" xfId="0" applyNumberFormat="1" applyFont="1"/>
    <xf numFmtId="0" fontId="20" fillId="0" borderId="0" xfId="0" applyFont="1" applyAlignment="1">
      <alignment horizontal="right"/>
    </xf>
    <xf numFmtId="165" fontId="25" fillId="0" borderId="0" xfId="0" applyNumberFormat="1" applyFont="1"/>
    <xf numFmtId="0" fontId="0" fillId="0" borderId="0" xfId="0"/>
    <xf numFmtId="0" fontId="25" fillId="0" borderId="0" xfId="0" applyFont="1"/>
    <xf numFmtId="0" fontId="0" fillId="0" borderId="0" xfId="0"/>
    <xf numFmtId="165" fontId="0" fillId="0" borderId="0" xfId="0" applyNumberFormat="1" applyFont="1" applyFill="1" applyBorder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3" fillId="0" borderId="0" xfId="0" applyFont="1"/>
    <xf numFmtId="165" fontId="0" fillId="0" borderId="0" xfId="0" applyNumberFormat="1" applyFont="1" applyFill="1" applyBorder="1" applyAlignment="1">
      <alignment horizontal="right"/>
    </xf>
    <xf numFmtId="165" fontId="16" fillId="0" borderId="0" xfId="0" applyNumberFormat="1" applyFont="1"/>
    <xf numFmtId="165" fontId="21" fillId="0" borderId="0" xfId="0" applyNumberFormat="1" applyFont="1"/>
    <xf numFmtId="166" fontId="21" fillId="0" borderId="0" xfId="0" applyNumberFormat="1" applyFont="1"/>
    <xf numFmtId="0" fontId="45" fillId="0" borderId="0" xfId="0" applyFont="1"/>
    <xf numFmtId="166" fontId="0" fillId="0" borderId="0" xfId="0" applyNumberFormat="1" applyFont="1" applyAlignment="1">
      <alignment horizontal="right"/>
    </xf>
    <xf numFmtId="165" fontId="45" fillId="0" borderId="0" xfId="0" applyNumberFormat="1" applyFont="1"/>
    <xf numFmtId="165" fontId="44" fillId="0" borderId="0" xfId="0" applyNumberFormat="1" applyFont="1"/>
    <xf numFmtId="0" fontId="20" fillId="0" borderId="0" xfId="0" applyFont="1"/>
    <xf numFmtId="166" fontId="0" fillId="0" borderId="0" xfId="1" applyNumberFormat="1" applyFont="1"/>
    <xf numFmtId="0" fontId="20" fillId="0" borderId="0" xfId="0" applyFont="1"/>
    <xf numFmtId="0" fontId="22" fillId="0" borderId="0" xfId="0" applyFont="1"/>
    <xf numFmtId="0" fontId="20" fillId="0" borderId="0" xfId="0" applyFont="1"/>
    <xf numFmtId="0" fontId="20" fillId="0" borderId="0" xfId="0" applyFont="1"/>
    <xf numFmtId="165" fontId="0" fillId="0" borderId="0" xfId="0" applyNumberFormat="1" applyFont="1"/>
    <xf numFmtId="165" fontId="16" fillId="0" borderId="0" xfId="1" applyNumberFormat="1" applyFont="1"/>
    <xf numFmtId="0" fontId="20" fillId="0" borderId="0" xfId="0" applyFont="1"/>
    <xf numFmtId="0" fontId="20" fillId="0" borderId="0" xfId="0" applyFont="1"/>
    <xf numFmtId="165" fontId="23" fillId="0" borderId="0" xfId="0" quotePrefix="1" applyNumberFormat="1" applyFont="1" applyAlignment="1">
      <alignment horizontal="right"/>
    </xf>
    <xf numFmtId="165" fontId="15" fillId="0" borderId="0" xfId="0" applyNumberFormat="1" applyFont="1"/>
    <xf numFmtId="165" fontId="19" fillId="0" borderId="0" xfId="0" applyNumberFormat="1" applyFont="1"/>
    <xf numFmtId="0" fontId="44" fillId="0" borderId="0" xfId="0" applyFont="1"/>
    <xf numFmtId="165" fontId="15" fillId="0" borderId="0" xfId="0" applyNumberFormat="1" applyFont="1"/>
    <xf numFmtId="0" fontId="15" fillId="0" borderId="0" xfId="0" applyFont="1"/>
    <xf numFmtId="165" fontId="14" fillId="0" borderId="0" xfId="0" applyNumberFormat="1" applyFont="1"/>
    <xf numFmtId="165" fontId="0" fillId="0" borderId="0" xfId="0" applyNumberFormat="1"/>
    <xf numFmtId="0" fontId="20" fillId="0" borderId="0" xfId="0" applyFont="1"/>
    <xf numFmtId="165" fontId="13" fillId="0" borderId="0" xfId="0" applyNumberFormat="1" applyFont="1"/>
    <xf numFmtId="165" fontId="12" fillId="0" borderId="0" xfId="0" applyNumberFormat="1" applyFont="1"/>
    <xf numFmtId="165" fontId="12" fillId="0" borderId="0" xfId="1" applyNumberFormat="1" applyFont="1"/>
    <xf numFmtId="165" fontId="12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/>
    <xf numFmtId="168" fontId="42" fillId="0" borderId="0" xfId="0" applyNumberFormat="1" applyFont="1" applyFill="1" applyBorder="1" applyAlignment="1">
      <alignment horizontal="right"/>
    </xf>
    <xf numFmtId="168" fontId="42" fillId="0" borderId="0" xfId="0" applyNumberFormat="1" applyFont="1" applyFill="1" applyBorder="1" applyAlignment="1">
      <alignment wrapText="1"/>
    </xf>
    <xf numFmtId="0" fontId="21" fillId="0" borderId="0" xfId="0" quotePrefix="1" applyFont="1"/>
    <xf numFmtId="0" fontId="20" fillId="0" borderId="0" xfId="0" applyFont="1"/>
    <xf numFmtId="0" fontId="20" fillId="0" borderId="0" xfId="0" applyFont="1" applyAlignment="1">
      <alignment horizontal="left"/>
    </xf>
    <xf numFmtId="43" fontId="20" fillId="0" borderId="0" xfId="1" applyFont="1" applyAlignment="1">
      <alignment horizontal="left"/>
    </xf>
    <xf numFmtId="14" fontId="20" fillId="0" borderId="0" xfId="0" applyNumberFormat="1" applyFont="1" applyAlignment="1">
      <alignment horizontal="left"/>
    </xf>
    <xf numFmtId="165" fontId="14" fillId="0" borderId="0" xfId="1" applyNumberFormat="1" applyFont="1"/>
    <xf numFmtId="0" fontId="47" fillId="0" borderId="0" xfId="0" applyFont="1"/>
    <xf numFmtId="170" fontId="0" fillId="0" borderId="0" xfId="0" applyNumberFormat="1"/>
    <xf numFmtId="0" fontId="42" fillId="0" borderId="0" xfId="0" applyFont="1"/>
    <xf numFmtId="3" fontId="42" fillId="0" borderId="0" xfId="0" applyNumberFormat="1" applyFont="1"/>
    <xf numFmtId="170" fontId="42" fillId="0" borderId="0" xfId="0" applyNumberFormat="1" applyFont="1"/>
    <xf numFmtId="165" fontId="42" fillId="0" borderId="0" xfId="1" applyNumberFormat="1" applyFont="1"/>
    <xf numFmtId="165" fontId="42" fillId="0" borderId="0" xfId="0" applyNumberFormat="1" applyFont="1"/>
    <xf numFmtId="169" fontId="0" fillId="0" borderId="0" xfId="1" applyNumberFormat="1" applyFont="1"/>
    <xf numFmtId="169" fontId="42" fillId="0" borderId="0" xfId="0" applyNumberFormat="1" applyFont="1"/>
    <xf numFmtId="169" fontId="0" fillId="0" borderId="0" xfId="0" applyNumberFormat="1"/>
    <xf numFmtId="0" fontId="0" fillId="0" borderId="0" xfId="0" applyBorder="1"/>
    <xf numFmtId="0" fontId="42" fillId="33" borderId="0" xfId="0" applyFont="1" applyFill="1"/>
    <xf numFmtId="0" fontId="0" fillId="33" borderId="0" xfId="0" applyFill="1"/>
    <xf numFmtId="170" fontId="0" fillId="33" borderId="0" xfId="0" applyNumberFormat="1" applyFill="1"/>
    <xf numFmtId="0" fontId="42" fillId="0" borderId="0" xfId="0" applyFont="1" applyFill="1" applyBorder="1" applyAlignment="1">
      <alignment horizontal="right" wrapText="1"/>
    </xf>
    <xf numFmtId="168" fontId="42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0" fontId="20" fillId="0" borderId="0" xfId="0" applyNumberFormat="1" applyFont="1"/>
    <xf numFmtId="0" fontId="20" fillId="0" borderId="0" xfId="0" applyFont="1"/>
    <xf numFmtId="0" fontId="0" fillId="0" borderId="11" xfId="0" applyFont="1" applyBorder="1"/>
    <xf numFmtId="0" fontId="20" fillId="0" borderId="11" xfId="0" applyFont="1" applyBorder="1"/>
    <xf numFmtId="165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5" fontId="20" fillId="0" borderId="11" xfId="0" applyNumberFormat="1" applyFont="1" applyBorder="1"/>
    <xf numFmtId="165" fontId="0" fillId="0" borderId="11" xfId="1" applyNumberFormat="1" applyFont="1" applyBorder="1"/>
    <xf numFmtId="0" fontId="20" fillId="0" borderId="12" xfId="0" applyFont="1" applyBorder="1" applyAlignment="1">
      <alignment horizontal="right"/>
    </xf>
    <xf numFmtId="0" fontId="0" fillId="0" borderId="12" xfId="0" applyFont="1" applyBorder="1"/>
    <xf numFmtId="0" fontId="20" fillId="0" borderId="12" xfId="0" applyFont="1" applyBorder="1"/>
    <xf numFmtId="165" fontId="0" fillId="0" borderId="12" xfId="0" applyNumberFormat="1" applyFont="1" applyBorder="1"/>
    <xf numFmtId="0" fontId="21" fillId="0" borderId="12" xfId="0" applyFont="1" applyFill="1" applyBorder="1"/>
    <xf numFmtId="0" fontId="46" fillId="0" borderId="12" xfId="0" applyFont="1" applyFill="1" applyBorder="1"/>
    <xf numFmtId="0" fontId="23" fillId="0" borderId="12" xfId="0" applyFont="1" applyBorder="1"/>
    <xf numFmtId="0" fontId="17" fillId="0" borderId="12" xfId="0" applyFont="1" applyBorder="1"/>
    <xf numFmtId="0" fontId="17" fillId="0" borderId="12" xfId="0" applyFont="1" applyFill="1" applyBorder="1"/>
    <xf numFmtId="0" fontId="17" fillId="0" borderId="0" xfId="0" applyFont="1"/>
    <xf numFmtId="0" fontId="49" fillId="0" borderId="0" xfId="0" applyFont="1" applyAlignment="1">
      <alignment vertical="center"/>
    </xf>
    <xf numFmtId="14" fontId="0" fillId="0" borderId="0" xfId="0" applyNumberFormat="1" applyFont="1"/>
    <xf numFmtId="165" fontId="25" fillId="0" borderId="0" xfId="1" applyNumberFormat="1" applyFont="1"/>
    <xf numFmtId="165" fontId="25" fillId="0" borderId="11" xfId="1" applyNumberFormat="1" applyFont="1" applyBorder="1"/>
    <xf numFmtId="165" fontId="0" fillId="0" borderId="0" xfId="0" applyNumberFormat="1" applyFont="1"/>
    <xf numFmtId="0" fontId="0" fillId="0" borderId="0" xfId="0" applyFont="1" applyFill="1"/>
    <xf numFmtId="165" fontId="0" fillId="0" borderId="0" xfId="0" applyNumberFormat="1" applyFont="1" applyFill="1"/>
    <xf numFmtId="165" fontId="25" fillId="0" borderId="0" xfId="0" applyNumberFormat="1" applyFont="1"/>
    <xf numFmtId="0" fontId="25" fillId="0" borderId="0" xfId="0" applyFont="1"/>
    <xf numFmtId="3" fontId="0" fillId="0" borderId="12" xfId="0" applyNumberFormat="1" applyFont="1" applyBorder="1"/>
    <xf numFmtId="165" fontId="48" fillId="0" borderId="0" xfId="0" applyNumberFormat="1" applyFont="1"/>
    <xf numFmtId="0" fontId="0" fillId="0" borderId="0" xfId="0" applyFont="1"/>
    <xf numFmtId="0" fontId="20" fillId="33" borderId="0" xfId="0" applyFont="1" applyFill="1"/>
    <xf numFmtId="0" fontId="0" fillId="33" borderId="0" xfId="0" applyFont="1" applyFill="1"/>
    <xf numFmtId="0" fontId="51" fillId="0" borderId="0" xfId="0" applyFont="1"/>
    <xf numFmtId="170" fontId="0" fillId="0" borderId="0" xfId="0" applyNumberFormat="1" applyFont="1"/>
    <xf numFmtId="169" fontId="0" fillId="0" borderId="0" xfId="0" applyNumberFormat="1" applyFont="1"/>
    <xf numFmtId="166" fontId="0" fillId="0" borderId="11" xfId="0" applyNumberFormat="1" applyFont="1" applyBorder="1"/>
    <xf numFmtId="166" fontId="0" fillId="0" borderId="11" xfId="1" applyNumberFormat="1" applyFont="1" applyBorder="1"/>
    <xf numFmtId="165" fontId="0" fillId="0" borderId="11" xfId="0" applyNumberFormat="1" applyFont="1" applyFill="1" applyBorder="1" applyAlignment="1">
      <alignment horizontal="right"/>
    </xf>
    <xf numFmtId="0" fontId="20" fillId="0" borderId="11" xfId="0" applyFont="1" applyBorder="1"/>
    <xf numFmtId="166" fontId="0" fillId="0" borderId="11" xfId="0" applyNumberFormat="1" applyFont="1" applyBorder="1" applyAlignment="1">
      <alignment horizontal="right"/>
    </xf>
    <xf numFmtId="0" fontId="20" fillId="0" borderId="0" xfId="0" applyFont="1"/>
    <xf numFmtId="0" fontId="20" fillId="35" borderId="0" xfId="0" applyFont="1" applyFill="1"/>
    <xf numFmtId="0" fontId="20" fillId="0" borderId="0" xfId="0" quotePrefix="1" applyFont="1"/>
    <xf numFmtId="16" fontId="21" fillId="0" borderId="0" xfId="0" quotePrefix="1" applyNumberFormat="1" applyFont="1"/>
    <xf numFmtId="16" fontId="20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2" fillId="35" borderId="0" xfId="44" applyFont="1" applyFill="1" applyAlignment="1"/>
    <xf numFmtId="14" fontId="0" fillId="0" borderId="0" xfId="0" applyNumberFormat="1"/>
    <xf numFmtId="0" fontId="0" fillId="0" borderId="0" xfId="0"/>
    <xf numFmtId="0" fontId="20" fillId="0" borderId="0" xfId="0" applyFont="1"/>
    <xf numFmtId="0" fontId="0" fillId="0" borderId="0" xfId="0" applyFont="1"/>
    <xf numFmtId="165" fontId="0" fillId="0" borderId="0" xfId="0" applyNumberFormat="1" applyFont="1"/>
    <xf numFmtId="3" fontId="0" fillId="0" borderId="0" xfId="0" applyNumberFormat="1" applyFont="1"/>
    <xf numFmtId="165" fontId="20" fillId="0" borderId="0" xfId="0" applyNumberFormat="1" applyFont="1"/>
    <xf numFmtId="0" fontId="0" fillId="0" borderId="0" xfId="0" applyFont="1" applyFill="1"/>
    <xf numFmtId="0" fontId="20" fillId="35" borderId="0" xfId="0" applyFont="1" applyFill="1"/>
    <xf numFmtId="0" fontId="52" fillId="35" borderId="0" xfId="0" applyFont="1" applyFill="1"/>
    <xf numFmtId="0" fontId="10" fillId="0" borderId="0" xfId="47" applyFill="1"/>
    <xf numFmtId="0" fontId="52" fillId="0" borderId="0" xfId="47" applyFont="1" applyFill="1" applyAlignment="1"/>
    <xf numFmtId="10" fontId="20" fillId="0" borderId="0" xfId="43" applyNumberFormat="1" applyFont="1"/>
    <xf numFmtId="10" fontId="20" fillId="33" borderId="0" xfId="43" applyNumberFormat="1" applyFont="1" applyFill="1"/>
    <xf numFmtId="165" fontId="20" fillId="33" borderId="0" xfId="1" applyNumberFormat="1" applyFont="1" applyFill="1"/>
    <xf numFmtId="10" fontId="0" fillId="33" borderId="0" xfId="43" applyNumberFormat="1" applyFont="1" applyFill="1"/>
    <xf numFmtId="0" fontId="48" fillId="0" borderId="0" xfId="0" applyNumberFormat="1" applyFont="1"/>
    <xf numFmtId="0" fontId="0" fillId="0" borderId="0" xfId="1" applyNumberFormat="1" applyFont="1"/>
    <xf numFmtId="0" fontId="20" fillId="0" borderId="0" xfId="0" applyNumberFormat="1" applyFont="1"/>
    <xf numFmtId="0" fontId="20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7" fillId="0" borderId="0" xfId="0" applyNumberFormat="1" applyFont="1"/>
    <xf numFmtId="0" fontId="25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0" fillId="34" borderId="12" xfId="0" applyFont="1" applyFill="1" applyBorder="1" applyAlignment="1">
      <alignment horizontal="right" wrapText="1"/>
    </xf>
    <xf numFmtId="43" fontId="48" fillId="34" borderId="0" xfId="1" applyFont="1" applyFill="1"/>
    <xf numFmtId="43" fontId="25" fillId="0" borderId="11" xfId="1" applyFont="1" applyBorder="1"/>
    <xf numFmtId="0" fontId="25" fillId="0" borderId="0" xfId="0" applyFont="1" applyBorder="1"/>
    <xf numFmtId="43" fontId="25" fillId="0" borderId="0" xfId="1" applyFont="1"/>
    <xf numFmtId="43" fontId="25" fillId="0" borderId="0" xfId="1" applyFont="1" applyFill="1"/>
    <xf numFmtId="10" fontId="54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4" fillId="0" borderId="0" xfId="334" applyFill="1"/>
    <xf numFmtId="0" fontId="52" fillId="0" borderId="0" xfId="334" applyFont="1" applyFill="1" applyAlignment="1"/>
    <xf numFmtId="14" fontId="52" fillId="0" borderId="0" xfId="334" applyNumberFormat="1" applyFont="1" applyFill="1" applyAlignment="1"/>
    <xf numFmtId="14" fontId="4" fillId="0" borderId="0" xfId="334" applyNumberFormat="1" applyFill="1"/>
    <xf numFmtId="11" fontId="0" fillId="0" borderId="0" xfId="0" applyNumberFormat="1" applyFont="1"/>
    <xf numFmtId="165" fontId="25" fillId="0" borderId="0" xfId="1" applyNumberFormat="1" applyFont="1" applyFill="1"/>
    <xf numFmtId="0" fontId="48" fillId="34" borderId="14" xfId="0" applyFont="1" applyFill="1" applyBorder="1"/>
    <xf numFmtId="43" fontId="48" fillId="34" borderId="12" xfId="1" applyFont="1" applyFill="1" applyBorder="1" applyAlignment="1">
      <alignment horizontal="left"/>
    </xf>
    <xf numFmtId="17" fontId="25" fillId="0" borderId="0" xfId="0" applyNumberFormat="1" applyFont="1" applyFill="1" applyAlignment="1">
      <alignment horizontal="right"/>
    </xf>
    <xf numFmtId="10" fontId="54" fillId="0" borderId="0" xfId="43" applyNumberFormat="1" applyFont="1" applyBorder="1"/>
    <xf numFmtId="165" fontId="48" fillId="0" borderId="0" xfId="1" applyNumberFormat="1" applyFont="1"/>
    <xf numFmtId="0" fontId="48" fillId="34" borderId="0" xfId="0" applyFont="1" applyFill="1" applyAlignment="1"/>
    <xf numFmtId="43" fontId="25" fillId="0" borderId="0" xfId="1" applyNumberFormat="1" applyFont="1"/>
    <xf numFmtId="10" fontId="25" fillId="0" borderId="0" xfId="43" applyNumberFormat="1" applyFont="1" applyBorder="1"/>
    <xf numFmtId="0" fontId="25" fillId="0" borderId="0" xfId="0" applyFont="1" applyFill="1" applyAlignment="1">
      <alignment horizontal="right"/>
    </xf>
    <xf numFmtId="165" fontId="25" fillId="0" borderId="0" xfId="0" applyNumberFormat="1" applyFont="1" applyFill="1" applyAlignment="1">
      <alignment horizontal="right"/>
    </xf>
    <xf numFmtId="165" fontId="25" fillId="0" borderId="0" xfId="1" applyNumberFormat="1" applyFont="1" applyBorder="1"/>
    <xf numFmtId="43" fontId="48" fillId="34" borderId="0" xfId="1" applyFont="1" applyFill="1" applyBorder="1"/>
    <xf numFmtId="0" fontId="0" fillId="0" borderId="0" xfId="0"/>
    <xf numFmtId="0" fontId="20" fillId="0" borderId="0" xfId="0" applyFont="1"/>
    <xf numFmtId="0" fontId="0" fillId="0" borderId="0" xfId="0" applyFont="1"/>
    <xf numFmtId="0" fontId="21" fillId="0" borderId="0" xfId="0" applyFont="1"/>
    <xf numFmtId="0" fontId="16" fillId="0" borderId="0" xfId="0" applyFont="1"/>
    <xf numFmtId="165" fontId="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165" fontId="17" fillId="0" borderId="0" xfId="0" applyNumberFormat="1" applyFont="1"/>
    <xf numFmtId="165" fontId="0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2" fontId="16" fillId="0" borderId="0" xfId="0" applyNumberFormat="1" applyFont="1"/>
    <xf numFmtId="0" fontId="0" fillId="35" borderId="0" xfId="0" applyFont="1" applyFill="1"/>
    <xf numFmtId="165" fontId="0" fillId="35" borderId="0" xfId="0" applyNumberFormat="1" applyFont="1" applyFill="1"/>
    <xf numFmtId="0" fontId="4" fillId="0" borderId="0" xfId="586" applyFill="1"/>
    <xf numFmtId="0" fontId="52" fillId="0" borderId="0" xfId="586" applyFont="1" applyFill="1" applyAlignment="1"/>
    <xf numFmtId="11" fontId="0" fillId="0" borderId="0" xfId="0" applyNumberFormat="1" applyFont="1"/>
    <xf numFmtId="0" fontId="20" fillId="0" borderId="0" xfId="0" applyFont="1" applyAlignment="1"/>
    <xf numFmtId="0" fontId="52" fillId="35" borderId="0" xfId="0" applyFont="1" applyFill="1"/>
    <xf numFmtId="0" fontId="0" fillId="0" borderId="0" xfId="0"/>
    <xf numFmtId="0" fontId="0" fillId="0" borderId="0" xfId="0" applyFont="1"/>
    <xf numFmtId="165" fontId="0" fillId="0" borderId="0" xfId="0" applyNumberFormat="1" applyFont="1"/>
    <xf numFmtId="165" fontId="19" fillId="0" borderId="0" xfId="0" applyNumberFormat="1" applyFont="1"/>
    <xf numFmtId="165" fontId="20" fillId="0" borderId="0" xfId="0" applyNumberFormat="1" applyFont="1"/>
    <xf numFmtId="165" fontId="12" fillId="0" borderId="0" xfId="0" applyNumberFormat="1" applyFont="1"/>
    <xf numFmtId="0" fontId="4" fillId="0" borderId="0" xfId="586" applyFill="1"/>
    <xf numFmtId="0" fontId="52" fillId="0" borderId="0" xfId="586" applyFont="1" applyFill="1" applyAlignment="1"/>
    <xf numFmtId="43" fontId="12" fillId="0" borderId="0" xfId="46" applyFont="1"/>
    <xf numFmtId="43" fontId="52" fillId="0" borderId="0" xfId="46" applyFont="1" applyFill="1" applyAlignment="1"/>
    <xf numFmtId="43" fontId="4" fillId="0" borderId="0" xfId="46" applyFont="1" applyFill="1"/>
    <xf numFmtId="0" fontId="0" fillId="0" borderId="0" xfId="0"/>
    <xf numFmtId="0" fontId="0" fillId="35" borderId="0" xfId="0" applyFont="1" applyFill="1"/>
    <xf numFmtId="0" fontId="4" fillId="0" borderId="0" xfId="586" applyFill="1"/>
    <xf numFmtId="0" fontId="52" fillId="0" borderId="0" xfId="586" applyFont="1" applyFill="1" applyAlignment="1"/>
    <xf numFmtId="0" fontId="52" fillId="35" borderId="0" xfId="586" applyFont="1" applyFill="1" applyAlignment="1"/>
    <xf numFmtId="11" fontId="4" fillId="0" borderId="0" xfId="586" applyNumberFormat="1" applyFill="1"/>
    <xf numFmtId="0" fontId="0" fillId="0" borderId="0" xfId="0"/>
    <xf numFmtId="0" fontId="20" fillId="0" borderId="0" xfId="0" applyFont="1"/>
    <xf numFmtId="0" fontId="0" fillId="0" borderId="0" xfId="0" applyFont="1"/>
    <xf numFmtId="0" fontId="25" fillId="0" borderId="0" xfId="0" applyFont="1"/>
    <xf numFmtId="165" fontId="25" fillId="0" borderId="0" xfId="0" applyNumberFormat="1" applyFont="1"/>
    <xf numFmtId="165" fontId="48" fillId="0" borderId="0" xfId="0" applyNumberFormat="1" applyFont="1"/>
    <xf numFmtId="0" fontId="4" fillId="0" borderId="0" xfId="0" applyFont="1"/>
    <xf numFmtId="0" fontId="52" fillId="35" borderId="0" xfId="586" applyFont="1" applyFill="1" applyAlignment="1"/>
    <xf numFmtId="0" fontId="4" fillId="0" borderId="0" xfId="586" applyFill="1"/>
    <xf numFmtId="0" fontId="52" fillId="0" borderId="0" xfId="586" applyFont="1" applyFill="1" applyAlignment="1"/>
    <xf numFmtId="0" fontId="0" fillId="0" borderId="0" xfId="0" applyFont="1" applyFill="1"/>
    <xf numFmtId="0" fontId="52" fillId="35" borderId="0" xfId="0" applyFont="1" applyFill="1"/>
    <xf numFmtId="165" fontId="52" fillId="0" borderId="0" xfId="335" applyNumberFormat="1" applyFont="1" applyFill="1" applyAlignment="1"/>
    <xf numFmtId="165" fontId="4" fillId="0" borderId="0" xfId="335" applyNumberFormat="1" applyFont="1" applyFill="1"/>
    <xf numFmtId="0" fontId="53" fillId="35" borderId="0" xfId="0" applyFont="1" applyFill="1"/>
    <xf numFmtId="0" fontId="53" fillId="35" borderId="0" xfId="586" applyFont="1" applyFill="1" applyAlignment="1"/>
    <xf numFmtId="0" fontId="52" fillId="35" borderId="0" xfId="587" applyFont="1" applyFill="1" applyAlignment="1"/>
    <xf numFmtId="0" fontId="0" fillId="0" borderId="0" xfId="0" applyNumberFormat="1" applyFont="1"/>
    <xf numFmtId="0" fontId="4" fillId="0" borderId="0" xfId="587" applyFill="1"/>
    <xf numFmtId="0" fontId="52" fillId="0" borderId="0" xfId="587" applyFont="1" applyFill="1" applyAlignment="1"/>
    <xf numFmtId="0" fontId="4" fillId="0" borderId="0" xfId="581" applyFill="1"/>
    <xf numFmtId="0" fontId="52" fillId="0" borderId="0" xfId="581" applyFont="1" applyFill="1" applyAlignment="1"/>
    <xf numFmtId="0" fontId="52" fillId="35" borderId="0" xfId="581" applyFont="1" applyFill="1" applyAlignment="1"/>
    <xf numFmtId="165" fontId="52" fillId="0" borderId="0" xfId="573" applyNumberFormat="1" applyFont="1" applyFill="1" applyAlignment="1"/>
    <xf numFmtId="165" fontId="4" fillId="0" borderId="0" xfId="573" applyNumberFormat="1" applyFont="1" applyFill="1"/>
    <xf numFmtId="165" fontId="52" fillId="0" borderId="0" xfId="46" applyNumberFormat="1" applyFont="1" applyFill="1" applyAlignment="1"/>
    <xf numFmtId="165" fontId="4" fillId="0" borderId="0" xfId="46" applyNumberFormat="1" applyFont="1" applyFill="1"/>
    <xf numFmtId="43" fontId="4" fillId="0" borderId="0" xfId="573" applyNumberFormat="1" applyFont="1" applyFill="1"/>
    <xf numFmtId="43" fontId="52" fillId="0" borderId="0" xfId="573" applyFont="1" applyFill="1" applyAlignment="1"/>
    <xf numFmtId="43" fontId="4" fillId="0" borderId="0" xfId="573" applyFont="1" applyFill="1"/>
    <xf numFmtId="43" fontId="0" fillId="0" borderId="0" xfId="46" applyFont="1"/>
    <xf numFmtId="165" fontId="0" fillId="0" borderId="0" xfId="46" applyNumberFormat="1" applyFont="1"/>
    <xf numFmtId="0" fontId="0" fillId="0" borderId="0" xfId="46" applyNumberFormat="1" applyFont="1"/>
    <xf numFmtId="0" fontId="25" fillId="0" borderId="12" xfId="0" applyFont="1" applyBorder="1"/>
    <xf numFmtId="0" fontId="48" fillId="0" borderId="12" xfId="0" applyFont="1" applyBorder="1"/>
    <xf numFmtId="0" fontId="48" fillId="34" borderId="0" xfId="0" applyFont="1" applyFill="1" applyAlignment="1">
      <alignment horizontal="right"/>
    </xf>
    <xf numFmtId="0" fontId="48" fillId="34" borderId="0" xfId="0" applyFont="1" applyFill="1"/>
    <xf numFmtId="0" fontId="48" fillId="34" borderId="12" xfId="0" quotePrefix="1" applyFont="1" applyFill="1" applyBorder="1" applyAlignment="1">
      <alignment horizontal="right"/>
    </xf>
    <xf numFmtId="0" fontId="48" fillId="34" borderId="12" xfId="0" quotePrefix="1" applyNumberFormat="1" applyFont="1" applyFill="1" applyBorder="1" applyAlignment="1">
      <alignment horizontal="right"/>
    </xf>
    <xf numFmtId="0" fontId="48" fillId="34" borderId="12" xfId="0" applyFont="1" applyFill="1" applyBorder="1" applyAlignment="1">
      <alignment horizontal="right"/>
    </xf>
    <xf numFmtId="0" fontId="48" fillId="34" borderId="12" xfId="0" applyNumberFormat="1" applyFont="1" applyFill="1" applyBorder="1" applyAlignment="1">
      <alignment horizontal="right"/>
    </xf>
    <xf numFmtId="10" fontId="25" fillId="0" borderId="0" xfId="43" applyNumberFormat="1" applyFont="1"/>
    <xf numFmtId="165" fontId="25" fillId="0" borderId="0" xfId="0" applyNumberFormat="1" applyFont="1" applyFill="1"/>
    <xf numFmtId="0" fontId="48" fillId="0" borderId="0" xfId="0" applyFont="1"/>
    <xf numFmtId="0" fontId="25" fillId="0" borderId="11" xfId="0" applyFont="1" applyBorder="1"/>
    <xf numFmtId="165" fontId="25" fillId="0" borderId="11" xfId="0" applyNumberFormat="1" applyFont="1" applyBorder="1"/>
    <xf numFmtId="10" fontId="25" fillId="0" borderId="11" xfId="43" applyNumberFormat="1" applyFont="1" applyBorder="1"/>
    <xf numFmtId="165" fontId="25" fillId="0" borderId="11" xfId="0" applyNumberFormat="1" applyFont="1" applyFill="1" applyBorder="1"/>
    <xf numFmtId="165" fontId="25" fillId="34" borderId="0" xfId="0" applyNumberFormat="1" applyFont="1" applyFill="1"/>
    <xf numFmtId="0" fontId="48" fillId="34" borderId="0" xfId="0" applyFont="1" applyFill="1" applyBorder="1" applyAlignment="1">
      <alignment horizontal="center" vertical="center"/>
    </xf>
    <xf numFmtId="0" fontId="48" fillId="34" borderId="12" xfId="0" applyFont="1" applyFill="1" applyBorder="1"/>
    <xf numFmtId="165" fontId="25" fillId="0" borderId="0" xfId="0" applyNumberFormat="1" applyFont="1" applyAlignment="1">
      <alignment horizontal="right"/>
    </xf>
    <xf numFmtId="0" fontId="48" fillId="0" borderId="11" xfId="0" applyFont="1" applyBorder="1"/>
    <xf numFmtId="165" fontId="48" fillId="0" borderId="11" xfId="0" applyNumberFormat="1" applyFont="1" applyBorder="1"/>
    <xf numFmtId="165" fontId="48" fillId="0" borderId="11" xfId="0" applyNumberFormat="1" applyFont="1" applyFill="1" applyBorder="1"/>
    <xf numFmtId="0" fontId="55" fillId="34" borderId="0" xfId="0" applyFont="1" applyFill="1"/>
    <xf numFmtId="0" fontId="55" fillId="34" borderId="0" xfId="0" applyFont="1" applyFill="1" applyAlignment="1">
      <alignment horizontal="right"/>
    </xf>
    <xf numFmtId="0" fontId="55" fillId="34" borderId="12" xfId="0" applyFont="1" applyFill="1" applyBorder="1"/>
    <xf numFmtId="0" fontId="55" fillId="0" borderId="0" xfId="0" applyFont="1" applyFill="1"/>
    <xf numFmtId="0" fontId="56" fillId="0" borderId="0" xfId="0" applyFont="1" applyFill="1"/>
    <xf numFmtId="0" fontId="25" fillId="0" borderId="0" xfId="0" applyFont="1" applyFill="1"/>
    <xf numFmtId="165" fontId="57" fillId="0" borderId="0" xfId="0" applyNumberFormat="1" applyFont="1" applyFill="1"/>
    <xf numFmtId="165" fontId="55" fillId="0" borderId="0" xfId="0" applyNumberFormat="1" applyFont="1" applyFill="1"/>
    <xf numFmtId="0" fontId="48" fillId="0" borderId="0" xfId="0" applyFont="1" applyFill="1"/>
    <xf numFmtId="0" fontId="25" fillId="0" borderId="11" xfId="0" applyFont="1" applyFill="1" applyBorder="1"/>
    <xf numFmtId="0" fontId="25" fillId="34" borderId="0" xfId="0" applyFont="1" applyFill="1"/>
    <xf numFmtId="0" fontId="55" fillId="0" borderId="11" xfId="0" applyFont="1" applyFill="1" applyBorder="1"/>
    <xf numFmtId="0" fontId="48" fillId="0" borderId="0" xfId="0" applyFont="1" applyAlignment="1">
      <alignment horizontal="right"/>
    </xf>
    <xf numFmtId="165" fontId="25" fillId="0" borderId="0" xfId="0" applyNumberFormat="1" applyFont="1" applyFill="1" applyAlignment="1"/>
    <xf numFmtId="0" fontId="58" fillId="0" borderId="0" xfId="0" applyFont="1"/>
    <xf numFmtId="165" fontId="59" fillId="0" borderId="0" xfId="0" applyNumberFormat="1" applyFont="1"/>
    <xf numFmtId="165" fontId="56" fillId="0" borderId="0" xfId="0" applyNumberFormat="1" applyFont="1"/>
    <xf numFmtId="0" fontId="48" fillId="0" borderId="0" xfId="0" quotePrefix="1" applyFont="1" applyAlignment="1">
      <alignment horizontal="right"/>
    </xf>
    <xf numFmtId="0" fontId="55" fillId="0" borderId="0" xfId="0" applyFont="1" applyAlignment="1">
      <alignment horizontal="right"/>
    </xf>
    <xf numFmtId="0" fontId="48" fillId="34" borderId="15" xfId="0" applyFont="1" applyFill="1" applyBorder="1"/>
    <xf numFmtId="17" fontId="48" fillId="34" borderId="12" xfId="0" quotePrefix="1" applyNumberFormat="1" applyFont="1" applyFill="1" applyBorder="1" applyAlignment="1">
      <alignment horizontal="right"/>
    </xf>
    <xf numFmtId="0" fontId="48" fillId="34" borderId="16" xfId="0" applyFont="1" applyFill="1" applyBorder="1" applyAlignment="1">
      <alignment horizontal="right"/>
    </xf>
    <xf numFmtId="165" fontId="54" fillId="0" borderId="0" xfId="0" applyNumberFormat="1" applyFont="1"/>
    <xf numFmtId="3" fontId="48" fillId="34" borderId="0" xfId="0" applyNumberFormat="1" applyFont="1" applyFill="1"/>
    <xf numFmtId="166" fontId="25" fillId="0" borderId="0" xfId="0" applyNumberFormat="1" applyFont="1" applyAlignment="1">
      <alignment horizontal="right"/>
    </xf>
    <xf numFmtId="9" fontId="25" fillId="0" borderId="0" xfId="0" applyNumberFormat="1" applyFont="1"/>
    <xf numFmtId="10" fontId="48" fillId="0" borderId="0" xfId="43" applyNumberFormat="1" applyFont="1"/>
    <xf numFmtId="166" fontId="48" fillId="0" borderId="0" xfId="0" applyNumberFormat="1" applyFont="1"/>
    <xf numFmtId="0" fontId="48" fillId="34" borderId="0" xfId="0" applyFont="1" applyFill="1" applyBorder="1"/>
    <xf numFmtId="0" fontId="25" fillId="34" borderId="0" xfId="0" applyFont="1" applyFill="1" applyBorder="1"/>
    <xf numFmtId="0" fontId="25" fillId="34" borderId="12" xfId="0" applyFont="1" applyFill="1" applyBorder="1"/>
    <xf numFmtId="0" fontId="48" fillId="34" borderId="12" xfId="0" applyFont="1" applyFill="1" applyBorder="1" applyAlignment="1">
      <alignment horizontal="left"/>
    </xf>
    <xf numFmtId="0" fontId="48" fillId="33" borderId="0" xfId="0" applyFont="1" applyFill="1"/>
    <xf numFmtId="14" fontId="25" fillId="0" borderId="0" xfId="0" applyNumberFormat="1" applyFont="1" applyAlignment="1">
      <alignment horizontal="right"/>
    </xf>
    <xf numFmtId="10" fontId="25" fillId="0" borderId="0" xfId="43" applyNumberFormat="1" applyFont="1" applyFill="1"/>
    <xf numFmtId="14" fontId="25" fillId="0" borderId="0" xfId="0" applyNumberFormat="1" applyFont="1" applyFill="1" applyAlignment="1">
      <alignment horizontal="right"/>
    </xf>
    <xf numFmtId="14" fontId="25" fillId="0" borderId="11" xfId="0" applyNumberFormat="1" applyFont="1" applyBorder="1" applyAlignment="1">
      <alignment horizontal="right"/>
    </xf>
    <xf numFmtId="165" fontId="48" fillId="34" borderId="0" xfId="0" applyNumberFormat="1" applyFont="1" applyFill="1"/>
    <xf numFmtId="165" fontId="58" fillId="34" borderId="12" xfId="0" quotePrefix="1" applyNumberFormat="1" applyFont="1" applyFill="1" applyBorder="1" applyAlignment="1">
      <alignment horizontal="right"/>
    </xf>
    <xf numFmtId="0" fontId="60" fillId="0" borderId="0" xfId="0" applyFont="1"/>
    <xf numFmtId="10" fontId="48" fillId="33" borderId="0" xfId="43" applyNumberFormat="1" applyFont="1" applyFill="1"/>
    <xf numFmtId="168" fontId="48" fillId="34" borderId="12" xfId="0" applyNumberFormat="1" applyFont="1" applyFill="1" applyBorder="1" applyAlignment="1">
      <alignment horizontal="right"/>
    </xf>
    <xf numFmtId="168" fontId="48" fillId="34" borderId="12" xfId="0" applyNumberFormat="1" applyFont="1" applyFill="1" applyBorder="1" applyAlignment="1">
      <alignment horizontal="right" wrapText="1"/>
    </xf>
    <xf numFmtId="0" fontId="25" fillId="33" borderId="0" xfId="0" applyFont="1" applyFill="1"/>
    <xf numFmtId="3" fontId="4" fillId="35" borderId="0" xfId="586" applyNumberFormat="1" applyFill="1"/>
    <xf numFmtId="165" fontId="25" fillId="0" borderId="0" xfId="0" applyNumberFormat="1" applyFont="1" applyFill="1" applyBorder="1" applyAlignment="1">
      <alignment horizontal="right"/>
    </xf>
    <xf numFmtId="165" fontId="3" fillId="0" borderId="0" xfId="982" applyNumberFormat="1" applyFont="1" applyFill="1"/>
    <xf numFmtId="0" fontId="52" fillId="0" borderId="0" xfId="1100" applyFont="1" applyFill="1" applyAlignment="1"/>
    <xf numFmtId="0" fontId="3" fillId="0" borderId="0" xfId="1100" applyFill="1"/>
    <xf numFmtId="0" fontId="52" fillId="0" borderId="0" xfId="1100" applyFont="1" applyFill="1" applyAlignment="1"/>
    <xf numFmtId="165" fontId="3" fillId="0" borderId="0" xfId="982" applyNumberFormat="1" applyFont="1" applyFill="1"/>
    <xf numFmtId="0" fontId="3" fillId="0" borderId="0" xfId="1100" applyFill="1"/>
    <xf numFmtId="0" fontId="3" fillId="0" borderId="0" xfId="1100" applyFill="1"/>
    <xf numFmtId="165" fontId="3" fillId="0" borderId="0" xfId="982" applyNumberFormat="1" applyFont="1" applyFill="1"/>
    <xf numFmtId="0" fontId="52" fillId="0" borderId="0" xfId="1100" applyFont="1" applyFill="1" applyAlignment="1"/>
    <xf numFmtId="0" fontId="0" fillId="0" borderId="0" xfId="0"/>
    <xf numFmtId="0" fontId="20" fillId="35" borderId="0" xfId="0" applyFont="1" applyFill="1"/>
    <xf numFmtId="0" fontId="52" fillId="0" borderId="0" xfId="1095" applyFont="1" applyFill="1" applyAlignment="1"/>
    <xf numFmtId="0" fontId="52" fillId="35" borderId="0" xfId="1095" applyFont="1" applyFill="1" applyAlignment="1"/>
    <xf numFmtId="165" fontId="3" fillId="0" borderId="0" xfId="1087" applyNumberFormat="1" applyFont="1" applyFill="1"/>
    <xf numFmtId="43" fontId="3" fillId="0" borderId="0" xfId="1087" applyNumberFormat="1" applyFont="1" applyFill="1"/>
    <xf numFmtId="165" fontId="25" fillId="0" borderId="0" xfId="0" applyNumberFormat="1" applyFont="1" applyFill="1"/>
    <xf numFmtId="165" fontId="48" fillId="0" borderId="0" xfId="0" applyNumberFormat="1" applyFont="1" applyFill="1"/>
    <xf numFmtId="10" fontId="25" fillId="0" borderId="0" xfId="43" applyNumberFormat="1" applyFont="1" applyFill="1"/>
    <xf numFmtId="10" fontId="48" fillId="0" borderId="0" xfId="43" applyNumberFormat="1" applyFont="1" applyFill="1"/>
    <xf numFmtId="0" fontId="2" fillId="0" borderId="0" xfId="0" applyFont="1"/>
    <xf numFmtId="164" fontId="0" fillId="0" borderId="0" xfId="0" applyNumberFormat="1" applyFont="1"/>
    <xf numFmtId="165" fontId="54" fillId="36" borderId="0" xfId="0" applyNumberFormat="1" applyFont="1" applyFill="1"/>
    <xf numFmtId="165" fontId="54" fillId="36" borderId="0" xfId="0" applyNumberFormat="1" applyFont="1" applyFill="1" applyBorder="1" applyAlignment="1">
      <alignment horizontal="right"/>
    </xf>
    <xf numFmtId="165" fontId="25" fillId="36" borderId="0" xfId="0" applyNumberFormat="1" applyFont="1" applyFill="1"/>
    <xf numFmtId="165" fontId="25" fillId="36" borderId="0" xfId="0" applyNumberFormat="1" applyFont="1" applyFill="1" applyBorder="1" applyAlignment="1">
      <alignment horizontal="right"/>
    </xf>
    <xf numFmtId="10" fontId="25" fillId="36" borderId="0" xfId="43" applyNumberFormat="1" applyFont="1" applyFill="1"/>
    <xf numFmtId="0" fontId="49" fillId="0" borderId="0" xfId="0" applyFont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165" fontId="20" fillId="0" borderId="0" xfId="1" applyNumberFormat="1" applyFont="1" applyAlignment="1">
      <alignment horizontal="center"/>
    </xf>
    <xf numFmtId="165" fontId="25" fillId="0" borderId="0" xfId="0" applyNumberFormat="1" applyFont="1" applyAlignment="1">
      <alignment horizontal="center"/>
    </xf>
    <xf numFmtId="165" fontId="48" fillId="0" borderId="0" xfId="0" applyNumberFormat="1" applyFont="1" applyAlignment="1">
      <alignment horizontal="center"/>
    </xf>
    <xf numFmtId="165" fontId="58" fillId="34" borderId="14" xfId="0" quotePrefix="1" applyNumberFormat="1" applyFont="1" applyFill="1" applyBorder="1" applyAlignment="1">
      <alignment horizontal="right"/>
    </xf>
    <xf numFmtId="165" fontId="58" fillId="34" borderId="0" xfId="0" quotePrefix="1" applyNumberFormat="1" applyFont="1" applyFill="1" applyBorder="1" applyAlignment="1">
      <alignment horizontal="right"/>
    </xf>
    <xf numFmtId="165" fontId="58" fillId="34" borderId="12" xfId="0" quotePrefix="1" applyNumberFormat="1" applyFont="1" applyFill="1" applyBorder="1" applyAlignment="1">
      <alignment horizontal="right"/>
    </xf>
    <xf numFmtId="0" fontId="48" fillId="34" borderId="13" xfId="0" applyFont="1" applyFill="1" applyBorder="1" applyAlignment="1">
      <alignment horizontal="right"/>
    </xf>
    <xf numFmtId="0" fontId="50" fillId="34" borderId="0" xfId="0" applyFont="1" applyFill="1" applyBorder="1" applyAlignment="1">
      <alignment horizontal="center" vertical="center"/>
    </xf>
    <xf numFmtId="0" fontId="50" fillId="34" borderId="12" xfId="0" applyFont="1" applyFill="1" applyBorder="1" applyAlignment="1">
      <alignment horizontal="center" vertical="center"/>
    </xf>
    <xf numFmtId="165" fontId="25" fillId="0" borderId="0" xfId="0" applyNumberFormat="1" applyFont="1" applyFill="1" applyAlignment="1">
      <alignment horizontal="center"/>
    </xf>
    <xf numFmtId="0" fontId="48" fillId="34" borderId="13" xfId="0" applyFont="1" applyFill="1" applyBorder="1" applyAlignment="1">
      <alignment horizontal="center"/>
    </xf>
    <xf numFmtId="0" fontId="49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43" fontId="48" fillId="34" borderId="0" xfId="1" applyFont="1" applyFill="1" applyBorder="1" applyAlignment="1">
      <alignment horizontal="right" wrapText="1"/>
    </xf>
    <xf numFmtId="43" fontId="48" fillId="34" borderId="12" xfId="1" applyFont="1" applyFill="1" applyBorder="1" applyAlignment="1">
      <alignment horizontal="right" wrapText="1"/>
    </xf>
    <xf numFmtId="0" fontId="48" fillId="0" borderId="0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34" borderId="14" xfId="0" applyFont="1" applyFill="1" applyBorder="1" applyAlignment="1">
      <alignment horizontal="center"/>
    </xf>
    <xf numFmtId="0" fontId="48" fillId="34" borderId="0" xfId="0" applyFont="1" applyFill="1" applyBorder="1" applyAlignment="1">
      <alignment horizontal="right" wrapText="1"/>
    </xf>
    <xf numFmtId="0" fontId="48" fillId="34" borderId="12" xfId="0" applyFont="1" applyFill="1" applyBorder="1" applyAlignment="1">
      <alignment horizontal="right" wrapText="1"/>
    </xf>
    <xf numFmtId="14" fontId="48" fillId="34" borderId="0" xfId="0" applyNumberFormat="1" applyFont="1" applyFill="1" applyBorder="1" applyAlignment="1">
      <alignment horizontal="right" wrapText="1"/>
    </xf>
    <xf numFmtId="14" fontId="48" fillId="34" borderId="12" xfId="0" applyNumberFormat="1" applyFont="1" applyFill="1" applyBorder="1" applyAlignment="1">
      <alignment horizontal="right" wrapText="1"/>
    </xf>
    <xf numFmtId="0" fontId="20" fillId="0" borderId="10" xfId="0" applyFont="1" applyBorder="1" applyAlignment="1">
      <alignment horizontal="center"/>
    </xf>
  </cellXfs>
  <cellStyles count="1104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3" xfId="725"/>
    <cellStyle name="Comma 11" xfId="70"/>
    <cellStyle name="Comma 11 2" xfId="357"/>
    <cellStyle name="Comma 11 2 2" xfId="871"/>
    <cellStyle name="Comma 11 3" xfId="614"/>
    <cellStyle name="Comma 2" xfId="45"/>
    <cellStyle name="Comma 2 10" xfId="72"/>
    <cellStyle name="Comma 2 10 2" xfId="359"/>
    <cellStyle name="Comma 2 10 2 2" xfId="873"/>
    <cellStyle name="Comma 2 10 3" xfId="616"/>
    <cellStyle name="Comma 2 11" xfId="333"/>
    <cellStyle name="Comma 2 11 2" xfId="847"/>
    <cellStyle name="Comma 2 12" xfId="590"/>
    <cellStyle name="Comma 2 2" xfId="48"/>
    <cellStyle name="Comma 2 2 10" xfId="335"/>
    <cellStyle name="Comma 2 2 10 2" xfId="849"/>
    <cellStyle name="Comma 2 2 11" xfId="592"/>
    <cellStyle name="Comma 2 2 2" xfId="53"/>
    <cellStyle name="Comma 2 2 2 2" xfId="66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3" xfId="829"/>
    <cellStyle name="Comma 2 2 2 2 2 2 3" xfId="464"/>
    <cellStyle name="Comma 2 2 2 2 2 2 3 2" xfId="978"/>
    <cellStyle name="Comma 2 2 2 2 2 2 4" xfId="721"/>
    <cellStyle name="Comma 2 2 2 2 2 3" xfId="149"/>
    <cellStyle name="Comma 2 2 2 2 2 3 2" xfId="271"/>
    <cellStyle name="Comma 2 2 2 2 2 3 2 2" xfId="536"/>
    <cellStyle name="Comma 2 2 2 2 2 3 2 2 2" xfId="1050"/>
    <cellStyle name="Comma 2 2 2 2 2 3 2 3" xfId="793"/>
    <cellStyle name="Comma 2 2 2 2 2 3 3" xfId="428"/>
    <cellStyle name="Comma 2 2 2 2 2 3 3 2" xfId="942"/>
    <cellStyle name="Comma 2 2 2 2 2 3 4" xfId="685"/>
    <cellStyle name="Comma 2 2 2 2 2 4" xfId="232"/>
    <cellStyle name="Comma 2 2 2 2 2 4 2" xfId="500"/>
    <cellStyle name="Comma 2 2 2 2 2 4 2 2" xfId="1014"/>
    <cellStyle name="Comma 2 2 2 2 2 4 3" xfId="757"/>
    <cellStyle name="Comma 2 2 2 2 2 5" xfId="392"/>
    <cellStyle name="Comma 2 2 2 2 2 5 2" xfId="906"/>
    <cellStyle name="Comma 2 2 2 2 2 6" xfId="649"/>
    <cellStyle name="Comma 2 2 2 2 3" xfId="168"/>
    <cellStyle name="Comma 2 2 2 2 3 2" xfId="290"/>
    <cellStyle name="Comma 2 2 2 2 3 2 2" xfId="554"/>
    <cellStyle name="Comma 2 2 2 2 3 2 2 2" xfId="1068"/>
    <cellStyle name="Comma 2 2 2 2 3 2 3" xfId="811"/>
    <cellStyle name="Comma 2 2 2 2 3 3" xfId="446"/>
    <cellStyle name="Comma 2 2 2 2 3 3 2" xfId="960"/>
    <cellStyle name="Comma 2 2 2 2 3 4" xfId="703"/>
    <cellStyle name="Comma 2 2 2 2 4" xfId="130"/>
    <cellStyle name="Comma 2 2 2 2 4 2" xfId="252"/>
    <cellStyle name="Comma 2 2 2 2 4 2 2" xfId="518"/>
    <cellStyle name="Comma 2 2 2 2 4 2 2 2" xfId="1032"/>
    <cellStyle name="Comma 2 2 2 2 4 2 3" xfId="775"/>
    <cellStyle name="Comma 2 2 2 2 4 3" xfId="410"/>
    <cellStyle name="Comma 2 2 2 2 4 3 2" xfId="924"/>
    <cellStyle name="Comma 2 2 2 2 4 4" xfId="667"/>
    <cellStyle name="Comma 2 2 2 2 5" xfId="212"/>
    <cellStyle name="Comma 2 2 2 2 5 2" xfId="482"/>
    <cellStyle name="Comma 2 2 2 2 5 2 2" xfId="996"/>
    <cellStyle name="Comma 2 2 2 2 5 3" xfId="739"/>
    <cellStyle name="Comma 2 2 2 2 6" xfId="90"/>
    <cellStyle name="Comma 2 2 2 2 6 2" xfId="374"/>
    <cellStyle name="Comma 2 2 2 2 6 2 2" xfId="888"/>
    <cellStyle name="Comma 2 2 2 2 6 3" xfId="631"/>
    <cellStyle name="Comma 2 2 2 2 7" xfId="353"/>
    <cellStyle name="Comma 2 2 2 2 7 2" xfId="867"/>
    <cellStyle name="Comma 2 2 2 2 8" xfId="610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3" xfId="820"/>
    <cellStyle name="Comma 2 2 2 3 2 3" xfId="455"/>
    <cellStyle name="Comma 2 2 2 3 2 3 2" xfId="969"/>
    <cellStyle name="Comma 2 2 2 3 2 4" xfId="712"/>
    <cellStyle name="Comma 2 2 2 3 3" xfId="139"/>
    <cellStyle name="Comma 2 2 2 3 3 2" xfId="261"/>
    <cellStyle name="Comma 2 2 2 3 3 2 2" xfId="527"/>
    <cellStyle name="Comma 2 2 2 3 3 2 2 2" xfId="1041"/>
    <cellStyle name="Comma 2 2 2 3 3 2 3" xfId="784"/>
    <cellStyle name="Comma 2 2 2 3 3 3" xfId="419"/>
    <cellStyle name="Comma 2 2 2 3 3 3 2" xfId="933"/>
    <cellStyle name="Comma 2 2 2 3 3 4" xfId="676"/>
    <cellStyle name="Comma 2 2 2 3 4" xfId="222"/>
    <cellStyle name="Comma 2 2 2 3 4 2" xfId="491"/>
    <cellStyle name="Comma 2 2 2 3 4 2 2" xfId="1005"/>
    <cellStyle name="Comma 2 2 2 3 4 3" xfId="748"/>
    <cellStyle name="Comma 2 2 2 3 5" xfId="383"/>
    <cellStyle name="Comma 2 2 2 3 5 2" xfId="897"/>
    <cellStyle name="Comma 2 2 2 3 6" xfId="640"/>
    <cellStyle name="Comma 2 2 2 4" xfId="158"/>
    <cellStyle name="Comma 2 2 2 4 2" xfId="280"/>
    <cellStyle name="Comma 2 2 2 4 2 2" xfId="545"/>
    <cellStyle name="Comma 2 2 2 4 2 2 2" xfId="1059"/>
    <cellStyle name="Comma 2 2 2 4 2 3" xfId="802"/>
    <cellStyle name="Comma 2 2 2 4 3" xfId="437"/>
    <cellStyle name="Comma 2 2 2 4 3 2" xfId="951"/>
    <cellStyle name="Comma 2 2 2 4 4" xfId="694"/>
    <cellStyle name="Comma 2 2 2 5" xfId="120"/>
    <cellStyle name="Comma 2 2 2 5 2" xfId="242"/>
    <cellStyle name="Comma 2 2 2 5 2 2" xfId="509"/>
    <cellStyle name="Comma 2 2 2 5 2 2 2" xfId="1023"/>
    <cellStyle name="Comma 2 2 2 5 2 3" xfId="766"/>
    <cellStyle name="Comma 2 2 2 5 3" xfId="401"/>
    <cellStyle name="Comma 2 2 2 5 3 2" xfId="915"/>
    <cellStyle name="Comma 2 2 2 5 4" xfId="658"/>
    <cellStyle name="Comma 2 2 2 6" xfId="202"/>
    <cellStyle name="Comma 2 2 2 6 2" xfId="473"/>
    <cellStyle name="Comma 2 2 2 6 2 2" xfId="987"/>
    <cellStyle name="Comma 2 2 2 6 3" xfId="730"/>
    <cellStyle name="Comma 2 2 2 7" xfId="76"/>
    <cellStyle name="Comma 2 2 2 7 2" xfId="363"/>
    <cellStyle name="Comma 2 2 2 7 2 2" xfId="877"/>
    <cellStyle name="Comma 2 2 2 7 3" xfId="620"/>
    <cellStyle name="Comma 2 2 2 8" xfId="340"/>
    <cellStyle name="Comma 2 2 2 8 2" xfId="854"/>
    <cellStyle name="Comma 2 2 2 9" xfId="597"/>
    <cellStyle name="Comma 2 2 3" xfId="61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3" xfId="832"/>
    <cellStyle name="Comma 2 2 3 2 2 2 3" xfId="467"/>
    <cellStyle name="Comma 2 2 3 2 2 2 3 2" xfId="981"/>
    <cellStyle name="Comma 2 2 3 2 2 2 4" xfId="724"/>
    <cellStyle name="Comma 2 2 3 2 2 3" xfId="152"/>
    <cellStyle name="Comma 2 2 3 2 2 3 2" xfId="274"/>
    <cellStyle name="Comma 2 2 3 2 2 3 2 2" xfId="539"/>
    <cellStyle name="Comma 2 2 3 2 2 3 2 2 2" xfId="1053"/>
    <cellStyle name="Comma 2 2 3 2 2 3 2 3" xfId="796"/>
    <cellStyle name="Comma 2 2 3 2 2 3 3" xfId="431"/>
    <cellStyle name="Comma 2 2 3 2 2 3 3 2" xfId="945"/>
    <cellStyle name="Comma 2 2 3 2 2 3 4" xfId="688"/>
    <cellStyle name="Comma 2 2 3 2 2 4" xfId="235"/>
    <cellStyle name="Comma 2 2 3 2 2 4 2" xfId="503"/>
    <cellStyle name="Comma 2 2 3 2 2 4 2 2" xfId="1017"/>
    <cellStyle name="Comma 2 2 3 2 2 4 3" xfId="760"/>
    <cellStyle name="Comma 2 2 3 2 2 5" xfId="395"/>
    <cellStyle name="Comma 2 2 3 2 2 5 2" xfId="909"/>
    <cellStyle name="Comma 2 2 3 2 2 6" xfId="652"/>
    <cellStyle name="Comma 2 2 3 2 3" xfId="171"/>
    <cellStyle name="Comma 2 2 3 2 3 2" xfId="293"/>
    <cellStyle name="Comma 2 2 3 2 3 2 2" xfId="557"/>
    <cellStyle name="Comma 2 2 3 2 3 2 2 2" xfId="1071"/>
    <cellStyle name="Comma 2 2 3 2 3 2 3" xfId="814"/>
    <cellStyle name="Comma 2 2 3 2 3 3" xfId="449"/>
    <cellStyle name="Comma 2 2 3 2 3 3 2" xfId="963"/>
    <cellStyle name="Comma 2 2 3 2 3 4" xfId="706"/>
    <cellStyle name="Comma 2 2 3 2 4" xfId="133"/>
    <cellStyle name="Comma 2 2 3 2 4 2" xfId="255"/>
    <cellStyle name="Comma 2 2 3 2 4 2 2" xfId="521"/>
    <cellStyle name="Comma 2 2 3 2 4 2 2 2" xfId="1035"/>
    <cellStyle name="Comma 2 2 3 2 4 2 3" xfId="778"/>
    <cellStyle name="Comma 2 2 3 2 4 3" xfId="413"/>
    <cellStyle name="Comma 2 2 3 2 4 3 2" xfId="927"/>
    <cellStyle name="Comma 2 2 3 2 4 4" xfId="670"/>
    <cellStyle name="Comma 2 2 3 2 5" xfId="215"/>
    <cellStyle name="Comma 2 2 3 2 5 2" xfId="485"/>
    <cellStyle name="Comma 2 2 3 2 5 2 2" xfId="999"/>
    <cellStyle name="Comma 2 2 3 2 5 3" xfId="742"/>
    <cellStyle name="Comma 2 2 3 2 6" xfId="377"/>
    <cellStyle name="Comma 2 2 3 2 6 2" xfId="891"/>
    <cellStyle name="Comma 2 2 3 2 7" xfId="634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3" xfId="823"/>
    <cellStyle name="Comma 2 2 3 3 2 3" xfId="458"/>
    <cellStyle name="Comma 2 2 3 3 2 3 2" xfId="972"/>
    <cellStyle name="Comma 2 2 3 3 2 4" xfId="715"/>
    <cellStyle name="Comma 2 2 3 3 3" xfId="142"/>
    <cellStyle name="Comma 2 2 3 3 3 2" xfId="264"/>
    <cellStyle name="Comma 2 2 3 3 3 2 2" xfId="530"/>
    <cellStyle name="Comma 2 2 3 3 3 2 2 2" xfId="1044"/>
    <cellStyle name="Comma 2 2 3 3 3 2 3" xfId="787"/>
    <cellStyle name="Comma 2 2 3 3 3 3" xfId="422"/>
    <cellStyle name="Comma 2 2 3 3 3 3 2" xfId="936"/>
    <cellStyle name="Comma 2 2 3 3 3 4" xfId="679"/>
    <cellStyle name="Comma 2 2 3 3 4" xfId="225"/>
    <cellStyle name="Comma 2 2 3 3 4 2" xfId="494"/>
    <cellStyle name="Comma 2 2 3 3 4 2 2" xfId="1008"/>
    <cellStyle name="Comma 2 2 3 3 4 3" xfId="751"/>
    <cellStyle name="Comma 2 2 3 3 5" xfId="386"/>
    <cellStyle name="Comma 2 2 3 3 5 2" xfId="900"/>
    <cellStyle name="Comma 2 2 3 3 6" xfId="643"/>
    <cellStyle name="Comma 2 2 3 4" xfId="161"/>
    <cellStyle name="Comma 2 2 3 4 2" xfId="283"/>
    <cellStyle name="Comma 2 2 3 4 2 2" xfId="548"/>
    <cellStyle name="Comma 2 2 3 4 2 2 2" xfId="1062"/>
    <cellStyle name="Comma 2 2 3 4 2 3" xfId="805"/>
    <cellStyle name="Comma 2 2 3 4 3" xfId="440"/>
    <cellStyle name="Comma 2 2 3 4 3 2" xfId="954"/>
    <cellStyle name="Comma 2 2 3 4 4" xfId="697"/>
    <cellStyle name="Comma 2 2 3 5" xfId="123"/>
    <cellStyle name="Comma 2 2 3 5 2" xfId="245"/>
    <cellStyle name="Comma 2 2 3 5 2 2" xfId="512"/>
    <cellStyle name="Comma 2 2 3 5 2 2 2" xfId="1026"/>
    <cellStyle name="Comma 2 2 3 5 2 3" xfId="769"/>
    <cellStyle name="Comma 2 2 3 5 3" xfId="404"/>
    <cellStyle name="Comma 2 2 3 5 3 2" xfId="918"/>
    <cellStyle name="Comma 2 2 3 5 4" xfId="661"/>
    <cellStyle name="Comma 2 2 3 6" xfId="205"/>
    <cellStyle name="Comma 2 2 3 6 2" xfId="476"/>
    <cellStyle name="Comma 2 2 3 6 2 2" xfId="990"/>
    <cellStyle name="Comma 2 2 3 6 3" xfId="733"/>
    <cellStyle name="Comma 2 2 3 7" xfId="79"/>
    <cellStyle name="Comma 2 2 3 7 2" xfId="366"/>
    <cellStyle name="Comma 2 2 3 7 2 2" xfId="880"/>
    <cellStyle name="Comma 2 2 3 7 3" xfId="623"/>
    <cellStyle name="Comma 2 2 3 8" xfId="348"/>
    <cellStyle name="Comma 2 2 3 8 2" xfId="862"/>
    <cellStyle name="Comma 2 2 3 9" xfId="605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3" xfId="826"/>
    <cellStyle name="Comma 2 2 4 2 2 3" xfId="461"/>
    <cellStyle name="Comma 2 2 4 2 2 3 2" xfId="975"/>
    <cellStyle name="Comma 2 2 4 2 2 4" xfId="718"/>
    <cellStyle name="Comma 2 2 4 2 3" xfId="146"/>
    <cellStyle name="Comma 2 2 4 2 3 2" xfId="268"/>
    <cellStyle name="Comma 2 2 4 2 3 2 2" xfId="533"/>
    <cellStyle name="Comma 2 2 4 2 3 2 2 2" xfId="1047"/>
    <cellStyle name="Comma 2 2 4 2 3 2 3" xfId="790"/>
    <cellStyle name="Comma 2 2 4 2 3 3" xfId="425"/>
    <cellStyle name="Comma 2 2 4 2 3 3 2" xfId="939"/>
    <cellStyle name="Comma 2 2 4 2 3 4" xfId="682"/>
    <cellStyle name="Comma 2 2 4 2 4" xfId="229"/>
    <cellStyle name="Comma 2 2 4 2 4 2" xfId="497"/>
    <cellStyle name="Comma 2 2 4 2 4 2 2" xfId="1011"/>
    <cellStyle name="Comma 2 2 4 2 4 3" xfId="754"/>
    <cellStyle name="Comma 2 2 4 2 5" xfId="389"/>
    <cellStyle name="Comma 2 2 4 2 5 2" xfId="903"/>
    <cellStyle name="Comma 2 2 4 2 6" xfId="646"/>
    <cellStyle name="Comma 2 2 4 3" xfId="165"/>
    <cellStyle name="Comma 2 2 4 3 2" xfId="287"/>
    <cellStyle name="Comma 2 2 4 3 2 2" xfId="551"/>
    <cellStyle name="Comma 2 2 4 3 2 2 2" xfId="1065"/>
    <cellStyle name="Comma 2 2 4 3 2 3" xfId="808"/>
    <cellStyle name="Comma 2 2 4 3 3" xfId="443"/>
    <cellStyle name="Comma 2 2 4 3 3 2" xfId="957"/>
    <cellStyle name="Comma 2 2 4 3 4" xfId="700"/>
    <cellStyle name="Comma 2 2 4 4" xfId="127"/>
    <cellStyle name="Comma 2 2 4 4 2" xfId="249"/>
    <cellStyle name="Comma 2 2 4 4 2 2" xfId="515"/>
    <cellStyle name="Comma 2 2 4 4 2 2 2" xfId="1029"/>
    <cellStyle name="Comma 2 2 4 4 2 3" xfId="772"/>
    <cellStyle name="Comma 2 2 4 4 3" xfId="407"/>
    <cellStyle name="Comma 2 2 4 4 3 2" xfId="921"/>
    <cellStyle name="Comma 2 2 4 4 4" xfId="664"/>
    <cellStyle name="Comma 2 2 4 5" xfId="209"/>
    <cellStyle name="Comma 2 2 4 5 2" xfId="479"/>
    <cellStyle name="Comma 2 2 4 5 2 2" xfId="993"/>
    <cellStyle name="Comma 2 2 4 5 3" xfId="736"/>
    <cellStyle name="Comma 2 2 4 6" xfId="371"/>
    <cellStyle name="Comma 2 2 4 6 2" xfId="885"/>
    <cellStyle name="Comma 2 2 4 7" xfId="628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3" xfId="817"/>
    <cellStyle name="Comma 2 2 5 2 3" xfId="452"/>
    <cellStyle name="Comma 2 2 5 2 3 2" xfId="966"/>
    <cellStyle name="Comma 2 2 5 2 4" xfId="709"/>
    <cellStyle name="Comma 2 2 5 3" xfId="136"/>
    <cellStyle name="Comma 2 2 5 3 2" xfId="258"/>
    <cellStyle name="Comma 2 2 5 3 2 2" xfId="524"/>
    <cellStyle name="Comma 2 2 5 3 2 2 2" xfId="1038"/>
    <cellStyle name="Comma 2 2 5 3 2 3" xfId="781"/>
    <cellStyle name="Comma 2 2 5 3 3" xfId="416"/>
    <cellStyle name="Comma 2 2 5 3 3 2" xfId="930"/>
    <cellStyle name="Comma 2 2 5 3 4" xfId="673"/>
    <cellStyle name="Comma 2 2 5 4" xfId="219"/>
    <cellStyle name="Comma 2 2 5 4 2" xfId="488"/>
    <cellStyle name="Comma 2 2 5 4 2 2" xfId="1002"/>
    <cellStyle name="Comma 2 2 5 4 3" xfId="745"/>
    <cellStyle name="Comma 2 2 5 5" xfId="380"/>
    <cellStyle name="Comma 2 2 5 5 2" xfId="894"/>
    <cellStyle name="Comma 2 2 5 6" xfId="637"/>
    <cellStyle name="Comma 2 2 6" xfId="155"/>
    <cellStyle name="Comma 2 2 6 2" xfId="277"/>
    <cellStyle name="Comma 2 2 6 2 2" xfId="542"/>
    <cellStyle name="Comma 2 2 6 2 2 2" xfId="1056"/>
    <cellStyle name="Comma 2 2 6 2 3" xfId="799"/>
    <cellStyle name="Comma 2 2 6 3" xfId="434"/>
    <cellStyle name="Comma 2 2 6 3 2" xfId="948"/>
    <cellStyle name="Comma 2 2 6 4" xfId="691"/>
    <cellStyle name="Comma 2 2 7" xfId="117"/>
    <cellStyle name="Comma 2 2 7 2" xfId="239"/>
    <cellStyle name="Comma 2 2 7 2 2" xfId="506"/>
    <cellStyle name="Comma 2 2 7 2 2 2" xfId="1020"/>
    <cellStyle name="Comma 2 2 7 2 3" xfId="763"/>
    <cellStyle name="Comma 2 2 7 3" xfId="398"/>
    <cellStyle name="Comma 2 2 7 3 2" xfId="912"/>
    <cellStyle name="Comma 2 2 7 4" xfId="655"/>
    <cellStyle name="Comma 2 2 8" xfId="199"/>
    <cellStyle name="Comma 2 2 8 2" xfId="470"/>
    <cellStyle name="Comma 2 2 8 2 2" xfId="984"/>
    <cellStyle name="Comma 2 2 8 3" xfId="727"/>
    <cellStyle name="Comma 2 2 9" xfId="73"/>
    <cellStyle name="Comma 2 2 9 2" xfId="360"/>
    <cellStyle name="Comma 2 2 9 2 2" xfId="874"/>
    <cellStyle name="Comma 2 2 9 3" xfId="617"/>
    <cellStyle name="Comma 2 3" xfId="51"/>
    <cellStyle name="Comma 2 3 2" xfId="64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3" xfId="828"/>
    <cellStyle name="Comma 2 3 2 2 2 3" xfId="463"/>
    <cellStyle name="Comma 2 3 2 2 2 3 2" xfId="977"/>
    <cellStyle name="Comma 2 3 2 2 2 4" xfId="720"/>
    <cellStyle name="Comma 2 3 2 2 3" xfId="148"/>
    <cellStyle name="Comma 2 3 2 2 3 2" xfId="270"/>
    <cellStyle name="Comma 2 3 2 2 3 2 2" xfId="535"/>
    <cellStyle name="Comma 2 3 2 2 3 2 2 2" xfId="1049"/>
    <cellStyle name="Comma 2 3 2 2 3 2 3" xfId="792"/>
    <cellStyle name="Comma 2 3 2 2 3 3" xfId="427"/>
    <cellStyle name="Comma 2 3 2 2 3 3 2" xfId="941"/>
    <cellStyle name="Comma 2 3 2 2 3 4" xfId="684"/>
    <cellStyle name="Comma 2 3 2 2 4" xfId="231"/>
    <cellStyle name="Comma 2 3 2 2 4 2" xfId="499"/>
    <cellStyle name="Comma 2 3 2 2 4 2 2" xfId="1013"/>
    <cellStyle name="Comma 2 3 2 2 4 3" xfId="756"/>
    <cellStyle name="Comma 2 3 2 2 5" xfId="391"/>
    <cellStyle name="Comma 2 3 2 2 5 2" xfId="905"/>
    <cellStyle name="Comma 2 3 2 2 6" xfId="648"/>
    <cellStyle name="Comma 2 3 2 3" xfId="167"/>
    <cellStyle name="Comma 2 3 2 3 2" xfId="289"/>
    <cellStyle name="Comma 2 3 2 3 2 2" xfId="553"/>
    <cellStyle name="Comma 2 3 2 3 2 2 2" xfId="1067"/>
    <cellStyle name="Comma 2 3 2 3 2 3" xfId="810"/>
    <cellStyle name="Comma 2 3 2 3 3" xfId="445"/>
    <cellStyle name="Comma 2 3 2 3 3 2" xfId="959"/>
    <cellStyle name="Comma 2 3 2 3 4" xfId="702"/>
    <cellStyle name="Comma 2 3 2 4" xfId="129"/>
    <cellStyle name="Comma 2 3 2 4 2" xfId="251"/>
    <cellStyle name="Comma 2 3 2 4 2 2" xfId="517"/>
    <cellStyle name="Comma 2 3 2 4 2 2 2" xfId="1031"/>
    <cellStyle name="Comma 2 3 2 4 2 3" xfId="774"/>
    <cellStyle name="Comma 2 3 2 4 3" xfId="409"/>
    <cellStyle name="Comma 2 3 2 4 3 2" xfId="923"/>
    <cellStyle name="Comma 2 3 2 4 4" xfId="666"/>
    <cellStyle name="Comma 2 3 2 5" xfId="211"/>
    <cellStyle name="Comma 2 3 2 5 2" xfId="481"/>
    <cellStyle name="Comma 2 3 2 5 2 2" xfId="995"/>
    <cellStyle name="Comma 2 3 2 5 3" xfId="738"/>
    <cellStyle name="Comma 2 3 2 6" xfId="89"/>
    <cellStyle name="Comma 2 3 2 6 2" xfId="373"/>
    <cellStyle name="Comma 2 3 2 6 2 2" xfId="887"/>
    <cellStyle name="Comma 2 3 2 6 3" xfId="630"/>
    <cellStyle name="Comma 2 3 2 7" xfId="351"/>
    <cellStyle name="Comma 2 3 2 7 2" xfId="865"/>
    <cellStyle name="Comma 2 3 2 8" xfId="608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3" xfId="819"/>
    <cellStyle name="Comma 2 3 3 2 3" xfId="454"/>
    <cellStyle name="Comma 2 3 3 2 3 2" xfId="968"/>
    <cellStyle name="Comma 2 3 3 2 4" xfId="711"/>
    <cellStyle name="Comma 2 3 3 3" xfId="138"/>
    <cellStyle name="Comma 2 3 3 3 2" xfId="260"/>
    <cellStyle name="Comma 2 3 3 3 2 2" xfId="526"/>
    <cellStyle name="Comma 2 3 3 3 2 2 2" xfId="1040"/>
    <cellStyle name="Comma 2 3 3 3 2 3" xfId="783"/>
    <cellStyle name="Comma 2 3 3 3 3" xfId="418"/>
    <cellStyle name="Comma 2 3 3 3 3 2" xfId="932"/>
    <cellStyle name="Comma 2 3 3 3 4" xfId="675"/>
    <cellStyle name="Comma 2 3 3 4" xfId="221"/>
    <cellStyle name="Comma 2 3 3 4 2" xfId="490"/>
    <cellStyle name="Comma 2 3 3 4 2 2" xfId="1004"/>
    <cellStyle name="Comma 2 3 3 4 3" xfId="747"/>
    <cellStyle name="Comma 2 3 3 5" xfId="382"/>
    <cellStyle name="Comma 2 3 3 5 2" xfId="896"/>
    <cellStyle name="Comma 2 3 3 6" xfId="639"/>
    <cellStyle name="Comma 2 3 4" xfId="157"/>
    <cellStyle name="Comma 2 3 4 2" xfId="279"/>
    <cellStyle name="Comma 2 3 4 2 2" xfId="544"/>
    <cellStyle name="Comma 2 3 4 2 2 2" xfId="1058"/>
    <cellStyle name="Comma 2 3 4 2 3" xfId="801"/>
    <cellStyle name="Comma 2 3 4 3" xfId="436"/>
    <cellStyle name="Comma 2 3 4 3 2" xfId="950"/>
    <cellStyle name="Comma 2 3 4 4" xfId="693"/>
    <cellStyle name="Comma 2 3 5" xfId="119"/>
    <cellStyle name="Comma 2 3 5 2" xfId="241"/>
    <cellStyle name="Comma 2 3 5 2 2" xfId="508"/>
    <cellStyle name="Comma 2 3 5 2 2 2" xfId="1022"/>
    <cellStyle name="Comma 2 3 5 2 3" xfId="765"/>
    <cellStyle name="Comma 2 3 5 3" xfId="400"/>
    <cellStyle name="Comma 2 3 5 3 2" xfId="914"/>
    <cellStyle name="Comma 2 3 5 4" xfId="657"/>
    <cellStyle name="Comma 2 3 6" xfId="201"/>
    <cellStyle name="Comma 2 3 6 2" xfId="472"/>
    <cellStyle name="Comma 2 3 6 2 2" xfId="986"/>
    <cellStyle name="Comma 2 3 6 3" xfId="729"/>
    <cellStyle name="Comma 2 3 7" xfId="75"/>
    <cellStyle name="Comma 2 3 7 2" xfId="362"/>
    <cellStyle name="Comma 2 3 7 2 2" xfId="876"/>
    <cellStyle name="Comma 2 3 7 3" xfId="619"/>
    <cellStyle name="Comma 2 3 8" xfId="338"/>
    <cellStyle name="Comma 2 3 8 2" xfId="852"/>
    <cellStyle name="Comma 2 3 9" xfId="595"/>
    <cellStyle name="Comma 2 4" xfId="59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3" xfId="831"/>
    <cellStyle name="Comma 2 4 2 2 2 3" xfId="466"/>
    <cellStyle name="Comma 2 4 2 2 2 3 2" xfId="980"/>
    <cellStyle name="Comma 2 4 2 2 2 4" xfId="723"/>
    <cellStyle name="Comma 2 4 2 2 3" xfId="151"/>
    <cellStyle name="Comma 2 4 2 2 3 2" xfId="273"/>
    <cellStyle name="Comma 2 4 2 2 3 2 2" xfId="538"/>
    <cellStyle name="Comma 2 4 2 2 3 2 2 2" xfId="1052"/>
    <cellStyle name="Comma 2 4 2 2 3 2 3" xfId="795"/>
    <cellStyle name="Comma 2 4 2 2 3 3" xfId="430"/>
    <cellStyle name="Comma 2 4 2 2 3 3 2" xfId="944"/>
    <cellStyle name="Comma 2 4 2 2 3 4" xfId="687"/>
    <cellStyle name="Comma 2 4 2 2 4" xfId="234"/>
    <cellStyle name="Comma 2 4 2 2 4 2" xfId="502"/>
    <cellStyle name="Comma 2 4 2 2 4 2 2" xfId="1016"/>
    <cellStyle name="Comma 2 4 2 2 4 3" xfId="759"/>
    <cellStyle name="Comma 2 4 2 2 5" xfId="394"/>
    <cellStyle name="Comma 2 4 2 2 5 2" xfId="908"/>
    <cellStyle name="Comma 2 4 2 2 6" xfId="651"/>
    <cellStyle name="Comma 2 4 2 3" xfId="170"/>
    <cellStyle name="Comma 2 4 2 3 2" xfId="292"/>
    <cellStyle name="Comma 2 4 2 3 2 2" xfId="556"/>
    <cellStyle name="Comma 2 4 2 3 2 2 2" xfId="1070"/>
    <cellStyle name="Comma 2 4 2 3 2 3" xfId="813"/>
    <cellStyle name="Comma 2 4 2 3 3" xfId="448"/>
    <cellStyle name="Comma 2 4 2 3 3 2" xfId="962"/>
    <cellStyle name="Comma 2 4 2 3 4" xfId="705"/>
    <cellStyle name="Comma 2 4 2 4" xfId="132"/>
    <cellStyle name="Comma 2 4 2 4 2" xfId="254"/>
    <cellStyle name="Comma 2 4 2 4 2 2" xfId="520"/>
    <cellStyle name="Comma 2 4 2 4 2 2 2" xfId="1034"/>
    <cellStyle name="Comma 2 4 2 4 2 3" xfId="777"/>
    <cellStyle name="Comma 2 4 2 4 3" xfId="412"/>
    <cellStyle name="Comma 2 4 2 4 3 2" xfId="926"/>
    <cellStyle name="Comma 2 4 2 4 4" xfId="669"/>
    <cellStyle name="Comma 2 4 2 5" xfId="214"/>
    <cellStyle name="Comma 2 4 2 5 2" xfId="484"/>
    <cellStyle name="Comma 2 4 2 5 2 2" xfId="998"/>
    <cellStyle name="Comma 2 4 2 5 3" xfId="741"/>
    <cellStyle name="Comma 2 4 2 6" xfId="376"/>
    <cellStyle name="Comma 2 4 2 6 2" xfId="890"/>
    <cellStyle name="Comma 2 4 2 7" xfId="633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3" xfId="822"/>
    <cellStyle name="Comma 2 4 3 2 3" xfId="457"/>
    <cellStyle name="Comma 2 4 3 2 3 2" xfId="971"/>
    <cellStyle name="Comma 2 4 3 2 4" xfId="714"/>
    <cellStyle name="Comma 2 4 3 3" xfId="141"/>
    <cellStyle name="Comma 2 4 3 3 2" xfId="263"/>
    <cellStyle name="Comma 2 4 3 3 2 2" xfId="529"/>
    <cellStyle name="Comma 2 4 3 3 2 2 2" xfId="1043"/>
    <cellStyle name="Comma 2 4 3 3 2 3" xfId="786"/>
    <cellStyle name="Comma 2 4 3 3 3" xfId="421"/>
    <cellStyle name="Comma 2 4 3 3 3 2" xfId="935"/>
    <cellStyle name="Comma 2 4 3 3 4" xfId="678"/>
    <cellStyle name="Comma 2 4 3 4" xfId="224"/>
    <cellStyle name="Comma 2 4 3 4 2" xfId="493"/>
    <cellStyle name="Comma 2 4 3 4 2 2" xfId="1007"/>
    <cellStyle name="Comma 2 4 3 4 3" xfId="750"/>
    <cellStyle name="Comma 2 4 3 5" xfId="385"/>
    <cellStyle name="Comma 2 4 3 5 2" xfId="899"/>
    <cellStyle name="Comma 2 4 3 6" xfId="642"/>
    <cellStyle name="Comma 2 4 4" xfId="160"/>
    <cellStyle name="Comma 2 4 4 2" xfId="282"/>
    <cellStyle name="Comma 2 4 4 2 2" xfId="547"/>
    <cellStyle name="Comma 2 4 4 2 2 2" xfId="1061"/>
    <cellStyle name="Comma 2 4 4 2 3" xfId="804"/>
    <cellStyle name="Comma 2 4 4 3" xfId="439"/>
    <cellStyle name="Comma 2 4 4 3 2" xfId="953"/>
    <cellStyle name="Comma 2 4 4 4" xfId="696"/>
    <cellStyle name="Comma 2 4 5" xfId="122"/>
    <cellStyle name="Comma 2 4 5 2" xfId="244"/>
    <cellStyle name="Comma 2 4 5 2 2" xfId="511"/>
    <cellStyle name="Comma 2 4 5 2 2 2" xfId="1025"/>
    <cellStyle name="Comma 2 4 5 2 3" xfId="768"/>
    <cellStyle name="Comma 2 4 5 3" xfId="403"/>
    <cellStyle name="Comma 2 4 5 3 2" xfId="917"/>
    <cellStyle name="Comma 2 4 5 4" xfId="660"/>
    <cellStyle name="Comma 2 4 6" xfId="204"/>
    <cellStyle name="Comma 2 4 6 2" xfId="475"/>
    <cellStyle name="Comma 2 4 6 2 2" xfId="989"/>
    <cellStyle name="Comma 2 4 6 3" xfId="732"/>
    <cellStyle name="Comma 2 4 7" xfId="78"/>
    <cellStyle name="Comma 2 4 7 2" xfId="365"/>
    <cellStyle name="Comma 2 4 7 2 2" xfId="879"/>
    <cellStyle name="Comma 2 4 7 3" xfId="622"/>
    <cellStyle name="Comma 2 4 8" xfId="346"/>
    <cellStyle name="Comma 2 4 8 2" xfId="860"/>
    <cellStyle name="Comma 2 4 9" xfId="603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3" xfId="825"/>
    <cellStyle name="Comma 2 5 2 2 3" xfId="460"/>
    <cellStyle name="Comma 2 5 2 2 3 2" xfId="974"/>
    <cellStyle name="Comma 2 5 2 2 4" xfId="717"/>
    <cellStyle name="Comma 2 5 2 3" xfId="145"/>
    <cellStyle name="Comma 2 5 2 3 2" xfId="267"/>
    <cellStyle name="Comma 2 5 2 3 2 2" xfId="532"/>
    <cellStyle name="Comma 2 5 2 3 2 2 2" xfId="1046"/>
    <cellStyle name="Comma 2 5 2 3 2 3" xfId="789"/>
    <cellStyle name="Comma 2 5 2 3 3" xfId="424"/>
    <cellStyle name="Comma 2 5 2 3 3 2" xfId="938"/>
    <cellStyle name="Comma 2 5 2 3 4" xfId="681"/>
    <cellStyle name="Comma 2 5 2 4" xfId="228"/>
    <cellStyle name="Comma 2 5 2 4 2" xfId="496"/>
    <cellStyle name="Comma 2 5 2 4 2 2" xfId="1010"/>
    <cellStyle name="Comma 2 5 2 4 3" xfId="753"/>
    <cellStyle name="Comma 2 5 2 5" xfId="388"/>
    <cellStyle name="Comma 2 5 2 5 2" xfId="902"/>
    <cellStyle name="Comma 2 5 2 6" xfId="645"/>
    <cellStyle name="Comma 2 5 3" xfId="164"/>
    <cellStyle name="Comma 2 5 3 2" xfId="286"/>
    <cellStyle name="Comma 2 5 3 2 2" xfId="550"/>
    <cellStyle name="Comma 2 5 3 2 2 2" xfId="1064"/>
    <cellStyle name="Comma 2 5 3 2 3" xfId="807"/>
    <cellStyle name="Comma 2 5 3 3" xfId="442"/>
    <cellStyle name="Comma 2 5 3 3 2" xfId="956"/>
    <cellStyle name="Comma 2 5 3 4" xfId="699"/>
    <cellStyle name="Comma 2 5 4" xfId="126"/>
    <cellStyle name="Comma 2 5 4 2" xfId="248"/>
    <cellStyle name="Comma 2 5 4 2 2" xfId="514"/>
    <cellStyle name="Comma 2 5 4 2 2 2" xfId="1028"/>
    <cellStyle name="Comma 2 5 4 2 3" xfId="771"/>
    <cellStyle name="Comma 2 5 4 3" xfId="406"/>
    <cellStyle name="Comma 2 5 4 3 2" xfId="920"/>
    <cellStyle name="Comma 2 5 4 4" xfId="663"/>
    <cellStyle name="Comma 2 5 5" xfId="208"/>
    <cellStyle name="Comma 2 5 5 2" xfId="478"/>
    <cellStyle name="Comma 2 5 5 2 2" xfId="992"/>
    <cellStyle name="Comma 2 5 5 3" xfId="735"/>
    <cellStyle name="Comma 2 5 6" xfId="370"/>
    <cellStyle name="Comma 2 5 6 2" xfId="884"/>
    <cellStyle name="Comma 2 5 7" xfId="627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3" xfId="816"/>
    <cellStyle name="Comma 2 6 2 3" xfId="451"/>
    <cellStyle name="Comma 2 6 2 3 2" xfId="965"/>
    <cellStyle name="Comma 2 6 2 4" xfId="708"/>
    <cellStyle name="Comma 2 6 3" xfId="135"/>
    <cellStyle name="Comma 2 6 3 2" xfId="257"/>
    <cellStyle name="Comma 2 6 3 2 2" xfId="523"/>
    <cellStyle name="Comma 2 6 3 2 2 2" xfId="1037"/>
    <cellStyle name="Comma 2 6 3 2 3" xfId="780"/>
    <cellStyle name="Comma 2 6 3 3" xfId="415"/>
    <cellStyle name="Comma 2 6 3 3 2" xfId="929"/>
    <cellStyle name="Comma 2 6 3 4" xfId="672"/>
    <cellStyle name="Comma 2 6 4" xfId="218"/>
    <cellStyle name="Comma 2 6 4 2" xfId="487"/>
    <cellStyle name="Comma 2 6 4 2 2" xfId="1001"/>
    <cellStyle name="Comma 2 6 4 3" xfId="744"/>
    <cellStyle name="Comma 2 6 5" xfId="379"/>
    <cellStyle name="Comma 2 6 5 2" xfId="893"/>
    <cellStyle name="Comma 2 6 6" xfId="636"/>
    <cellStyle name="Comma 2 7" xfId="154"/>
    <cellStyle name="Comma 2 7 2" xfId="276"/>
    <cellStyle name="Comma 2 7 2 2" xfId="541"/>
    <cellStyle name="Comma 2 7 2 2 2" xfId="1055"/>
    <cellStyle name="Comma 2 7 2 3" xfId="798"/>
    <cellStyle name="Comma 2 7 3" xfId="433"/>
    <cellStyle name="Comma 2 7 3 2" xfId="947"/>
    <cellStyle name="Comma 2 7 4" xfId="690"/>
    <cellStyle name="Comma 2 8" xfId="116"/>
    <cellStyle name="Comma 2 8 2" xfId="238"/>
    <cellStyle name="Comma 2 8 2 2" xfId="505"/>
    <cellStyle name="Comma 2 8 2 2 2" xfId="1019"/>
    <cellStyle name="Comma 2 8 2 3" xfId="762"/>
    <cellStyle name="Comma 2 8 3" xfId="397"/>
    <cellStyle name="Comma 2 8 3 2" xfId="911"/>
    <cellStyle name="Comma 2 8 4" xfId="654"/>
    <cellStyle name="Comma 2 9" xfId="198"/>
    <cellStyle name="Comma 2 9 2" xfId="469"/>
    <cellStyle name="Comma 2 9 2 2" xfId="983"/>
    <cellStyle name="Comma 2 9 3" xfId="726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3" xfId="827"/>
    <cellStyle name="Comma 3 2 2 2 3" xfId="462"/>
    <cellStyle name="Comma 3 2 2 2 3 2" xfId="976"/>
    <cellStyle name="Comma 3 2 2 2 4" xfId="719"/>
    <cellStyle name="Comma 3 2 2 3" xfId="147"/>
    <cellStyle name="Comma 3 2 2 3 2" xfId="269"/>
    <cellStyle name="Comma 3 2 2 3 2 2" xfId="534"/>
    <cellStyle name="Comma 3 2 2 3 2 2 2" xfId="1048"/>
    <cellStyle name="Comma 3 2 2 3 2 3" xfId="791"/>
    <cellStyle name="Comma 3 2 2 3 3" xfId="426"/>
    <cellStyle name="Comma 3 2 2 3 3 2" xfId="940"/>
    <cellStyle name="Comma 3 2 2 3 4" xfId="683"/>
    <cellStyle name="Comma 3 2 2 4" xfId="230"/>
    <cellStyle name="Comma 3 2 2 4 2" xfId="498"/>
    <cellStyle name="Comma 3 2 2 4 2 2" xfId="1012"/>
    <cellStyle name="Comma 3 2 2 4 3" xfId="755"/>
    <cellStyle name="Comma 3 2 2 5" xfId="390"/>
    <cellStyle name="Comma 3 2 2 5 2" xfId="904"/>
    <cellStyle name="Comma 3 2 2 6" xfId="647"/>
    <cellStyle name="Comma 3 2 3" xfId="166"/>
    <cellStyle name="Comma 3 2 3 2" xfId="288"/>
    <cellStyle name="Comma 3 2 3 2 2" xfId="552"/>
    <cellStyle name="Comma 3 2 3 2 2 2" xfId="1066"/>
    <cellStyle name="Comma 3 2 3 2 3" xfId="809"/>
    <cellStyle name="Comma 3 2 3 3" xfId="444"/>
    <cellStyle name="Comma 3 2 3 3 2" xfId="958"/>
    <cellStyle name="Comma 3 2 3 4" xfId="701"/>
    <cellStyle name="Comma 3 2 4" xfId="128"/>
    <cellStyle name="Comma 3 2 4 2" xfId="250"/>
    <cellStyle name="Comma 3 2 4 2 2" xfId="516"/>
    <cellStyle name="Comma 3 2 4 2 2 2" xfId="1030"/>
    <cellStyle name="Comma 3 2 4 2 3" xfId="773"/>
    <cellStyle name="Comma 3 2 4 3" xfId="408"/>
    <cellStyle name="Comma 3 2 4 3 2" xfId="922"/>
    <cellStyle name="Comma 3 2 4 4" xfId="665"/>
    <cellStyle name="Comma 3 2 5" xfId="210"/>
    <cellStyle name="Comma 3 2 5 2" xfId="480"/>
    <cellStyle name="Comma 3 2 5 2 2" xfId="994"/>
    <cellStyle name="Comma 3 2 5 3" xfId="737"/>
    <cellStyle name="Comma 3 2 6" xfId="372"/>
    <cellStyle name="Comma 3 2 6 2" xfId="886"/>
    <cellStyle name="Comma 3 2 7" xfId="629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3" xfId="818"/>
    <cellStyle name="Comma 3 3 2 3" xfId="453"/>
    <cellStyle name="Comma 3 3 2 3 2" xfId="967"/>
    <cellStyle name="Comma 3 3 2 4" xfId="710"/>
    <cellStyle name="Comma 3 3 3" xfId="137"/>
    <cellStyle name="Comma 3 3 3 2" xfId="259"/>
    <cellStyle name="Comma 3 3 3 2 2" xfId="525"/>
    <cellStyle name="Comma 3 3 3 2 2 2" xfId="1039"/>
    <cellStyle name="Comma 3 3 3 2 3" xfId="782"/>
    <cellStyle name="Comma 3 3 3 3" xfId="417"/>
    <cellStyle name="Comma 3 3 3 3 2" xfId="931"/>
    <cellStyle name="Comma 3 3 3 4" xfId="674"/>
    <cellStyle name="Comma 3 3 4" xfId="220"/>
    <cellStyle name="Comma 3 3 4 2" xfId="489"/>
    <cellStyle name="Comma 3 3 4 2 2" xfId="1003"/>
    <cellStyle name="Comma 3 3 4 3" xfId="746"/>
    <cellStyle name="Comma 3 3 5" xfId="381"/>
    <cellStyle name="Comma 3 3 5 2" xfId="895"/>
    <cellStyle name="Comma 3 3 6" xfId="638"/>
    <cellStyle name="Comma 3 4" xfId="156"/>
    <cellStyle name="Comma 3 4 2" xfId="278"/>
    <cellStyle name="Comma 3 4 2 2" xfId="543"/>
    <cellStyle name="Comma 3 4 2 2 2" xfId="1057"/>
    <cellStyle name="Comma 3 4 2 3" xfId="800"/>
    <cellStyle name="Comma 3 4 3" xfId="435"/>
    <cellStyle name="Comma 3 4 3 2" xfId="949"/>
    <cellStyle name="Comma 3 4 4" xfId="692"/>
    <cellStyle name="Comma 3 5" xfId="118"/>
    <cellStyle name="Comma 3 5 2" xfId="240"/>
    <cellStyle name="Comma 3 5 2 2" xfId="507"/>
    <cellStyle name="Comma 3 5 2 2 2" xfId="1021"/>
    <cellStyle name="Comma 3 5 2 3" xfId="764"/>
    <cellStyle name="Comma 3 5 3" xfId="399"/>
    <cellStyle name="Comma 3 5 3 2" xfId="913"/>
    <cellStyle name="Comma 3 5 4" xfId="656"/>
    <cellStyle name="Comma 3 6" xfId="200"/>
    <cellStyle name="Comma 3 6 2" xfId="471"/>
    <cellStyle name="Comma 3 6 2 2" xfId="985"/>
    <cellStyle name="Comma 3 6 3" xfId="728"/>
    <cellStyle name="Comma 3 7" xfId="74"/>
    <cellStyle name="Comma 3 7 2" xfId="361"/>
    <cellStyle name="Comma 3 7 2 2" xfId="875"/>
    <cellStyle name="Comma 3 7 3" xfId="618"/>
    <cellStyle name="Comma 4" xfId="57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3" xfId="830"/>
    <cellStyle name="Comma 4 2 2 2 3" xfId="465"/>
    <cellStyle name="Comma 4 2 2 2 3 2" xfId="979"/>
    <cellStyle name="Comma 4 2 2 2 4" xfId="722"/>
    <cellStyle name="Comma 4 2 2 3" xfId="150"/>
    <cellStyle name="Comma 4 2 2 3 2" xfId="272"/>
    <cellStyle name="Comma 4 2 2 3 2 2" xfId="537"/>
    <cellStyle name="Comma 4 2 2 3 2 2 2" xfId="1051"/>
    <cellStyle name="Comma 4 2 2 3 2 3" xfId="794"/>
    <cellStyle name="Comma 4 2 2 3 3" xfId="429"/>
    <cellStyle name="Comma 4 2 2 3 3 2" xfId="943"/>
    <cellStyle name="Comma 4 2 2 3 4" xfId="686"/>
    <cellStyle name="Comma 4 2 2 4" xfId="233"/>
    <cellStyle name="Comma 4 2 2 4 2" xfId="501"/>
    <cellStyle name="Comma 4 2 2 4 2 2" xfId="1015"/>
    <cellStyle name="Comma 4 2 2 4 3" xfId="758"/>
    <cellStyle name="Comma 4 2 2 5" xfId="393"/>
    <cellStyle name="Comma 4 2 2 5 2" xfId="907"/>
    <cellStyle name="Comma 4 2 2 6" xfId="650"/>
    <cellStyle name="Comma 4 2 3" xfId="169"/>
    <cellStyle name="Comma 4 2 3 2" xfId="291"/>
    <cellStyle name="Comma 4 2 3 2 2" xfId="555"/>
    <cellStyle name="Comma 4 2 3 2 2 2" xfId="1069"/>
    <cellStyle name="Comma 4 2 3 2 3" xfId="812"/>
    <cellStyle name="Comma 4 2 3 3" xfId="447"/>
    <cellStyle name="Comma 4 2 3 3 2" xfId="961"/>
    <cellStyle name="Comma 4 2 3 4" xfId="704"/>
    <cellStyle name="Comma 4 2 4" xfId="131"/>
    <cellStyle name="Comma 4 2 4 2" xfId="253"/>
    <cellStyle name="Comma 4 2 4 2 2" xfId="519"/>
    <cellStyle name="Comma 4 2 4 2 2 2" xfId="1033"/>
    <cellStyle name="Comma 4 2 4 2 3" xfId="776"/>
    <cellStyle name="Comma 4 2 4 3" xfId="411"/>
    <cellStyle name="Comma 4 2 4 3 2" xfId="925"/>
    <cellStyle name="Comma 4 2 4 4" xfId="668"/>
    <cellStyle name="Comma 4 2 5" xfId="213"/>
    <cellStyle name="Comma 4 2 5 2" xfId="483"/>
    <cellStyle name="Comma 4 2 5 2 2" xfId="997"/>
    <cellStyle name="Comma 4 2 5 3" xfId="740"/>
    <cellStyle name="Comma 4 2 6" xfId="375"/>
    <cellStyle name="Comma 4 2 6 2" xfId="889"/>
    <cellStyle name="Comma 4 2 7" xfId="632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3" xfId="821"/>
    <cellStyle name="Comma 4 3 2 3" xfId="456"/>
    <cellStyle name="Comma 4 3 2 3 2" xfId="970"/>
    <cellStyle name="Comma 4 3 2 4" xfId="713"/>
    <cellStyle name="Comma 4 3 3" xfId="140"/>
    <cellStyle name="Comma 4 3 3 2" xfId="262"/>
    <cellStyle name="Comma 4 3 3 2 2" xfId="528"/>
    <cellStyle name="Comma 4 3 3 2 2 2" xfId="1042"/>
    <cellStyle name="Comma 4 3 3 2 3" xfId="785"/>
    <cellStyle name="Comma 4 3 3 3" xfId="420"/>
    <cellStyle name="Comma 4 3 3 3 2" xfId="934"/>
    <cellStyle name="Comma 4 3 3 4" xfId="677"/>
    <cellStyle name="Comma 4 3 4" xfId="223"/>
    <cellStyle name="Comma 4 3 4 2" xfId="492"/>
    <cellStyle name="Comma 4 3 4 2 2" xfId="1006"/>
    <cellStyle name="Comma 4 3 4 3" xfId="749"/>
    <cellStyle name="Comma 4 3 5" xfId="384"/>
    <cellStyle name="Comma 4 3 5 2" xfId="898"/>
    <cellStyle name="Comma 4 3 6" xfId="641"/>
    <cellStyle name="Comma 4 4" xfId="159"/>
    <cellStyle name="Comma 4 4 2" xfId="281"/>
    <cellStyle name="Comma 4 4 2 2" xfId="546"/>
    <cellStyle name="Comma 4 4 2 2 2" xfId="1060"/>
    <cellStyle name="Comma 4 4 2 3" xfId="803"/>
    <cellStyle name="Comma 4 4 3" xfId="438"/>
    <cellStyle name="Comma 4 4 3 2" xfId="952"/>
    <cellStyle name="Comma 4 4 4" xfId="695"/>
    <cellStyle name="Comma 4 5" xfId="121"/>
    <cellStyle name="Comma 4 5 2" xfId="243"/>
    <cellStyle name="Comma 4 5 2 2" xfId="510"/>
    <cellStyle name="Comma 4 5 2 2 2" xfId="1024"/>
    <cellStyle name="Comma 4 5 2 3" xfId="767"/>
    <cellStyle name="Comma 4 5 3" xfId="402"/>
    <cellStyle name="Comma 4 5 3 2" xfId="916"/>
    <cellStyle name="Comma 4 5 4" xfId="659"/>
    <cellStyle name="Comma 4 6" xfId="203"/>
    <cellStyle name="Comma 4 6 2" xfId="474"/>
    <cellStyle name="Comma 4 6 2 2" xfId="988"/>
    <cellStyle name="Comma 4 6 3" xfId="731"/>
    <cellStyle name="Comma 4 7" xfId="77"/>
    <cellStyle name="Comma 4 7 2" xfId="364"/>
    <cellStyle name="Comma 4 7 2 2" xfId="878"/>
    <cellStyle name="Comma 4 7 3" xfId="621"/>
    <cellStyle name="Comma 4 8" xfId="344"/>
    <cellStyle name="Comma 4 8 2" xfId="858"/>
    <cellStyle name="Comma 4 9" xfId="601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3" xfId="824"/>
    <cellStyle name="Comma 5 2 2 3" xfId="459"/>
    <cellStyle name="Comma 5 2 2 3 2" xfId="973"/>
    <cellStyle name="Comma 5 2 2 4" xfId="716"/>
    <cellStyle name="Comma 5 2 3" xfId="144"/>
    <cellStyle name="Comma 5 2 3 2" xfId="266"/>
    <cellStyle name="Comma 5 2 3 2 2" xfId="531"/>
    <cellStyle name="Comma 5 2 3 2 2 2" xfId="1045"/>
    <cellStyle name="Comma 5 2 3 2 3" xfId="788"/>
    <cellStyle name="Comma 5 2 3 3" xfId="423"/>
    <cellStyle name="Comma 5 2 3 3 2" xfId="937"/>
    <cellStyle name="Comma 5 2 3 4" xfId="680"/>
    <cellStyle name="Comma 5 2 4" xfId="227"/>
    <cellStyle name="Comma 5 2 4 2" xfId="495"/>
    <cellStyle name="Comma 5 2 4 2 2" xfId="1009"/>
    <cellStyle name="Comma 5 2 4 3" xfId="752"/>
    <cellStyle name="Comma 5 2 5" xfId="387"/>
    <cellStyle name="Comma 5 2 5 2" xfId="901"/>
    <cellStyle name="Comma 5 2 6" xfId="644"/>
    <cellStyle name="Comma 5 3" xfId="163"/>
    <cellStyle name="Comma 5 3 2" xfId="285"/>
    <cellStyle name="Comma 5 3 2 2" xfId="549"/>
    <cellStyle name="Comma 5 3 2 2 2" xfId="1063"/>
    <cellStyle name="Comma 5 3 2 3" xfId="806"/>
    <cellStyle name="Comma 5 3 3" xfId="441"/>
    <cellStyle name="Comma 5 3 3 2" xfId="955"/>
    <cellStyle name="Comma 5 3 4" xfId="698"/>
    <cellStyle name="Comma 5 4" xfId="125"/>
    <cellStyle name="Comma 5 4 2" xfId="247"/>
    <cellStyle name="Comma 5 4 2 2" xfId="513"/>
    <cellStyle name="Comma 5 4 2 2 2" xfId="1027"/>
    <cellStyle name="Comma 5 4 2 3" xfId="770"/>
    <cellStyle name="Comma 5 4 3" xfId="405"/>
    <cellStyle name="Comma 5 4 3 2" xfId="919"/>
    <cellStyle name="Comma 5 4 4" xfId="662"/>
    <cellStyle name="Comma 5 5" xfId="207"/>
    <cellStyle name="Comma 5 5 2" xfId="477"/>
    <cellStyle name="Comma 5 5 2 2" xfId="991"/>
    <cellStyle name="Comma 5 5 3" xfId="734"/>
    <cellStyle name="Comma 5 6" xfId="368"/>
    <cellStyle name="Comma 5 6 2" xfId="882"/>
    <cellStyle name="Comma 5 7" xfId="625"/>
    <cellStyle name="Comma 6" xfId="81"/>
    <cellStyle name="Comma 6 2" xfId="104"/>
    <cellStyle name="Comma 6 2 2" xfId="182"/>
    <cellStyle name="Comma 6 2 2 2" xfId="304"/>
    <cellStyle name="Comma 6 2 3" xfId="143"/>
    <cellStyle name="Comma 6 2 3 2" xfId="265"/>
    <cellStyle name="Comma 6 2 4" xfId="226"/>
    <cellStyle name="Comma 6 3" xfId="162"/>
    <cellStyle name="Comma 6 3 2" xfId="284"/>
    <cellStyle name="Comma 6 4" xfId="124"/>
    <cellStyle name="Comma 6 4 2" xfId="246"/>
    <cellStyle name="Comma 6 5" xfId="206"/>
    <cellStyle name="Comma 7" xfId="95"/>
    <cellStyle name="Comma 7 2" xfId="173"/>
    <cellStyle name="Comma 7 2 2" xfId="295"/>
    <cellStyle name="Comma 7 2 2 2" xfId="558"/>
    <cellStyle name="Comma 7 2 2 2 2" xfId="1072"/>
    <cellStyle name="Comma 7 2 2 3" xfId="815"/>
    <cellStyle name="Comma 7 2 3" xfId="450"/>
    <cellStyle name="Comma 7 2 3 2" xfId="964"/>
    <cellStyle name="Comma 7 2 4" xfId="707"/>
    <cellStyle name="Comma 7 3" xfId="134"/>
    <cellStyle name="Comma 7 3 2" xfId="256"/>
    <cellStyle name="Comma 7 3 2 2" xfId="522"/>
    <cellStyle name="Comma 7 3 2 2 2" xfId="1036"/>
    <cellStyle name="Comma 7 3 2 3" xfId="779"/>
    <cellStyle name="Comma 7 3 3" xfId="414"/>
    <cellStyle name="Comma 7 3 3 2" xfId="928"/>
    <cellStyle name="Comma 7 3 4" xfId="671"/>
    <cellStyle name="Comma 7 4" xfId="217"/>
    <cellStyle name="Comma 7 4 2" xfId="486"/>
    <cellStyle name="Comma 7 4 2 2" xfId="1000"/>
    <cellStyle name="Comma 7 4 3" xfId="743"/>
    <cellStyle name="Comma 7 5" xfId="378"/>
    <cellStyle name="Comma 7 5 2" xfId="892"/>
    <cellStyle name="Comma 7 6" xfId="635"/>
    <cellStyle name="Comma 8" xfId="153"/>
    <cellStyle name="Comma 8 2" xfId="275"/>
    <cellStyle name="Comma 8 2 2" xfId="540"/>
    <cellStyle name="Comma 8 2 2 2" xfId="1054"/>
    <cellStyle name="Comma 8 2 3" xfId="797"/>
    <cellStyle name="Comma 8 3" xfId="432"/>
    <cellStyle name="Comma 8 3 2" xfId="946"/>
    <cellStyle name="Comma 8 4" xfId="689"/>
    <cellStyle name="Comma 9" xfId="115"/>
    <cellStyle name="Comma 9 2" xfId="237"/>
    <cellStyle name="Comma 9 2 2" xfId="504"/>
    <cellStyle name="Comma 9 2 2 2" xfId="1018"/>
    <cellStyle name="Comma 9 2 3" xfId="761"/>
    <cellStyle name="Comma 9 3" xfId="396"/>
    <cellStyle name="Comma 9 3 2" xfId="910"/>
    <cellStyle name="Comma 9 4" xfId="65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3" xfId="843"/>
    <cellStyle name="Normal 2 2 2 2 3" xfId="352"/>
    <cellStyle name="Normal 2 2 2 2 3 2" xfId="866"/>
    <cellStyle name="Normal 2 2 2 2 4" xfId="609"/>
    <cellStyle name="Normal 2 2 2 3" xfId="321"/>
    <cellStyle name="Normal 2 2 2 3 2" xfId="578"/>
    <cellStyle name="Normal 2 2 2 3 2 2" xfId="1092"/>
    <cellStyle name="Normal 2 2 2 3 3" xfId="835"/>
    <cellStyle name="Normal 2 2 2 4" xfId="339"/>
    <cellStyle name="Normal 2 2 2 4 2" xfId="853"/>
    <cellStyle name="Normal 2 2 2 5" xfId="596"/>
    <cellStyle name="Normal 2 2 3" xfId="60"/>
    <cellStyle name="Normal 2 2 3 2" xfId="326"/>
    <cellStyle name="Normal 2 2 3 2 2" xfId="583"/>
    <cellStyle name="Normal 2 2 3 2 2 2" xfId="1097"/>
    <cellStyle name="Normal 2 2 3 2 3" xfId="840"/>
    <cellStyle name="Normal 2 2 3 3" xfId="347"/>
    <cellStyle name="Normal 2 2 3 3 2" xfId="861"/>
    <cellStyle name="Normal 2 2 3 4" xfId="604"/>
    <cellStyle name="Normal 2 2 4" xfId="83"/>
    <cellStyle name="Normal 2 2 4 2" xfId="367"/>
    <cellStyle name="Normal 2 2 4 2 2" xfId="881"/>
    <cellStyle name="Normal 2 2 4 3" xfId="624"/>
    <cellStyle name="Normal 2 2 5" xfId="334"/>
    <cellStyle name="Normal 2 2 5 2" xfId="848"/>
    <cellStyle name="Normal 2 2 6" xfId="591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3" xfId="842"/>
    <cellStyle name="Normal 2 3 2 3" xfId="350"/>
    <cellStyle name="Normal 2 3 2 3 2" xfId="864"/>
    <cellStyle name="Normal 2 3 2 4" xfId="607"/>
    <cellStyle name="Normal 2 3 3" xfId="320"/>
    <cellStyle name="Normal 2 3 3 2" xfId="577"/>
    <cellStyle name="Normal 2 3 3 2 2" xfId="1091"/>
    <cellStyle name="Normal 2 3 3 3" xfId="834"/>
    <cellStyle name="Normal 2 3 4" xfId="337"/>
    <cellStyle name="Normal 2 3 4 2" xfId="851"/>
    <cellStyle name="Normal 2 3 5" xfId="594"/>
    <cellStyle name="Normal 2 4" xfId="58"/>
    <cellStyle name="Normal 2 4 2" xfId="325"/>
    <cellStyle name="Normal 2 4 2 2" xfId="582"/>
    <cellStyle name="Normal 2 4 2 2 2" xfId="1096"/>
    <cellStyle name="Normal 2 4 2 3" xfId="839"/>
    <cellStyle name="Normal 2 4 3" xfId="345"/>
    <cellStyle name="Normal 2 4 3 2" xfId="859"/>
    <cellStyle name="Normal 2 4 4" xfId="602"/>
    <cellStyle name="Normal 2 5" xfId="80"/>
    <cellStyle name="Normal 2 6" xfId="332"/>
    <cellStyle name="Normal 2 6 2" xfId="846"/>
    <cellStyle name="Normal 2 7" xfId="589"/>
    <cellStyle name="Normal 3" xfId="4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3" xfId="844"/>
    <cellStyle name="Normal 3 2 2 6" xfId="354"/>
    <cellStyle name="Normal 3 2 2 6 2" xfId="868"/>
    <cellStyle name="Normal 3 2 2 7" xfId="611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3" xfId="836"/>
    <cellStyle name="Normal 3 2 7" xfId="341"/>
    <cellStyle name="Normal 3 2 7 2" xfId="855"/>
    <cellStyle name="Normal 3 2 8" xfId="598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3" xfId="841"/>
    <cellStyle name="Normal 3 3 6" xfId="349"/>
    <cellStyle name="Normal 3 3 6 2" xfId="863"/>
    <cellStyle name="Normal 3 3 7" xfId="606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3" xfId="833"/>
    <cellStyle name="Normal 3 8" xfId="336"/>
    <cellStyle name="Normal 3 8 2" xfId="850"/>
    <cellStyle name="Normal 3 9" xfId="593"/>
    <cellStyle name="Normal 4" xfId="55"/>
    <cellStyle name="Normal 4 2" xfId="68"/>
    <cellStyle name="Normal 4 2 2" xfId="331"/>
    <cellStyle name="Normal 4 2 2 2" xfId="588"/>
    <cellStyle name="Normal 4 2 2 2 2" xfId="1102"/>
    <cellStyle name="Normal 4 2 2 3" xfId="845"/>
    <cellStyle name="Normal 4 2 3" xfId="355"/>
    <cellStyle name="Normal 4 2 3 2" xfId="869"/>
    <cellStyle name="Normal 4 2 4" xfId="612"/>
    <cellStyle name="Normal 4 3" xfId="323"/>
    <cellStyle name="Normal 4 3 2" xfId="580"/>
    <cellStyle name="Normal 4 3 2 2" xfId="1094"/>
    <cellStyle name="Normal 4 3 3" xfId="837"/>
    <cellStyle name="Normal 4 4" xfId="342"/>
    <cellStyle name="Normal 4 4 2" xfId="856"/>
    <cellStyle name="Normal 4 5" xfId="599"/>
    <cellStyle name="Normal 5" xfId="56"/>
    <cellStyle name="Normal 5 2" xfId="324"/>
    <cellStyle name="Normal 5 2 2" xfId="581"/>
    <cellStyle name="Normal 5 2 2 2" xfId="1095"/>
    <cellStyle name="Normal 5 2 3" xfId="838"/>
    <cellStyle name="Normal 5 3" xfId="343"/>
    <cellStyle name="Normal 5 3 2" xfId="857"/>
    <cellStyle name="Normal 5 4" xfId="600"/>
    <cellStyle name="Normal 6" xfId="69"/>
    <cellStyle name="Normal 6 2" xfId="356"/>
    <cellStyle name="Normal 6 2 2" xfId="870"/>
    <cellStyle name="Normal 6 3" xfId="613"/>
    <cellStyle name="Normal 7" xfId="1103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3" xfId="626"/>
    <cellStyle name="Percent 3" xfId="82"/>
    <cellStyle name="Percent 4" xfId="71"/>
    <cellStyle name="Percent 4 2" xfId="358"/>
    <cellStyle name="Percent 4 2 2" xfId="872"/>
    <cellStyle name="Percent 4 3" xfId="615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zoomScaleNormal="100" workbookViewId="0">
      <selection activeCell="A18" sqref="A18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43039</v>
      </c>
    </row>
    <row r="7" spans="1:12" x14ac:dyDescent="0.2">
      <c r="A7" s="107" t="str">
        <f>"Market Profile - "&amp; TEXT($H$3,"MMM")&amp;" "&amp;TEXT($H$3,"YYYY")</f>
        <v>Market Profile - Oct 2017</v>
      </c>
    </row>
    <row r="8" spans="1:12" x14ac:dyDescent="0.2">
      <c r="A8" s="107"/>
      <c r="G8" s="371" t="s">
        <v>199</v>
      </c>
      <c r="H8" s="371"/>
      <c r="I8" s="371"/>
    </row>
    <row r="9" spans="1:12" x14ac:dyDescent="0.2">
      <c r="A9" s="107"/>
      <c r="G9" s="371"/>
      <c r="H9" s="371"/>
      <c r="I9" s="371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0" t="s">
        <v>167</v>
      </c>
      <c r="B13" s="279" t="s">
        <v>1</v>
      </c>
      <c r="C13" s="279" t="s">
        <v>179</v>
      </c>
      <c r="D13" s="279" t="s">
        <v>179</v>
      </c>
      <c r="E13" s="279" t="s">
        <v>2</v>
      </c>
      <c r="F13" s="279"/>
      <c r="G13" s="279"/>
      <c r="H13" s="279"/>
      <c r="I13" s="280"/>
      <c r="K13" s="172"/>
      <c r="L13" s="172"/>
    </row>
    <row r="14" spans="1:12" s="107" customFormat="1" ht="12.75" customHeight="1" x14ac:dyDescent="0.25">
      <c r="A14" s="380"/>
      <c r="B14" s="279" t="s">
        <v>3</v>
      </c>
      <c r="C14" s="279" t="s">
        <v>4</v>
      </c>
      <c r="D14" s="279" t="s">
        <v>4</v>
      </c>
      <c r="E14" s="279" t="s">
        <v>5</v>
      </c>
      <c r="F14" s="279"/>
      <c r="G14" s="279"/>
      <c r="H14" s="279"/>
      <c r="I14" s="280"/>
      <c r="K14" s="172"/>
      <c r="L14" s="172"/>
    </row>
    <row r="15" spans="1:12" s="107" customFormat="1" ht="12.75" customHeight="1" thickBot="1" x14ac:dyDescent="0.3">
      <c r="A15" s="381"/>
      <c r="B15" s="281" t="str">
        <f>TEXT($H$3,"MMM")&amp;" "&amp;TEXT($H$3,"YYYY")</f>
        <v>Oct 2017</v>
      </c>
      <c r="C15" s="281" t="str">
        <f>TEXT($H$3,"YYYY")</f>
        <v>2017</v>
      </c>
      <c r="D15" s="282">
        <f>TEXT($H$3,"YYYY")-1</f>
        <v>2016</v>
      </c>
      <c r="E15" s="283" t="s">
        <v>6</v>
      </c>
      <c r="F15" s="284">
        <f>TEXT($H$3,"YYYY")-1</f>
        <v>2016</v>
      </c>
      <c r="G15" s="284">
        <f>TEXT($H$3,"YYYY")-2</f>
        <v>2015</v>
      </c>
      <c r="H15" s="284">
        <f>TEXT($H$3,"YYYY")-3</f>
        <v>2014</v>
      </c>
      <c r="I15" s="284">
        <f>TEXT($H$3,"YYYY")-4</f>
        <v>2013</v>
      </c>
      <c r="J15" s="16"/>
      <c r="K15" s="172"/>
      <c r="L15" s="172"/>
    </row>
    <row r="16" spans="1:12" ht="12.75" customHeight="1" x14ac:dyDescent="0.2">
      <c r="A16" s="247" t="s">
        <v>117</v>
      </c>
      <c r="B16" s="127">
        <f>Data!D2</f>
        <v>5402689</v>
      </c>
      <c r="C16" s="127">
        <f>Data!D5</f>
        <v>56876139</v>
      </c>
      <c r="D16" s="248">
        <f>Data!D8</f>
        <v>59351400</v>
      </c>
      <c r="E16" s="285">
        <f>(C16-D16)/ABS(D16)</f>
        <v>-4.1705183028538498E-2</v>
      </c>
      <c r="F16" s="360">
        <v>71179762</v>
      </c>
      <c r="G16" s="360">
        <v>61894253</v>
      </c>
      <c r="H16" s="360">
        <v>46298171</v>
      </c>
      <c r="I16" s="360">
        <v>38964070</v>
      </c>
      <c r="J16" s="3"/>
      <c r="K16" s="171"/>
      <c r="L16" s="171"/>
    </row>
    <row r="17" spans="1:12" ht="12.75" customHeight="1" x14ac:dyDescent="0.2">
      <c r="A17" s="247" t="s">
        <v>118</v>
      </c>
      <c r="B17" s="127">
        <f>Data!B2/1000000</f>
        <v>9373.1670109999995</v>
      </c>
      <c r="C17" s="127">
        <f>Data!B5/1000000</f>
        <v>68380.572776000001</v>
      </c>
      <c r="D17" s="248">
        <f>Data!B8/1000000</f>
        <v>67259.096726000003</v>
      </c>
      <c r="E17" s="285">
        <f t="shared" ref="E17:E18" si="0">(C17-D17)/ABS(D17)</f>
        <v>1.6673968349124057E-2</v>
      </c>
      <c r="F17" s="360">
        <v>79501</v>
      </c>
      <c r="G17" s="360">
        <v>74406</v>
      </c>
      <c r="H17" s="360">
        <v>61735</v>
      </c>
      <c r="I17" s="360">
        <v>63892</v>
      </c>
      <c r="J17" s="3"/>
      <c r="K17" s="171"/>
      <c r="L17" s="171"/>
    </row>
    <row r="18" spans="1:12" ht="12.75" customHeight="1" x14ac:dyDescent="0.2">
      <c r="A18" s="247" t="s">
        <v>119</v>
      </c>
      <c r="B18" s="127">
        <f>Data!C2/1000000</f>
        <v>481501.71506769478</v>
      </c>
      <c r="C18" s="127">
        <f>Data!C5/1000000</f>
        <v>4395205.7994637666</v>
      </c>
      <c r="D18" s="248">
        <f>Data!C8/1000000</f>
        <v>5045359.8691570451</v>
      </c>
      <c r="E18" s="285">
        <f t="shared" si="0"/>
        <v>-0.12886178321347436</v>
      </c>
      <c r="F18" s="360">
        <v>5892768</v>
      </c>
      <c r="G18" s="360">
        <v>5015419</v>
      </c>
      <c r="H18" s="360">
        <v>4050044</v>
      </c>
      <c r="I18" s="360">
        <v>3981618</v>
      </c>
      <c r="J18" s="3"/>
      <c r="K18" s="174"/>
      <c r="L18" s="171"/>
    </row>
    <row r="19" spans="1:12" ht="12.75" customHeight="1" x14ac:dyDescent="0.2">
      <c r="A19" s="247"/>
      <c r="B19" s="202"/>
      <c r="C19" s="127"/>
      <c r="D19" s="248"/>
      <c r="E19" s="247"/>
      <c r="F19" s="360"/>
      <c r="G19" s="360"/>
      <c r="H19" s="360"/>
      <c r="I19" s="360"/>
      <c r="J19" s="3"/>
      <c r="K19" s="171"/>
      <c r="L19" s="171"/>
    </row>
    <row r="20" spans="1:12" s="107" customFormat="1" ht="12.75" customHeight="1" x14ac:dyDescent="0.25">
      <c r="A20" s="287" t="s">
        <v>168</v>
      </c>
      <c r="B20" s="200"/>
      <c r="C20" s="200"/>
      <c r="D20" s="249"/>
      <c r="E20" s="247"/>
      <c r="F20" s="360"/>
      <c r="G20" s="360"/>
      <c r="H20" s="361"/>
      <c r="I20" s="361"/>
      <c r="J20" s="3"/>
      <c r="K20" s="171"/>
      <c r="L20" s="171"/>
    </row>
    <row r="21" spans="1:12" ht="12.75" customHeight="1" x14ac:dyDescent="0.2">
      <c r="A21" s="247" t="s">
        <v>117</v>
      </c>
      <c r="B21" s="127">
        <f>Data!F2</f>
        <v>3458</v>
      </c>
      <c r="C21" s="127">
        <f>Data!F5</f>
        <v>29539</v>
      </c>
      <c r="D21" s="248">
        <f>Data!F8</f>
        <v>32121</v>
      </c>
      <c r="E21" s="285">
        <f>(C21-D21)/ABS(D21)</f>
        <v>-8.0383549702686713E-2</v>
      </c>
      <c r="F21" s="360">
        <v>38735</v>
      </c>
      <c r="G21" s="360">
        <v>30897</v>
      </c>
      <c r="H21" s="360">
        <v>30062</v>
      </c>
      <c r="I21" s="360">
        <v>103715</v>
      </c>
      <c r="J21" s="3"/>
      <c r="K21" s="171"/>
      <c r="L21" s="171"/>
    </row>
    <row r="22" spans="1:12" ht="12.75" customHeight="1" x14ac:dyDescent="0.2">
      <c r="A22" s="247" t="s">
        <v>118</v>
      </c>
      <c r="B22" s="127">
        <f>Data!G2/1000000</f>
        <v>1956.6090589999999</v>
      </c>
      <c r="C22" s="127">
        <f>Data!G5/1000000</f>
        <v>7315.2228180000002</v>
      </c>
      <c r="D22" s="248">
        <f>Data!G8/1000000</f>
        <v>5856.4001420000004</v>
      </c>
      <c r="E22" s="285">
        <f t="shared" ref="E22:E23" si="1">(C22-D22)/ABS(D22)</f>
        <v>0.24909887313502488</v>
      </c>
      <c r="F22" s="360">
        <v>6935</v>
      </c>
      <c r="G22" s="360">
        <v>7273</v>
      </c>
      <c r="H22" s="360">
        <v>6833</v>
      </c>
      <c r="I22" s="360">
        <v>10908</v>
      </c>
      <c r="J22" s="3"/>
      <c r="K22" s="171"/>
      <c r="L22" s="171"/>
    </row>
    <row r="23" spans="1:12" ht="12.75" customHeight="1" thickBot="1" x14ac:dyDescent="0.25">
      <c r="A23" s="288" t="s">
        <v>119</v>
      </c>
      <c r="B23" s="128">
        <f>Data!H2/1000000</f>
        <v>55282.43222026476</v>
      </c>
      <c r="C23" s="128">
        <f>Data!H5/1000000</f>
        <v>324328.82301754644</v>
      </c>
      <c r="D23" s="289">
        <f>Data!H8/1000000</f>
        <v>331402.18310348567</v>
      </c>
      <c r="E23" s="290">
        <f t="shared" si="1"/>
        <v>-2.1343734129024915E-2</v>
      </c>
      <c r="F23" s="291">
        <v>379199</v>
      </c>
      <c r="G23" s="291">
        <v>336258</v>
      </c>
      <c r="H23" s="291">
        <v>294652</v>
      </c>
      <c r="I23" s="291">
        <v>648244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0"/>
      <c r="B26" s="279" t="s">
        <v>1</v>
      </c>
      <c r="C26" s="279" t="s">
        <v>179</v>
      </c>
      <c r="D26" s="279" t="s">
        <v>179</v>
      </c>
      <c r="E26" s="279" t="s">
        <v>8</v>
      </c>
      <c r="F26" s="279"/>
      <c r="G26" s="292"/>
      <c r="H26" s="280"/>
      <c r="I26" s="280"/>
      <c r="K26" s="172"/>
      <c r="L26" s="172"/>
    </row>
    <row r="27" spans="1:12" s="107" customFormat="1" ht="12.75" customHeight="1" x14ac:dyDescent="0.25">
      <c r="A27" s="293"/>
      <c r="B27" s="279" t="s">
        <v>3</v>
      </c>
      <c r="C27" s="279" t="s">
        <v>4</v>
      </c>
      <c r="D27" s="279" t="s">
        <v>4</v>
      </c>
      <c r="E27" s="279" t="s">
        <v>9</v>
      </c>
      <c r="F27" s="279"/>
      <c r="G27" s="279"/>
      <c r="H27" s="279"/>
      <c r="I27" s="280"/>
      <c r="K27" s="172"/>
      <c r="L27" s="172"/>
    </row>
    <row r="28" spans="1:12" s="107" customFormat="1" ht="12.75" customHeight="1" thickBot="1" x14ac:dyDescent="0.3">
      <c r="A28" s="294"/>
      <c r="B28" s="281" t="str">
        <f>TEXT($H$3,"MMM")&amp;" "&amp;TEXT($H$3,"YYYY")</f>
        <v>Oct 2017</v>
      </c>
      <c r="C28" s="281" t="str">
        <f>$C$15</f>
        <v>2017</v>
      </c>
      <c r="D28" s="281">
        <f>$D$15</f>
        <v>2016</v>
      </c>
      <c r="E28" s="283" t="s">
        <v>6</v>
      </c>
      <c r="F28" s="283">
        <f>$F$15</f>
        <v>2016</v>
      </c>
      <c r="G28" s="294">
        <f>$G$15</f>
        <v>2015</v>
      </c>
      <c r="H28" s="294">
        <f>$H$15</f>
        <v>2014</v>
      </c>
      <c r="I28" s="294">
        <f>$I$15</f>
        <v>2013</v>
      </c>
      <c r="K28" s="172"/>
      <c r="L28" s="172"/>
    </row>
    <row r="29" spans="1:12" ht="12.75" customHeight="1" x14ac:dyDescent="0.2">
      <c r="A29" s="247" t="s">
        <v>10</v>
      </c>
      <c r="B29" s="248">
        <f>Data!O2/1000000</f>
        <v>89407.006125330008</v>
      </c>
      <c r="C29" s="248">
        <f>Data!O5/1000000</f>
        <v>755553.17217627005</v>
      </c>
      <c r="D29" s="248">
        <f>Data!O8/1000000</f>
        <v>874515.71238071995</v>
      </c>
      <c r="E29" s="195">
        <f>C29-D29</f>
        <v>-118962.54020444991</v>
      </c>
      <c r="F29" s="248">
        <v>1010947</v>
      </c>
      <c r="G29" s="248">
        <v>969468</v>
      </c>
      <c r="H29" s="295">
        <v>784579</v>
      </c>
      <c r="I29" s="295">
        <v>645668</v>
      </c>
      <c r="J29" s="129"/>
    </row>
    <row r="30" spans="1:12" ht="12.75" customHeight="1" x14ac:dyDescent="0.2">
      <c r="A30" s="247" t="s">
        <v>11</v>
      </c>
      <c r="B30" s="248">
        <f>Data!P2/1000000</f>
        <v>-80335.668531479998</v>
      </c>
      <c r="C30" s="248">
        <f>Data!P5/1000000</f>
        <v>-836329.14743625</v>
      </c>
      <c r="D30" s="248">
        <f>Data!P8/1000000</f>
        <v>-975432.35167208</v>
      </c>
      <c r="E30" s="195">
        <f>C30-D30</f>
        <v>139103.20423583</v>
      </c>
      <c r="F30" s="248">
        <v>-1134812</v>
      </c>
      <c r="G30" s="248">
        <v>-970485</v>
      </c>
      <c r="H30" s="295">
        <v>-771216</v>
      </c>
      <c r="I30" s="295">
        <v>-645833</v>
      </c>
      <c r="J30" s="129"/>
    </row>
    <row r="31" spans="1:12" s="107" customFormat="1" ht="12.75" customHeight="1" thickBot="1" x14ac:dyDescent="0.3">
      <c r="A31" s="296" t="s">
        <v>12</v>
      </c>
      <c r="B31" s="297">
        <f>Data!Q2/1000000</f>
        <v>9071.3375938500012</v>
      </c>
      <c r="C31" s="297">
        <f>Data!Q5/1000000</f>
        <v>-80775.975259979998</v>
      </c>
      <c r="D31" s="297">
        <f>Data!Q8/1000000</f>
        <v>-100916.63929136</v>
      </c>
      <c r="E31" s="298">
        <f>C31-D31</f>
        <v>20140.664031380002</v>
      </c>
      <c r="F31" s="297">
        <v>-123865</v>
      </c>
      <c r="G31" s="297">
        <v>-1017</v>
      </c>
      <c r="H31" s="297">
        <v>13363</v>
      </c>
      <c r="I31" s="297">
        <v>-165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299"/>
      <c r="B34" s="279" t="s">
        <v>1</v>
      </c>
      <c r="C34" s="279" t="s">
        <v>179</v>
      </c>
      <c r="D34" s="279" t="s">
        <v>179</v>
      </c>
      <c r="E34" s="300" t="s">
        <v>2</v>
      </c>
      <c r="F34" s="300"/>
      <c r="G34" s="292"/>
      <c r="H34" s="300"/>
      <c r="I34" s="299"/>
      <c r="K34" s="171"/>
      <c r="L34" s="172"/>
    </row>
    <row r="35" spans="1:14" s="107" customFormat="1" ht="12.75" customHeight="1" x14ac:dyDescent="0.25">
      <c r="A35" s="299"/>
      <c r="B35" s="279" t="s">
        <v>3</v>
      </c>
      <c r="C35" s="279" t="s">
        <v>4</v>
      </c>
      <c r="D35" s="279" t="s">
        <v>4</v>
      </c>
      <c r="E35" s="300" t="s">
        <v>5</v>
      </c>
      <c r="F35" s="279"/>
      <c r="G35" s="292"/>
      <c r="H35" s="300"/>
      <c r="I35" s="299"/>
      <c r="K35" s="171"/>
      <c r="L35" s="172"/>
    </row>
    <row r="36" spans="1:14" s="107" customFormat="1" ht="12.75" customHeight="1" thickBot="1" x14ac:dyDescent="0.3">
      <c r="A36" s="301"/>
      <c r="B36" s="281" t="str">
        <f>TEXT($H$3,"MMM")&amp;" "&amp;TEXT($H$3,"YYYY")</f>
        <v>Oct 2017</v>
      </c>
      <c r="C36" s="281" t="str">
        <f>$C$15</f>
        <v>2017</v>
      </c>
      <c r="D36" s="281">
        <f>$D$15</f>
        <v>2016</v>
      </c>
      <c r="E36" s="283" t="s">
        <v>6</v>
      </c>
      <c r="F36" s="283">
        <f>$F$15</f>
        <v>2016</v>
      </c>
      <c r="G36" s="294">
        <f>$G$15</f>
        <v>2015</v>
      </c>
      <c r="H36" s="294">
        <f>$H$15</f>
        <v>2014</v>
      </c>
      <c r="I36" s="294">
        <f>$I$15</f>
        <v>2013</v>
      </c>
      <c r="K36" s="173"/>
      <c r="L36" s="178"/>
    </row>
    <row r="37" spans="1:14" ht="12.75" customHeight="1" x14ac:dyDescent="0.25">
      <c r="A37" s="302" t="s">
        <v>150</v>
      </c>
      <c r="B37" s="303"/>
      <c r="C37" s="303"/>
      <c r="D37" s="303"/>
      <c r="E37" s="302"/>
      <c r="F37" s="302"/>
      <c r="G37" s="286"/>
      <c r="H37" s="302"/>
      <c r="I37" s="302"/>
      <c r="K37" s="171"/>
      <c r="M37" s="19"/>
      <c r="N37" s="19"/>
    </row>
    <row r="38" spans="1:14" ht="12.75" customHeight="1" x14ac:dyDescent="0.2">
      <c r="A38" s="304" t="s">
        <v>117</v>
      </c>
      <c r="B38" s="286">
        <f>Data!CK1</f>
        <v>32686</v>
      </c>
      <c r="C38" s="286">
        <f>Data!CK6</f>
        <v>244451</v>
      </c>
      <c r="D38" s="286">
        <f>Data!CK11</f>
        <v>243893</v>
      </c>
      <c r="E38" s="285">
        <f t="shared" ref="E38:E40" si="2">IFERROR(IF(OR(AND(D38="",C38=""),AND(D38=0,C38=0)),"",
IF(OR(D38="",D38=0),1,
IF(OR(D38&lt;&gt;"",D38&lt;&gt;0),(C38-D38)/ABS(D38)))),-1)</f>
        <v>2.2878885412865478E-3</v>
      </c>
      <c r="F38" s="360">
        <v>283127</v>
      </c>
      <c r="G38" s="360">
        <v>290607</v>
      </c>
      <c r="H38" s="360">
        <v>240900</v>
      </c>
      <c r="I38" s="360">
        <v>248016</v>
      </c>
      <c r="J38" s="29"/>
      <c r="K38" s="171"/>
      <c r="M38" s="19"/>
      <c r="N38" s="19"/>
    </row>
    <row r="39" spans="1:14" ht="12.75" customHeight="1" x14ac:dyDescent="0.2">
      <c r="A39" s="304" t="s">
        <v>151</v>
      </c>
      <c r="B39" s="286">
        <f>Data!CK2/1000000</f>
        <v>893139.42210800003</v>
      </c>
      <c r="C39" s="286">
        <f>Data!CK7/1000000</f>
        <v>6462274.0270649996</v>
      </c>
      <c r="D39" s="286">
        <f>Data!CK12/1000000</f>
        <v>6317168.4899460003</v>
      </c>
      <c r="E39" s="285">
        <f t="shared" si="2"/>
        <v>2.2970028003834304E-2</v>
      </c>
      <c r="F39" s="360">
        <v>7321629</v>
      </c>
      <c r="G39" s="360">
        <v>6653964</v>
      </c>
      <c r="H39" s="360">
        <v>5413031</v>
      </c>
      <c r="I39" s="360">
        <v>5515590</v>
      </c>
      <c r="J39" s="27"/>
      <c r="K39" s="171"/>
    </row>
    <row r="40" spans="1:14" ht="12.75" customHeight="1" x14ac:dyDescent="0.2">
      <c r="A40" s="304" t="s">
        <v>152</v>
      </c>
      <c r="B40" s="286">
        <f>Data!CK3/1000000</f>
        <v>915548.69183191087</v>
      </c>
      <c r="C40" s="286">
        <f>Data!CK8/1000000</f>
        <v>6774448.2392977849</v>
      </c>
      <c r="D40" s="286">
        <f>Data!CK13/1000000</f>
        <v>6516550.8698785743</v>
      </c>
      <c r="E40" s="285">
        <f t="shared" si="2"/>
        <v>3.9575747135081614E-2</v>
      </c>
      <c r="F40" s="360">
        <v>7580050</v>
      </c>
      <c r="G40" s="360">
        <v>7166248</v>
      </c>
      <c r="H40" s="360">
        <v>5777503</v>
      </c>
      <c r="I40" s="360">
        <v>6140455</v>
      </c>
      <c r="J40" s="29"/>
      <c r="L40" s="176"/>
    </row>
    <row r="41" spans="1:14" ht="12.75" customHeight="1" x14ac:dyDescent="0.2">
      <c r="A41" s="304"/>
      <c r="B41" s="248"/>
      <c r="C41" s="305"/>
      <c r="D41" s="305"/>
      <c r="E41" s="184"/>
      <c r="F41" s="360"/>
      <c r="G41" s="360"/>
      <c r="H41" s="360"/>
      <c r="I41" s="305"/>
      <c r="M41" s="19"/>
      <c r="N41" s="19"/>
    </row>
    <row r="42" spans="1:14" s="107" customFormat="1" ht="12.75" customHeight="1" x14ac:dyDescent="0.25">
      <c r="A42" s="302" t="s">
        <v>153</v>
      </c>
      <c r="B42" s="286"/>
      <c r="C42" s="286"/>
      <c r="D42" s="286"/>
      <c r="E42" s="184"/>
      <c r="F42" s="360"/>
      <c r="G42" s="360"/>
      <c r="H42" s="306"/>
      <c r="I42" s="306"/>
      <c r="K42" s="172"/>
      <c r="L42" s="172"/>
      <c r="M42" s="16"/>
      <c r="N42" s="16"/>
    </row>
    <row r="43" spans="1:14" ht="12.75" customHeight="1" x14ac:dyDescent="0.2">
      <c r="A43" s="304" t="s">
        <v>117</v>
      </c>
      <c r="B43" s="286">
        <f>Data!CN1</f>
        <v>16334</v>
      </c>
      <c r="C43" s="286">
        <f>Data!CN6</f>
        <v>133218</v>
      </c>
      <c r="D43" s="286">
        <f>Data!CN11</f>
        <v>147208</v>
      </c>
      <c r="E43" s="285">
        <f t="shared" ref="E43:E45" si="3">IFERROR(IF(OR(AND(D43="",C43=""),AND(D43=0,C43=0)),"",
IF(OR(D43="",D43=0),1,
IF(OR(D43&lt;&gt;"",D43&lt;&gt;0),(C43-D43)/ABS(D43)))),-1)</f>
        <v>-9.503559589152763E-2</v>
      </c>
      <c r="F43" s="360">
        <v>170507</v>
      </c>
      <c r="G43" s="360">
        <v>157998</v>
      </c>
      <c r="H43" s="360">
        <v>137284</v>
      </c>
      <c r="I43" s="360">
        <v>146100</v>
      </c>
      <c r="J43" s="27"/>
      <c r="L43" s="172"/>
      <c r="M43" s="19"/>
      <c r="N43" s="19"/>
    </row>
    <row r="44" spans="1:14" ht="12.75" customHeight="1" x14ac:dyDescent="0.2">
      <c r="A44" s="304" t="s">
        <v>154</v>
      </c>
      <c r="B44" s="286">
        <f>Data!CN2/1000000</f>
        <v>2031824.067944</v>
      </c>
      <c r="C44" s="286">
        <f>Data!CN7/1000000</f>
        <v>16335566.661756</v>
      </c>
      <c r="D44" s="286">
        <f>Data!CN12/1000000</f>
        <v>17236045.109560002</v>
      </c>
      <c r="E44" s="285">
        <f t="shared" si="3"/>
        <v>-5.2243913385011401E-2</v>
      </c>
      <c r="F44" s="360">
        <v>19586029</v>
      </c>
      <c r="G44" s="360">
        <v>15650220</v>
      </c>
      <c r="H44" s="360">
        <v>12475495</v>
      </c>
      <c r="I44" s="360">
        <v>13616880</v>
      </c>
      <c r="J44" s="29"/>
      <c r="L44" s="172"/>
    </row>
    <row r="45" spans="1:14" ht="12.75" customHeight="1" x14ac:dyDescent="0.2">
      <c r="A45" s="304" t="s">
        <v>152</v>
      </c>
      <c r="B45" s="286">
        <f>Data!CN3/1000000</f>
        <v>1963477.8336486781</v>
      </c>
      <c r="C45" s="286">
        <f>Data!CN8/1000000</f>
        <v>15923012.763873646</v>
      </c>
      <c r="D45" s="286">
        <f>Data!CN13/1000000</f>
        <v>16820531.376379494</v>
      </c>
      <c r="E45" s="285">
        <f t="shared" si="3"/>
        <v>-5.3358517184909082E-2</v>
      </c>
      <c r="F45" s="360">
        <v>19133372</v>
      </c>
      <c r="G45" s="360">
        <v>16112281</v>
      </c>
      <c r="H45" s="360">
        <v>12958219</v>
      </c>
      <c r="I45" s="360">
        <v>14624272</v>
      </c>
      <c r="J45" s="29"/>
      <c r="L45" s="172"/>
    </row>
    <row r="46" spans="1:14" ht="12.75" customHeight="1" x14ac:dyDescent="0.2">
      <c r="A46" s="304"/>
      <c r="B46" s="248"/>
      <c r="C46" s="305"/>
      <c r="D46" s="305"/>
      <c r="E46" s="184"/>
      <c r="F46" s="360"/>
      <c r="G46" s="360"/>
      <c r="H46" s="360"/>
      <c r="I46" s="360"/>
      <c r="L46" s="172"/>
    </row>
    <row r="47" spans="1:14" ht="12.75" customHeight="1" x14ac:dyDescent="0.25">
      <c r="A47" s="307" t="s">
        <v>160</v>
      </c>
      <c r="B47" s="248"/>
      <c r="C47" s="305"/>
      <c r="D47" s="305"/>
      <c r="E47" s="184"/>
      <c r="F47" s="360"/>
      <c r="G47" s="360"/>
      <c r="H47" s="360"/>
      <c r="I47" s="360"/>
      <c r="J47" s="27"/>
      <c r="L47" s="172"/>
    </row>
    <row r="48" spans="1:14" s="107" customFormat="1" ht="12.75" customHeight="1" x14ac:dyDescent="0.2">
      <c r="A48" s="304" t="s">
        <v>117</v>
      </c>
      <c r="B48" s="127">
        <f>Data!CQ1</f>
        <v>1594</v>
      </c>
      <c r="C48" s="127">
        <f>Data!CQ6</f>
        <v>7376</v>
      </c>
      <c r="D48" s="248">
        <f>Data!CQ11</f>
        <v>6128</v>
      </c>
      <c r="E48" s="285">
        <f t="shared" ref="E48:E50" si="4">IFERROR(IF(OR(AND(D48="",C48=""),AND(D48=0,C48=0)),"",
IF(OR(D48="",D48=0),1,
IF(OR(D48&lt;&gt;"",D48&lt;&gt;0),(C48-D48)/ABS(D48)))),-1)</f>
        <v>0.20365535248041775</v>
      </c>
      <c r="F48" s="360">
        <v>7665</v>
      </c>
      <c r="G48" s="360">
        <v>5572</v>
      </c>
      <c r="H48" s="360">
        <v>7734</v>
      </c>
      <c r="I48" s="360">
        <v>7506</v>
      </c>
      <c r="J48" s="27"/>
      <c r="K48" s="172"/>
      <c r="L48" s="176"/>
    </row>
    <row r="49" spans="1:12" s="107" customFormat="1" ht="12.75" customHeight="1" x14ac:dyDescent="0.2">
      <c r="A49" s="304" t="s">
        <v>154</v>
      </c>
      <c r="B49" s="127">
        <f>Data!CQ2/1000000</f>
        <v>182342.29939299999</v>
      </c>
      <c r="C49" s="127">
        <f>Data!CQ7/1000000</f>
        <v>599703.32620300003</v>
      </c>
      <c r="D49" s="248">
        <f>Data!CQ12/1000000</f>
        <v>629382.82504100003</v>
      </c>
      <c r="E49" s="285">
        <f t="shared" si="4"/>
        <v>-4.7156512153102653E-2</v>
      </c>
      <c r="F49" s="360">
        <v>747909</v>
      </c>
      <c r="G49" s="360">
        <v>434632</v>
      </c>
      <c r="H49" s="360">
        <v>895388</v>
      </c>
      <c r="I49" s="360">
        <v>357990</v>
      </c>
      <c r="J49" s="32"/>
      <c r="K49" s="172"/>
      <c r="L49" s="176"/>
    </row>
    <row r="50" spans="1:12" s="107" customFormat="1" ht="12.75" customHeight="1" thickBot="1" x14ac:dyDescent="0.25">
      <c r="A50" s="308" t="s">
        <v>152</v>
      </c>
      <c r="B50" s="128">
        <f>Data!CQ3/1000000</f>
        <v>113106.82679684002</v>
      </c>
      <c r="C50" s="128">
        <f>Data!CQ8/1000000</f>
        <v>260548.42555931996</v>
      </c>
      <c r="D50" s="289">
        <f>Data!CQ13/1000000</f>
        <v>320779.01691017993</v>
      </c>
      <c r="E50" s="290">
        <f t="shared" si="4"/>
        <v>-0.18776350127578606</v>
      </c>
      <c r="F50" s="291">
        <v>370548</v>
      </c>
      <c r="G50" s="291">
        <v>240709</v>
      </c>
      <c r="H50" s="291">
        <v>803782</v>
      </c>
      <c r="I50" s="291">
        <v>323288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299"/>
      <c r="B54" s="279" t="s">
        <v>1</v>
      </c>
      <c r="C54" s="279" t="s">
        <v>179</v>
      </c>
      <c r="D54" s="279" t="s">
        <v>179</v>
      </c>
      <c r="E54" s="300" t="s">
        <v>8</v>
      </c>
      <c r="F54" s="309"/>
      <c r="G54" s="292"/>
      <c r="H54" s="299"/>
      <c r="I54" s="299"/>
      <c r="J54" s="30"/>
    </row>
    <row r="55" spans="1:12" ht="12.75" customHeight="1" x14ac:dyDescent="0.25">
      <c r="A55" s="299"/>
      <c r="B55" s="279" t="s">
        <v>3</v>
      </c>
      <c r="C55" s="279" t="s">
        <v>4</v>
      </c>
      <c r="D55" s="279" t="s">
        <v>4</v>
      </c>
      <c r="E55" s="300" t="s">
        <v>9</v>
      </c>
      <c r="F55" s="309"/>
      <c r="G55" s="292"/>
      <c r="H55" s="299"/>
      <c r="I55" s="299"/>
      <c r="J55" s="30"/>
    </row>
    <row r="56" spans="1:12" ht="12.75" customHeight="1" thickBot="1" x14ac:dyDescent="0.3">
      <c r="A56" s="301"/>
      <c r="B56" s="281" t="str">
        <f>TEXT($H$3,"MMM")&amp;" "&amp;TEXT($H$3,"YYYY")</f>
        <v>Oct 2017</v>
      </c>
      <c r="C56" s="281" t="str">
        <f>$C$15</f>
        <v>2017</v>
      </c>
      <c r="D56" s="281">
        <f>$D$15</f>
        <v>2016</v>
      </c>
      <c r="E56" s="283" t="s">
        <v>6</v>
      </c>
      <c r="F56" s="283">
        <f>$F$15</f>
        <v>2016</v>
      </c>
      <c r="G56" s="294">
        <f>$G$15</f>
        <v>2015</v>
      </c>
      <c r="H56" s="294">
        <f>$H$15</f>
        <v>2014</v>
      </c>
      <c r="I56" s="294">
        <f>$I$15</f>
        <v>2013</v>
      </c>
      <c r="J56" s="107"/>
      <c r="L56" s="176"/>
    </row>
    <row r="57" spans="1:12" ht="12.75" customHeight="1" x14ac:dyDescent="0.2">
      <c r="A57" s="304" t="s">
        <v>157</v>
      </c>
      <c r="B57" s="286">
        <f>(SUMIFS(Data!$CZ$14:$CZ$25,Data!$CU$14:$CU$25,"Standard Trade")+SUMIFS(Data!$CZ$14:$CZ$25,Data!$CU$14:$CU$25,"Standard Trade (Spot)"))/1000000</f>
        <v>106681.633673</v>
      </c>
      <c r="C57" s="286">
        <f>(SUMIFS(Data!$CZ$1:$CZ$12,Data!$CU$1:$CU$12,"Standard Trade")+SUMIFS(Data!$CZ$1:$CZ$12,Data!$CU$1:$CU$12,"Standard Trade (Spot)"))/1000000</f>
        <v>865370.57391100004</v>
      </c>
      <c r="D57" s="286">
        <f>(SUMIFS(Data!$CZ$27:$CZ$38,Data!$CU$27:$CU$38,"Standard Trade")+SUMIFS(Data!$CZ$27:$CZ$38,Data!$CU$27:$CU$38,"Standard Trade (Spot)"))/1000000</f>
        <v>839426.96449499996</v>
      </c>
      <c r="E57" s="195">
        <f>C57-D57</f>
        <v>25943.609416000079</v>
      </c>
      <c r="F57" s="360">
        <v>954436</v>
      </c>
      <c r="G57" s="360">
        <v>821507</v>
      </c>
      <c r="H57" s="305">
        <v>774058</v>
      </c>
      <c r="I57" s="305">
        <v>779778</v>
      </c>
      <c r="J57" s="27"/>
      <c r="L57" s="176"/>
    </row>
    <row r="58" spans="1:12" ht="12.75" customHeight="1" x14ac:dyDescent="0.2">
      <c r="A58" s="304" t="s">
        <v>158</v>
      </c>
      <c r="B58" s="286">
        <f>(SUMIFS(Data!$DC$14:$DC$25,Data!$CU$14:$CU$25,"Standard Trade")+SUMIFS(Data!$DC$14:$DC$25,Data!$CU$14:$CU$25,"Standard Trade (Spot)"))/1000000</f>
        <v>115954.15704400001</v>
      </c>
      <c r="C58" s="286">
        <f>(SUMIFS(Data!$DC$1:$DC$12,Data!$CU$1:$CU$12,"Standard Trade")+SUMIFS(Data!$DC$1:$DC$12,Data!$CU$1:$CU$12,"Standard Trade (Spot)"))/1000000</f>
        <v>802335.474697</v>
      </c>
      <c r="D58" s="286">
        <f>(SUMIFS(Data!$DC$27:$DC$38,Data!$CU$27:$CU$38,"Standard Trade")+SUMIFS(Data!$DC$27:$DC$38,Data!$CU$27:$CU$38,"Standard Trade (Spot)"))/1000000</f>
        <v>785095.98676100001</v>
      </c>
      <c r="E58" s="195">
        <f>C58-D58</f>
        <v>17239.48793599999</v>
      </c>
      <c r="F58" s="360">
        <v>922129</v>
      </c>
      <c r="G58" s="360">
        <v>820729</v>
      </c>
      <c r="H58" s="305">
        <v>771223</v>
      </c>
      <c r="I58" s="305">
        <v>747292</v>
      </c>
      <c r="J58" s="27"/>
      <c r="L58" s="176"/>
    </row>
    <row r="59" spans="1:12" ht="12.75" customHeight="1" thickBot="1" x14ac:dyDescent="0.3">
      <c r="A59" s="310" t="s">
        <v>12</v>
      </c>
      <c r="B59" s="297">
        <f>B57-B58</f>
        <v>-9272.523371000003</v>
      </c>
      <c r="C59" s="297">
        <f t="shared" ref="C59" si="5">C57-C58</f>
        <v>63035.099214000045</v>
      </c>
      <c r="D59" s="297">
        <f>D57-D58</f>
        <v>54330.977733999956</v>
      </c>
      <c r="E59" s="297">
        <f>E57-E58</f>
        <v>8704.1214800000889</v>
      </c>
      <c r="F59" s="297">
        <v>32307</v>
      </c>
      <c r="G59" s="297">
        <v>778</v>
      </c>
      <c r="H59" s="297">
        <v>2835</v>
      </c>
      <c r="I59" s="297">
        <v>32486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299"/>
      <c r="B63" s="279" t="s">
        <v>1</v>
      </c>
      <c r="C63" s="279" t="s">
        <v>179</v>
      </c>
      <c r="D63" s="279" t="s">
        <v>179</v>
      </c>
      <c r="E63" s="300" t="s">
        <v>13</v>
      </c>
      <c r="F63" s="309"/>
      <c r="G63" s="292"/>
      <c r="H63" s="299"/>
      <c r="I63" s="299"/>
    </row>
    <row r="64" spans="1:12" ht="15" x14ac:dyDescent="0.25">
      <c r="A64" s="299"/>
      <c r="B64" s="279" t="s">
        <v>3</v>
      </c>
      <c r="C64" s="279" t="s">
        <v>4</v>
      </c>
      <c r="D64" s="279" t="s">
        <v>4</v>
      </c>
      <c r="E64" s="300" t="s">
        <v>9</v>
      </c>
      <c r="F64" s="309"/>
      <c r="G64" s="292"/>
      <c r="H64" s="299"/>
      <c r="I64" s="299"/>
    </row>
    <row r="65" spans="1:12" ht="15.75" thickBot="1" x14ac:dyDescent="0.3">
      <c r="A65" s="301"/>
      <c r="B65" s="281" t="str">
        <f>TEXT($H$3,"MMM")&amp;" "&amp;TEXT($H$3,"YYYY")</f>
        <v>Oct 2017</v>
      </c>
      <c r="C65" s="281">
        <v>2016</v>
      </c>
      <c r="D65" s="281">
        <v>2015</v>
      </c>
      <c r="E65" s="283" t="s">
        <v>6</v>
      </c>
      <c r="F65" s="283">
        <f>$F$15</f>
        <v>2016</v>
      </c>
      <c r="G65" s="294">
        <f>$G$15</f>
        <v>2015</v>
      </c>
      <c r="H65" s="294">
        <f>$H$15</f>
        <v>2014</v>
      </c>
      <c r="I65" s="294">
        <f>$I$15</f>
        <v>2013</v>
      </c>
      <c r="J65" s="24"/>
    </row>
    <row r="66" spans="1:12" ht="15" x14ac:dyDescent="0.25">
      <c r="A66" s="287" t="s">
        <v>14</v>
      </c>
      <c r="B66" s="247"/>
      <c r="C66" s="247"/>
      <c r="D66" s="247"/>
      <c r="E66" s="247"/>
      <c r="F66" s="247"/>
      <c r="G66" s="247"/>
      <c r="H66" s="247"/>
      <c r="I66" s="247"/>
      <c r="J66" s="62"/>
    </row>
    <row r="67" spans="1:12" ht="14.25" x14ac:dyDescent="0.2">
      <c r="A67" s="247" t="s">
        <v>117</v>
      </c>
      <c r="B67" s="127">
        <f>C361</f>
        <v>239624</v>
      </c>
      <c r="C67" s="248">
        <f>Data!BR2</f>
        <v>2687832</v>
      </c>
      <c r="D67" s="248">
        <f>Data!BR8</f>
        <v>3038428</v>
      </c>
      <c r="E67" s="285">
        <f>IFERROR(IF(OR(AND(D67="",C67=""),AND(D67=0,C67=0)),"",
IF(OR(D67="",D67=0),1,
IF(OR(D67&lt;&gt;"",D67&lt;&gt;0),(C67-D67)/ABS(D67)))),-1)</f>
        <v>-0.1153872989585404</v>
      </c>
      <c r="F67" s="360">
        <v>3591024</v>
      </c>
      <c r="G67" s="360">
        <v>3526147</v>
      </c>
      <c r="H67" s="360">
        <v>3167060</v>
      </c>
      <c r="I67" s="312">
        <v>2682897</v>
      </c>
      <c r="J67" s="158"/>
    </row>
    <row r="68" spans="1:12" ht="14.25" x14ac:dyDescent="0.2">
      <c r="A68" s="247" t="s">
        <v>142</v>
      </c>
      <c r="B68" s="127">
        <f>C379/1000</f>
        <v>5133.8649999999998</v>
      </c>
      <c r="C68" s="248">
        <f>Data!BQ2</f>
        <v>243724756</v>
      </c>
      <c r="D68" s="248">
        <f>Data!BQ8</f>
        <v>319836454</v>
      </c>
      <c r="E68" s="285">
        <f t="shared" ref="E68:E70" si="6">IFERROR(IF(OR(AND(D68="",C68=""),AND(D68=0,C68=0)),"",
IF(OR(D68="",D68=0),1,
IF(OR(D68&lt;&gt;"",D68&lt;&gt;0),(C68-D68)/ABS(D68)))),-1)</f>
        <v>-0.2379706786018832</v>
      </c>
      <c r="F68" s="360">
        <v>412077</v>
      </c>
      <c r="G68" s="360">
        <v>432277</v>
      </c>
      <c r="H68" s="360">
        <v>210421</v>
      </c>
      <c r="I68" s="360">
        <v>161800</v>
      </c>
      <c r="J68" s="158"/>
    </row>
    <row r="69" spans="1:12" ht="14.25" x14ac:dyDescent="0.2">
      <c r="A69" s="247" t="s">
        <v>143</v>
      </c>
      <c r="B69" s="127">
        <f>C397/1000000</f>
        <v>347.96553872501488</v>
      </c>
      <c r="C69" s="248">
        <f>Data!BP2/1000000000</f>
        <v>4927.6397421993624</v>
      </c>
      <c r="D69" s="248">
        <f>Data!BP8/1000000000</f>
        <v>5616.2118498479249</v>
      </c>
      <c r="E69" s="285">
        <f t="shared" si="6"/>
        <v>-0.12260436857758625</v>
      </c>
      <c r="F69" s="360">
        <v>6894</v>
      </c>
      <c r="G69" s="360">
        <v>6619</v>
      </c>
      <c r="H69" s="360">
        <v>5958</v>
      </c>
      <c r="I69" s="360">
        <v>5029</v>
      </c>
      <c r="J69" s="158"/>
    </row>
    <row r="70" spans="1:12" ht="14.25" x14ac:dyDescent="0.2">
      <c r="A70" s="247" t="s">
        <v>144</v>
      </c>
      <c r="B70" s="127">
        <f>SUM(C408:C414)</f>
        <v>27451365</v>
      </c>
      <c r="C70" s="248">
        <f>B70</f>
        <v>27451365</v>
      </c>
      <c r="D70" s="248">
        <f>Data!BP14</f>
        <v>42202532</v>
      </c>
      <c r="E70" s="285">
        <f t="shared" si="6"/>
        <v>-0.34953274841424209</v>
      </c>
      <c r="F70" s="360">
        <v>40320362</v>
      </c>
      <c r="G70" s="360">
        <v>60646619</v>
      </c>
      <c r="H70" s="360">
        <v>22036181</v>
      </c>
      <c r="I70" s="360">
        <v>13839186</v>
      </c>
      <c r="J70" s="158"/>
    </row>
    <row r="71" spans="1:12" ht="14.25" x14ac:dyDescent="0.2">
      <c r="A71" s="247"/>
      <c r="B71" s="248"/>
      <c r="C71" s="248"/>
      <c r="D71" s="248"/>
      <c r="E71" s="247"/>
      <c r="F71" s="360"/>
      <c r="G71" s="360"/>
      <c r="H71" s="360"/>
      <c r="I71" s="360"/>
      <c r="J71" s="158"/>
    </row>
    <row r="72" spans="1:12" ht="15" x14ac:dyDescent="0.25">
      <c r="A72" s="287" t="s">
        <v>15</v>
      </c>
      <c r="B72" s="248"/>
      <c r="C72" s="249"/>
      <c r="D72" s="249"/>
      <c r="E72" s="287"/>
      <c r="F72" s="361"/>
      <c r="G72" s="360"/>
      <c r="H72" s="360"/>
      <c r="I72" s="360"/>
      <c r="J72" s="160"/>
    </row>
    <row r="73" spans="1:12" ht="14.25" x14ac:dyDescent="0.2">
      <c r="A73" s="247" t="s">
        <v>117</v>
      </c>
      <c r="B73" s="248">
        <f>C368</f>
        <v>1309</v>
      </c>
      <c r="C73" s="248">
        <f>Data!BR5</f>
        <v>21138</v>
      </c>
      <c r="D73" s="248">
        <f>Data!BR11</f>
        <v>17452</v>
      </c>
      <c r="E73" s="285">
        <f t="shared" ref="E73:E76" si="7">IFERROR(IF(OR(AND(D73="",C73=""),AND(D73=0,C73=0)),"",
IF(OR(D73="",D73=0),1,
IF(OR(D73&lt;&gt;"",D73&lt;&gt;0),(C73-D73)/ABS(D73)))),-1)</f>
        <v>0.21120788448315378</v>
      </c>
      <c r="F73" s="360">
        <v>22261</v>
      </c>
      <c r="G73" s="360">
        <v>19921</v>
      </c>
      <c r="H73" s="360">
        <v>20811</v>
      </c>
      <c r="I73" s="360">
        <v>22726</v>
      </c>
      <c r="J73" s="158"/>
      <c r="K73" s="177"/>
      <c r="L73" s="177"/>
    </row>
    <row r="74" spans="1:12" ht="14.25" x14ac:dyDescent="0.2">
      <c r="A74" s="247" t="s">
        <v>142</v>
      </c>
      <c r="B74" s="248">
        <f>C386/1000</f>
        <v>1102.9090000000001</v>
      </c>
      <c r="C74" s="248">
        <f>Data!BQ5/1000</f>
        <v>15686.879000000001</v>
      </c>
      <c r="D74" s="248">
        <f>Data!BQ11/1000</f>
        <v>12974.721</v>
      </c>
      <c r="E74" s="285">
        <f t="shared" si="7"/>
        <v>0.20903401313985875</v>
      </c>
      <c r="F74" s="360">
        <v>15373</v>
      </c>
      <c r="G74" s="360">
        <v>15764</v>
      </c>
      <c r="H74" s="360">
        <v>41957</v>
      </c>
      <c r="I74" s="360">
        <v>55672</v>
      </c>
      <c r="J74" s="158"/>
      <c r="K74" s="177"/>
      <c r="L74" s="177"/>
    </row>
    <row r="75" spans="1:12" ht="14.25" x14ac:dyDescent="0.2">
      <c r="A75" s="247" t="s">
        <v>145</v>
      </c>
      <c r="B75" s="248">
        <f>C404/1000000</f>
        <v>4.7873181081599991</v>
      </c>
      <c r="C75" s="248">
        <f>Data!BP5/1000000000</f>
        <v>35.194018389500002</v>
      </c>
      <c r="D75" s="248">
        <f>Data!BP11/1000000000</f>
        <v>36.671896195529996</v>
      </c>
      <c r="E75" s="285">
        <f t="shared" si="7"/>
        <v>-4.0300010617125806E-2</v>
      </c>
      <c r="F75" s="360">
        <v>47</v>
      </c>
      <c r="G75" s="360">
        <v>28</v>
      </c>
      <c r="H75" s="360">
        <v>24</v>
      </c>
      <c r="I75" s="360">
        <v>33</v>
      </c>
      <c r="J75" s="158"/>
      <c r="K75" s="177"/>
    </row>
    <row r="76" spans="1:12" ht="14.25" x14ac:dyDescent="0.2">
      <c r="A76" s="247" t="s">
        <v>144</v>
      </c>
      <c r="B76" s="248">
        <f>SUM(C417:C420)</f>
        <v>3468791</v>
      </c>
      <c r="C76" s="248">
        <f>B76</f>
        <v>3468791</v>
      </c>
      <c r="D76" s="248">
        <f>Data!BP17</f>
        <v>3273145</v>
      </c>
      <c r="E76" s="285">
        <f t="shared" si="7"/>
        <v>5.977309285106526E-2</v>
      </c>
      <c r="F76" s="360">
        <v>2300487</v>
      </c>
      <c r="G76" s="360">
        <v>1541161</v>
      </c>
      <c r="H76" s="360">
        <v>2094483</v>
      </c>
      <c r="I76" s="360">
        <v>2072619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Oct 2017</v>
      </c>
      <c r="B94" s="229"/>
      <c r="C94" s="229"/>
      <c r="D94" s="229"/>
      <c r="E94" s="246"/>
      <c r="F94" s="125"/>
      <c r="G94" s="125"/>
      <c r="H94" s="125"/>
      <c r="I94" s="229"/>
    </row>
    <row r="95" spans="1:9" ht="12.75" customHeight="1" x14ac:dyDescent="0.2">
      <c r="A95" s="245"/>
      <c r="B95" s="229"/>
      <c r="C95" s="229"/>
      <c r="D95" s="229"/>
      <c r="E95" s="246"/>
      <c r="F95" s="371" t="s">
        <v>199</v>
      </c>
      <c r="G95" s="371"/>
      <c r="H95" s="371"/>
      <c r="I95" s="229"/>
    </row>
    <row r="96" spans="1:9" x14ac:dyDescent="0.2">
      <c r="A96" s="246"/>
      <c r="B96" s="159"/>
      <c r="C96" s="246"/>
      <c r="D96" s="246"/>
      <c r="E96" s="246"/>
      <c r="F96" s="371"/>
      <c r="G96" s="371"/>
      <c r="H96" s="371"/>
      <c r="I96" s="246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299"/>
      <c r="B99" s="279" t="s">
        <v>1</v>
      </c>
      <c r="C99" s="279" t="s">
        <v>179</v>
      </c>
      <c r="D99" s="279" t="s">
        <v>179</v>
      </c>
      <c r="E99" s="300" t="s">
        <v>13</v>
      </c>
      <c r="F99" s="309"/>
      <c r="G99" s="292"/>
      <c r="H99" s="299"/>
      <c r="I99" s="299"/>
    </row>
    <row r="100" spans="1:9" ht="15" x14ac:dyDescent="0.25">
      <c r="A100" s="299"/>
      <c r="B100" s="279" t="s">
        <v>3</v>
      </c>
      <c r="C100" s="279" t="s">
        <v>4</v>
      </c>
      <c r="D100" s="279" t="s">
        <v>4</v>
      </c>
      <c r="E100" s="300" t="s">
        <v>9</v>
      </c>
      <c r="F100" s="309"/>
      <c r="G100" s="292"/>
      <c r="H100" s="299"/>
      <c r="I100" s="299"/>
    </row>
    <row r="101" spans="1:9" ht="15.75" thickBot="1" x14ac:dyDescent="0.3">
      <c r="A101" s="301"/>
      <c r="B101" s="281" t="str">
        <f>TEXT($H$3,"MMM")&amp;" "&amp;TEXT($H$3,"YYYY")</f>
        <v>Oct 2017</v>
      </c>
      <c r="C101" s="281" t="str">
        <f>TEXT($H$3,"YYYY")</f>
        <v>2017</v>
      </c>
      <c r="D101" s="282">
        <f>TEXT($H$3,"YYYY")-1</f>
        <v>2016</v>
      </c>
      <c r="E101" s="283" t="s">
        <v>6</v>
      </c>
      <c r="F101" s="283">
        <f>$F$15</f>
        <v>2016</v>
      </c>
      <c r="G101" s="294">
        <f>$G$15</f>
        <v>2015</v>
      </c>
      <c r="H101" s="294">
        <f>$H$15</f>
        <v>2014</v>
      </c>
      <c r="I101" s="294">
        <f>$I$15</f>
        <v>2013</v>
      </c>
    </row>
    <row r="102" spans="1:9" ht="15" x14ac:dyDescent="0.25">
      <c r="A102" s="287" t="s">
        <v>14</v>
      </c>
      <c r="B102" s="247"/>
      <c r="C102" s="247"/>
      <c r="D102" s="247"/>
      <c r="E102" s="247"/>
      <c r="F102" s="247"/>
      <c r="G102" s="247"/>
      <c r="H102" s="247"/>
      <c r="I102" s="247"/>
    </row>
    <row r="103" spans="1:9" ht="14.25" x14ac:dyDescent="0.2">
      <c r="A103" s="247" t="s">
        <v>117</v>
      </c>
      <c r="B103" s="127">
        <f>Data!BR20</f>
        <v>2158</v>
      </c>
      <c r="C103" s="248">
        <f>Data!BR32</f>
        <v>11234</v>
      </c>
      <c r="D103" s="248">
        <f>Data!BR38</f>
        <v>13611</v>
      </c>
      <c r="E103" s="285">
        <f t="shared" ref="E103:E106" si="8">IFERROR(IF(OR(AND(D103="",C103=""),AND(D103=0,C103=0)),"",
IF(OR(D103="",D103=0),1,
IF(OR(D103&lt;&gt;"",D103&lt;&gt;0),(C103-D103)/ABS(D103)))),-1)</f>
        <v>-0.17463816031151275</v>
      </c>
      <c r="F103" s="248">
        <v>14410</v>
      </c>
      <c r="G103" s="248">
        <v>9505</v>
      </c>
      <c r="H103" s="248">
        <v>10571</v>
      </c>
      <c r="I103" s="248">
        <v>6946</v>
      </c>
    </row>
    <row r="104" spans="1:9" ht="14.25" x14ac:dyDescent="0.2">
      <c r="A104" s="247" t="s">
        <v>146</v>
      </c>
      <c r="B104" s="127">
        <f>Data!BQ20</f>
        <v>1954024</v>
      </c>
      <c r="C104" s="248">
        <f>Data!BQ32</f>
        <v>10460225</v>
      </c>
      <c r="D104" s="248">
        <f>Data!BQ38</f>
        <v>8664340</v>
      </c>
      <c r="E104" s="285">
        <f t="shared" si="8"/>
        <v>0.20727314486735285</v>
      </c>
      <c r="F104" s="248">
        <v>9230179</v>
      </c>
      <c r="G104" s="248">
        <v>5344460</v>
      </c>
      <c r="H104" s="248">
        <v>4834077</v>
      </c>
      <c r="I104" s="248">
        <v>3419070</v>
      </c>
    </row>
    <row r="105" spans="1:9" ht="14.25" x14ac:dyDescent="0.2">
      <c r="A105" s="247" t="s">
        <v>119</v>
      </c>
      <c r="B105" s="127">
        <f>Data!BP20/1000000</f>
        <v>218542.25794710001</v>
      </c>
      <c r="C105" s="248">
        <f>Data!BP32/1000000</f>
        <v>1178537.2988871301</v>
      </c>
      <c r="D105" s="248">
        <f>Data!BP38/1000000</f>
        <v>1004956.0993406101</v>
      </c>
      <c r="E105" s="285">
        <f t="shared" si="8"/>
        <v>0.172725156512223</v>
      </c>
      <c r="F105" s="248">
        <v>1073119</v>
      </c>
      <c r="G105" s="248">
        <v>698663</v>
      </c>
      <c r="H105" s="248">
        <v>641235</v>
      </c>
      <c r="I105" s="248">
        <v>513920</v>
      </c>
    </row>
    <row r="106" spans="1:9" ht="14.25" x14ac:dyDescent="0.2">
      <c r="A106" s="247" t="s">
        <v>144</v>
      </c>
      <c r="B106" s="127">
        <f>Data!BP26</f>
        <v>1389636</v>
      </c>
      <c r="C106" s="248">
        <f>B106</f>
        <v>1389636</v>
      </c>
      <c r="D106" s="248">
        <f>Data!BP44</f>
        <v>1013167</v>
      </c>
      <c r="E106" s="285">
        <f t="shared" si="8"/>
        <v>0.37157645284538482</v>
      </c>
      <c r="F106" s="248">
        <v>802030</v>
      </c>
      <c r="G106" s="248">
        <v>621382</v>
      </c>
      <c r="H106" s="248">
        <v>418464</v>
      </c>
      <c r="I106" s="248">
        <v>332819</v>
      </c>
    </row>
    <row r="107" spans="1:9" ht="14.25" x14ac:dyDescent="0.2">
      <c r="A107" s="247"/>
      <c r="B107" s="127"/>
      <c r="C107" s="248"/>
      <c r="D107" s="248"/>
      <c r="E107" s="247"/>
      <c r="F107" s="248"/>
      <c r="G107" s="248"/>
      <c r="H107" s="248"/>
      <c r="I107" s="248"/>
    </row>
    <row r="108" spans="1:9" ht="15" x14ac:dyDescent="0.25">
      <c r="A108" s="287" t="s">
        <v>15</v>
      </c>
      <c r="B108" s="127"/>
      <c r="C108" s="248"/>
      <c r="D108" s="248"/>
      <c r="E108" s="247"/>
      <c r="F108" s="248"/>
      <c r="G108" s="248"/>
      <c r="H108" s="248"/>
      <c r="I108" s="248"/>
    </row>
    <row r="109" spans="1:9" ht="14.25" x14ac:dyDescent="0.2">
      <c r="A109" s="247" t="s">
        <v>117</v>
      </c>
      <c r="B109" s="127">
        <f>Data!BR23</f>
        <v>64</v>
      </c>
      <c r="C109" s="127">
        <f>Data!BR35</f>
        <v>569</v>
      </c>
      <c r="D109" s="127">
        <f>Data!BR41</f>
        <v>820</v>
      </c>
      <c r="E109" s="285">
        <f t="shared" ref="E109:E112" si="9">IFERROR(IF(OR(AND(D109="",C109=""),AND(D109=0,C109=0)),"",
IF(OR(D109="",D109=0),1,
IF(OR(D109&lt;&gt;"",D109&lt;&gt;0),(C109-D109)/ABS(D109)))),-1)</f>
        <v>-0.30609756097560975</v>
      </c>
      <c r="F109" s="127">
        <v>825</v>
      </c>
      <c r="G109" s="127">
        <v>1013</v>
      </c>
      <c r="H109" s="127">
        <v>683</v>
      </c>
      <c r="I109" s="127">
        <v>295</v>
      </c>
    </row>
    <row r="110" spans="1:9" ht="14.25" x14ac:dyDescent="0.2">
      <c r="A110" s="247" t="s">
        <v>146</v>
      </c>
      <c r="B110" s="127">
        <f>Data!BQ23</f>
        <v>26394</v>
      </c>
      <c r="C110" s="127">
        <f>Data!BQ35</f>
        <v>209868</v>
      </c>
      <c r="D110" s="127">
        <f>Data!BQ41</f>
        <v>205439</v>
      </c>
      <c r="E110" s="285">
        <f t="shared" si="9"/>
        <v>2.1558710858210952E-2</v>
      </c>
      <c r="F110" s="127">
        <v>205539</v>
      </c>
      <c r="G110" s="127">
        <v>348297</v>
      </c>
      <c r="H110" s="127">
        <v>197474</v>
      </c>
      <c r="I110" s="127">
        <v>246576</v>
      </c>
    </row>
    <row r="111" spans="1:9" ht="14.25" x14ac:dyDescent="0.2">
      <c r="A111" s="247" t="s">
        <v>196</v>
      </c>
      <c r="B111" s="127">
        <f>Data!BP23/1000000</f>
        <v>1910.9218116700001</v>
      </c>
      <c r="C111" s="127">
        <f>Data!BP35/1000000</f>
        <v>19201.704760549997</v>
      </c>
      <c r="D111" s="127">
        <f>Data!BP41/1000000</f>
        <v>21976.324651619998</v>
      </c>
      <c r="E111" s="285">
        <f t="shared" si="9"/>
        <v>-0.12625495550574092</v>
      </c>
      <c r="F111" s="127">
        <v>21987</v>
      </c>
      <c r="G111" s="127">
        <v>37202</v>
      </c>
      <c r="H111" s="127">
        <v>15321</v>
      </c>
      <c r="I111" s="127">
        <v>515922</v>
      </c>
    </row>
    <row r="112" spans="1:9" ht="15" thickBot="1" x14ac:dyDescent="0.25">
      <c r="A112" s="288" t="s">
        <v>144</v>
      </c>
      <c r="B112" s="128">
        <f>Data!BP29</f>
        <v>85832</v>
      </c>
      <c r="C112" s="128">
        <f>B112</f>
        <v>85832</v>
      </c>
      <c r="D112" s="128">
        <f>Data!BP47</f>
        <v>47360</v>
      </c>
      <c r="E112" s="290">
        <f t="shared" si="9"/>
        <v>0.8123310810810811</v>
      </c>
      <c r="F112" s="128">
        <v>36955</v>
      </c>
      <c r="G112" s="128">
        <v>75609</v>
      </c>
      <c r="H112" s="128">
        <v>34866</v>
      </c>
      <c r="I112" s="128">
        <v>47546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299"/>
      <c r="B117" s="279" t="s">
        <v>1</v>
      </c>
      <c r="C117" s="279" t="s">
        <v>179</v>
      </c>
      <c r="D117" s="279" t="s">
        <v>179</v>
      </c>
      <c r="E117" s="300" t="s">
        <v>13</v>
      </c>
      <c r="F117" s="309"/>
      <c r="G117" s="292"/>
      <c r="H117" s="299"/>
      <c r="I117" s="299"/>
    </row>
    <row r="118" spans="1:12" ht="15" x14ac:dyDescent="0.25">
      <c r="A118" s="299"/>
      <c r="B118" s="279" t="s">
        <v>3</v>
      </c>
      <c r="C118" s="279" t="s">
        <v>4</v>
      </c>
      <c r="D118" s="279" t="s">
        <v>4</v>
      </c>
      <c r="E118" s="300" t="s">
        <v>9</v>
      </c>
      <c r="F118" s="309"/>
      <c r="G118" s="292"/>
      <c r="H118" s="299"/>
      <c r="I118" s="299"/>
    </row>
    <row r="119" spans="1:12" ht="15.75" thickBot="1" x14ac:dyDescent="0.3">
      <c r="A119" s="301"/>
      <c r="B119" s="281" t="str">
        <f>TEXT($H$3,"MMM")&amp;" "&amp;TEXT($H$3,"YYYY")</f>
        <v>Oct 2017</v>
      </c>
      <c r="C119" s="281" t="str">
        <f>TEXT($H$3,"YYYY")</f>
        <v>2017</v>
      </c>
      <c r="D119" s="281">
        <f>TEXT($H$3,"YYYY")-1</f>
        <v>2016</v>
      </c>
      <c r="E119" s="283" t="s">
        <v>6</v>
      </c>
      <c r="F119" s="283">
        <f>TEXT($H$3,"YYYY")-1</f>
        <v>2016</v>
      </c>
      <c r="G119" s="294">
        <f>TEXT($H$3,"YYYY")-2</f>
        <v>2015</v>
      </c>
      <c r="H119" s="294">
        <f>TEXT($H$3,"YYYY")-3</f>
        <v>2014</v>
      </c>
      <c r="I119" s="294">
        <f>TEXT($H$3,"YYYY")-4</f>
        <v>2013</v>
      </c>
      <c r="J119" s="135"/>
      <c r="K119" s="170"/>
      <c r="L119" s="170"/>
    </row>
    <row r="120" spans="1:12" ht="15" x14ac:dyDescent="0.25">
      <c r="A120" s="287" t="s">
        <v>14</v>
      </c>
      <c r="B120" s="247"/>
      <c r="C120" s="247"/>
      <c r="D120" s="247"/>
      <c r="E120" s="247"/>
      <c r="F120" s="247"/>
      <c r="G120" s="247"/>
      <c r="H120" s="247"/>
      <c r="I120" s="247"/>
      <c r="J120" s="62"/>
    </row>
    <row r="121" spans="1:12" ht="14.25" x14ac:dyDescent="0.2">
      <c r="A121" s="247" t="s">
        <v>117</v>
      </c>
      <c r="B121" s="248">
        <f>Data!BR50</f>
        <v>5324</v>
      </c>
      <c r="C121" s="248">
        <f>Data!BR60</f>
        <v>53282</v>
      </c>
      <c r="D121" s="248">
        <f>Data!BR66</f>
        <v>57570</v>
      </c>
      <c r="E121" s="285">
        <f t="shared" ref="E121:E123" si="10">IFERROR(IF(OR(AND(D121="",C121=""),AND(D121=0,C121=0)),"",
IF(OR(D121="",D121=0),1,
IF(OR(D121&lt;&gt;"",D121&lt;&gt;0),(C121-D121)/ABS(D121)))),-1)</f>
        <v>-7.4483237797463964E-2</v>
      </c>
      <c r="F121" s="248">
        <v>66920</v>
      </c>
      <c r="G121" s="248">
        <v>57891</v>
      </c>
      <c r="H121" s="248">
        <v>43500</v>
      </c>
      <c r="I121" s="248">
        <v>39077</v>
      </c>
      <c r="J121" s="62"/>
    </row>
    <row r="122" spans="1:12" ht="14.25" x14ac:dyDescent="0.2">
      <c r="A122" s="247" t="s">
        <v>146</v>
      </c>
      <c r="B122" s="248">
        <f>Data!BQ50</f>
        <v>2903202</v>
      </c>
      <c r="C122" s="248">
        <f>Data!BQ60</f>
        <v>38745700</v>
      </c>
      <c r="D122" s="248">
        <f>Data!BQ66</f>
        <v>29373632</v>
      </c>
      <c r="E122" s="285">
        <f t="shared" si="10"/>
        <v>0.31906398228179611</v>
      </c>
      <c r="F122" s="248">
        <v>34293431</v>
      </c>
      <c r="G122" s="248">
        <v>33917069</v>
      </c>
      <c r="H122" s="248">
        <v>33946042</v>
      </c>
      <c r="I122" s="248">
        <v>24258464</v>
      </c>
      <c r="J122" s="62"/>
    </row>
    <row r="123" spans="1:12" ht="14.25" x14ac:dyDescent="0.2">
      <c r="A123" s="247" t="s">
        <v>119</v>
      </c>
      <c r="B123" s="248">
        <f>Data!BP50/1000000</f>
        <v>40133.481785000004</v>
      </c>
      <c r="C123" s="248">
        <f>Data!BP60/1000000</f>
        <v>527783.98133440001</v>
      </c>
      <c r="D123" s="248">
        <f>Data!BP66/1000000</f>
        <v>452471.49836649996</v>
      </c>
      <c r="E123" s="285">
        <f t="shared" si="10"/>
        <v>0.1664469104458316</v>
      </c>
      <c r="F123" s="248">
        <v>522169</v>
      </c>
      <c r="G123" s="248">
        <v>446203</v>
      </c>
      <c r="H123" s="248">
        <v>388071</v>
      </c>
      <c r="I123" s="248">
        <v>247049</v>
      </c>
      <c r="J123" s="62"/>
    </row>
    <row r="124" spans="1:12" ht="14.25" x14ac:dyDescent="0.2">
      <c r="A124" s="247" t="s">
        <v>144</v>
      </c>
      <c r="B124" s="248">
        <f>VLOOKUP("Future",Data!$BP$55:$BQ$57,2,FALSE)</f>
        <v>2101899</v>
      </c>
      <c r="C124" s="248">
        <f>B124</f>
        <v>2101899</v>
      </c>
      <c r="D124" s="248">
        <f>VLOOKUP("Future",Data!$BP$71:$BQ$73,2,FALSE)</f>
        <v>1054536</v>
      </c>
      <c r="E124" s="285">
        <f>IFERROR(IF(OR(AND(D124="",C124=""),AND(D124=0,C124=0)),"",
IF(OR(D124="",D124=0),1,
IF(OR(D124&lt;&gt;"",D124&lt;&gt;0),(C124-D124)/ABS(D124)))),-1)</f>
        <v>0.99319795625753882</v>
      </c>
      <c r="F124" s="248">
        <v>1090978</v>
      </c>
      <c r="G124" s="248">
        <v>1414841</v>
      </c>
      <c r="H124" s="248">
        <v>1705921</v>
      </c>
      <c r="I124" s="248">
        <v>1029528</v>
      </c>
      <c r="J124" s="62"/>
    </row>
    <row r="125" spans="1:12" ht="14.25" x14ac:dyDescent="0.2">
      <c r="A125" s="247"/>
      <c r="B125" s="314"/>
      <c r="C125" s="314"/>
      <c r="D125" s="314"/>
      <c r="E125" s="247"/>
      <c r="F125" s="248"/>
      <c r="G125" s="248"/>
      <c r="H125" s="314"/>
      <c r="I125" s="314"/>
      <c r="J125" s="107"/>
      <c r="K125" s="172"/>
      <c r="L125" s="172"/>
    </row>
    <row r="126" spans="1:12" ht="15" x14ac:dyDescent="0.25">
      <c r="A126" s="287" t="s">
        <v>15</v>
      </c>
      <c r="B126" s="247"/>
      <c r="C126" s="314"/>
      <c r="D126" s="314"/>
      <c r="E126" s="287"/>
      <c r="F126" s="249"/>
      <c r="G126" s="248"/>
      <c r="H126" s="314"/>
      <c r="I126" s="315"/>
      <c r="J126" s="107"/>
      <c r="K126" s="172"/>
      <c r="L126" s="172"/>
    </row>
    <row r="127" spans="1:12" ht="14.25" x14ac:dyDescent="0.2">
      <c r="A127" s="247" t="s">
        <v>117</v>
      </c>
      <c r="B127" s="248">
        <f>Data!BR53</f>
        <v>221</v>
      </c>
      <c r="C127" s="248">
        <f>Data!BR63</f>
        <v>2743</v>
      </c>
      <c r="D127" s="248">
        <f>Data!BR69</f>
        <v>2895</v>
      </c>
      <c r="E127" s="285">
        <f t="shared" ref="E127:E129" si="11">IFERROR(IF(OR(AND(D127="",C127=""),AND(D127=0,C127=0)),"",
IF(OR(D127="",D127=0),1,
IF(OR(D127&lt;&gt;"",D127&lt;&gt;0),(C127-D127)/ABS(D127)))),-1)</f>
        <v>-5.2504317789291884E-2</v>
      </c>
      <c r="F127" s="248">
        <v>3271</v>
      </c>
      <c r="G127" s="248">
        <v>2622</v>
      </c>
      <c r="H127" s="248">
        <v>3439</v>
      </c>
      <c r="I127" s="248">
        <v>2009</v>
      </c>
      <c r="J127" s="132"/>
      <c r="K127" s="177"/>
      <c r="L127" s="172"/>
    </row>
    <row r="128" spans="1:12" ht="14.25" x14ac:dyDescent="0.2">
      <c r="A128" s="247" t="s">
        <v>146</v>
      </c>
      <c r="B128" s="248">
        <f>Data!BQ53</f>
        <v>1203533</v>
      </c>
      <c r="C128" s="248">
        <f>Data!BQ63</f>
        <v>12856007</v>
      </c>
      <c r="D128" s="248">
        <f>Data!BQ69</f>
        <v>12406183</v>
      </c>
      <c r="E128" s="285">
        <f t="shared" si="11"/>
        <v>3.6258049716016601E-2</v>
      </c>
      <c r="F128" s="248">
        <v>14030889</v>
      </c>
      <c r="G128" s="248">
        <v>11251621</v>
      </c>
      <c r="H128" s="248">
        <v>10687313</v>
      </c>
      <c r="I128" s="248">
        <v>10027182</v>
      </c>
      <c r="J128" s="133"/>
      <c r="K128" s="177"/>
      <c r="L128" s="172"/>
    </row>
    <row r="129" spans="1:12" ht="14.25" x14ac:dyDescent="0.2">
      <c r="A129" s="247" t="s">
        <v>177</v>
      </c>
      <c r="B129" s="248">
        <f>Data!BP53/1000000</f>
        <v>16893.1501025</v>
      </c>
      <c r="C129" s="248">
        <f>Data!BP63/1000000</f>
        <v>179069.69442710001</v>
      </c>
      <c r="D129" s="248">
        <f>Data!BP69/1000000</f>
        <v>188898.34956470001</v>
      </c>
      <c r="E129" s="285">
        <f t="shared" si="11"/>
        <v>-5.2031450567192827E-2</v>
      </c>
      <c r="F129" s="248">
        <v>212036</v>
      </c>
      <c r="G129" s="248">
        <v>157773</v>
      </c>
      <c r="H129" s="248">
        <v>128124</v>
      </c>
      <c r="I129" s="248">
        <v>87508</v>
      </c>
      <c r="J129" s="133"/>
      <c r="K129" s="172"/>
      <c r="L129" s="172"/>
    </row>
    <row r="130" spans="1:12" ht="14.25" x14ac:dyDescent="0.2">
      <c r="A130" s="247" t="s">
        <v>144</v>
      </c>
      <c r="B130" s="248">
        <f>VLOOKUP("Option",Data!$BP$55:$BQ$57,2,FALSE)</f>
        <v>3816827</v>
      </c>
      <c r="C130" s="248">
        <f>MarketProfile!B130</f>
        <v>3816827</v>
      </c>
      <c r="D130" s="248">
        <f>VLOOKUP("Option",Data!$BP$71:$BQ$73,2,FALSE)</f>
        <v>2457620</v>
      </c>
      <c r="E130" s="285">
        <f>IFERROR(IF(OR(AND(D130="",C130=""),AND(D130=0,C130=0)),"",
IF(OR(D130="",D130=0),1,
IF(OR(D130&lt;&gt;"",D130&lt;&gt;0),(C130-D130)/ABS(D130)))),-1)</f>
        <v>0.55305824334111864</v>
      </c>
      <c r="F130" s="248">
        <v>1240499</v>
      </c>
      <c r="G130" s="248">
        <v>1917456</v>
      </c>
      <c r="H130" s="248">
        <v>1839022</v>
      </c>
      <c r="I130" s="248">
        <v>797456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299"/>
      <c r="B134" s="279" t="s">
        <v>1</v>
      </c>
      <c r="C134" s="279" t="s">
        <v>179</v>
      </c>
      <c r="D134" s="279" t="s">
        <v>179</v>
      </c>
      <c r="E134" s="300" t="s">
        <v>13</v>
      </c>
      <c r="F134" s="309"/>
      <c r="G134" s="292"/>
      <c r="H134" s="299"/>
      <c r="I134" s="299"/>
    </row>
    <row r="135" spans="1:12" ht="15" x14ac:dyDescent="0.25">
      <c r="A135" s="299"/>
      <c r="B135" s="279" t="s">
        <v>3</v>
      </c>
      <c r="C135" s="279" t="s">
        <v>4</v>
      </c>
      <c r="D135" s="279" t="s">
        <v>4</v>
      </c>
      <c r="E135" s="300" t="s">
        <v>9</v>
      </c>
      <c r="F135" s="309"/>
      <c r="G135" s="292"/>
      <c r="H135" s="299"/>
      <c r="I135" s="299"/>
    </row>
    <row r="136" spans="1:12" ht="15.75" thickBot="1" x14ac:dyDescent="0.3">
      <c r="A136" s="301"/>
      <c r="B136" s="281" t="str">
        <f>TEXT($H$3,"MMM")&amp;" "&amp;TEXT($H$3,"YYYY")</f>
        <v>Oct 2017</v>
      </c>
      <c r="C136" s="281" t="str">
        <f>TEXT($H$3,"YYYY")</f>
        <v>2017</v>
      </c>
      <c r="D136" s="281">
        <f>TEXT($H$3,"YYYY")-1</f>
        <v>2016</v>
      </c>
      <c r="E136" s="283" t="s">
        <v>6</v>
      </c>
      <c r="F136" s="283">
        <f>TEXT($H$3,"YYYY")-1</f>
        <v>2016</v>
      </c>
      <c r="G136" s="294">
        <f>TEXT($H$3,"YYYY")-2</f>
        <v>2015</v>
      </c>
      <c r="H136" s="294">
        <f>TEXT($H$3,"YYYY")-3</f>
        <v>2014</v>
      </c>
      <c r="I136" s="294">
        <f>TEXT($H$3,"YYYY")-4</f>
        <v>2013</v>
      </c>
    </row>
    <row r="137" spans="1:12" ht="15" x14ac:dyDescent="0.25">
      <c r="A137" s="287" t="s">
        <v>14</v>
      </c>
      <c r="B137" s="316"/>
      <c r="C137" s="316"/>
      <c r="D137" s="316"/>
      <c r="E137" s="311"/>
      <c r="F137" s="311"/>
      <c r="G137" s="317"/>
      <c r="H137" s="317"/>
      <c r="I137" s="317"/>
    </row>
    <row r="138" spans="1:12" ht="14.25" x14ac:dyDescent="0.2">
      <c r="A138" s="247" t="s">
        <v>117</v>
      </c>
      <c r="B138" s="248">
        <f>SUMIFS(Data!$AC:$AC,Data!$AE:$AE,"1")</f>
        <v>29450</v>
      </c>
      <c r="C138" s="248">
        <f>Data!BR76</f>
        <v>283859</v>
      </c>
      <c r="D138" s="248">
        <f>Data!BR82</f>
        <v>287271</v>
      </c>
      <c r="E138" s="285">
        <f>IFERROR(IF(OR(AND(D138="",C138=""),AND(D138=0,C138=0)),"",
IF(OR(D138="",D138=0),1,
IF(OR(D138&lt;&gt;"",D138&lt;&gt;0),(C138-D138)/ABS(D138)))),-1)</f>
        <v>-1.1877286603938442E-2</v>
      </c>
      <c r="F138" s="248">
        <v>343265</v>
      </c>
      <c r="G138" s="248">
        <v>319935</v>
      </c>
      <c r="H138" s="248">
        <v>277392</v>
      </c>
      <c r="I138" s="248">
        <v>274898</v>
      </c>
    </row>
    <row r="139" spans="1:12" ht="14.25" x14ac:dyDescent="0.2">
      <c r="A139" s="247" t="s">
        <v>142</v>
      </c>
      <c r="B139" s="248">
        <f>SUMIFS(Data!$AB:$AB,Data!$AE:$AE,"1")/1000</f>
        <v>206.34700000000001</v>
      </c>
      <c r="C139" s="248">
        <f>Data!BQ76</f>
        <v>2232385</v>
      </c>
      <c r="D139" s="248">
        <f>Data!BQ82</f>
        <v>2499531</v>
      </c>
      <c r="E139" s="285">
        <f t="shared" ref="E139:E141" si="12">IFERROR(IF(OR(AND(D139="",C139=""),AND(D139=0,C139=0)),"",
IF(OR(D139="",D139=0),1,
IF(OR(D139&lt;&gt;"",D139&lt;&gt;0),(C139-D139)/ABS(D139)))),-1)</f>
        <v>-0.10687845039729453</v>
      </c>
      <c r="F139" s="248">
        <v>2955</v>
      </c>
      <c r="G139" s="248">
        <v>2956</v>
      </c>
      <c r="H139" s="248">
        <v>2395</v>
      </c>
      <c r="I139" s="248">
        <v>2482</v>
      </c>
    </row>
    <row r="140" spans="1:12" ht="14.25" x14ac:dyDescent="0.2">
      <c r="A140" s="247" t="s">
        <v>119</v>
      </c>
      <c r="B140" s="248">
        <f>SUMIFS(Data!$AA:$AA,Data!$AE:$AE,"1")/1000000</f>
        <v>42133.335335545009</v>
      </c>
      <c r="C140" s="248">
        <f>Data!BP76/1000000</f>
        <v>465168.22359706997</v>
      </c>
      <c r="D140" s="248">
        <f>Data!BP82/1000000</f>
        <v>813769.18935359002</v>
      </c>
      <c r="E140" s="285">
        <f t="shared" si="12"/>
        <v>-0.42837818182011533</v>
      </c>
      <c r="F140" s="248">
        <v>943312</v>
      </c>
      <c r="G140" s="248">
        <v>736984</v>
      </c>
      <c r="H140" s="248">
        <v>487818</v>
      </c>
      <c r="I140" s="248">
        <v>486903</v>
      </c>
    </row>
    <row r="141" spans="1:12" ht="14.25" x14ac:dyDescent="0.2">
      <c r="A141" s="247" t="s">
        <v>144</v>
      </c>
      <c r="B141" s="248">
        <f>SUMIFS(Data!$AK:$AK,Data!$AL:$AL,"1")</f>
        <v>139797</v>
      </c>
      <c r="C141" s="248">
        <f>B141</f>
        <v>139797</v>
      </c>
      <c r="D141" s="248">
        <f>Data!BP88</f>
        <v>69305</v>
      </c>
      <c r="E141" s="285">
        <f t="shared" si="12"/>
        <v>1.0171271914003319</v>
      </c>
      <c r="F141" s="248">
        <v>65553</v>
      </c>
      <c r="G141" s="248">
        <v>89089</v>
      </c>
      <c r="H141" s="248">
        <v>75388</v>
      </c>
      <c r="I141" s="248">
        <v>66538</v>
      </c>
    </row>
    <row r="142" spans="1:12" ht="14.25" x14ac:dyDescent="0.2">
      <c r="A142" s="247"/>
      <c r="B142" s="248"/>
      <c r="C142" s="248"/>
      <c r="D142" s="248"/>
      <c r="E142" s="247"/>
      <c r="F142" s="248"/>
      <c r="G142" s="248"/>
      <c r="H142" s="248"/>
      <c r="I142" s="248"/>
    </row>
    <row r="143" spans="1:12" ht="15" x14ac:dyDescent="0.25">
      <c r="A143" s="287" t="s">
        <v>15</v>
      </c>
      <c r="B143" s="248"/>
      <c r="C143" s="248"/>
      <c r="D143" s="248"/>
      <c r="E143" s="247"/>
      <c r="F143" s="248"/>
      <c r="G143" s="248"/>
      <c r="H143" s="248"/>
      <c r="I143" s="248"/>
    </row>
    <row r="144" spans="1:12" ht="14.25" x14ac:dyDescent="0.2">
      <c r="A144" s="247" t="s">
        <v>117</v>
      </c>
      <c r="B144" s="248">
        <f>SUMIFS(Data!$AC:$AC,Data!$AE:$AE,"0")</f>
        <v>2857</v>
      </c>
      <c r="C144" s="248">
        <f>Data!BR79</f>
        <v>24025</v>
      </c>
      <c r="D144" s="248">
        <f>Data!BR85</f>
        <v>37741</v>
      </c>
      <c r="E144" s="285">
        <f>IFERROR(IF(OR(AND(D144="",C144=""),AND(D144=0,C144=0)),"",
IF(OR(D144="",D144=0),1,
IF(OR(D144&lt;&gt;"",D144&lt;&gt;0),(C144-D144)/ABS(D144)))),-1)</f>
        <v>-0.36342439257041415</v>
      </c>
      <c r="F144" s="248">
        <v>43815</v>
      </c>
      <c r="G144" s="248">
        <v>42966</v>
      </c>
      <c r="H144" s="248">
        <v>31365</v>
      </c>
      <c r="I144" s="248">
        <v>30380</v>
      </c>
    </row>
    <row r="145" spans="1:10" ht="14.25" x14ac:dyDescent="0.2">
      <c r="A145" s="247" t="s">
        <v>142</v>
      </c>
      <c r="B145" s="248">
        <f>SUMIFS(Data!$AB:$AB,Data!$AE:$AE,"0")/1000</f>
        <v>26.972000000000001</v>
      </c>
      <c r="C145" s="248">
        <f>Data!BQ79</f>
        <v>242963</v>
      </c>
      <c r="D145" s="248">
        <f>Data!BQ85</f>
        <v>421291</v>
      </c>
      <c r="E145" s="285">
        <f t="shared" ref="E145:E146" si="13">IFERROR(IF(OR(AND(D145="",C145=""),AND(D145=0,C145=0)),"",
IF(OR(D145="",D145=0),1,
IF(OR(D145&lt;&gt;"",D145&lt;&gt;0),(C145-D145)/ABS(D145)))),-1)</f>
        <v>-0.42328936530806499</v>
      </c>
      <c r="F145" s="248">
        <v>471</v>
      </c>
      <c r="G145" s="248">
        <v>544</v>
      </c>
      <c r="H145" s="248">
        <v>335</v>
      </c>
      <c r="I145" s="248">
        <v>307</v>
      </c>
    </row>
    <row r="146" spans="1:10" ht="14.25" x14ac:dyDescent="0.2">
      <c r="A146" s="247" t="s">
        <v>119</v>
      </c>
      <c r="B146" s="248">
        <f>SUMIFS(Data!$AA:$AA,Data!$AE:$AE,"0")/1000000</f>
        <v>254.27891042000002</v>
      </c>
      <c r="C146" s="248">
        <f>Data!BP79/1000000</f>
        <v>2732.1882928599903</v>
      </c>
      <c r="D146" s="248">
        <f>Data!BP85/1000000</f>
        <v>13278.43322739</v>
      </c>
      <c r="E146" s="285">
        <f t="shared" si="13"/>
        <v>-0.79423865405865912</v>
      </c>
      <c r="F146" s="248">
        <v>14527</v>
      </c>
      <c r="G146" s="248">
        <v>12378</v>
      </c>
      <c r="H146" s="248">
        <v>2724</v>
      </c>
      <c r="I146" s="248">
        <v>3357</v>
      </c>
    </row>
    <row r="147" spans="1:10" ht="14.25" x14ac:dyDescent="0.2">
      <c r="A147" s="247" t="s">
        <v>144</v>
      </c>
      <c r="B147" s="248">
        <f>SUMIFS(Data!$AK:$AK,Data!$AL:$AL,"0")</f>
        <v>63648</v>
      </c>
      <c r="C147" s="248">
        <f>B147</f>
        <v>63648</v>
      </c>
      <c r="D147" s="248">
        <f>Data!BP91</f>
        <v>68394</v>
      </c>
      <c r="E147" s="285">
        <f>IFERROR(IF(OR(AND(D147="",C147=""),AND(D147=0,C147=0)),"",
IF(OR(D147="",D147=0),1,
IF(OR(D147&lt;&gt;"",D147&lt;&gt;0),(C147-D147)/ABS(D147)))),-1)</f>
        <v>-6.9392051934380208E-2</v>
      </c>
      <c r="F147" s="248">
        <v>36968</v>
      </c>
      <c r="G147" s="248">
        <v>87294</v>
      </c>
      <c r="H147" s="248">
        <v>57806</v>
      </c>
      <c r="I147" s="248">
        <v>52069</v>
      </c>
    </row>
    <row r="148" spans="1:10" x14ac:dyDescent="0.2">
      <c r="B148" s="3"/>
    </row>
    <row r="149" spans="1:10" ht="12.75" customHeight="1" x14ac:dyDescent="0.2">
      <c r="B149" s="3"/>
      <c r="F149" s="371" t="s">
        <v>200</v>
      </c>
      <c r="G149" s="371"/>
      <c r="H149" s="371"/>
      <c r="I149" s="125"/>
    </row>
    <row r="150" spans="1:10" ht="12.75" customHeight="1" x14ac:dyDescent="0.2">
      <c r="B150" s="3"/>
      <c r="F150" s="371"/>
      <c r="G150" s="371"/>
      <c r="H150" s="371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09"/>
      <c r="B152" s="201" t="s">
        <v>169</v>
      </c>
      <c r="C152" s="280"/>
      <c r="D152" s="196"/>
      <c r="E152" s="280"/>
      <c r="F152" s="280"/>
      <c r="G152" s="280" t="s">
        <v>170</v>
      </c>
      <c r="H152" s="280"/>
      <c r="I152" s="280"/>
      <c r="J152" s="161"/>
    </row>
    <row r="153" spans="1:10" ht="15.75" thickBot="1" x14ac:dyDescent="0.3">
      <c r="A153" s="294"/>
      <c r="B153" s="281" t="str">
        <f>TEXT($H$3,"MMM")&amp;" "&amp;TEXT($H$3,"YYYY")</f>
        <v>Oct 2017</v>
      </c>
      <c r="C153" s="281" t="str">
        <f>TEXT(DATE(2000,TEXT(H3,"M")-1,1),"mmm")&amp; " "&amp; TEXT(H3,"YYYY")</f>
        <v>Sep 2017</v>
      </c>
      <c r="D153" s="283" t="s">
        <v>121</v>
      </c>
      <c r="E153" s="281"/>
      <c r="F153" s="281"/>
      <c r="G153" s="281" t="str">
        <f>TEXT($H$3,"MMM")&amp;" "&amp;TEXT($H$3,"YYYY")</f>
        <v>Oct 2017</v>
      </c>
      <c r="H153" s="281" t="str">
        <f>TEXT($H$3,"MMM")&amp;" "&amp;TEXT($H$3,"YYYY")-1</f>
        <v>Oct 2016</v>
      </c>
      <c r="I153" s="283" t="s">
        <v>121</v>
      </c>
      <c r="J153" s="161"/>
    </row>
    <row r="154" spans="1:10" ht="14.25" x14ac:dyDescent="0.2">
      <c r="A154" s="247" t="s">
        <v>122</v>
      </c>
      <c r="B154" s="321">
        <f>VLOOKUP("ABuy",Data!$J$1:$M$5,4,FALSE)/1000000</f>
        <v>230238.02031245708</v>
      </c>
      <c r="C154" s="321">
        <f>VLOOKUP("ABuy",Data!$J$7:$M$11,4,FALSE)/1000000</f>
        <v>219358.0641486684</v>
      </c>
      <c r="D154" s="186">
        <f>((B154/C154)-1)</f>
        <v>4.9599070843435511E-2</v>
      </c>
      <c r="E154" s="321"/>
      <c r="F154" s="321"/>
      <c r="G154" s="321">
        <f>VLOOKUP("Abuy",Data!$J$13:$M$17,4,FALSE)/1000000</f>
        <v>199542.42426217999</v>
      </c>
      <c r="H154" s="321">
        <f>VLOOKUP("Abuy",Data!$J$19:$M$23,4,FALSE)/1000000</f>
        <v>202541.03942232498</v>
      </c>
      <c r="I154" s="199">
        <f>((G154/H154)-1)</f>
        <v>-1.4804975666647291E-2</v>
      </c>
      <c r="J154" s="161"/>
    </row>
    <row r="155" spans="1:10" ht="14.25" x14ac:dyDescent="0.2">
      <c r="A155" s="247" t="s">
        <v>123</v>
      </c>
      <c r="B155" s="321">
        <f>VLOOKUP("ASell",Data!$J$1:$M$5,4,FALSE)/1000000</f>
        <v>241865.75026038068</v>
      </c>
      <c r="C155" s="321">
        <f>VLOOKUP("Asell",Data!$J$7:$M$11,4,FALSE)/1000000</f>
        <v>219682.88721013686</v>
      </c>
      <c r="D155" s="199">
        <f t="shared" ref="D155:D157" si="14">((B155/C155)-1)</f>
        <v>0.10097674576274529</v>
      </c>
      <c r="E155" s="321"/>
      <c r="F155" s="321"/>
      <c r="G155" s="321">
        <f>VLOOKUP("Asell",Data!$J$13:$M$17,4,FALSE)/1000000</f>
        <v>209145.38669617</v>
      </c>
      <c r="H155" s="321">
        <f>VLOOKUP("Asell",Data!$J$19:$M$23,4,FALSE)/1000000</f>
        <v>209457.72030543501</v>
      </c>
      <c r="I155" s="199">
        <f t="shared" ref="I155:I157" si="15">((G155/H155)-1)</f>
        <v>-1.4911534834312068E-3</v>
      </c>
      <c r="J155" s="161"/>
    </row>
    <row r="156" spans="1:10" ht="14.25" x14ac:dyDescent="0.2">
      <c r="A156" s="247" t="s">
        <v>124</v>
      </c>
      <c r="B156" s="321">
        <f>VLOOKUP("PBuy",Data!$J$1:$M$5,4,FALSE)/1000000</f>
        <v>251263.69475523767</v>
      </c>
      <c r="C156" s="321">
        <f>VLOOKUP("Pbuy",Data!$J$7:$M$11,4,FALSE)/1000000</f>
        <v>279725.75338054524</v>
      </c>
      <c r="D156" s="199">
        <f t="shared" si="14"/>
        <v>-0.10174986850991563</v>
      </c>
      <c r="E156" s="321"/>
      <c r="F156" s="321"/>
      <c r="G156" s="321">
        <f>VLOOKUP("Pbuy",Data!$J$13:$M$17,4,FALSE)/1000000</f>
        <v>226676.85858524998</v>
      </c>
      <c r="H156" s="321">
        <f>VLOOKUP("Pbuy",Data!$J$19:$M$23,4,FALSE)/1000000</f>
        <v>245787.02060392001</v>
      </c>
      <c r="I156" s="199">
        <f t="shared" si="15"/>
        <v>-7.7750899830734355E-2</v>
      </c>
      <c r="J156" s="161"/>
    </row>
    <row r="157" spans="1:10" ht="14.25" x14ac:dyDescent="0.2">
      <c r="A157" s="247" t="s">
        <v>125</v>
      </c>
      <c r="B157" s="321">
        <f>VLOOKUP("PSell",Data!$J$1:$M$5,4,FALSE)/1000000</f>
        <v>239635.9648073141</v>
      </c>
      <c r="C157" s="321">
        <f>VLOOKUP("Psell",Data!$J$7:$M$11,4,FALSE)/1000000</f>
        <v>279400.93031907675</v>
      </c>
      <c r="D157" s="199">
        <f t="shared" si="14"/>
        <v>-0.14232223731807525</v>
      </c>
      <c r="E157" s="321"/>
      <c r="F157" s="321"/>
      <c r="G157" s="321">
        <f>VLOOKUP("Psell",Data!$J$13:$M$17,4,FALSE)/1000000</f>
        <v>217073.89615126001</v>
      </c>
      <c r="H157" s="321">
        <f>VLOOKUP("Psell",Data!$J$19:$M$23,4,FALSE)/1000000</f>
        <v>238870.33972081001</v>
      </c>
      <c r="I157" s="199">
        <f t="shared" si="15"/>
        <v>-9.1248011766657755E-2</v>
      </c>
      <c r="J157" s="161"/>
    </row>
    <row r="158" spans="1:10" ht="14.25" x14ac:dyDescent="0.2">
      <c r="A158" s="247"/>
      <c r="B158" s="248"/>
      <c r="C158" s="248"/>
      <c r="D158" s="247"/>
      <c r="E158" s="248"/>
      <c r="F158" s="248"/>
      <c r="G158" s="247"/>
      <c r="H158" s="247"/>
      <c r="I158" s="247"/>
      <c r="J158" s="161"/>
    </row>
    <row r="159" spans="1:10" ht="15.75" thickBot="1" x14ac:dyDescent="0.3">
      <c r="A159" s="277" t="s">
        <v>126</v>
      </c>
      <c r="B159" s="278"/>
      <c r="C159" s="278"/>
      <c r="D159" s="278"/>
      <c r="E159" s="278"/>
      <c r="F159" s="278"/>
      <c r="G159" s="278"/>
      <c r="H159" s="277"/>
      <c r="I159" s="277"/>
      <c r="J159" s="161"/>
    </row>
    <row r="160" spans="1:10" ht="15.75" thickBot="1" x14ac:dyDescent="0.3">
      <c r="A160" s="294"/>
      <c r="B160" s="283" t="s">
        <v>127</v>
      </c>
      <c r="C160" s="283" t="s">
        <v>4</v>
      </c>
      <c r="D160" s="383" t="s">
        <v>128</v>
      </c>
      <c r="E160" s="383"/>
      <c r="F160" s="283" t="s">
        <v>129</v>
      </c>
      <c r="G160" s="379" t="s">
        <v>130</v>
      </c>
      <c r="H160" s="379"/>
      <c r="I160" s="283" t="s">
        <v>28</v>
      </c>
      <c r="J160" s="161"/>
    </row>
    <row r="161" spans="1:10" ht="15" x14ac:dyDescent="0.25">
      <c r="A161" s="287"/>
      <c r="B161" s="311"/>
      <c r="C161" s="311"/>
      <c r="D161" s="311"/>
      <c r="E161" s="311"/>
      <c r="F161" s="311"/>
      <c r="G161" s="311"/>
      <c r="H161" s="247"/>
      <c r="I161" s="311"/>
      <c r="J161" s="161"/>
    </row>
    <row r="162" spans="1:10" ht="14.25" x14ac:dyDescent="0.2">
      <c r="A162" s="247" t="s">
        <v>117</v>
      </c>
      <c r="B162" s="205">
        <v>667996</v>
      </c>
      <c r="C162" s="334">
        <v>42349</v>
      </c>
      <c r="D162" s="382">
        <v>1959547</v>
      </c>
      <c r="E162" s="382"/>
      <c r="F162" s="334">
        <v>42349</v>
      </c>
      <c r="G162" s="382">
        <v>7331360</v>
      </c>
      <c r="H162" s="382"/>
      <c r="I162" s="198" t="s">
        <v>533</v>
      </c>
    </row>
    <row r="163" spans="1:10" ht="14.25" x14ac:dyDescent="0.2">
      <c r="A163" s="247" t="s">
        <v>523</v>
      </c>
      <c r="B163" s="205">
        <v>1391490.6459999999</v>
      </c>
      <c r="C163" s="334">
        <v>43012</v>
      </c>
      <c r="D163" s="382">
        <v>2973196.307</v>
      </c>
      <c r="E163" s="382"/>
      <c r="F163" s="334">
        <v>43014</v>
      </c>
      <c r="G163" s="382">
        <v>9748834</v>
      </c>
      <c r="H163" s="382"/>
      <c r="I163" s="204" t="s">
        <v>131</v>
      </c>
    </row>
    <row r="164" spans="1:10" ht="14.25" x14ac:dyDescent="0.2">
      <c r="A164" s="247" t="s">
        <v>522</v>
      </c>
      <c r="B164" s="205">
        <v>70020.093869999997</v>
      </c>
      <c r="C164" s="334">
        <v>42901</v>
      </c>
      <c r="D164" s="382">
        <v>165827</v>
      </c>
      <c r="E164" s="382"/>
      <c r="F164" s="334">
        <v>42631</v>
      </c>
      <c r="G164" s="382">
        <v>612552</v>
      </c>
      <c r="H164" s="382"/>
      <c r="I164" s="204" t="s">
        <v>533</v>
      </c>
    </row>
    <row r="165" spans="1:10" ht="14.25" x14ac:dyDescent="0.2">
      <c r="A165" s="247" t="s">
        <v>498</v>
      </c>
      <c r="B165" s="205">
        <v>16176.58837517</v>
      </c>
      <c r="C165" s="334">
        <v>43039</v>
      </c>
      <c r="D165" s="205"/>
      <c r="E165" s="204"/>
      <c r="F165" s="205"/>
      <c r="G165" s="204"/>
      <c r="H165" s="304"/>
      <c r="I165" s="304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Oct 2017</v>
      </c>
      <c r="G177" s="125"/>
      <c r="H177" s="125"/>
    </row>
    <row r="178" spans="1:11" ht="12.75" customHeight="1" x14ac:dyDescent="0.2">
      <c r="F178" s="371" t="s">
        <v>200</v>
      </c>
      <c r="G178" s="371"/>
      <c r="H178" s="371"/>
    </row>
    <row r="179" spans="1:11" x14ac:dyDescent="0.2">
      <c r="F179" s="371"/>
      <c r="G179" s="371"/>
      <c r="H179" s="371"/>
    </row>
    <row r="180" spans="1:11" x14ac:dyDescent="0.2">
      <c r="K180" s="126"/>
    </row>
    <row r="181" spans="1:11" ht="13.5" thickBot="1" x14ac:dyDescent="0.25">
      <c r="A181" s="10" t="s">
        <v>668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0"/>
      <c r="B182" s="280"/>
      <c r="C182" s="280"/>
      <c r="D182" s="280"/>
      <c r="E182" s="318"/>
      <c r="F182" s="391" t="s">
        <v>209</v>
      </c>
      <c r="G182" s="391"/>
      <c r="H182" s="391"/>
      <c r="I182" s="391"/>
    </row>
    <row r="183" spans="1:11" ht="15.75" thickBot="1" x14ac:dyDescent="0.3">
      <c r="A183" s="294"/>
      <c r="B183" s="319" t="str">
        <f>TEXT(DATE(2000,TEXT(H3,"M")-1,1),"mmm")&amp; " "&amp; TEXT(H3,"YYYY")</f>
        <v>Sep 2017</v>
      </c>
      <c r="C183" s="283" t="s">
        <v>16</v>
      </c>
      <c r="D183" s="319" t="str">
        <f>TEXT(DATE(2000,TEXT(H3,"M")-1,1),"mmm")&amp; " "&amp; TEXT(H3,"YYYY")-1</f>
        <v>Sep 2016</v>
      </c>
      <c r="E183" s="320" t="s">
        <v>16</v>
      </c>
      <c r="F183" s="294">
        <f>TEXT($H$3,"YYYY")-1</f>
        <v>2016</v>
      </c>
      <c r="G183" s="283">
        <f>TEXT($H$3,"YYYY")-2</f>
        <v>2015</v>
      </c>
      <c r="H183" s="294">
        <f>TEXT($H$3,"YYYY")-3</f>
        <v>2014</v>
      </c>
      <c r="I183" s="283">
        <f>TEXT($H$3,"YYYY")-4</f>
        <v>2013</v>
      </c>
    </row>
    <row r="184" spans="1:11" ht="14.25" x14ac:dyDescent="0.2">
      <c r="A184" s="247" t="s">
        <v>17</v>
      </c>
      <c r="B184" s="366">
        <v>1105380.28648377</v>
      </c>
      <c r="C184" s="367">
        <v>17</v>
      </c>
      <c r="D184" s="368">
        <v>1087210.1269233299</v>
      </c>
      <c r="E184" s="369">
        <v>17</v>
      </c>
      <c r="F184" s="304">
        <v>17</v>
      </c>
      <c r="G184" s="344">
        <v>18</v>
      </c>
      <c r="H184" s="304">
        <v>17</v>
      </c>
      <c r="I184" s="344">
        <v>19</v>
      </c>
      <c r="K184" s="126"/>
    </row>
    <row r="185" spans="1:11" ht="14.25" x14ac:dyDescent="0.2">
      <c r="A185" s="247" t="s">
        <v>18</v>
      </c>
      <c r="B185" s="368">
        <v>36926.5012282104</v>
      </c>
      <c r="C185" s="369">
        <v>19</v>
      </c>
      <c r="D185" s="368">
        <v>44605.374034239452</v>
      </c>
      <c r="E185" s="369">
        <v>19</v>
      </c>
      <c r="F185" s="304">
        <v>21</v>
      </c>
      <c r="G185" s="344">
        <v>20</v>
      </c>
      <c r="H185" s="304">
        <v>24</v>
      </c>
      <c r="I185" s="344">
        <v>22</v>
      </c>
      <c r="K185" s="261"/>
    </row>
    <row r="186" spans="1:11" ht="14.25" x14ac:dyDescent="0.2">
      <c r="A186" s="247" t="s">
        <v>164</v>
      </c>
      <c r="B186" s="370">
        <v>0.29918751065643956</v>
      </c>
      <c r="C186" s="369">
        <v>27</v>
      </c>
      <c r="D186" s="370">
        <v>0.35499999999999998</v>
      </c>
      <c r="E186" s="369">
        <v>31</v>
      </c>
      <c r="F186" s="304">
        <v>25</v>
      </c>
      <c r="G186" s="344">
        <v>22</v>
      </c>
      <c r="H186" s="304">
        <v>29</v>
      </c>
      <c r="I186" s="344">
        <v>26</v>
      </c>
      <c r="K186" s="261"/>
    </row>
    <row r="187" spans="1:11" ht="14.25" x14ac:dyDescent="0.2">
      <c r="A187" s="247" t="s">
        <v>165</v>
      </c>
      <c r="B187" s="370">
        <v>0.36010580488148236</v>
      </c>
      <c r="C187" s="369">
        <v>26</v>
      </c>
      <c r="D187" s="370">
        <v>0.45300000000000001</v>
      </c>
      <c r="E187" s="369">
        <v>24</v>
      </c>
      <c r="F187" s="304">
        <v>28</v>
      </c>
      <c r="G187" s="344">
        <v>22</v>
      </c>
      <c r="H187" s="304">
        <v>29</v>
      </c>
      <c r="I187" s="344">
        <v>30</v>
      </c>
      <c r="K187" s="261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1"/>
    </row>
    <row r="189" spans="1:11" ht="13.5" thickTop="1" x14ac:dyDescent="0.2">
      <c r="A189" s="18" t="s">
        <v>19</v>
      </c>
      <c r="B189" s="18"/>
      <c r="D189" s="27"/>
      <c r="E189" s="49"/>
      <c r="K189" s="261"/>
    </row>
    <row r="190" spans="1:11" x14ac:dyDescent="0.2">
      <c r="A190" s="18" t="s">
        <v>20</v>
      </c>
      <c r="B190" s="36"/>
      <c r="K190" s="261"/>
    </row>
    <row r="191" spans="1:11" x14ac:dyDescent="0.2">
      <c r="K191" s="261"/>
    </row>
    <row r="192" spans="1:11" x14ac:dyDescent="0.2">
      <c r="A192" s="124" t="s">
        <v>166</v>
      </c>
      <c r="K192" s="261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0"/>
      <c r="B194" s="279" t="s">
        <v>1</v>
      </c>
      <c r="C194" s="279" t="s">
        <v>181</v>
      </c>
      <c r="D194" s="279" t="s">
        <v>181</v>
      </c>
      <c r="E194" s="279" t="s">
        <v>2</v>
      </c>
      <c r="F194" s="322"/>
      <c r="G194" s="280"/>
      <c r="H194" s="280"/>
      <c r="I194" s="280"/>
    </row>
    <row r="195" spans="1:9" ht="15" x14ac:dyDescent="0.25">
      <c r="A195" s="280"/>
      <c r="B195" s="279" t="s">
        <v>3</v>
      </c>
      <c r="C195" s="279" t="s">
        <v>180</v>
      </c>
      <c r="D195" s="279" t="s">
        <v>180</v>
      </c>
      <c r="E195" s="279" t="s">
        <v>5</v>
      </c>
      <c r="F195" s="322"/>
      <c r="G195" s="280"/>
      <c r="H195" s="280"/>
      <c r="I195" s="280"/>
    </row>
    <row r="196" spans="1:9" ht="15.75" thickBot="1" x14ac:dyDescent="0.3">
      <c r="A196" s="294"/>
      <c r="B196" s="281" t="str">
        <f>TEXT($H$3,"MMM")&amp;" "&amp;TEXT($H$3,"YYYY")</f>
        <v>Oct 2017</v>
      </c>
      <c r="C196" s="281" t="str">
        <f>TEXT($H$3,"YYYY")</f>
        <v>2017</v>
      </c>
      <c r="D196" s="281">
        <f>TEXT($H$3,"YYYY")-1</f>
        <v>2016</v>
      </c>
      <c r="E196" s="283" t="s">
        <v>6</v>
      </c>
      <c r="F196" s="283">
        <f>TEXT($H$3,"YYYY")-1</f>
        <v>2016</v>
      </c>
      <c r="G196" s="283">
        <f>TEXT($H$3,"YYYY")-2</f>
        <v>2015</v>
      </c>
      <c r="H196" s="283">
        <f>TEXT($H$3,"YYYY")-3</f>
        <v>2014</v>
      </c>
      <c r="I196" s="283">
        <f>TEXT($H$3,"YYYY")-4</f>
        <v>2013</v>
      </c>
    </row>
    <row r="197" spans="1:9" ht="14.25" x14ac:dyDescent="0.2">
      <c r="A197" s="247" t="s">
        <v>21</v>
      </c>
      <c r="B197" s="195">
        <f>SUMIF(Data!$DG$1:$DG$15,"AS",Data!$DH$1:$DH$15)/1000000</f>
        <v>6675.4190251</v>
      </c>
      <c r="C197" s="360">
        <f>SUMIF(Data!$DJ$1:$DJ$15,"AS",Data!$DK$1:$DK$15)/1000000</f>
        <v>23060.625689479999</v>
      </c>
      <c r="D197" s="360">
        <f>SUMIF(Data!$DM$1:$DM$15,"AS",Data!$DN$1:$DN$15)/1000000</f>
        <v>11625.24779886</v>
      </c>
      <c r="E197" s="362">
        <f>IFERROR(IF(OR(AND(D197="",C197=""),AND(D197=0,C197=0)),0,
IF(OR(D197="",D197=0),1,
IF(OR(D197&lt;&gt;"",D197&lt;&gt;0),(C197-D197)/ABS(D197)))),-1)</f>
        <v>0.98366745281260837</v>
      </c>
      <c r="F197" s="205">
        <v>13085</v>
      </c>
      <c r="G197" s="360">
        <v>93130</v>
      </c>
      <c r="H197" s="360">
        <v>33385</v>
      </c>
      <c r="I197" s="360">
        <v>38563</v>
      </c>
    </row>
    <row r="198" spans="1:9" ht="14.25" x14ac:dyDescent="0.2">
      <c r="A198" s="247" t="s">
        <v>22</v>
      </c>
      <c r="B198" s="195">
        <f>(SUMIF(Data!$DG$1:$DG$15,"RT",Data!$DH$1:$DH$15)+SUMIF(Data!$DG$1:$DG$15,"TU",Data!$DH$1:$DH$15))/1000000</f>
        <v>640.00002749999999</v>
      </c>
      <c r="C198" s="360">
        <f>(SUMIF(Data!$DJ$1:$DJ$15,"RT",Data!$DK$1:$DK$15)+SUMIF(Data!$DJ$1:$DJ$15,"TU",Data!$DK$1:$DK$15))/1000000</f>
        <v>28573.846695169999</v>
      </c>
      <c r="D198" s="360">
        <f>(SUMIF(Data!$DM$1:$DM$15,"RT",Data!$DN$1:$DN$15)+SUMIF(Data!$DM$1:$DM$15,"TU",Data!$DN$1:$DN$15))/1000000</f>
        <v>21376.26482688</v>
      </c>
      <c r="E198" s="362">
        <f t="shared" ref="E198:E201" si="16">IFERROR(IF(OR(AND(D198="",C198=""),AND(D198=0,C198=0)),0,
IF(OR(D198="",D198=0),1,
IF(OR(D198&lt;&gt;"",D198&lt;&gt;0),(C198-D198)/ABS(D198)))),-1)</f>
        <v>0.33670905214643765</v>
      </c>
      <c r="F198" s="205">
        <v>24160</v>
      </c>
      <c r="G198" s="360">
        <v>35842</v>
      </c>
      <c r="H198" s="360">
        <v>43473</v>
      </c>
      <c r="I198" s="360">
        <v>15510</v>
      </c>
    </row>
    <row r="199" spans="1:9" ht="14.25" x14ac:dyDescent="0.2">
      <c r="A199" s="247" t="s">
        <v>176</v>
      </c>
      <c r="B199" s="195">
        <v>0</v>
      </c>
      <c r="C199" s="360">
        <v>0</v>
      </c>
      <c r="D199" s="360">
        <v>0</v>
      </c>
      <c r="E199" s="362">
        <f t="shared" si="16"/>
        <v>0</v>
      </c>
      <c r="F199" s="205" t="s">
        <v>534</v>
      </c>
      <c r="G199" s="185" t="s">
        <v>535</v>
      </c>
      <c r="H199" s="185" t="s">
        <v>535</v>
      </c>
      <c r="I199" s="185" t="s">
        <v>534</v>
      </c>
    </row>
    <row r="200" spans="1:9" ht="14.25" x14ac:dyDescent="0.2">
      <c r="A200" s="247" t="s">
        <v>23</v>
      </c>
      <c r="B200" s="195">
        <f>(SUMIF(Data!$DG$1:$DG$15,"SO",Data!$DH$1:$DH$15)+SUMIF(Data!$DG$1:$DG$15,"SS",Data!$DH$1:$DH$15))/1000000</f>
        <v>638.41724003000002</v>
      </c>
      <c r="C200" s="360">
        <f>(SUMIF(Data!$DJ$1:$DJ$15,"SO",Data!$DK$1:$DK$15)+SUMIF(Data!$DJ$1:$DJ$15,"SS",Data!$DK$1:$DK$15))/1000000</f>
        <v>8119.5463487299994</v>
      </c>
      <c r="D200" s="360">
        <f>(SUMIF(Data!$DM$1:$DM$15,"SO",Data!$DN$1:$DN$15)+SUMIF(Data!$DM$1:$DM$15,"SS",Data!$DN$1:$DN$15))/1000000</f>
        <v>7966.2312318100003</v>
      </c>
      <c r="E200" s="362">
        <f t="shared" si="16"/>
        <v>1.9245627255683431E-2</v>
      </c>
      <c r="F200" s="205">
        <v>9374</v>
      </c>
      <c r="G200" s="360">
        <v>11688</v>
      </c>
      <c r="H200" s="360">
        <v>9553</v>
      </c>
      <c r="I200" s="360">
        <v>8322</v>
      </c>
    </row>
    <row r="201" spans="1:9" ht="14.25" x14ac:dyDescent="0.2">
      <c r="A201" s="247" t="s">
        <v>24</v>
      </c>
      <c r="B201" s="195">
        <f>(SUMIF(Data!$DG$1:$DG$15,"SI",Data!$DH$1:$DH$15)+SUMIF(Data!$DG$1:$DG$15,"GI",Data!$DH$1:$DH$15))/1000000</f>
        <v>2095.7690005200002</v>
      </c>
      <c r="C201" s="360">
        <f>(SUMIF(Data!$DJ$1:$DJ$15,"SI",Data!$DK$1:$DK$15)+SUMIF(Data!$DJ$1:$DJ$15,"GI",Data!$DK$1:$DK$15))/1000000</f>
        <v>26754.449412919999</v>
      </c>
      <c r="D201" s="360">
        <f>(SUMIF(Data!$DM$1:$DM$15,"SI",Data!$DN$1:$DN$15)+SUMIF(Data!$DM$1:$DM$15,"GI",Data!$DN$1:$DN$15))/1000000</f>
        <v>58059.878944850003</v>
      </c>
      <c r="E201" s="362">
        <f t="shared" si="16"/>
        <v>-0.53919212545493678</v>
      </c>
      <c r="F201" s="205">
        <v>69649</v>
      </c>
      <c r="G201" s="360">
        <v>109530</v>
      </c>
      <c r="H201" s="360">
        <v>66949</v>
      </c>
      <c r="I201" s="360">
        <v>30691</v>
      </c>
    </row>
    <row r="202" spans="1:9" ht="15" x14ac:dyDescent="0.25">
      <c r="A202" s="287" t="s">
        <v>25</v>
      </c>
      <c r="B202" s="361">
        <f>SUM(B197:B201)</f>
        <v>10049.605293150002</v>
      </c>
      <c r="C202" s="361">
        <f>SUM(C197:C201)</f>
        <v>86508.468146300002</v>
      </c>
      <c r="D202" s="361">
        <f>SUM(D197:D201)</f>
        <v>99027.622802400001</v>
      </c>
      <c r="E202" s="363">
        <f>IFERROR(IF(OR(AND(D202="",C202=""),AND(D202=0,C202=0)),0,
IF(OR(D202="",D202=0),1,
IF(OR(D202&lt;&gt;"",D202&lt;&gt;0),(C202-D202)/ABS(D202)))),-1)</f>
        <v>-0.12642083392308381</v>
      </c>
      <c r="F202" s="361">
        <v>116269</v>
      </c>
      <c r="G202" s="361">
        <v>250190</v>
      </c>
      <c r="H202" s="361">
        <v>153360</v>
      </c>
      <c r="I202" s="361">
        <v>93086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0"/>
      <c r="B207" s="279" t="s">
        <v>1</v>
      </c>
      <c r="C207" s="279" t="s">
        <v>181</v>
      </c>
      <c r="D207" s="279" t="s">
        <v>181</v>
      </c>
      <c r="E207" s="279" t="s">
        <v>27</v>
      </c>
      <c r="F207" s="322"/>
      <c r="G207" s="280"/>
      <c r="H207" s="280"/>
      <c r="I207" s="280"/>
    </row>
    <row r="208" spans="1:9" ht="15" x14ac:dyDescent="0.25">
      <c r="A208" s="280"/>
      <c r="B208" s="279" t="s">
        <v>3</v>
      </c>
      <c r="C208" s="279" t="s">
        <v>180</v>
      </c>
      <c r="D208" s="279" t="s">
        <v>180</v>
      </c>
      <c r="E208" s="279" t="s">
        <v>5</v>
      </c>
      <c r="F208" s="322"/>
      <c r="G208" s="280"/>
      <c r="H208" s="280"/>
      <c r="I208" s="280"/>
    </row>
    <row r="209" spans="1:9" ht="15.75" thickBot="1" x14ac:dyDescent="0.3">
      <c r="A209" s="294"/>
      <c r="B209" s="281" t="str">
        <f>TEXT($H$3,"MMM")&amp;" "&amp;TEXT($H$3,"YYYY")</f>
        <v>Oct 2017</v>
      </c>
      <c r="C209" s="281" t="str">
        <f>TEXT($H$3,"YYYY")</f>
        <v>2017</v>
      </c>
      <c r="D209" s="281">
        <f>TEXT($H$3,"YYYY")-1</f>
        <v>2016</v>
      </c>
      <c r="E209" s="283" t="s">
        <v>6</v>
      </c>
      <c r="F209" s="283">
        <f>TEXT($H$3,"YYYY")-1</f>
        <v>2016</v>
      </c>
      <c r="G209" s="283">
        <f>TEXT($H$3,"YYYY")-2</f>
        <v>2015</v>
      </c>
      <c r="H209" s="283">
        <f>TEXT($H$3,"YYYY")-3</f>
        <v>2014</v>
      </c>
      <c r="I209" s="283">
        <f>TEXT($H$3,"YYYY")-4</f>
        <v>2013</v>
      </c>
    </row>
    <row r="210" spans="1:9" ht="14.25" x14ac:dyDescent="0.2">
      <c r="A210" s="247" t="s">
        <v>172</v>
      </c>
      <c r="B210" s="285">
        <v>0.33710000000000001</v>
      </c>
      <c r="C210" s="285">
        <v>0.3296</v>
      </c>
      <c r="D210" s="285">
        <v>0.35709999999999997</v>
      </c>
      <c r="E210" s="285">
        <f>IFERROR(IF(OR(AND(D210="",C210=""),AND(D210=0,C210=0)),"",
IF(OR(D210="",D210=0),1,
IF(OR(D210&lt;&gt;"",D210&lt;&gt;0),(C210-D210)/ABS(D210)))),-1)</f>
        <v>-7.7009241108932994E-2</v>
      </c>
      <c r="F210" s="323">
        <v>34.9</v>
      </c>
      <c r="G210" s="323">
        <v>42.8</v>
      </c>
      <c r="H210" s="323">
        <v>36.6</v>
      </c>
      <c r="I210" s="323">
        <v>39.4</v>
      </c>
    </row>
    <row r="211" spans="1:9" ht="14.25" x14ac:dyDescent="0.2">
      <c r="A211" s="246" t="s">
        <v>173</v>
      </c>
      <c r="B211" s="285">
        <v>0.29809999999999998</v>
      </c>
      <c r="C211" s="285">
        <v>0.30399999999999999</v>
      </c>
      <c r="D211" s="285">
        <v>0.33110000000000001</v>
      </c>
      <c r="E211" s="285">
        <f>IFERROR(IF(OR(AND(D211="",C211=""),AND(D211=0,C211=0)),"",
IF(OR(D211="",D211=0),1,
IF(OR(D211&lt;&gt;"",D211&lt;&gt;0),(C211-D211)/ABS(D211)))),-1)</f>
        <v>-8.1848384173965602E-2</v>
      </c>
      <c r="F211" s="323">
        <v>32.6</v>
      </c>
      <c r="G211" s="323">
        <v>39.9</v>
      </c>
      <c r="H211" s="323">
        <v>33.9</v>
      </c>
      <c r="I211" s="323">
        <v>33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667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0"/>
      <c r="B217" s="279" t="s">
        <v>1</v>
      </c>
      <c r="C217" s="279" t="s">
        <v>181</v>
      </c>
      <c r="D217" s="279" t="s">
        <v>181</v>
      </c>
      <c r="E217" s="279" t="s">
        <v>27</v>
      </c>
      <c r="F217" s="322"/>
      <c r="G217" s="280"/>
      <c r="H217" s="280"/>
      <c r="I217" s="280"/>
    </row>
    <row r="218" spans="1:9" ht="15" x14ac:dyDescent="0.25">
      <c r="A218" s="280"/>
      <c r="B218" s="279" t="s">
        <v>3</v>
      </c>
      <c r="C218" s="279" t="s">
        <v>4</v>
      </c>
      <c r="D218" s="279" t="s">
        <v>180</v>
      </c>
      <c r="E218" s="279" t="s">
        <v>5</v>
      </c>
      <c r="F218" s="322"/>
      <c r="G218" s="280"/>
      <c r="H218" s="280"/>
      <c r="I218" s="280"/>
    </row>
    <row r="219" spans="1:9" ht="15.75" thickBot="1" x14ac:dyDescent="0.3">
      <c r="A219" s="294"/>
      <c r="B219" s="281" t="str">
        <f>TEXT($H$3,"MMM")&amp;" "&amp;TEXT($H$3,"YYYY")</f>
        <v>Oct 2017</v>
      </c>
      <c r="C219" s="281" t="str">
        <f>TEXT($H$3,"YYYY")</f>
        <v>2017</v>
      </c>
      <c r="D219" s="281">
        <f>TEXT($H$3,"YYYY")-1</f>
        <v>2016</v>
      </c>
      <c r="E219" s="283" t="s">
        <v>6</v>
      </c>
      <c r="F219" s="283">
        <f>TEXT($H$3,"YYYY")-1</f>
        <v>2016</v>
      </c>
      <c r="G219" s="283">
        <f>TEXT($H$3,"YYYY")-2</f>
        <v>2015</v>
      </c>
      <c r="H219" s="283">
        <f>TEXT($H$3,"YYYY")-3</f>
        <v>2014</v>
      </c>
      <c r="I219" s="283">
        <f>TEXT($H$3,"YYYY")-4</f>
        <v>2013</v>
      </c>
    </row>
    <row r="220" spans="1:9" ht="15" x14ac:dyDescent="0.25">
      <c r="A220" s="313" t="s">
        <v>192</v>
      </c>
      <c r="B220" s="247"/>
      <c r="C220" s="247"/>
      <c r="D220" s="247"/>
      <c r="E220" s="247"/>
      <c r="F220" s="247"/>
      <c r="G220" s="247"/>
      <c r="H220" s="247"/>
      <c r="I220" s="247"/>
    </row>
    <row r="221" spans="1:9" ht="14.25" x14ac:dyDescent="0.2">
      <c r="A221" s="247" t="s">
        <v>29</v>
      </c>
      <c r="B221" s="248">
        <f ca="1">SUMIF(Data!$BT$1:$BT$7,"&lt;&gt;AltX",Data!$BU$1:$BU$6)</f>
        <v>324</v>
      </c>
      <c r="C221" s="248">
        <f>SUMIF(Data!$BT$9:$BT$14,"&lt;&gt;AltX",Data!BU9:BU14)</f>
        <v>324</v>
      </c>
      <c r="D221" s="248">
        <f>SUMIF(Data!$BT$17:$BT$23,"&lt;&gt;AltX",Data!$BU$17:$BU$24)</f>
        <v>328</v>
      </c>
      <c r="E221" s="285">
        <f>IFERROR(IF(OR(AND(D221="",C221=""),AND(D221=0,C221=0)),"",
IF(OR(D221="",D221=0),1,
IF(OR(D221&lt;&gt;"",D221&lt;&gt;0),(C221-D221)/ABS(D221)))),-1)</f>
        <v>-1.2195121951219513E-2</v>
      </c>
      <c r="F221" s="248">
        <v>328</v>
      </c>
      <c r="G221" s="248">
        <v>331</v>
      </c>
      <c r="H221" s="248">
        <v>333</v>
      </c>
      <c r="I221" s="248">
        <v>329</v>
      </c>
    </row>
    <row r="222" spans="1:9" ht="14.25" x14ac:dyDescent="0.2">
      <c r="A222" s="247" t="s">
        <v>30</v>
      </c>
      <c r="B222" s="248">
        <f ca="1">SUMIF(Data!$BT$1:$BT$7,"&lt;&gt;AltX",Data!$BV$1:$BV$6)</f>
        <v>2</v>
      </c>
      <c r="C222" s="248">
        <f>SUMIF(Data!$BT$9:$BT$14,"&lt;&gt;AltX",Data!BV9:BV14)</f>
        <v>11</v>
      </c>
      <c r="D222" s="248">
        <f>SUMIF(Data!$BT$17:$BT$23,"&lt;&gt;AltX",Data!$BV$17:$BV$23)</f>
        <v>9</v>
      </c>
      <c r="E222" s="285">
        <f t="shared" ref="E222:E223" si="17">IFERROR(IF(OR(AND(D222="",C222=""),AND(D222=0,C222=0)),"",
IF(OR(D222="",D222=0),1,
IF(OR(D222&lt;&gt;"",D222&lt;&gt;0),(C222-D222)/ABS(D222)))),-1)</f>
        <v>0.22222222222222221</v>
      </c>
      <c r="F222" s="248">
        <v>11</v>
      </c>
      <c r="G222" s="248">
        <v>15</v>
      </c>
      <c r="H222" s="248">
        <v>18</v>
      </c>
      <c r="I222" s="248">
        <v>8</v>
      </c>
    </row>
    <row r="223" spans="1:9" ht="14.25" x14ac:dyDescent="0.2">
      <c r="A223" s="247" t="s">
        <v>31</v>
      </c>
      <c r="B223" s="248">
        <f ca="1">SUMIF(Data!$BT$1:$BT$7,"&lt;&gt;AltX",Data!$BW$1:$BW$6)</f>
        <v>1</v>
      </c>
      <c r="C223" s="248">
        <v>19</v>
      </c>
      <c r="D223" s="248">
        <f>SUMIF(Data!$BT$17:$BT$23,"&lt;&gt;AltX",Data!$BW$17:$BW$23)</f>
        <v>13</v>
      </c>
      <c r="E223" s="285">
        <f t="shared" si="17"/>
        <v>0.46153846153846156</v>
      </c>
      <c r="F223" s="248">
        <v>17</v>
      </c>
      <c r="G223" s="248">
        <v>18</v>
      </c>
      <c r="H223" s="248">
        <v>20</v>
      </c>
      <c r="I223" s="248">
        <v>18</v>
      </c>
    </row>
    <row r="224" spans="1:9" ht="14.25" x14ac:dyDescent="0.2">
      <c r="A224" s="247"/>
      <c r="B224" s="248"/>
      <c r="C224" s="248"/>
      <c r="D224" s="248"/>
      <c r="E224" s="324"/>
      <c r="F224" s="248"/>
      <c r="G224" s="248"/>
      <c r="H224" s="248"/>
      <c r="I224" s="248"/>
    </row>
    <row r="225" spans="1:9" ht="15" x14ac:dyDescent="0.25">
      <c r="A225" s="287" t="s">
        <v>139</v>
      </c>
      <c r="B225" s="248"/>
      <c r="C225" s="248"/>
      <c r="D225" s="248"/>
      <c r="E225" s="324"/>
      <c r="F225" s="248"/>
      <c r="G225" s="248"/>
      <c r="H225" s="248"/>
      <c r="I225" s="248"/>
    </row>
    <row r="226" spans="1:9" ht="14.25" x14ac:dyDescent="0.2">
      <c r="A226" s="247" t="s">
        <v>29</v>
      </c>
      <c r="B226" s="248">
        <f ca="1">SUMIF(Data!$BT$1:$BT$7,"AltX",Data!$BU$1:$BU$6)</f>
        <v>52</v>
      </c>
      <c r="C226" s="248">
        <f>SUMIF(Data!$BT$9:$BT$14,"AltX",Data!BU9:BU14)</f>
        <v>52</v>
      </c>
      <c r="D226" s="248">
        <f>SUMIF(Data!$BT$17:$BT$23,"AltX",Data!$BU$17:$BU$24)</f>
        <v>59</v>
      </c>
      <c r="E226" s="285">
        <f t="shared" ref="E226:E227" si="18">IFERROR(IF(OR(AND(D226="",C226=""),AND(D226=0,C226=0)),"",
IF(OR(D226="",D226=0),1,
IF(OR(D226&lt;&gt;"",D226&lt;&gt;0),(C226-D226)/ABS(D226)))),-1)</f>
        <v>-0.11864406779661017</v>
      </c>
      <c r="F226" s="248">
        <v>60</v>
      </c>
      <c r="G226" s="248">
        <v>64</v>
      </c>
      <c r="H226" s="248">
        <v>58</v>
      </c>
      <c r="I226" s="248">
        <v>60</v>
      </c>
    </row>
    <row r="227" spans="1:9" ht="14.25" x14ac:dyDescent="0.2">
      <c r="A227" s="247" t="s">
        <v>30</v>
      </c>
      <c r="B227" s="248">
        <f ca="1">SUMIF(Data!$BT$1:$BT$7,"AltX",Data!$BV$1:$BV$6)</f>
        <v>1</v>
      </c>
      <c r="C227" s="248">
        <f>SUMIF(Data!$BT$9:$BT$14,"AltX",Data!BV9:BV14)</f>
        <v>6</v>
      </c>
      <c r="D227" s="248">
        <f>SUMIF(Data!$BT$17:$BT$23,"AltX",Data!$BV$17:$BV$23)</f>
        <v>3</v>
      </c>
      <c r="E227" s="285">
        <f t="shared" si="18"/>
        <v>1</v>
      </c>
      <c r="F227" s="248">
        <v>7</v>
      </c>
      <c r="G227" s="248">
        <v>8</v>
      </c>
      <c r="H227" s="248">
        <v>6</v>
      </c>
      <c r="I227" s="248">
        <v>5</v>
      </c>
    </row>
    <row r="228" spans="1:9" ht="14.25" x14ac:dyDescent="0.2">
      <c r="A228" s="247" t="s">
        <v>31</v>
      </c>
      <c r="B228" s="248">
        <f ca="1">SUMIF(Data!$BT$1:$BT$7,"AltX",Data!$BW$1:$BW$6)</f>
        <v>1</v>
      </c>
      <c r="C228" s="321">
        <v>10</v>
      </c>
      <c r="D228" s="248">
        <f>SUMIF(Data!$BT$17:$BT$23,"AltX",Data!$BW$17:$BW$23)</f>
        <v>7</v>
      </c>
      <c r="E228" s="285">
        <f t="shared" ref="E228" ca="1" si="19">IFERROR(IF(OR(AND(C228="",B228=""),AND(C228=0,B228=0)),"",
IF(OR(C228="",C228=0),1,
IF(OR(C228&lt;&gt;"",C228&lt;&gt;0),(B228-C228)/ABS(C228)))),-1)</f>
        <v>-0.9</v>
      </c>
      <c r="F228" s="248">
        <v>8</v>
      </c>
      <c r="G228" s="248">
        <v>1</v>
      </c>
      <c r="H228" s="248">
        <v>2</v>
      </c>
      <c r="I228" s="248">
        <v>8</v>
      </c>
    </row>
    <row r="229" spans="1:9" ht="14.25" x14ac:dyDescent="0.2">
      <c r="A229" s="247"/>
      <c r="B229" s="248"/>
      <c r="C229" s="321"/>
      <c r="D229" s="248"/>
      <c r="E229" s="324"/>
      <c r="F229" s="248"/>
      <c r="G229" s="248"/>
      <c r="H229" s="248"/>
      <c r="I229" s="248"/>
    </row>
    <row r="230" spans="1:9" ht="15" x14ac:dyDescent="0.25">
      <c r="A230" s="287" t="s">
        <v>32</v>
      </c>
      <c r="B230" s="248"/>
      <c r="C230" s="321"/>
      <c r="D230" s="248"/>
      <c r="E230" s="324"/>
      <c r="F230" s="248"/>
      <c r="G230" s="248"/>
      <c r="H230" s="248"/>
      <c r="I230" s="248"/>
    </row>
    <row r="231" spans="1:9" ht="14.25" x14ac:dyDescent="0.2">
      <c r="A231" s="247" t="s">
        <v>30</v>
      </c>
      <c r="B231" s="248">
        <f t="shared" ref="B231:D232" ca="1" si="20">B222+B227</f>
        <v>3</v>
      </c>
      <c r="C231" s="321">
        <f t="shared" si="20"/>
        <v>17</v>
      </c>
      <c r="D231" s="248">
        <f t="shared" si="20"/>
        <v>12</v>
      </c>
      <c r="E231" s="285">
        <f t="shared" ref="E231:E237" si="21">IFERROR(IF(OR(AND(D231="",C231=""),AND(D231=0,C231=0)),"",
IF(OR(D231="",D231=0),1,
IF(OR(D231&lt;&gt;"",D231&lt;&gt;0),(C231-D231)/ABS(D231)))),-1)</f>
        <v>0.41666666666666669</v>
      </c>
      <c r="F231" s="248">
        <v>18</v>
      </c>
      <c r="G231" s="248">
        <v>23</v>
      </c>
      <c r="H231" s="248">
        <v>24</v>
      </c>
      <c r="I231" s="248">
        <v>13</v>
      </c>
    </row>
    <row r="232" spans="1:9" ht="14.25" x14ac:dyDescent="0.2">
      <c r="A232" s="247" t="s">
        <v>31</v>
      </c>
      <c r="B232" s="248">
        <f t="shared" ca="1" si="20"/>
        <v>2</v>
      </c>
      <c r="C232" s="321">
        <f t="shared" si="20"/>
        <v>29</v>
      </c>
      <c r="D232" s="248">
        <f t="shared" si="20"/>
        <v>20</v>
      </c>
      <c r="E232" s="285">
        <f>IFERROR(IF(OR(AND(D232="",C232=""),AND(D232=0,C232=0)),"",
IF(OR(D232="",D232=0),1,
IF(OR(D232&lt;&gt;"",D232&lt;&gt;0),(C232-D232)/ABS(D232)))),-1)</f>
        <v>0.45</v>
      </c>
      <c r="F232" s="248">
        <v>25</v>
      </c>
      <c r="G232" s="248">
        <v>19</v>
      </c>
      <c r="H232" s="248">
        <v>22</v>
      </c>
      <c r="I232" s="248">
        <v>26</v>
      </c>
    </row>
    <row r="233" spans="1:9" ht="14.25" x14ac:dyDescent="0.2">
      <c r="A233" s="247" t="s">
        <v>33</v>
      </c>
      <c r="B233" s="248">
        <f>SUM(Data!$CB$2:$CB$6)</f>
        <v>75</v>
      </c>
      <c r="C233" s="248">
        <f>SUM(Data!$CB$10:$CB$14)</f>
        <v>75</v>
      </c>
      <c r="D233" s="248">
        <f>SUM(Data!CB18:CB22)</f>
        <v>75</v>
      </c>
      <c r="E233" s="285">
        <f t="shared" si="21"/>
        <v>0</v>
      </c>
      <c r="F233" s="248">
        <v>76</v>
      </c>
      <c r="G233" s="248">
        <v>71</v>
      </c>
      <c r="H233" s="248">
        <v>62</v>
      </c>
      <c r="I233" s="248">
        <v>56</v>
      </c>
    </row>
    <row r="234" spans="1:9" ht="14.25" x14ac:dyDescent="0.2">
      <c r="A234" s="247" t="s">
        <v>34</v>
      </c>
      <c r="B234" s="248">
        <f>SUM(Data!$CA$2:$CA$6)</f>
        <v>301</v>
      </c>
      <c r="C234" s="248">
        <f>SUM(Data!$CA$10:$CA$14)</f>
        <v>301</v>
      </c>
      <c r="D234" s="248">
        <f>SUM(Data!CA18:CA22)</f>
        <v>312</v>
      </c>
      <c r="E234" s="285">
        <f t="shared" si="21"/>
        <v>-3.5256410256410256E-2</v>
      </c>
      <c r="F234" s="248">
        <v>312</v>
      </c>
      <c r="G234" s="248">
        <v>324</v>
      </c>
      <c r="H234" s="248">
        <v>329</v>
      </c>
      <c r="I234" s="248">
        <v>333</v>
      </c>
    </row>
    <row r="235" spans="1:9" ht="15" x14ac:dyDescent="0.25">
      <c r="A235" s="287" t="s">
        <v>35</v>
      </c>
      <c r="B235" s="249">
        <f ca="1">B221+B226</f>
        <v>376</v>
      </c>
      <c r="C235" s="249">
        <f>C221+C226</f>
        <v>376</v>
      </c>
      <c r="D235" s="249">
        <f>D221+D226</f>
        <v>387</v>
      </c>
      <c r="E235" s="325">
        <f t="shared" si="21"/>
        <v>-2.8423772609819122E-2</v>
      </c>
      <c r="F235" s="249">
        <v>388</v>
      </c>
      <c r="G235" s="249">
        <v>395</v>
      </c>
      <c r="H235" s="249">
        <v>391</v>
      </c>
      <c r="I235" s="249">
        <v>389</v>
      </c>
    </row>
    <row r="236" spans="1:9" ht="15" x14ac:dyDescent="0.25">
      <c r="A236" s="287"/>
      <c r="B236" s="248"/>
      <c r="C236" s="248"/>
      <c r="D236" s="249"/>
      <c r="E236" s="247"/>
      <c r="F236" s="248"/>
      <c r="G236" s="248"/>
      <c r="H236" s="248"/>
      <c r="I236" s="248"/>
    </row>
    <row r="237" spans="1:9" ht="15" x14ac:dyDescent="0.25">
      <c r="A237" s="287" t="s">
        <v>36</v>
      </c>
      <c r="B237" s="249">
        <f>Data!CD2</f>
        <v>814</v>
      </c>
      <c r="C237" s="249">
        <f>Data!CD2</f>
        <v>814</v>
      </c>
      <c r="D237" s="249">
        <f>Data!CD5</f>
        <v>800</v>
      </c>
      <c r="E237" s="325">
        <f t="shared" si="21"/>
        <v>1.7500000000000002E-2</v>
      </c>
      <c r="F237" s="249">
        <v>816</v>
      </c>
      <c r="G237" s="249">
        <v>858</v>
      </c>
      <c r="H237" s="249">
        <v>863</v>
      </c>
      <c r="I237" s="249">
        <v>881</v>
      </c>
    </row>
    <row r="238" spans="1:9" ht="15" x14ac:dyDescent="0.25">
      <c r="A238" s="287"/>
      <c r="B238" s="248"/>
      <c r="C238" s="248"/>
      <c r="D238" s="248"/>
      <c r="E238" s="247"/>
      <c r="F238" s="247"/>
      <c r="G238" s="247"/>
      <c r="H238" s="247"/>
      <c r="I238" s="247"/>
    </row>
    <row r="239" spans="1:9" ht="15" x14ac:dyDescent="0.25">
      <c r="A239" s="245" t="s">
        <v>37</v>
      </c>
      <c r="B239" s="326">
        <f>Data!CE2/1000000000</f>
        <v>16176.588375170006</v>
      </c>
      <c r="C239" s="326"/>
      <c r="D239" s="326">
        <f>Data!CE5/1000000000</f>
        <v>13327.118187431519</v>
      </c>
      <c r="E239" s="325">
        <f>IFERROR(IF(OR(AND(D239="",B239=""),AND(D239=0,B239=0)),"",
IF(OR(D239="",D239=0),1,
IF(OR(D239&lt;&gt;"",D239&lt;&gt;0),(B239-D239)/ABS(D239)))),-1)</f>
        <v>0.21380992857298683</v>
      </c>
      <c r="F239" s="326">
        <v>13580.6</v>
      </c>
      <c r="G239" s="326">
        <v>11727.6</v>
      </c>
      <c r="H239" s="326">
        <v>11505</v>
      </c>
      <c r="I239" s="326">
        <v>10626.2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Oct 2017</v>
      </c>
      <c r="E262" s="371" t="s">
        <v>201</v>
      </c>
      <c r="F262" s="371"/>
      <c r="G262" s="371"/>
      <c r="H262" s="371"/>
      <c r="I262" s="125"/>
    </row>
    <row r="263" spans="1:13" ht="13.5" thickBot="1" x14ac:dyDescent="0.25">
      <c r="A263" s="116"/>
      <c r="B263" s="116"/>
      <c r="C263" s="116"/>
      <c r="D263" s="116"/>
      <c r="E263" s="384"/>
      <c r="F263" s="384"/>
      <c r="G263" s="384"/>
      <c r="H263" s="384"/>
      <c r="I263" s="116"/>
    </row>
    <row r="264" spans="1:13" ht="15" x14ac:dyDescent="0.25">
      <c r="A264" s="280"/>
      <c r="B264" s="280"/>
      <c r="C264" s="280"/>
      <c r="D264" s="181"/>
      <c r="E264" s="207"/>
      <c r="F264" s="327"/>
      <c r="G264" s="387" t="s">
        <v>203</v>
      </c>
      <c r="H264" s="387" t="s">
        <v>202</v>
      </c>
      <c r="I264" s="328"/>
    </row>
    <row r="265" spans="1:13" ht="12.75" customHeight="1" x14ac:dyDescent="0.25">
      <c r="A265" s="280"/>
      <c r="B265" s="280"/>
      <c r="C265" s="280"/>
      <c r="D265" s="181"/>
      <c r="E265" s="387" t="s">
        <v>40</v>
      </c>
      <c r="F265" s="392" t="str">
        <f>"Index Close   "&amp;TEXT($H$3,"MMM")&amp;" "&amp;TEXT($H$3,"YYYY")</f>
        <v>Index Close   Oct 2017</v>
      </c>
      <c r="G265" s="387"/>
      <c r="H265" s="387"/>
      <c r="I265" s="394" t="s">
        <v>41</v>
      </c>
    </row>
    <row r="266" spans="1:13" ht="15.75" thickBot="1" x14ac:dyDescent="0.3">
      <c r="A266" s="329"/>
      <c r="B266" s="330"/>
      <c r="C266" s="330"/>
      <c r="D266" s="197"/>
      <c r="E266" s="388"/>
      <c r="F266" s="393"/>
      <c r="G266" s="388"/>
      <c r="H266" s="388"/>
      <c r="I266" s="395"/>
    </row>
    <row r="267" spans="1:13" ht="15" x14ac:dyDescent="0.25">
      <c r="A267" s="331" t="s">
        <v>39</v>
      </c>
      <c r="B267" s="331"/>
      <c r="C267" s="331"/>
      <c r="D267" s="331"/>
      <c r="E267" s="331"/>
      <c r="F267" s="331"/>
      <c r="G267" s="331"/>
      <c r="H267" s="331"/>
      <c r="I267" s="331"/>
    </row>
    <row r="268" spans="1:13" ht="14.25" x14ac:dyDescent="0.2">
      <c r="A268" s="247" t="s">
        <v>42</v>
      </c>
      <c r="B268" s="247"/>
      <c r="C268" s="184"/>
      <c r="D268" s="184"/>
      <c r="E268" s="247" t="s">
        <v>43</v>
      </c>
      <c r="F268" s="184">
        <f>IFERROR(VLOOKUP(E268,Data!$G$23:$H$196,2,FALSE),0)</f>
        <v>58980.107623830001</v>
      </c>
      <c r="G268" s="285">
        <f>IF(IFERROR(VLOOKUP(E268,Data!$O$23:$P$196,2,FALSE),0)=0,0,(F268-IFERROR(VLOOKUP(E268,Data!$O$23:$P$196,2,FALSE),0))/ABS(IFERROR(VLOOKUP(E268,Data!$O$23:$P$196,2,FALSE),0)))</f>
        <v>6.1176491643586087E-2</v>
      </c>
      <c r="H268" s="184">
        <f>VLOOKUP(E268,Data!$B$23:$E$273,3,FALSE)</f>
        <v>58980.107623830001</v>
      </c>
      <c r="I268" s="332">
        <f>VLOOKUP(E268,Data!$B$23:$E$273,2,FALSE)</f>
        <v>43039</v>
      </c>
    </row>
    <row r="269" spans="1:13" ht="14.25" x14ac:dyDescent="0.2">
      <c r="A269" s="247" t="s">
        <v>44</v>
      </c>
      <c r="B269" s="247"/>
      <c r="C269" s="184"/>
      <c r="D269" s="184"/>
      <c r="E269" s="247" t="s">
        <v>45</v>
      </c>
      <c r="F269" s="184">
        <f>IFERROR(VLOOKUP(E269,Data!$G$23:$H$196,2,FALSE),0)</f>
        <v>75145.479720689997</v>
      </c>
      <c r="G269" s="285">
        <f>IF(IFERROR(VLOOKUP(E269,Data!$O$23:$P$196,2,FALSE),0)=0,0,(F269-IFERROR(VLOOKUP(E269,Data!$O$23:$P$196,2,FALSE),0))/ABS(IFERROR(VLOOKUP(E269,Data!$O$23:$P$196,2,FALSE),0)))</f>
        <v>4.0049816587651568E-2</v>
      </c>
      <c r="H269" s="184">
        <f>VLOOKUP(E269,Data!$B$23:$E$273,3,FALSE)</f>
        <v>82603.124167989998</v>
      </c>
      <c r="I269" s="332">
        <f>VLOOKUP(E269,Data!$B$23:$E$273,2,FALSE)</f>
        <v>42594</v>
      </c>
      <c r="J269" s="157"/>
      <c r="M269" s="157"/>
    </row>
    <row r="270" spans="1:13" s="161" customFormat="1" ht="14.25" x14ac:dyDescent="0.2">
      <c r="A270" s="304" t="s">
        <v>46</v>
      </c>
      <c r="B270" s="304"/>
      <c r="C270" s="185"/>
      <c r="D270" s="185"/>
      <c r="E270" s="304" t="s">
        <v>47</v>
      </c>
      <c r="F270" s="185">
        <f>IFERROR(VLOOKUP(E270,Data!$G$23:$H$196,2,FALSE),0)</f>
        <v>61039.046541449999</v>
      </c>
      <c r="G270" s="333">
        <f>IF(IFERROR(VLOOKUP(E270,Data!$O$23:$P$196,2,FALSE),0)=0,0,(F270-IFERROR(VLOOKUP(E270,Data!$O$23:$P$196,2,FALSE),0))/ABS(IFERROR(VLOOKUP(E270,Data!$O$23:$P$196,2,FALSE),0)))</f>
        <v>2.2272766792905074E-2</v>
      </c>
      <c r="H270" s="185">
        <f>VLOOKUP(E270,Data!$B$23:$E$273,3,FALSE)</f>
        <v>65469.71245626</v>
      </c>
      <c r="I270" s="334">
        <f>VLOOKUP(E270,Data!$B$23:$E$273,2,FALSE)</f>
        <v>42814</v>
      </c>
      <c r="K270" s="175"/>
      <c r="L270" s="175"/>
    </row>
    <row r="271" spans="1:13" ht="14.25" x14ac:dyDescent="0.2">
      <c r="A271" s="247" t="s">
        <v>48</v>
      </c>
      <c r="B271" s="247"/>
      <c r="C271" s="184"/>
      <c r="D271" s="184"/>
      <c r="E271" s="247" t="s">
        <v>49</v>
      </c>
      <c r="F271" s="184">
        <f>IFERROR(VLOOKUP(E271,Data!$G$23:$H$196,2,FALSE),0)</f>
        <v>7566.4797655599996</v>
      </c>
      <c r="G271" s="285">
        <f>IF(IFERROR(VLOOKUP(E271,Data!$O$23:$P$196,2,FALSE),0)=0,0,(F271-IFERROR(VLOOKUP(E271,Data!$O$23:$P$196,2,FALSE),0))/ABS(IFERROR(VLOOKUP(E271,Data!$O$23:$P$196,2,FALSE),0)))</f>
        <v>1.0269989692726782E-2</v>
      </c>
      <c r="H271" s="184">
        <f>VLOOKUP(E271,Data!$B$23:$E$273,3,FALSE)</f>
        <v>8292.5284918300003</v>
      </c>
      <c r="I271" s="332">
        <f>VLOOKUP(E271,Data!$B$23:$E$273,2,FALSE)</f>
        <v>42783</v>
      </c>
      <c r="J271" s="157"/>
      <c r="M271" s="157"/>
    </row>
    <row r="272" spans="1:13" ht="14.25" x14ac:dyDescent="0.2">
      <c r="A272" s="247" t="s">
        <v>50</v>
      </c>
      <c r="B272" s="247"/>
      <c r="C272" s="184"/>
      <c r="D272" s="184"/>
      <c r="E272" s="247" t="s">
        <v>51</v>
      </c>
      <c r="F272" s="184">
        <f>IFERROR(VLOOKUP(E272,Data!$G$23:$H$196,2,FALSE),0)</f>
        <v>29476.61313052</v>
      </c>
      <c r="G272" s="285">
        <f>IF(IFERROR(VLOOKUP(E272,Data!$O$23:$P$196,2,FALSE),0)=0,0,(F272-IFERROR(VLOOKUP(E272,Data!$O$23:$P$196,2,FALSE),0))/ABS(IFERROR(VLOOKUP(E272,Data!$O$23:$P$196,2,FALSE),0)))</f>
        <v>5.0781589312604139E-2</v>
      </c>
      <c r="H272" s="184">
        <f>VLOOKUP(E272,Data!$B$23:$E$273,3,FALSE)</f>
        <v>29476.61313052</v>
      </c>
      <c r="I272" s="332">
        <f>VLOOKUP(E272,Data!$B$23:$E$273,2,FALSE)</f>
        <v>43039</v>
      </c>
      <c r="J272" s="157"/>
      <c r="M272" s="157"/>
    </row>
    <row r="273" spans="1:13" ht="14.25" x14ac:dyDescent="0.2">
      <c r="A273" s="247" t="s">
        <v>52</v>
      </c>
      <c r="B273" s="247"/>
      <c r="C273" s="184"/>
      <c r="D273" s="184"/>
      <c r="E273" s="247" t="s">
        <v>53</v>
      </c>
      <c r="F273" s="184">
        <f>IFERROR(VLOOKUP(E273,Data!$G$23:$H$196,2,FALSE),0)</f>
        <v>12946.927274510001</v>
      </c>
      <c r="G273" s="285">
        <f>IF(IFERROR(VLOOKUP(E273,Data!$O$23:$P$196,2,FALSE),0)=0,0,(F273-IFERROR(VLOOKUP(E273,Data!$O$23:$P$196,2,FALSE),0))/ABS(IFERROR(VLOOKUP(E273,Data!$O$23:$P$196,2,FALSE),0)))</f>
        <v>6.3401552351980486E-2</v>
      </c>
      <c r="H273" s="184">
        <f>VLOOKUP(E273,Data!$B$23:$E$273,3,FALSE)</f>
        <v>12946.927274510001</v>
      </c>
      <c r="I273" s="332">
        <f>VLOOKUP(E273,Data!$B$23:$E$273,2,FALSE)</f>
        <v>43039</v>
      </c>
      <c r="J273" s="157"/>
      <c r="M273" s="157"/>
    </row>
    <row r="274" spans="1:13" ht="14.25" x14ac:dyDescent="0.2">
      <c r="A274" s="247"/>
      <c r="B274" s="247"/>
      <c r="C274" s="184"/>
      <c r="D274" s="184"/>
      <c r="E274" s="247"/>
      <c r="F274" s="184"/>
      <c r="G274" s="184"/>
      <c r="H274" s="184"/>
      <c r="I274" s="332"/>
    </row>
    <row r="275" spans="1:13" ht="15" x14ac:dyDescent="0.25">
      <c r="A275" s="331" t="s">
        <v>54</v>
      </c>
      <c r="B275" s="331"/>
      <c r="C275" s="331"/>
      <c r="D275" s="331"/>
      <c r="E275" s="331"/>
      <c r="F275" s="331"/>
      <c r="G275" s="331"/>
      <c r="H275" s="331"/>
      <c r="I275" s="331"/>
    </row>
    <row r="276" spans="1:13" ht="14.25" x14ac:dyDescent="0.2">
      <c r="A276" s="247" t="s">
        <v>55</v>
      </c>
      <c r="B276" s="247"/>
      <c r="C276" s="184"/>
      <c r="D276" s="184"/>
      <c r="E276" s="247" t="s">
        <v>56</v>
      </c>
      <c r="F276" s="184">
        <f>IFERROR(VLOOKUP(E276,Data!$G$23:$H$196,2,FALSE),0)</f>
        <v>52570.202037770003</v>
      </c>
      <c r="G276" s="285">
        <f>IF(IFERROR(VLOOKUP(E276,Data!$O$23:$P$196,2,FALSE),0)=0,0,(F276-IFERROR(VLOOKUP(E276,Data!$O$23:$P$196,2,FALSE),0))/ABS(IFERROR(VLOOKUP(E276,Data!$O$23:$P$196,2,FALSE),0)))</f>
        <v>6.4681384400275224E-2</v>
      </c>
      <c r="H276" s="184">
        <f>VLOOKUP(E276,Data!$B$23:$E$273,3,FALSE)</f>
        <v>52570.202037770003</v>
      </c>
      <c r="I276" s="332">
        <f>VLOOKUP(E276,Data!$B$23:$E$273,2,FALSE)</f>
        <v>43039</v>
      </c>
    </row>
    <row r="277" spans="1:13" ht="14.25" x14ac:dyDescent="0.2">
      <c r="A277" s="247" t="s">
        <v>57</v>
      </c>
      <c r="B277" s="247"/>
      <c r="C277" s="184"/>
      <c r="D277" s="184"/>
      <c r="E277" s="247" t="s">
        <v>58</v>
      </c>
      <c r="F277" s="184">
        <f>IFERROR(VLOOKUP(E277,Data!$G$23:$H$196,2,FALSE),0)</f>
        <v>27094.229882489999</v>
      </c>
      <c r="G277" s="285">
        <f>IF(IFERROR(VLOOKUP(E277,Data!$O$23:$P$196,2,FALSE),0)=0,0,(F277-IFERROR(VLOOKUP(E277,Data!$O$23:$P$196,2,FALSE),0))/ABS(IFERROR(VLOOKUP(E277,Data!$O$23:$P$196,2,FALSE),0)))</f>
        <v>4.8581416165077169E-2</v>
      </c>
      <c r="H277" s="184">
        <f>VLOOKUP(E277,Data!$B$23:$E$273,3,FALSE)</f>
        <v>27094.229882489999</v>
      </c>
      <c r="I277" s="332">
        <f>VLOOKUP(E277,Data!$B$23:$E$273,2,FALSE)</f>
        <v>43039</v>
      </c>
      <c r="J277" s="157"/>
      <c r="M277" s="157"/>
    </row>
    <row r="278" spans="1:13" ht="14.25" x14ac:dyDescent="0.2">
      <c r="A278" s="247" t="s">
        <v>59</v>
      </c>
      <c r="B278" s="247"/>
      <c r="C278" s="184"/>
      <c r="D278" s="184"/>
      <c r="E278" s="247" t="s">
        <v>60</v>
      </c>
      <c r="F278" s="184">
        <f>IFERROR(VLOOKUP(E278,Data!$G$23:$H$196,2,FALSE),0)</f>
        <v>11717.33356284</v>
      </c>
      <c r="G278" s="285">
        <f>IF(IFERROR(VLOOKUP(E278,Data!$O$23:$P$196,2,FALSE),0)=0,0,(F278-IFERROR(VLOOKUP(E278,Data!$O$23:$P$196,2,FALSE),0))/ABS(IFERROR(VLOOKUP(E278,Data!$O$23:$P$196,2,FALSE),0)))</f>
        <v>6.8579891470826174E-2</v>
      </c>
      <c r="H278" s="184">
        <f>VLOOKUP(E278,Data!$B$23:$E$273,3,FALSE)</f>
        <v>11718.04179748</v>
      </c>
      <c r="I278" s="332">
        <f>VLOOKUP(E278,Data!$B$23:$E$273,2,FALSE)</f>
        <v>43038</v>
      </c>
      <c r="J278" s="157"/>
      <c r="M278" s="157"/>
    </row>
    <row r="279" spans="1:13" ht="14.25" x14ac:dyDescent="0.2">
      <c r="A279" s="247" t="s">
        <v>185</v>
      </c>
      <c r="B279" s="247"/>
      <c r="C279" s="184"/>
      <c r="D279" s="184"/>
      <c r="E279" s="247" t="s">
        <v>61</v>
      </c>
      <c r="F279" s="184">
        <f>IFERROR(VLOOKUP(E279,Data!$G$23:$H$196,2,FALSE),0)</f>
        <v>37247.063513059999</v>
      </c>
      <c r="G279" s="285">
        <f>IF(IFERROR(VLOOKUP(E279,Data!$O$23:$P$196,2,FALSE),0)=0,0,(F279-IFERROR(VLOOKUP(E279,Data!$O$23:$P$196,2,FALSE),0))/ABS(IFERROR(VLOOKUP(E279,Data!$O$23:$P$196,2,FALSE),0)))</f>
        <v>6.3732961919940878E-2</v>
      </c>
      <c r="H279" s="184">
        <f>VLOOKUP(E279,Data!$B$23:$E$273,3,FALSE)</f>
        <v>77308.45</v>
      </c>
      <c r="I279" s="332">
        <f>VLOOKUP(E279,Data!$B$23:$E$273,2,FALSE)</f>
        <v>39590</v>
      </c>
      <c r="J279" s="157"/>
      <c r="M279" s="157"/>
    </row>
    <row r="280" spans="1:13" ht="14.25" x14ac:dyDescent="0.2">
      <c r="A280" s="247" t="s">
        <v>62</v>
      </c>
      <c r="B280" s="247"/>
      <c r="C280" s="184"/>
      <c r="D280" s="184"/>
      <c r="E280" s="247" t="s">
        <v>63</v>
      </c>
      <c r="F280" s="184">
        <f>IFERROR(VLOOKUP(E280,Data!$G$23:$H$196,2,FALSE),0)</f>
        <v>1376.9296855600001</v>
      </c>
      <c r="G280" s="285">
        <f>IF(IFERROR(VLOOKUP(E280,Data!$O$23:$P$196,2,FALSE),0)=0,0,(F280-IFERROR(VLOOKUP(E280,Data!$O$23:$P$196,2,FALSE),0))/ABS(IFERROR(VLOOKUP(E280,Data!$O$23:$P$196,2,FALSE),0)))</f>
        <v>3.9477511079520161E-2</v>
      </c>
      <c r="H280" s="184">
        <f>VLOOKUP(E280,Data!$B$23:$E$273,3,FALSE)</f>
        <v>3456.48</v>
      </c>
      <c r="I280" s="332">
        <f>VLOOKUP(E280,Data!$B$23:$E$273,2,FALSE)</f>
        <v>37515</v>
      </c>
      <c r="J280" s="157"/>
      <c r="M280" s="157"/>
    </row>
    <row r="281" spans="1:13" ht="14.25" x14ac:dyDescent="0.2">
      <c r="A281" s="247" t="s">
        <v>64</v>
      </c>
      <c r="B281" s="247"/>
      <c r="C281" s="184"/>
      <c r="D281" s="184"/>
      <c r="E281" s="247" t="s">
        <v>65</v>
      </c>
      <c r="F281" s="184">
        <f>IFERROR(VLOOKUP(E281,Data!$G$23:$H$196,2,FALSE),0)</f>
        <v>81849.656670650002</v>
      </c>
      <c r="G281" s="285">
        <f>IF(IFERROR(VLOOKUP(E281,Data!$O$23:$P$196,2,FALSE),0)=0,0,(F281-IFERROR(VLOOKUP(E281,Data!$O$23:$P$196,2,FALSE),0))/ABS(IFERROR(VLOOKUP(E281,Data!$O$23:$P$196,2,FALSE),0)))</f>
        <v>8.0828968059871956E-2</v>
      </c>
      <c r="H281" s="184">
        <f>VLOOKUP(E281,Data!$B$23:$E$273,3,FALSE)</f>
        <v>81947.366235759997</v>
      </c>
      <c r="I281" s="332">
        <f>VLOOKUP(E281,Data!$B$23:$E$273,2,FALSE)</f>
        <v>43038</v>
      </c>
      <c r="J281" s="157"/>
      <c r="M281" s="157"/>
    </row>
    <row r="282" spans="1:13" ht="14.25" x14ac:dyDescent="0.2">
      <c r="A282" s="247" t="s">
        <v>66</v>
      </c>
      <c r="B282" s="247"/>
      <c r="C282" s="184"/>
      <c r="D282" s="184"/>
      <c r="E282" s="247" t="s">
        <v>67</v>
      </c>
      <c r="F282" s="184">
        <f>IFERROR(VLOOKUP(E282,Data!$G$23:$H$196,2,FALSE),0)</f>
        <v>15423.4513668</v>
      </c>
      <c r="G282" s="285">
        <f>IF(IFERROR(VLOOKUP(E282,Data!$O$23:$P$196,2,FALSE),0)=0,0,(F282-IFERROR(VLOOKUP(E282,Data!$O$23:$P$196,2,FALSE),0))/ABS(IFERROR(VLOOKUP(E282,Data!$O$23:$P$196,2,FALSE),0)))</f>
        <v>2.0871480305014477E-2</v>
      </c>
      <c r="H282" s="184">
        <f>VLOOKUP(E282,Data!$B$23:$E$273,3,FALSE)</f>
        <v>17911.36431723</v>
      </c>
      <c r="I282" s="332">
        <f>VLOOKUP(E282,Data!$B$23:$E$273,2,FALSE)</f>
        <v>42118</v>
      </c>
      <c r="J282" s="157"/>
      <c r="M282" s="157"/>
    </row>
    <row r="283" spans="1:13" ht="14.25" x14ac:dyDescent="0.2">
      <c r="A283" s="247" t="s">
        <v>68</v>
      </c>
      <c r="B283" s="247"/>
      <c r="C283" s="184"/>
      <c r="D283" s="184"/>
      <c r="E283" s="247" t="s">
        <v>69</v>
      </c>
      <c r="F283" s="184">
        <f>IFERROR(VLOOKUP(E283,Data!$G$23:$H$196,2,FALSE),0)</f>
        <v>83437.390650419999</v>
      </c>
      <c r="G283" s="285">
        <f>IF(IFERROR(VLOOKUP(E283,Data!$O$23:$P$196,2,FALSE),0)=0,0,(F283-IFERROR(VLOOKUP(E283,Data!$O$23:$P$196,2,FALSE),0))/ABS(IFERROR(VLOOKUP(E283,Data!$O$23:$P$196,2,FALSE),0)))</f>
        <v>6.7607474953363458E-2</v>
      </c>
      <c r="H283" s="184">
        <f>VLOOKUP(E283,Data!$B$23:$E$273,3,FALSE)</f>
        <v>83465.516337509995</v>
      </c>
      <c r="I283" s="332">
        <f>VLOOKUP(E283,Data!$B$23:$E$273,2,FALSE)</f>
        <v>43038</v>
      </c>
      <c r="J283" s="157"/>
      <c r="M283" s="157"/>
    </row>
    <row r="284" spans="1:13" ht="14.25" x14ac:dyDescent="0.2">
      <c r="A284" s="247"/>
      <c r="B284" s="247"/>
      <c r="C284" s="184"/>
      <c r="D284" s="184"/>
      <c r="E284" s="247"/>
      <c r="F284" s="184"/>
      <c r="G284" s="184"/>
      <c r="H284" s="184"/>
      <c r="I284" s="332"/>
    </row>
    <row r="285" spans="1:13" ht="15" x14ac:dyDescent="0.25">
      <c r="A285" s="331" t="s">
        <v>70</v>
      </c>
      <c r="B285" s="331"/>
      <c r="C285" s="331"/>
      <c r="D285" s="331"/>
      <c r="E285" s="331"/>
      <c r="F285" s="331"/>
      <c r="G285" s="331"/>
      <c r="H285" s="331"/>
      <c r="I285" s="331"/>
    </row>
    <row r="286" spans="1:13" s="161" customFormat="1" ht="14.25" x14ac:dyDescent="0.2">
      <c r="A286" s="304" t="s">
        <v>71</v>
      </c>
      <c r="B286" s="304"/>
      <c r="C286" s="185"/>
      <c r="D286" s="185"/>
      <c r="E286" s="304" t="s">
        <v>72</v>
      </c>
      <c r="F286" s="185">
        <f>IFERROR(VLOOKUP(E286,Data!$G$23:$H$196,2,FALSE),0)</f>
        <v>0</v>
      </c>
      <c r="G286" s="333">
        <f>IF(IFERROR(VLOOKUP(E286,Data!$O$23:$P$196,2,FALSE),0)=0,0,(F286-IFERROR(VLOOKUP(E286,Data!$O$23:$P$196,2,FALSE),0))/ABS(IFERROR(VLOOKUP(E286,Data!$O$23:$P$196,2,FALSE),0)))</f>
        <v>0</v>
      </c>
      <c r="H286" s="185">
        <f>VLOOKUP(E286,Data!$B$23:$E$273,3,FALSE)</f>
        <v>24943.07</v>
      </c>
      <c r="I286" s="334">
        <f>VLOOKUP(E286,Data!$B$23:$E$273,2,FALSE)</f>
        <v>39381</v>
      </c>
      <c r="K286" s="175"/>
      <c r="L286" s="175"/>
    </row>
    <row r="287" spans="1:13" ht="14.25" x14ac:dyDescent="0.2">
      <c r="A287" s="247" t="s">
        <v>73</v>
      </c>
      <c r="B287" s="247"/>
      <c r="C287" s="184"/>
      <c r="D287" s="184"/>
      <c r="E287" s="247" t="s">
        <v>74</v>
      </c>
      <c r="F287" s="184">
        <f>IFERROR(VLOOKUP(E287,Data!$G$23:$H$196,2,FALSE),0)</f>
        <v>26479.361679900001</v>
      </c>
      <c r="G287" s="285">
        <f>IF(IFERROR(VLOOKUP(E287,Data!$O$23:$P$196,2,FALSE),0)=0,0,(F287-IFERROR(VLOOKUP(E287,Data!$O$23:$P$196,2,FALSE),0))/ABS(IFERROR(VLOOKUP(E287,Data!$O$23:$P$196,2,FALSE),0)))</f>
        <v>7.0450805445520459E-2</v>
      </c>
      <c r="H287" s="184">
        <f>VLOOKUP(E287,Data!$B$23:$E$273,3,FALSE)</f>
        <v>42763.39</v>
      </c>
      <c r="I287" s="332">
        <f>VLOOKUP(E287,Data!$B$23:$E$273,2,FALSE)</f>
        <v>39590</v>
      </c>
    </row>
    <row r="288" spans="1:13" ht="14.25" x14ac:dyDescent="0.2">
      <c r="A288" s="247" t="s">
        <v>75</v>
      </c>
      <c r="B288" s="247"/>
      <c r="C288" s="184"/>
      <c r="D288" s="184"/>
      <c r="E288" s="247" t="s">
        <v>76</v>
      </c>
      <c r="F288" s="184">
        <f>IFERROR(VLOOKUP(E288,Data!$G$23:$H$196,2,FALSE),0)</f>
        <v>48646.015366580003</v>
      </c>
      <c r="G288" s="285">
        <f>IF(IFERROR(VLOOKUP(E288,Data!$O$23:$P$196,2,FALSE),0)=0,0,(F288-IFERROR(VLOOKUP(E288,Data!$O$23:$P$196,2,FALSE),0))/ABS(IFERROR(VLOOKUP(E288,Data!$O$23:$P$196,2,FALSE),0)))</f>
        <v>3.5052081888702777E-2</v>
      </c>
      <c r="H288" s="184">
        <f>VLOOKUP(E288,Data!$B$23:$E$273,3,FALSE)</f>
        <v>50086.07815999</v>
      </c>
      <c r="I288" s="332">
        <f>VLOOKUP(E288,Data!$B$23:$E$273,2,FALSE)</f>
        <v>43024</v>
      </c>
    </row>
    <row r="289" spans="1:9" ht="14.25" x14ac:dyDescent="0.2">
      <c r="A289" s="247" t="s">
        <v>77</v>
      </c>
      <c r="B289" s="247"/>
      <c r="C289" s="184"/>
      <c r="D289" s="184"/>
      <c r="E289" s="247" t="s">
        <v>78</v>
      </c>
      <c r="F289" s="184">
        <f>IFERROR(VLOOKUP(E289,Data!$G$23:$H$196,2,FALSE),0)</f>
        <v>83717.139951110003</v>
      </c>
      <c r="G289" s="285">
        <f>IF(IFERROR(VLOOKUP(E289,Data!$O$23:$P$196,2,FALSE),0)=0,0,(F289-IFERROR(VLOOKUP(E289,Data!$O$23:$P$196,2,FALSE),0))/ABS(IFERROR(VLOOKUP(E289,Data!$O$23:$P$196,2,FALSE),0)))</f>
        <v>5.4216518118478656E-2</v>
      </c>
      <c r="H289" s="184">
        <f>VLOOKUP(E289,Data!$B$23:$E$273,3,FALSE)</f>
        <v>84154.806576119998</v>
      </c>
      <c r="I289" s="332">
        <f>VLOOKUP(E289,Data!$B$23:$E$273,2,FALSE)</f>
        <v>43035</v>
      </c>
    </row>
    <row r="290" spans="1:9" ht="14.25" x14ac:dyDescent="0.2">
      <c r="A290" s="247" t="s">
        <v>79</v>
      </c>
      <c r="B290" s="247"/>
      <c r="C290" s="184"/>
      <c r="D290" s="184"/>
      <c r="E290" s="247" t="s">
        <v>80</v>
      </c>
      <c r="F290" s="184">
        <f>IFERROR(VLOOKUP(E290,Data!$G$23:$H$196,2,FALSE),0)</f>
        <v>24511.453546370001</v>
      </c>
      <c r="G290" s="285">
        <f>IF(IFERROR(VLOOKUP(E290,Data!$O$23:$P$196,2,FALSE),0)=0,0,(F290-IFERROR(VLOOKUP(E290,Data!$O$23:$P$196,2,FALSE),0))/ABS(IFERROR(VLOOKUP(E290,Data!$O$23:$P$196,2,FALSE),0)))</f>
        <v>0.12337635603850622</v>
      </c>
      <c r="H290" s="184">
        <f>VLOOKUP(E290,Data!$B$23:$E$273,3,FALSE)</f>
        <v>35813.949999999997</v>
      </c>
      <c r="I290" s="332">
        <f>VLOOKUP(E290,Data!$B$23:$E$273,2,FALSE)</f>
        <v>39381</v>
      </c>
    </row>
    <row r="291" spans="1:9" ht="14.25" x14ac:dyDescent="0.2">
      <c r="A291" s="247" t="s">
        <v>81</v>
      </c>
      <c r="B291" s="247"/>
      <c r="C291" s="184"/>
      <c r="D291" s="184"/>
      <c r="E291" s="247" t="s">
        <v>82</v>
      </c>
      <c r="F291" s="184">
        <f>IFERROR(VLOOKUP(E291,Data!$G$23:$H$196,2,FALSE),0)</f>
        <v>42102.197569540003</v>
      </c>
      <c r="G291" s="285">
        <f>IF(IFERROR(VLOOKUP(E291,Data!$O$23:$P$196,2,FALSE),0)=0,0,(F291-IFERROR(VLOOKUP(E291,Data!$O$23:$P$196,2,FALSE),0))/ABS(IFERROR(VLOOKUP(E291,Data!$O$23:$P$196,2,FALSE),0)))</f>
        <v>2.0325448877037178E-2</v>
      </c>
      <c r="H291" s="184">
        <f>VLOOKUP(E291,Data!$B$23:$E$273,3,FALSE)</f>
        <v>46982.462386940002</v>
      </c>
      <c r="I291" s="332">
        <f>VLOOKUP(E291,Data!$B$23:$E$273,2,FALSE)</f>
        <v>42117</v>
      </c>
    </row>
    <row r="292" spans="1:9" ht="14.25" x14ac:dyDescent="0.2">
      <c r="A292" s="247" t="s">
        <v>83</v>
      </c>
      <c r="B292" s="247"/>
      <c r="C292" s="184"/>
      <c r="D292" s="184"/>
      <c r="E292" s="247" t="s">
        <v>84</v>
      </c>
      <c r="F292" s="184">
        <f>IFERROR(VLOOKUP(E292,Data!$G$23:$H$196,2,FALSE),0)</f>
        <v>48436.714270420001</v>
      </c>
      <c r="G292" s="285">
        <f>IF(IFERROR(VLOOKUP(E292,Data!$O$23:$P$196,2,FALSE),0)=0,0,(F292-IFERROR(VLOOKUP(E292,Data!$O$23:$P$196,2,FALSE),0))/ABS(IFERROR(VLOOKUP(E292,Data!$O$23:$P$196,2,FALSE),0)))</f>
        <v>6.5319759935321534E-2</v>
      </c>
      <c r="H292" s="184">
        <f>VLOOKUP(E292,Data!$B$23:$E$273,3,FALSE)</f>
        <v>71088.506129760004</v>
      </c>
      <c r="I292" s="332">
        <f>VLOOKUP(E292,Data!$B$23:$E$273,2,FALSE)</f>
        <v>42222</v>
      </c>
    </row>
    <row r="293" spans="1:9" ht="14.25" x14ac:dyDescent="0.2">
      <c r="A293" s="247" t="s">
        <v>85</v>
      </c>
      <c r="B293" s="247"/>
      <c r="C293" s="184"/>
      <c r="D293" s="184"/>
      <c r="E293" s="247" t="s">
        <v>86</v>
      </c>
      <c r="F293" s="184">
        <f>IFERROR(VLOOKUP(E293,Data!$G$23:$H$196,2,FALSE),0)</f>
        <v>6798.3794076800004</v>
      </c>
      <c r="G293" s="285">
        <f>IF(IFERROR(VLOOKUP(E293,Data!$O$23:$P$196,2,FALSE),0)=0,0,(F293-IFERROR(VLOOKUP(E293,Data!$O$23:$P$196,2,FALSE),0))/ABS(IFERROR(VLOOKUP(E293,Data!$O$23:$P$196,2,FALSE),0)))</f>
        <v>-2.7299988008464612E-2</v>
      </c>
      <c r="H293" s="184">
        <f>VLOOKUP(E293,Data!$B$23:$E$273,3,FALSE)</f>
        <v>65291.38</v>
      </c>
      <c r="I293" s="332">
        <f>VLOOKUP(E293,Data!$B$23:$E$273,2,FALSE)</f>
        <v>39381</v>
      </c>
    </row>
    <row r="294" spans="1:9" ht="14.25" x14ac:dyDescent="0.2">
      <c r="A294" s="247" t="s">
        <v>87</v>
      </c>
      <c r="B294" s="247"/>
      <c r="C294" s="184"/>
      <c r="D294" s="184"/>
      <c r="E294" s="247" t="s">
        <v>88</v>
      </c>
      <c r="F294" s="184">
        <f>IFERROR(VLOOKUP(E294,Data!$G$23:$H$196,2,FALSE),0)</f>
        <v>7640.7974108300004</v>
      </c>
      <c r="G294" s="285">
        <f>IF(IFERROR(VLOOKUP(E294,Data!$O$23:$P$196,2,FALSE),0)=0,0,(F294-IFERROR(VLOOKUP(E294,Data!$O$23:$P$196,2,FALSE),0))/ABS(IFERROR(VLOOKUP(E294,Data!$O$23:$P$196,2,FALSE),0)))</f>
        <v>2.877848341685247E-2</v>
      </c>
      <c r="H294" s="184">
        <f>VLOOKUP(E294,Data!$B$23:$E$273,3,FALSE)</f>
        <v>95446.135778840006</v>
      </c>
      <c r="I294" s="332">
        <f>VLOOKUP(E294,Data!$B$23:$E$273,2,FALSE)</f>
        <v>41893</v>
      </c>
    </row>
    <row r="295" spans="1:9" ht="14.25" x14ac:dyDescent="0.2">
      <c r="A295" s="247"/>
      <c r="B295" s="247"/>
      <c r="C295" s="184"/>
      <c r="D295" s="184"/>
      <c r="E295" s="247"/>
      <c r="F295" s="184"/>
      <c r="G295" s="184"/>
      <c r="H295" s="184"/>
      <c r="I295" s="332"/>
    </row>
    <row r="296" spans="1:9" ht="15" x14ac:dyDescent="0.25">
      <c r="A296" s="331" t="s">
        <v>89</v>
      </c>
      <c r="B296" s="331"/>
      <c r="C296" s="331"/>
      <c r="D296" s="331"/>
      <c r="E296" s="331"/>
      <c r="F296" s="331"/>
      <c r="G296" s="331"/>
      <c r="H296" s="331"/>
      <c r="I296" s="331"/>
    </row>
    <row r="297" spans="1:9" ht="14.25" x14ac:dyDescent="0.2">
      <c r="A297" s="247" t="s">
        <v>90</v>
      </c>
      <c r="B297" s="247"/>
      <c r="C297" s="184"/>
      <c r="D297" s="184"/>
      <c r="E297" s="247" t="s">
        <v>91</v>
      </c>
      <c r="F297" s="184">
        <f>IFERROR(VLOOKUP(E297,Data!$G$23:$H$196,2,FALSE),0)</f>
        <v>0</v>
      </c>
      <c r="G297" s="285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2">
        <f>VLOOKUP(E297,Data!$B$23:$E$273,2,FALSE)</f>
        <v>41849</v>
      </c>
    </row>
    <row r="298" spans="1:9" ht="14.25" x14ac:dyDescent="0.2">
      <c r="A298" s="247" t="s">
        <v>92</v>
      </c>
      <c r="B298" s="247"/>
      <c r="C298" s="184"/>
      <c r="D298" s="184"/>
      <c r="E298" s="247" t="s">
        <v>93</v>
      </c>
      <c r="F298" s="184">
        <f>IFERROR(VLOOKUP(E298,Data!$G$23:$H$196,2,FALSE),0)</f>
        <v>3637.3370576100001</v>
      </c>
      <c r="G298" s="285">
        <f>IF(IFERROR(VLOOKUP(E298,Data!$O$23:$P$196,2,FALSE),0)=0,0,(F298-IFERROR(VLOOKUP(E298,Data!$O$23:$P$196,2,FALSE),0))/ABS(IFERROR(VLOOKUP(E298,Data!$O$23:$P$196,2,FALSE),0)))</f>
        <v>4.505669253118802E-2</v>
      </c>
      <c r="H298" s="184">
        <f>VLOOKUP(E298,Data!$B$23:$E$273,3,FALSE)</f>
        <v>4599.9677435399999</v>
      </c>
      <c r="I298" s="332">
        <f>VLOOKUP(E298,Data!$B$23:$E$273,2,FALSE)</f>
        <v>41849</v>
      </c>
    </row>
    <row r="299" spans="1:9" ht="14.25" x14ac:dyDescent="0.2">
      <c r="A299" s="247" t="s">
        <v>189</v>
      </c>
      <c r="B299" s="247"/>
      <c r="C299" s="184"/>
      <c r="D299" s="184"/>
      <c r="E299" s="247" t="s">
        <v>190</v>
      </c>
      <c r="F299" s="184">
        <f>IFERROR(VLOOKUP(E299,Data!$G$23:$H$196,2,FALSE),0)</f>
        <v>896.66783926999994</v>
      </c>
      <c r="G299" s="285">
        <f>IF(IFERROR(VLOOKUP(E299,Data!$O$23:$P$196,2,FALSE),0)=0,0,(F299-IFERROR(VLOOKUP(E299,Data!$O$23:$P$196,2,FALSE),0))/ABS(IFERROR(VLOOKUP(E299,Data!$O$23:$P$196,2,FALSE),0)))</f>
        <v>5.2947373618950268E-3</v>
      </c>
      <c r="H299" s="184">
        <f>VLOOKUP(E299,Data!$B$23:$E$273,3,FALSE)</f>
        <v>1035.8389392900001</v>
      </c>
      <c r="I299" s="332">
        <f>VLOOKUP(E299,Data!$B$23:$E$273,2,FALSE)</f>
        <v>42303</v>
      </c>
    </row>
    <row r="300" spans="1:9" ht="14.25" x14ac:dyDescent="0.2">
      <c r="A300" s="247" t="s">
        <v>94</v>
      </c>
      <c r="B300" s="247"/>
      <c r="C300" s="184"/>
      <c r="D300" s="184"/>
      <c r="E300" s="247" t="s">
        <v>95</v>
      </c>
      <c r="F300" s="184">
        <f>IFERROR(VLOOKUP(E300,Data!$G$23:$H$196,2,FALSE),0)</f>
        <v>661.35102070000005</v>
      </c>
      <c r="G300" s="285">
        <f>IF(IFERROR(VLOOKUP(E300,Data!$O$23:$P$196,2,FALSE),0)=0,0,(F300-IFERROR(VLOOKUP(E300,Data!$O$23:$P$196,2,FALSE),0))/ABS(IFERROR(VLOOKUP(E300,Data!$O$23:$P$196,2,FALSE),0)))</f>
        <v>1.9570278961905423E-2</v>
      </c>
      <c r="H300" s="184">
        <f>VLOOKUP(E300,Data!$B$23:$E$273,3,FALSE)</f>
        <v>678.08424324999999</v>
      </c>
      <c r="I300" s="332">
        <f>VLOOKUP(E300,Data!$B$23:$E$273,2,FALSE)</f>
        <v>42578</v>
      </c>
    </row>
    <row r="301" spans="1:9" ht="14.25" x14ac:dyDescent="0.2">
      <c r="A301" s="247" t="s">
        <v>96</v>
      </c>
      <c r="B301" s="247"/>
      <c r="C301" s="184"/>
      <c r="D301" s="184"/>
      <c r="E301" s="247" t="s">
        <v>97</v>
      </c>
      <c r="F301" s="184">
        <f>IFERROR(VLOOKUP(E301,Data!$G$23:$H$196,2,FALSE),0)</f>
        <v>533.61438437000004</v>
      </c>
      <c r="G301" s="285">
        <f>IF(IFERROR(VLOOKUP(E301,Data!$O$23:$P$196,2,FALSE),0)=0,0,(F301-IFERROR(VLOOKUP(E301,Data!$O$23:$P$196,2,FALSE),0))/ABS(IFERROR(VLOOKUP(E301,Data!$O$23:$P$196,2,FALSE),0)))</f>
        <v>1.8239404748374745E-2</v>
      </c>
      <c r="H301" s="184">
        <f>VLOOKUP(E301,Data!$B$23:$E$273,3,FALSE)</f>
        <v>597.8558587</v>
      </c>
      <c r="I301" s="332">
        <f>VLOOKUP(E301,Data!$B$23:$E$273,2,FALSE)</f>
        <v>42305</v>
      </c>
    </row>
    <row r="302" spans="1:9" ht="14.25" x14ac:dyDescent="0.2">
      <c r="A302" s="247" t="s">
        <v>98</v>
      </c>
      <c r="B302" s="247"/>
      <c r="C302" s="184"/>
      <c r="D302" s="184"/>
      <c r="E302" s="247" t="s">
        <v>99</v>
      </c>
      <c r="F302" s="184">
        <f>IFERROR(VLOOKUP(E302,Data!$G$23:$H$196,2,FALSE),0)</f>
        <v>21127.838248880002</v>
      </c>
      <c r="G302" s="285">
        <f>IF(IFERROR(VLOOKUP(E302,Data!$O$23:$P$196,2,FALSE),0)=0,0,(F302-IFERROR(VLOOKUP(E302,Data!$O$23:$P$196,2,FALSE),0))/ABS(IFERROR(VLOOKUP(E302,Data!$O$23:$P$196,2,FALSE),0)))</f>
        <v>7.045080544564146E-2</v>
      </c>
      <c r="H302" s="184">
        <f>VLOOKUP(E302,Data!$B$23:$E$273,3,FALSE)</f>
        <v>42495.61</v>
      </c>
      <c r="I302" s="332">
        <f>VLOOKUP(E302,Data!$B$23:$E$273,2,FALSE)</f>
        <v>39590</v>
      </c>
    </row>
    <row r="303" spans="1:9" ht="14.25" x14ac:dyDescent="0.2">
      <c r="A303" s="247" t="s">
        <v>100</v>
      </c>
      <c r="B303" s="247"/>
      <c r="C303" s="184"/>
      <c r="D303" s="184"/>
      <c r="E303" s="247" t="s">
        <v>101</v>
      </c>
      <c r="F303" s="184">
        <f>IFERROR(VLOOKUP(E303,Data!$G$23:$H$196,2,FALSE),0)</f>
        <v>378.60535348000002</v>
      </c>
      <c r="G303" s="285">
        <f>IF(IFERROR(VLOOKUP(E303,Data!$O$23:$P$196,2,FALSE),0)=0,0,(F303-IFERROR(VLOOKUP(E303,Data!$O$23:$P$196,2,FALSE),0))/ABS(IFERROR(VLOOKUP(E303,Data!$O$23:$P$196,2,FALSE),0)))</f>
        <v>4.3347193062696562E-2</v>
      </c>
      <c r="H303" s="184">
        <f>VLOOKUP(E303,Data!$B$23:$E$273,3,FALSE)</f>
        <v>431.46959335999998</v>
      </c>
      <c r="I303" s="332">
        <f>VLOOKUP(E303,Data!$B$23:$E$273,2,FALSE)</f>
        <v>42129</v>
      </c>
    </row>
    <row r="304" spans="1:9" ht="14.25" x14ac:dyDescent="0.2">
      <c r="A304" s="247" t="s">
        <v>102</v>
      </c>
      <c r="B304" s="247"/>
      <c r="C304" s="184"/>
      <c r="D304" s="184"/>
      <c r="E304" s="247" t="s">
        <v>103</v>
      </c>
      <c r="F304" s="184">
        <f>IFERROR(VLOOKUP(E304,Data!$G$23:$H$196,2,FALSE),0)</f>
        <v>701.13539513000001</v>
      </c>
      <c r="G304" s="285">
        <f>IF(IFERROR(VLOOKUP(E304,Data!$O$23:$P$196,2,FALSE),0)=0,0,(F304-IFERROR(VLOOKUP(E304,Data!$O$23:$P$196,2,FALSE),0))/ABS(IFERROR(VLOOKUP(E304,Data!$O$23:$P$196,2,FALSE),0)))</f>
        <v>6.9234136772180918E-2</v>
      </c>
      <c r="H304" s="184">
        <f>VLOOKUP(E304,Data!$B$23:$E$273,3,FALSE)</f>
        <v>701.13539513000001</v>
      </c>
      <c r="I304" s="332">
        <f>VLOOKUP(E304,Data!$B$23:$E$273,2,FALSE)</f>
        <v>43039</v>
      </c>
    </row>
    <row r="305" spans="1:9" ht="14.25" x14ac:dyDescent="0.2">
      <c r="A305" s="247"/>
      <c r="B305" s="247"/>
      <c r="C305" s="184"/>
      <c r="D305" s="184"/>
      <c r="E305" s="247"/>
      <c r="F305" s="184"/>
      <c r="G305" s="184"/>
      <c r="H305" s="184"/>
      <c r="I305" s="332"/>
    </row>
    <row r="306" spans="1:9" ht="15" x14ac:dyDescent="0.25">
      <c r="A306" s="331" t="s">
        <v>104</v>
      </c>
      <c r="B306" s="331"/>
      <c r="C306" s="331"/>
      <c r="D306" s="331"/>
      <c r="E306" s="331"/>
      <c r="F306" s="331"/>
      <c r="G306" s="331"/>
      <c r="H306" s="331"/>
      <c r="I306" s="331"/>
    </row>
    <row r="307" spans="1:9" ht="14.25" x14ac:dyDescent="0.2">
      <c r="A307" s="247" t="s">
        <v>105</v>
      </c>
      <c r="B307" s="247"/>
      <c r="C307" s="184"/>
      <c r="D307" s="184"/>
      <c r="E307" s="247" t="s">
        <v>106</v>
      </c>
      <c r="F307" s="184">
        <f>IFERROR(VLOOKUP(E307,Data!$G$23:$H$196,2,FALSE),0)</f>
        <v>22.084320389999998</v>
      </c>
      <c r="G307" s="285">
        <f>IF(IFERROR(VLOOKUP(E307,Data!$O$23:$P$196,2,FALSE),0)=0,0,(F307-IFERROR(VLOOKUP(E307,Data!$O$23:$P$196,2,FALSE),0))/ABS(IFERROR(VLOOKUP(E307,Data!$O$23:$P$196,2,FALSE),0)))</f>
        <v>0.19531605032325128</v>
      </c>
      <c r="H307" s="184">
        <f>VLOOKUP(E307,Data!$B$23:$E$273,3,FALSE)</f>
        <v>146.47999999999999</v>
      </c>
      <c r="I307" s="332">
        <f>VLOOKUP(E307,Data!$B$23:$E$273,2,FALSE)</f>
        <v>39587</v>
      </c>
    </row>
    <row r="308" spans="1:9" ht="14.25" x14ac:dyDescent="0.2">
      <c r="A308" s="247" t="s">
        <v>107</v>
      </c>
      <c r="B308" s="247"/>
      <c r="C308" s="184"/>
      <c r="D308" s="184"/>
      <c r="E308" s="247" t="s">
        <v>108</v>
      </c>
      <c r="F308" s="184">
        <f>IFERROR(VLOOKUP(E308,Data!$G$23:$H$196,2,FALSE),0)</f>
        <v>8530.8841339600003</v>
      </c>
      <c r="G308" s="285">
        <f>IF(IFERROR(VLOOKUP(E308,Data!$O$23:$P$196,2,FALSE),0)=0,0,(F308-IFERROR(VLOOKUP(E308,Data!$O$23:$P$196,2,FALSE),0))/ABS(IFERROR(VLOOKUP(E308,Data!$O$23:$P$196,2,FALSE),0)))</f>
        <v>8.0979535535363065E-2</v>
      </c>
      <c r="H308" s="184">
        <f>VLOOKUP(E308,Data!$B$23:$E$273,3,FALSE)</f>
        <v>12608.67</v>
      </c>
      <c r="I308" s="332">
        <f>VLOOKUP(E308,Data!$B$23:$E$273,2,FALSE)</f>
        <v>39590</v>
      </c>
    </row>
    <row r="309" spans="1:9" ht="14.25" x14ac:dyDescent="0.2">
      <c r="A309" s="247"/>
      <c r="B309" s="247"/>
      <c r="C309" s="184"/>
      <c r="D309" s="184"/>
      <c r="E309" s="247"/>
      <c r="F309" s="184"/>
      <c r="G309" s="184"/>
      <c r="H309" s="184"/>
      <c r="I309" s="332"/>
    </row>
    <row r="310" spans="1:9" ht="15" x14ac:dyDescent="0.25">
      <c r="A310" s="331" t="s">
        <v>109</v>
      </c>
      <c r="B310" s="331"/>
      <c r="C310" s="331"/>
      <c r="D310" s="331"/>
      <c r="E310" s="331"/>
      <c r="F310" s="331"/>
      <c r="G310" s="331"/>
      <c r="H310" s="331"/>
      <c r="I310" s="331"/>
    </row>
    <row r="311" spans="1:9" ht="14.25" x14ac:dyDescent="0.2">
      <c r="A311" s="247" t="s">
        <v>110</v>
      </c>
      <c r="B311" s="247"/>
      <c r="C311" s="184"/>
      <c r="D311" s="184"/>
      <c r="E311" s="247" t="s">
        <v>111</v>
      </c>
      <c r="F311" s="184">
        <f>IFERROR(VLOOKUP(E311,Data!$G$23:$H$196,2,FALSE),0)</f>
        <v>0</v>
      </c>
      <c r="G311" s="285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2">
        <f>VLOOKUP(E311,Data!$B$23:$E$273,2,FALSE)</f>
        <v>42346</v>
      </c>
    </row>
    <row r="312" spans="1:9" ht="14.25" x14ac:dyDescent="0.2">
      <c r="A312" s="247" t="s">
        <v>112</v>
      </c>
      <c r="B312" s="247"/>
      <c r="C312" s="184"/>
      <c r="D312" s="184"/>
      <c r="E312" s="247" t="s">
        <v>113</v>
      </c>
      <c r="F312" s="184">
        <f>IFERROR(VLOOKUP(E312,Data!$G$23:$H$196,2,FALSE),0)</f>
        <v>0</v>
      </c>
      <c r="G312" s="285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2">
        <f>VLOOKUP(E312,Data!$B$23:$E$273,2,FALSE)</f>
        <v>38723</v>
      </c>
    </row>
    <row r="313" spans="1:9" ht="14.25" x14ac:dyDescent="0.2">
      <c r="A313" s="247" t="s">
        <v>114</v>
      </c>
      <c r="B313" s="247"/>
      <c r="C313" s="184"/>
      <c r="D313" s="184"/>
      <c r="E313" s="247" t="s">
        <v>115</v>
      </c>
      <c r="F313" s="184">
        <f>IFERROR(VLOOKUP(E313,Data!$G$23:$H$196,2,FALSE),0)</f>
        <v>1182.6942294600001</v>
      </c>
      <c r="G313" s="285">
        <f>IF(IFERROR(VLOOKUP(E313,Data!$O$23:$P$196,2,FALSE),0)=0,0,(F313-IFERROR(VLOOKUP(E313,Data!$O$23:$P$196,2,FALSE),0))/ABS(IFERROR(VLOOKUP(E313,Data!$O$23:$P$196,2,FALSE),0)))</f>
        <v>1.1785978607221257E-2</v>
      </c>
      <c r="H313" s="184">
        <f>VLOOKUP(E313,Data!$B$23:$E$273,3,FALSE)</f>
        <v>5041.9399999999996</v>
      </c>
      <c r="I313" s="332">
        <f>VLOOKUP(E313,Data!$B$23:$E$273,2,FALSE)</f>
        <v>39400</v>
      </c>
    </row>
    <row r="314" spans="1:9" ht="15" thickBot="1" x14ac:dyDescent="0.25">
      <c r="A314" s="288"/>
      <c r="B314" s="288"/>
      <c r="C314" s="182"/>
      <c r="D314" s="182"/>
      <c r="E314" s="182"/>
      <c r="F314" s="335"/>
      <c r="G314" s="288"/>
      <c r="H314" s="288"/>
      <c r="I314" s="288"/>
    </row>
    <row r="315" spans="1:9" ht="13.5" thickTop="1" x14ac:dyDescent="0.2">
      <c r="A315" s="364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6" customFormat="1" x14ac:dyDescent="0.2">
      <c r="K334" s="261"/>
      <c r="L334" s="261"/>
    </row>
    <row r="336" spans="11:12" s="246" customFormat="1" x14ac:dyDescent="0.2">
      <c r="K336" s="261"/>
      <c r="L336" s="261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Oct 2017</v>
      </c>
      <c r="E347" s="371" t="s">
        <v>204</v>
      </c>
      <c r="F347" s="371"/>
      <c r="G347" s="371"/>
      <c r="H347" s="371"/>
      <c r="I347" s="125"/>
    </row>
    <row r="348" spans="1:9" ht="13.5" thickBot="1" x14ac:dyDescent="0.25">
      <c r="A348" s="116"/>
      <c r="B348" s="116"/>
      <c r="C348" s="116"/>
      <c r="D348" s="116"/>
      <c r="E348" s="384"/>
      <c r="F348" s="384"/>
      <c r="G348" s="384"/>
      <c r="H348" s="384"/>
      <c r="I348" s="116"/>
    </row>
    <row r="349" spans="1:9" ht="15" x14ac:dyDescent="0.25">
      <c r="A349" s="280"/>
      <c r="B349" s="336"/>
      <c r="C349" s="280"/>
      <c r="D349" s="376" t="str">
        <f>TEXT(DATE(2000,TEXT(H3,"M")-1,1),"mmm")&amp; " "&amp; TEXT(H3,"YYYY")</f>
        <v>Sep 2017</v>
      </c>
      <c r="E349" s="376"/>
      <c r="F349" s="279" t="s">
        <v>27</v>
      </c>
      <c r="G349" s="309"/>
      <c r="H349" s="280"/>
      <c r="I349" s="279" t="s">
        <v>27</v>
      </c>
    </row>
    <row r="350" spans="1:9" ht="15" x14ac:dyDescent="0.25">
      <c r="A350" s="280"/>
      <c r="B350" s="336"/>
      <c r="C350" s="280"/>
      <c r="D350" s="377"/>
      <c r="E350" s="377"/>
      <c r="F350" s="279" t="s">
        <v>38</v>
      </c>
      <c r="G350" s="309"/>
      <c r="H350" s="280"/>
      <c r="I350" s="279" t="s">
        <v>147</v>
      </c>
    </row>
    <row r="351" spans="1:9" ht="15.75" thickBot="1" x14ac:dyDescent="0.3">
      <c r="A351" s="294"/>
      <c r="B351" s="337"/>
      <c r="C351" s="337" t="str">
        <f>TEXT($H$3,"MMM")&amp;" "&amp;TEXT($H$3,"YYYY")</f>
        <v>Oct 2017</v>
      </c>
      <c r="D351" s="378"/>
      <c r="E351" s="378"/>
      <c r="F351" s="283" t="s">
        <v>1</v>
      </c>
      <c r="G351" s="329"/>
      <c r="H351" s="337" t="str">
        <f>TEXT($H$3,"MMM")&amp;" "&amp;TEXT($H$3,"YYYY")-1</f>
        <v>Oct 2016</v>
      </c>
      <c r="I351" s="283" t="s">
        <v>28</v>
      </c>
    </row>
    <row r="352" spans="1:9" ht="15" x14ac:dyDescent="0.25">
      <c r="A352" s="331" t="s">
        <v>117</v>
      </c>
      <c r="B352" s="331"/>
      <c r="C352" s="331"/>
      <c r="D352" s="331"/>
      <c r="E352" s="331"/>
      <c r="F352" s="331"/>
      <c r="G352" s="331"/>
      <c r="H352" s="331"/>
      <c r="I352" s="331"/>
    </row>
    <row r="353" spans="1:9" ht="14.25" x14ac:dyDescent="0.2">
      <c r="A353" s="338" t="s">
        <v>14</v>
      </c>
      <c r="B353" s="247"/>
      <c r="C353" s="247"/>
      <c r="D353" s="374"/>
      <c r="E353" s="374"/>
      <c r="F353" s="247"/>
      <c r="G353" s="247"/>
      <c r="H353" s="247"/>
      <c r="I353" s="247"/>
    </row>
    <row r="354" spans="1:9" ht="14.25" x14ac:dyDescent="0.2">
      <c r="A354" s="247" t="s">
        <v>446</v>
      </c>
      <c r="B354" s="248"/>
      <c r="C354" s="248">
        <f>SUMIFS(Data!$V$2:$V$14,Data!$S$2:$S$14,MarketProfile!A354,Data!$X$2:$X$14,"1")</f>
        <v>231904</v>
      </c>
      <c r="D354" s="374">
        <f>SUMIFS(Data!$V$30:$V$42,Data!$S$30:$S$42,MarketProfile!A354,Data!$X$30:$X$42,"1")</f>
        <v>289421</v>
      </c>
      <c r="E354" s="374"/>
      <c r="F354" s="285">
        <f>IFERROR(IF(OR(AND(D354="",C354=""),AND(D354=0,C354=0)),"",
IF(OR(D354="",D354=0),1,
IF(OR(D354&lt;&gt;"",D354&lt;&gt;0),(C354-D354)/ABS(D354)))),-1)</f>
        <v>-0.19873125999841063</v>
      </c>
      <c r="G354" s="374">
        <f>SUMIFS(Data!$V$60:$V$72,Data!$S$60:$S$72,MarketProfile!A354,Data!$X$60:$X$72,"1")</f>
        <v>243383</v>
      </c>
      <c r="H354" s="374"/>
      <c r="I354" s="285">
        <f t="shared" ref="I354:I367" si="22">IFERROR(IF(OR(AND(G354="",C354=""),AND(G354=0,C354=0)),"",
IF(OR(G354="",G354=0),1,
IF(OR(G354&lt;&gt;"",G354&lt;&gt;0),(C354-G354)/ABS(G354)))),-1)</f>
        <v>-4.7164345907479158E-2</v>
      </c>
    </row>
    <row r="355" spans="1:9" ht="14.25" x14ac:dyDescent="0.2">
      <c r="A355" s="247" t="s">
        <v>447</v>
      </c>
      <c r="B355" s="248"/>
      <c r="C355" s="248">
        <f>SUMIFS(Data!$V$2:$V$14,Data!$S$2:$S$14,MarketProfile!A355,Data!$X$2:$X$14,"1")</f>
        <v>3480</v>
      </c>
      <c r="D355" s="374">
        <f>SUMIFS(Data!$V$30:$V$42,Data!$S$30:$S$42,MarketProfile!A355,Data!$X$30:$X$42,"1")</f>
        <v>8075</v>
      </c>
      <c r="E355" s="374"/>
      <c r="F355" s="285">
        <f t="shared" ref="F355:F361" si="23">IFERROR(IF(OR(AND(D355="",C355=""),AND(D355=0,C355=0)),"",
IF(OR(D355="",D355=0),1,
IF(OR(D355&lt;&gt;"",D355&lt;&gt;0),(C355-D355)/ABS(D355)))),-1)</f>
        <v>-0.56904024767801853</v>
      </c>
      <c r="G355" s="374">
        <f>SUMIFS(Data!$V$60:$V$72,Data!$S$60:$S$72,MarketProfile!A355,Data!$X$60:$X$72,"1")</f>
        <v>4335</v>
      </c>
      <c r="H355" s="374"/>
      <c r="I355" s="285">
        <f t="shared" si="22"/>
        <v>-0.1972318339100346</v>
      </c>
    </row>
    <row r="356" spans="1:9" ht="14.25" x14ac:dyDescent="0.2">
      <c r="A356" s="247" t="s">
        <v>448</v>
      </c>
      <c r="B356" s="248"/>
      <c r="C356" s="248">
        <f>SUMIFS(Data!$V$2:$V$14,Data!$S$2:$S$14,MarketProfile!A356,Data!$X$2:$X$14,"1")</f>
        <v>3149</v>
      </c>
      <c r="D356" s="374">
        <f>SUMIFS(Data!$V$30:$V$42,Data!$S$30:$S$42,MarketProfile!A356,Data!$X$30:$X$42,"1")</f>
        <v>7464</v>
      </c>
      <c r="E356" s="374"/>
      <c r="F356" s="285">
        <f t="shared" si="23"/>
        <v>-0.57810825294748125</v>
      </c>
      <c r="G356" s="374">
        <f>SUMIFS(Data!$V$60:$V$72,Data!$S$60:$S$72,MarketProfile!A356,Data!$X$60:$X$72,"1")</f>
        <v>4127</v>
      </c>
      <c r="H356" s="374"/>
      <c r="I356" s="285">
        <f t="shared" si="22"/>
        <v>-0.23697601163072449</v>
      </c>
    </row>
    <row r="357" spans="1:9" ht="14.25" x14ac:dyDescent="0.2">
      <c r="A357" s="247" t="s">
        <v>182</v>
      </c>
      <c r="B357" s="248"/>
      <c r="C357" s="248">
        <f>SUMIFS(Data!$V$2:$V$14,Data!$S$2:$S$14,MarketProfile!A357,Data!$X$2:$X$14,"1")</f>
        <v>362</v>
      </c>
      <c r="D357" s="374">
        <f>SUMIFS(Data!$V$30:$V$42,Data!$S$30:$S$42,MarketProfile!A357,Data!$X$30:$X$42,"1")</f>
        <v>240</v>
      </c>
      <c r="E357" s="374"/>
      <c r="F357" s="285">
        <f t="shared" si="23"/>
        <v>0.5083333333333333</v>
      </c>
      <c r="G357" s="374">
        <f>SUMIFS(Data!$V$60:$V$72,Data!$S$60:$S$72,MarketProfile!A357,Data!$X$60:$X$72,"1")</f>
        <v>265</v>
      </c>
      <c r="H357" s="374"/>
      <c r="I357" s="285">
        <f t="shared" si="22"/>
        <v>0.36603773584905658</v>
      </c>
    </row>
    <row r="358" spans="1:9" ht="14.25" x14ac:dyDescent="0.2">
      <c r="A358" s="247" t="s">
        <v>449</v>
      </c>
      <c r="B358" s="248"/>
      <c r="C358" s="248">
        <f>SUMIFS(Data!$V$2:$V$14,Data!$S$2:$S$14,MarketProfile!A358,Data!$X$2:$X$14,"1")</f>
        <v>186</v>
      </c>
      <c r="D358" s="374">
        <f>SUMIFS(Data!$V$30:$V$42,Data!$S$30:$S$42,MarketProfile!A358,Data!$X$30:$X$42,"1")</f>
        <v>591</v>
      </c>
      <c r="E358" s="374"/>
      <c r="F358" s="285">
        <f t="shared" si="23"/>
        <v>-0.68527918781725883</v>
      </c>
      <c r="G358" s="374">
        <f>SUMIFS(Data!$V$60:$V$72,Data!$S$60:$S$72,MarketProfile!A358,Data!$X$60:$X$72,"1")</f>
        <v>217</v>
      </c>
      <c r="H358" s="374"/>
      <c r="I358" s="285">
        <f t="shared" si="22"/>
        <v>-0.14285714285714285</v>
      </c>
    </row>
    <row r="359" spans="1:9" ht="14.25" x14ac:dyDescent="0.2">
      <c r="A359" s="247" t="s">
        <v>450</v>
      </c>
      <c r="B359" s="248"/>
      <c r="C359" s="248">
        <f>SUMIFS(Data!$V$2:$V$14,Data!$S$2:$S$14,MarketProfile!A359,Data!$X$2:$X$14,"1")</f>
        <v>177</v>
      </c>
      <c r="D359" s="374">
        <f>SUMIFS(Data!$V$30:$V$42,Data!$S$30:$S$42,MarketProfile!A359,Data!$X$30:$X$42,"1")</f>
        <v>572</v>
      </c>
      <c r="E359" s="374"/>
      <c r="F359" s="285">
        <f t="shared" si="23"/>
        <v>-0.69055944055944052</v>
      </c>
      <c r="G359" s="374">
        <f>SUMIFS(Data!$V$60:$V$72,Data!$S$60:$S$72,MarketProfile!A359,Data!$X$60:$X$72,"1")</f>
        <v>195</v>
      </c>
      <c r="H359" s="374"/>
      <c r="I359" s="285">
        <f t="shared" si="22"/>
        <v>-9.2307692307692313E-2</v>
      </c>
    </row>
    <row r="360" spans="1:9" ht="14.25" x14ac:dyDescent="0.2">
      <c r="A360" s="247" t="s">
        <v>451</v>
      </c>
      <c r="B360" s="248"/>
      <c r="C360" s="248">
        <f>SUMIFS(Data!$V$2:$V$14,Data!$S$2:$S$14,MarketProfile!A360,Data!$X$2:$X$14,"1")</f>
        <v>366</v>
      </c>
      <c r="D360" s="374">
        <f>SUMIFS(Data!$V$30:$V$42,Data!$S$30:$S$42,MarketProfile!A360,Data!$X$30:$X$42,"1")</f>
        <v>303</v>
      </c>
      <c r="E360" s="374"/>
      <c r="F360" s="285">
        <f t="shared" si="23"/>
        <v>0.20792079207920791</v>
      </c>
      <c r="G360" s="374">
        <f>SUMIFS(Data!$V$60:$V$72,Data!$S$60:$S$72,MarketProfile!A360,Data!$X$60:$X$72,"1")</f>
        <v>114</v>
      </c>
      <c r="H360" s="374"/>
      <c r="I360" s="285">
        <f t="shared" si="22"/>
        <v>2.2105263157894739</v>
      </c>
    </row>
    <row r="361" spans="1:9" ht="15" x14ac:dyDescent="0.25">
      <c r="A361" s="287" t="s">
        <v>133</v>
      </c>
      <c r="B361" s="249"/>
      <c r="C361" s="249">
        <f>SUM(C354:C360)</f>
        <v>239624</v>
      </c>
      <c r="D361" s="375">
        <f>SUM(D354:E360)</f>
        <v>306666</v>
      </c>
      <c r="E361" s="375"/>
      <c r="F361" s="325">
        <f t="shared" si="23"/>
        <v>-0.21861569264281008</v>
      </c>
      <c r="G361" s="375">
        <f>SUM(G354:H360)</f>
        <v>252636</v>
      </c>
      <c r="H361" s="375">
        <v>228310</v>
      </c>
      <c r="I361" s="325">
        <f t="shared" si="22"/>
        <v>-5.1504931997023384E-2</v>
      </c>
    </row>
    <row r="362" spans="1:9" ht="14.25" x14ac:dyDescent="0.2">
      <c r="A362" s="247"/>
      <c r="B362" s="248"/>
      <c r="C362" s="248"/>
      <c r="D362" s="374"/>
      <c r="E362" s="374"/>
      <c r="F362" s="285"/>
      <c r="G362" s="247"/>
      <c r="H362" s="248"/>
      <c r="I362" s="285" t="str">
        <f t="shared" si="22"/>
        <v/>
      </c>
    </row>
    <row r="363" spans="1:9" ht="15" x14ac:dyDescent="0.25">
      <c r="A363" s="338" t="s">
        <v>206</v>
      </c>
      <c r="B363" s="249"/>
      <c r="C363" s="249"/>
      <c r="D363" s="374"/>
      <c r="E363" s="374"/>
      <c r="F363" s="285"/>
      <c r="G363" s="247"/>
      <c r="H363" s="249"/>
      <c r="I363" s="325" t="str">
        <f t="shared" si="22"/>
        <v/>
      </c>
    </row>
    <row r="364" spans="1:9" ht="14.25" x14ac:dyDescent="0.2">
      <c r="A364" s="247" t="s">
        <v>446</v>
      </c>
      <c r="B364" s="248"/>
      <c r="C364" s="248">
        <f>SUMIFS(Data!$V$2:$V$14,Data!$S$2:$S$14,MarketProfile!A364,Data!$X$2:$X$14,"0")</f>
        <v>741</v>
      </c>
      <c r="D364" s="374">
        <f>SUMIFS(Data!$V$30:$V$42,Data!$S$30:$S$42,MarketProfile!A364,Data!$X$30:$X$42,"0")</f>
        <v>510</v>
      </c>
      <c r="E364" s="374"/>
      <c r="F364" s="285">
        <f t="shared" ref="F364:F368" si="24">IFERROR(IF(OR(AND(D364="",C364=""),AND(D364=0,C364=0)),"",
IF(OR(D364="",D364=0),1,
IF(OR(D364&lt;&gt;"",D364&lt;&gt;0),(C364-D364)/ABS(D364)))),-1)</f>
        <v>0.45294117647058824</v>
      </c>
      <c r="G364" s="374">
        <f>SUMIFS(Data!$V$60:$V$72,Data!$S$60:$S$72,MarketProfile!A364,Data!$X$60:$X$72,"0")</f>
        <v>1000</v>
      </c>
      <c r="H364" s="374"/>
      <c r="I364" s="285">
        <f t="shared" si="22"/>
        <v>-0.25900000000000001</v>
      </c>
    </row>
    <row r="365" spans="1:9" ht="14.25" x14ac:dyDescent="0.2">
      <c r="A365" s="247" t="s">
        <v>447</v>
      </c>
      <c r="B365" s="248"/>
      <c r="C365" s="248">
        <f>SUMIFS(Data!$V$2:$V$14,Data!$S$2:$S$14,MarketProfile!A365,Data!$X$2:$X$14,"0")</f>
        <v>411</v>
      </c>
      <c r="D365" s="374">
        <f>SUMIFS(Data!$V$30:$V$42,Data!$S$30:$S$42,MarketProfile!A365,Data!$X$30:$X$42,"0")</f>
        <v>1480</v>
      </c>
      <c r="E365" s="374"/>
      <c r="F365" s="285">
        <f t="shared" si="24"/>
        <v>-0.7222972972972973</v>
      </c>
      <c r="G365" s="374">
        <f>SUMIFS(Data!$V$60:$V$72,Data!$S$60:$S$72,MarketProfile!A365,Data!$X$60:$X$72,"0")</f>
        <v>621</v>
      </c>
      <c r="H365" s="374"/>
      <c r="I365" s="285">
        <f t="shared" si="22"/>
        <v>-0.33816425120772947</v>
      </c>
    </row>
    <row r="366" spans="1:9" ht="14.25" x14ac:dyDescent="0.2">
      <c r="A366" s="247" t="s">
        <v>451</v>
      </c>
      <c r="B366" s="248"/>
      <c r="C366" s="248">
        <f>SUMIFS(Data!$V$2:$V$14,Data!$S$2:$S$14,MarketProfile!A366,Data!$X$2:$X$14,"0")</f>
        <v>157</v>
      </c>
      <c r="D366" s="374">
        <f>SUMIFS(Data!$V$30:$V$42,Data!$S$30:$S$42,MarketProfile!A366,Data!$X$30:$X$42,"0")</f>
        <v>191</v>
      </c>
      <c r="E366" s="374"/>
      <c r="F366" s="285">
        <f t="shared" si="24"/>
        <v>-0.17801047120418848</v>
      </c>
      <c r="G366" s="374">
        <f>SUMIFS(Data!$V$60:$V$72,Data!$S$60:$S$72,MarketProfile!A366,Data!$X$60:$X$72,"0")</f>
        <v>49</v>
      </c>
      <c r="H366" s="374"/>
      <c r="I366" s="285">
        <f t="shared" si="22"/>
        <v>2.204081632653061</v>
      </c>
    </row>
    <row r="367" spans="1:9" ht="14.25" x14ac:dyDescent="0.2">
      <c r="A367" s="247" t="s">
        <v>448</v>
      </c>
      <c r="B367" s="248"/>
      <c r="C367" s="248">
        <f>SUMIFS(Data!$V$2:$V$14,Data!$S$2:$S$14,MarketProfile!A367,Data!$X$2:$X$14,"0")</f>
        <v>0</v>
      </c>
      <c r="D367" s="374">
        <f>SUMIFS(Data!$V$30:$V$42,Data!$S$30:$S$42,MarketProfile!A367,Data!$X$30:$X$42,"0")</f>
        <v>0</v>
      </c>
      <c r="E367" s="374"/>
      <c r="F367" s="285" t="str">
        <f t="shared" si="24"/>
        <v/>
      </c>
      <c r="G367" s="374">
        <f>SUMIFS(Data!$V$60:$V$72,Data!$S$60:$S$72,MarketProfile!A367,Data!$X$60:$X$72,"0")</f>
        <v>0</v>
      </c>
      <c r="H367" s="374"/>
      <c r="I367" s="285" t="str">
        <f t="shared" si="22"/>
        <v/>
      </c>
    </row>
    <row r="368" spans="1:9" ht="15" x14ac:dyDescent="0.25">
      <c r="A368" s="287" t="s">
        <v>133</v>
      </c>
      <c r="B368" s="249"/>
      <c r="C368" s="249">
        <f>SUM(C364:C367)</f>
        <v>1309</v>
      </c>
      <c r="D368" s="375">
        <f t="shared" ref="D368:E368" si="25">SUM(D364:D367)</f>
        <v>2181</v>
      </c>
      <c r="E368" s="375">
        <f t="shared" si="25"/>
        <v>0</v>
      </c>
      <c r="F368" s="325">
        <f t="shared" si="24"/>
        <v>-0.39981659789087576</v>
      </c>
      <c r="G368" s="375">
        <f>SUM(G364:H367)</f>
        <v>1670</v>
      </c>
      <c r="H368" s="375">
        <v>1646</v>
      </c>
      <c r="I368" s="325">
        <f>IFERROR(IF(OR(AND(G368="",C368=""),AND(G368=0,C368=0)),"",
IF(OR(G368="",G368=0),1,
IF(OR(G368&lt;&gt;"",G368&lt;&gt;0),(C368-G368)/ABS(G368)))),-1)</f>
        <v>-0.21616766467065868</v>
      </c>
    </row>
    <row r="369" spans="1:9" ht="14.25" x14ac:dyDescent="0.2">
      <c r="A369" s="247"/>
      <c r="B369" s="248"/>
      <c r="C369" s="248"/>
      <c r="D369" s="247"/>
      <c r="E369" s="248"/>
      <c r="F369" s="285"/>
      <c r="G369" s="247"/>
      <c r="H369" s="248"/>
      <c r="I369" s="285"/>
    </row>
    <row r="370" spans="1:9" ht="15" x14ac:dyDescent="0.25">
      <c r="A370" s="331" t="s">
        <v>207</v>
      </c>
      <c r="B370" s="331"/>
      <c r="C370" s="331"/>
      <c r="D370" s="331"/>
      <c r="E370" s="331"/>
      <c r="F370" s="339"/>
      <c r="G370" s="331"/>
      <c r="H370" s="331"/>
      <c r="I370" s="339"/>
    </row>
    <row r="371" spans="1:9" ht="14.25" x14ac:dyDescent="0.2">
      <c r="A371" s="338" t="s">
        <v>14</v>
      </c>
      <c r="B371" s="247"/>
      <c r="C371" s="247"/>
      <c r="D371" s="247"/>
      <c r="E371" s="247"/>
      <c r="F371" s="285"/>
      <c r="G371" s="247"/>
      <c r="H371" s="247"/>
      <c r="I371" s="285"/>
    </row>
    <row r="372" spans="1:9" ht="14.25" x14ac:dyDescent="0.2">
      <c r="A372" s="247" t="s">
        <v>446</v>
      </c>
      <c r="B372" s="248"/>
      <c r="C372" s="248">
        <f>SUMIFS(Data!$U$2:$U$14,Data!$S$2:$S$14,MarketProfile!A372,Data!$X$2:$X$14,"1")</f>
        <v>888403</v>
      </c>
      <c r="D372" s="374">
        <f>SUMIFS(Data!$U$30:$U$42,Data!$S$30:$S$42,MarketProfile!A372,Data!$X$30:$X$42,"1")</f>
        <v>2969562</v>
      </c>
      <c r="E372" s="374"/>
      <c r="F372" s="285">
        <f t="shared" ref="F372:F379" si="26">IFERROR(IF(OR(AND(D372="",C372=""),AND(D372=0,C372=0)),"",
IF(OR(D372="",D372=0),1,
IF(OR(D372&lt;&gt;"",D372&lt;&gt;0),(C372-D372)/ABS(D372)))),-1)</f>
        <v>-0.70083029079709402</v>
      </c>
      <c r="G372" s="374">
        <f>SUMIFS(Data!$U$60:$U$72,Data!$S$60:$S$72,MarketProfile!A372,Data!$X$60:$X$72,"1")</f>
        <v>1024095</v>
      </c>
      <c r="H372" s="374"/>
      <c r="I372" s="285">
        <f t="shared" ref="I372:I379" si="27">IFERROR(IF(OR(AND(G372="",C372=""),AND(G372=0,C372=0)),"",
IF(OR(G372="",G372=0),1,
IF(OR(G372&lt;&gt;"",G372&lt;&gt;0),(C372-G372)/ABS(G372)))),-1)</f>
        <v>-0.13249942632275327</v>
      </c>
    </row>
    <row r="373" spans="1:9" ht="14.25" x14ac:dyDescent="0.2">
      <c r="A373" s="247" t="s">
        <v>447</v>
      </c>
      <c r="B373" s="248"/>
      <c r="C373" s="248">
        <f>SUMIFS(Data!$U$2:$U$14,Data!$S$2:$S$14,MarketProfile!A373,Data!$X$2:$X$14,"1")</f>
        <v>563214</v>
      </c>
      <c r="D373" s="374">
        <f>SUMIFS(Data!$U$30:$U$42,Data!$S$30:$S$42,MarketProfile!A373,Data!$X$30:$X$42,"1")</f>
        <v>2493178</v>
      </c>
      <c r="E373" s="374"/>
      <c r="F373" s="285">
        <f t="shared" si="26"/>
        <v>-0.77409795850917984</v>
      </c>
      <c r="G373" s="374">
        <f>SUMIFS(Data!$U$60:$U$72,Data!$S$60:$S$72,MarketProfile!A373,Data!$X$60:$X$72,"1")</f>
        <v>623462</v>
      </c>
      <c r="H373" s="374"/>
      <c r="I373" s="285">
        <f t="shared" si="27"/>
        <v>-9.6634598419791426E-2</v>
      </c>
    </row>
    <row r="374" spans="1:9" ht="14.25" x14ac:dyDescent="0.2">
      <c r="A374" s="247" t="s">
        <v>448</v>
      </c>
      <c r="B374" s="248"/>
      <c r="C374" s="248">
        <f>SUMIFS(Data!$U$2:$U$14,Data!$S$2:$S$14,MarketProfile!A374,Data!$X$2:$X$14,"1")</f>
        <v>256705</v>
      </c>
      <c r="D374" s="374">
        <f>SUMIFS(Data!$U$30:$U$42,Data!$S$30:$S$42,MarketProfile!A374,Data!$X$30:$X$42,"1")</f>
        <v>1729690</v>
      </c>
      <c r="E374" s="374"/>
      <c r="F374" s="285">
        <f t="shared" si="26"/>
        <v>-0.85158901306014367</v>
      </c>
      <c r="G374" s="374">
        <f>SUMIFS(Data!$U$60:$U$72,Data!$S$60:$S$72,MarketProfile!A374,Data!$X$60:$X$72,"1")</f>
        <v>264909</v>
      </c>
      <c r="H374" s="374"/>
      <c r="I374" s="285">
        <f t="shared" si="27"/>
        <v>-3.0969125246782858E-2</v>
      </c>
    </row>
    <row r="375" spans="1:9" ht="14.25" x14ac:dyDescent="0.2">
      <c r="A375" s="247" t="s">
        <v>182</v>
      </c>
      <c r="B375" s="248"/>
      <c r="C375" s="248">
        <f>SUMIFS(Data!$U$2:$U$14,Data!$S$2:$S$14,MarketProfile!A375,Data!$X$2:$X$14,"1")</f>
        <v>1063504</v>
      </c>
      <c r="D375" s="374">
        <f>SUMIFS(Data!$U$30:$U$42,Data!$S$30:$S$42,MarketProfile!A375,Data!$X$30:$X$42,"1")</f>
        <v>404283</v>
      </c>
      <c r="E375" s="374"/>
      <c r="F375" s="285">
        <f t="shared" si="26"/>
        <v>1.6305929262422609</v>
      </c>
      <c r="G375" s="374">
        <f>SUMIFS(Data!$U$60:$U$72,Data!$S$60:$S$72,MarketProfile!A375,Data!$X$60:$X$72,"1")</f>
        <v>419550</v>
      </c>
      <c r="H375" s="374"/>
      <c r="I375" s="285">
        <f t="shared" si="27"/>
        <v>1.5348683112859016</v>
      </c>
    </row>
    <row r="376" spans="1:9" ht="14.25" x14ac:dyDescent="0.2">
      <c r="A376" s="247" t="s">
        <v>449</v>
      </c>
      <c r="B376" s="248"/>
      <c r="C376" s="248">
        <f>SUMIFS(Data!$U$2:$U$14,Data!$S$2:$S$14,MarketProfile!A376,Data!$X$2:$X$14,"1")</f>
        <v>1182098</v>
      </c>
      <c r="D376" s="374">
        <f>SUMIFS(Data!$U$30:$U$42,Data!$S$30:$S$42,MarketProfile!A376,Data!$X$30:$X$42,"1")</f>
        <v>23718040</v>
      </c>
      <c r="E376" s="374"/>
      <c r="F376" s="285">
        <f t="shared" si="26"/>
        <v>-0.9501603842476023</v>
      </c>
      <c r="G376" s="374">
        <f>SUMIFS(Data!$U$60:$U$72,Data!$S$60:$S$72,MarketProfile!A376,Data!$X$60:$X$72,"1")</f>
        <v>2117266</v>
      </c>
      <c r="H376" s="374"/>
      <c r="I376" s="285">
        <f t="shared" si="27"/>
        <v>-0.44168659015919587</v>
      </c>
    </row>
    <row r="377" spans="1:9" ht="14.25" x14ac:dyDescent="0.2">
      <c r="A377" s="247" t="s">
        <v>450</v>
      </c>
      <c r="B377" s="248"/>
      <c r="C377" s="248">
        <f>SUMIFS(Data!$U$2:$U$14,Data!$S$2:$S$14,MarketProfile!A377,Data!$X$2:$X$14,"1")</f>
        <v>950585</v>
      </c>
      <c r="D377" s="374">
        <f>SUMIFS(Data!$U$30:$U$42,Data!$S$30:$S$42,MarketProfile!A377,Data!$X$30:$X$42,"1")</f>
        <v>22301888</v>
      </c>
      <c r="E377" s="374"/>
      <c r="F377" s="285">
        <f t="shared" si="26"/>
        <v>-0.95737647861920927</v>
      </c>
      <c r="G377" s="374">
        <f>SUMIFS(Data!$U$60:$U$72,Data!$S$60:$S$72,MarketProfile!A377,Data!$X$60:$X$72,"1")</f>
        <v>1648740</v>
      </c>
      <c r="H377" s="374"/>
      <c r="I377" s="285">
        <f t="shared" si="27"/>
        <v>-0.4234476024115385</v>
      </c>
    </row>
    <row r="378" spans="1:9" ht="14.25" x14ac:dyDescent="0.2">
      <c r="A378" s="247" t="s">
        <v>451</v>
      </c>
      <c r="B378" s="248"/>
      <c r="C378" s="248">
        <f>SUMIFS(Data!$U$2:$U$14,Data!$S$2:$S$14,MarketProfile!A378,Data!$X$2:$X$14,"1")</f>
        <v>229356</v>
      </c>
      <c r="D378" s="374">
        <f>SUMIFS(Data!$U$30:$U$42,Data!$S$30:$S$42,MarketProfile!A378,Data!$X$30:$X$42,"1")</f>
        <v>524065</v>
      </c>
      <c r="E378" s="374"/>
      <c r="F378" s="285">
        <f t="shared" si="26"/>
        <v>-0.56235199832081895</v>
      </c>
      <c r="G378" s="374">
        <f>SUMIFS(Data!$U$60:$U$72,Data!$S$60:$S$72,MarketProfile!A378,Data!$X$60:$X$72,"1")</f>
        <v>43893</v>
      </c>
      <c r="H378" s="374"/>
      <c r="I378" s="285">
        <f t="shared" si="27"/>
        <v>4.2253434488415005</v>
      </c>
    </row>
    <row r="379" spans="1:9" ht="15" x14ac:dyDescent="0.25">
      <c r="A379" s="287" t="s">
        <v>133</v>
      </c>
      <c r="B379" s="249"/>
      <c r="C379" s="249">
        <f>SUM(C372:C378)</f>
        <v>5133865</v>
      </c>
      <c r="D379" s="375">
        <f>SUM(D372:E378)</f>
        <v>54140706</v>
      </c>
      <c r="E379" s="375"/>
      <c r="F379" s="325">
        <f t="shared" si="26"/>
        <v>-0.9051755069466586</v>
      </c>
      <c r="G379" s="375">
        <f>SUM(G372:H378)</f>
        <v>6141915</v>
      </c>
      <c r="H379" s="375">
        <v>17193059</v>
      </c>
      <c r="I379" s="325">
        <f t="shared" si="27"/>
        <v>-0.16412633519024603</v>
      </c>
    </row>
    <row r="380" spans="1:9" ht="14.25" x14ac:dyDescent="0.2">
      <c r="A380" s="247"/>
      <c r="B380" s="248"/>
      <c r="C380" s="248"/>
      <c r="D380" s="247"/>
      <c r="E380" s="248"/>
      <c r="F380" s="285"/>
      <c r="G380" s="247"/>
      <c r="H380" s="248"/>
      <c r="I380" s="285"/>
    </row>
    <row r="381" spans="1:9" ht="15" x14ac:dyDescent="0.25">
      <c r="A381" s="338" t="s">
        <v>206</v>
      </c>
      <c r="B381" s="249"/>
      <c r="C381" s="249"/>
      <c r="D381" s="247"/>
      <c r="E381" s="249"/>
      <c r="F381" s="285"/>
      <c r="G381" s="247"/>
      <c r="H381" s="249"/>
      <c r="I381" s="285"/>
    </row>
    <row r="382" spans="1:9" ht="14.25" x14ac:dyDescent="0.2">
      <c r="A382" s="247" t="s">
        <v>446</v>
      </c>
      <c r="B382" s="248"/>
      <c r="C382" s="248">
        <f>SUMIFS(Data!$U$2:$U$14,Data!$S$2:$S$14,MarketProfile!A382,Data!$X$2:$X$14,"0")</f>
        <v>400869</v>
      </c>
      <c r="D382" s="374">
        <f>SUMIFS(Data!$U$30:$U$42,Data!$S$30:$S$42,MarketProfile!A382,Data!$X$30:$X$42,"0")</f>
        <v>378323</v>
      </c>
      <c r="E382" s="374"/>
      <c r="F382" s="285">
        <f t="shared" ref="F382:F386" si="28">IFERROR(IF(OR(AND(D382="",C382=""),AND(D382=0,C382=0)),"",
IF(OR(D382="",D382=0),1,
IF(OR(D382&lt;&gt;"",D382&lt;&gt;0),(C382-D382)/ABS(D382)))),-1)</f>
        <v>5.9594579235203782E-2</v>
      </c>
      <c r="G382" s="374">
        <f>SUMIFS(Data!$U$60:$U$72,Data!$S$60:$S$72,MarketProfile!A382,Data!$X$60:$X$72,"0")</f>
        <v>403296</v>
      </c>
      <c r="H382" s="374"/>
      <c r="I382" s="285">
        <f t="shared" ref="I382:I386" si="29">IFERROR(IF(OR(AND(G382="",C382=""),AND(G382=0,C382=0)),"",
IF(OR(G382="",G382=0),1,
IF(OR(G382&lt;&gt;"",G382&lt;&gt;0),(C382-G382)/ABS(G382)))),-1)</f>
        <v>-6.0179124018090932E-3</v>
      </c>
    </row>
    <row r="383" spans="1:9" ht="14.25" x14ac:dyDescent="0.2">
      <c r="A383" s="247" t="s">
        <v>447</v>
      </c>
      <c r="B383" s="248"/>
      <c r="C383" s="248">
        <f>SUMIFS(Data!$U$2:$U$14,Data!$S$2:$S$14,MarketProfile!A383,Data!$X$2:$X$14,"0")</f>
        <v>585149</v>
      </c>
      <c r="D383" s="374">
        <f>SUMIFS(Data!$U$30:$U$42,Data!$S$30:$S$42,MarketProfile!A383,Data!$X$30:$X$42,"0")</f>
        <v>1073368</v>
      </c>
      <c r="E383" s="374"/>
      <c r="F383" s="285">
        <f t="shared" si="28"/>
        <v>-0.45484773162605929</v>
      </c>
      <c r="G383" s="374">
        <f>SUMIFS(Data!$U$60:$U$72,Data!$S$60:$S$72,MarketProfile!A383,Data!$X$60:$X$72,"0")</f>
        <v>905572</v>
      </c>
      <c r="H383" s="374"/>
      <c r="I383" s="285">
        <f t="shared" si="29"/>
        <v>-0.35383492422468893</v>
      </c>
    </row>
    <row r="384" spans="1:9" ht="14.25" x14ac:dyDescent="0.2">
      <c r="A384" s="247" t="s">
        <v>451</v>
      </c>
      <c r="B384" s="248"/>
      <c r="C384" s="248">
        <f>SUMIFS(Data!$U$2:$U$14,Data!$S$2:$S$14,MarketProfile!A384,Data!$X$2:$X$14,"0")</f>
        <v>116891</v>
      </c>
      <c r="D384" s="374">
        <f>SUMIFS(Data!$U$30:$U$42,Data!$S$30:$S$42,MarketProfile!A384,Data!$X$30:$X$42,"0")</f>
        <v>184186</v>
      </c>
      <c r="E384" s="374"/>
      <c r="F384" s="285">
        <f t="shared" si="28"/>
        <v>-0.36536435994049493</v>
      </c>
      <c r="G384" s="374">
        <f>SUMIFS(Data!$U$60:$U$72,Data!$S$60:$S$72,MarketProfile!A384,Data!$X$60:$X$72,"0")</f>
        <v>128734</v>
      </c>
      <c r="H384" s="374"/>
      <c r="I384" s="285">
        <f t="shared" si="29"/>
        <v>-9.199589851942766E-2</v>
      </c>
    </row>
    <row r="385" spans="1:9" ht="14.25" x14ac:dyDescent="0.2">
      <c r="A385" s="247" t="s">
        <v>448</v>
      </c>
      <c r="B385" s="248"/>
      <c r="C385" s="248">
        <f>SUMIFS(Data!$U$2:$U$14,Data!$S$2:$S$14,MarketProfile!A385,Data!$X$2:$X$14,"0")</f>
        <v>0</v>
      </c>
      <c r="D385" s="374">
        <f>SUMIFS(Data!$U$30:$U$42,Data!$S$30:$S$42,MarketProfile!A385,Data!$X$30:$X$42,"0")</f>
        <v>0</v>
      </c>
      <c r="E385" s="374"/>
      <c r="F385" s="285" t="str">
        <f t="shared" si="28"/>
        <v/>
      </c>
      <c r="G385" s="374">
        <f>SUMIFS(Data!$U$60:$U$72,Data!$S$60:$S$72,MarketProfile!A385,Data!$X$60:$X$72,"0")</f>
        <v>0</v>
      </c>
      <c r="H385" s="374"/>
      <c r="I385" s="285" t="str">
        <f t="shared" si="29"/>
        <v/>
      </c>
    </row>
    <row r="386" spans="1:9" ht="15" x14ac:dyDescent="0.25">
      <c r="A386" s="287" t="s">
        <v>133</v>
      </c>
      <c r="B386" s="249"/>
      <c r="C386" s="249">
        <f>SUM(C382:C385)</f>
        <v>1102909</v>
      </c>
      <c r="D386" s="375">
        <f>SUM(D382:E385)</f>
        <v>1635877</v>
      </c>
      <c r="E386" s="375">
        <f>SUM(E382:E385)</f>
        <v>0</v>
      </c>
      <c r="F386" s="325">
        <f t="shared" si="28"/>
        <v>-0.32579955583457682</v>
      </c>
      <c r="G386" s="375">
        <f>SUM(G382:H385)</f>
        <v>1437602</v>
      </c>
      <c r="H386" s="375">
        <v>677531</v>
      </c>
      <c r="I386" s="325">
        <f t="shared" si="29"/>
        <v>-0.23281339341486726</v>
      </c>
    </row>
    <row r="387" spans="1:9" ht="14.25" x14ac:dyDescent="0.2">
      <c r="A387" s="247"/>
      <c r="B387" s="248"/>
      <c r="C387" s="248"/>
      <c r="D387" s="247"/>
      <c r="E387" s="248"/>
      <c r="F387" s="285"/>
      <c r="G387" s="247"/>
      <c r="H387" s="248"/>
      <c r="I387" s="285"/>
    </row>
    <row r="388" spans="1:9" ht="15" x14ac:dyDescent="0.25">
      <c r="A388" s="331" t="s">
        <v>208</v>
      </c>
      <c r="B388" s="331"/>
      <c r="C388" s="331"/>
      <c r="D388" s="331"/>
      <c r="E388" s="331"/>
      <c r="F388" s="339"/>
      <c r="G388" s="331"/>
      <c r="H388" s="331"/>
      <c r="I388" s="339"/>
    </row>
    <row r="389" spans="1:9" ht="14.25" x14ac:dyDescent="0.2">
      <c r="A389" s="338" t="s">
        <v>14</v>
      </c>
      <c r="B389" s="247"/>
      <c r="C389" s="247"/>
      <c r="D389" s="247"/>
      <c r="E389" s="247"/>
      <c r="F389" s="285"/>
      <c r="G389" s="247"/>
      <c r="H389" s="247"/>
      <c r="I389" s="285"/>
    </row>
    <row r="390" spans="1:9" ht="14.25" x14ac:dyDescent="0.2">
      <c r="A390" s="247" t="s">
        <v>446</v>
      </c>
      <c r="B390" s="248"/>
      <c r="C390" s="248">
        <f>SUMIFS(Data!$T$2:$T$14,Data!$S$2:$S$14,MarketProfile!A390,Data!$X$2:$X$14,"1")/1000</f>
        <v>328786336.5500409</v>
      </c>
      <c r="D390" s="374">
        <f>SUMIFS(Data!$T$30:$T$42,Data!$S$30:$S$42,MarketProfile!A390,Data!$X$30:$X$42,"1")/1000</f>
        <v>877918281.64564669</v>
      </c>
      <c r="E390" s="374"/>
      <c r="F390" s="285">
        <f t="shared" ref="F390:F397" si="30">IFERROR(IF(OR(AND(D390="",C390=""),AND(D390=0,C390=0)),"",
IF(OR(D390="",D390=0),1,
IF(OR(D390&lt;&gt;"",D390&lt;&gt;0),(C390-D390)/ABS(D390)))),-1)</f>
        <v>-0.62549323391041023</v>
      </c>
      <c r="G390" s="374">
        <f>SUMIFS(Data!$T$60:$T$72,Data!$S$60:$S$72,MarketProfile!A390,Data!$X$60:$X$72,"1")/1000</f>
        <v>327620521.06501126</v>
      </c>
      <c r="H390" s="374"/>
      <c r="I390" s="285">
        <f t="shared" ref="I390:I397" si="31">IFERROR(IF(OR(AND(G390="",C390=""),AND(G390=0,C390=0)),"",
IF(OR(G390="",G390=0),1,
IF(OR(G390&lt;&gt;"",G390&lt;&gt;0),(C390-G390)/ABS(G390)))),-1)</f>
        <v>3.5584324243178272E-3</v>
      </c>
    </row>
    <row r="391" spans="1:9" ht="14.25" x14ac:dyDescent="0.2">
      <c r="A391" s="247" t="s">
        <v>447</v>
      </c>
      <c r="B391" s="248"/>
      <c r="C391" s="248">
        <f>SUMIFS(Data!$T$2:$T$14,Data!$S$2:$S$14,MarketProfile!A391,Data!$X$2:$X$14,"1")/1000</f>
        <v>12766778.916794</v>
      </c>
      <c r="D391" s="374">
        <f>SUMIFS(Data!$T$30:$T$42,Data!$S$30:$S$42,MarketProfile!A391,Data!$X$30:$X$42,"1")/1000</f>
        <v>29475469.194821</v>
      </c>
      <c r="E391" s="374"/>
      <c r="F391" s="285">
        <f t="shared" si="30"/>
        <v>-0.56686766095525998</v>
      </c>
      <c r="G391" s="374">
        <f>SUMIFS(Data!$T$60:$T$72,Data!$S$60:$S$72,MarketProfile!A391,Data!$X$60:$X$72,"1")/1000</f>
        <v>14916004.690653</v>
      </c>
      <c r="H391" s="374"/>
      <c r="I391" s="285">
        <f t="shared" si="31"/>
        <v>-0.14408856918674715</v>
      </c>
    </row>
    <row r="392" spans="1:9" ht="14.25" x14ac:dyDescent="0.2">
      <c r="A392" s="247" t="s">
        <v>448</v>
      </c>
      <c r="B392" s="248"/>
      <c r="C392" s="248">
        <f>SUMIFS(Data!$T$2:$T$14,Data!$S$2:$S$14,MarketProfile!A392,Data!$X$2:$X$14,"1")/1000</f>
        <v>17.510999999999999</v>
      </c>
      <c r="D392" s="374">
        <f>SUMIFS(Data!$T$30:$T$42,Data!$S$30:$S$42,MarketProfile!A392,Data!$X$30:$X$42,"1")/1000</f>
        <v>238.44532000000001</v>
      </c>
      <c r="E392" s="374"/>
      <c r="F392" s="285">
        <f t="shared" si="30"/>
        <v>-0.92656177944696083</v>
      </c>
      <c r="G392" s="374">
        <f>SUMIFS(Data!$T$60:$T$72,Data!$S$60:$S$72,MarketProfile!A392,Data!$X$60:$X$72,"1")/1000</f>
        <v>297.33499999999998</v>
      </c>
      <c r="H392" s="374"/>
      <c r="I392" s="285">
        <f t="shared" si="31"/>
        <v>-0.94110683236080506</v>
      </c>
    </row>
    <row r="393" spans="1:9" ht="14.25" x14ac:dyDescent="0.2">
      <c r="A393" s="247" t="s">
        <v>182</v>
      </c>
      <c r="B393" s="248"/>
      <c r="C393" s="248">
        <f>SUMIFS(Data!$T$2:$T$14,Data!$S$2:$S$14,MarketProfile!A393,Data!$X$2:$X$14,"1")/1000</f>
        <v>48999.400665000001</v>
      </c>
      <c r="D393" s="374">
        <f>SUMIFS(Data!$T$30:$T$42,Data!$S$30:$S$42,MarketProfile!A393,Data!$X$30:$X$42,"1")/1000</f>
        <v>33231.524968999998</v>
      </c>
      <c r="E393" s="374"/>
      <c r="F393" s="285">
        <f t="shared" si="30"/>
        <v>0.47448546856363205</v>
      </c>
      <c r="G393" s="374">
        <f>SUMIFS(Data!$T$60:$T$72,Data!$S$60:$S$72,MarketProfile!A393,Data!$X$60:$X$72,"1")/1000</f>
        <v>40896.115947999999</v>
      </c>
      <c r="H393" s="374"/>
      <c r="I393" s="285">
        <f t="shared" si="31"/>
        <v>0.19814313729214397</v>
      </c>
    </row>
    <row r="394" spans="1:9" ht="14.25" x14ac:dyDescent="0.2">
      <c r="A394" s="247" t="s">
        <v>449</v>
      </c>
      <c r="B394" s="248"/>
      <c r="C394" s="248">
        <f>SUMIFS(Data!$T$2:$T$14,Data!$S$2:$S$14,MarketProfile!A394,Data!$X$2:$X$14,"1")/1000</f>
        <v>1069432.232693</v>
      </c>
      <c r="D394" s="374">
        <f>SUMIFS(Data!$T$30:$T$42,Data!$S$30:$S$42,MarketProfile!A394,Data!$X$30:$X$42,"1")/1000</f>
        <v>4906303.3610113999</v>
      </c>
      <c r="E394" s="374"/>
      <c r="F394" s="285">
        <f t="shared" si="30"/>
        <v>-0.7820289219799601</v>
      </c>
      <c r="G394" s="374">
        <f>SUMIFS(Data!$T$60:$T$72,Data!$S$60:$S$72,MarketProfile!A394,Data!$X$60:$X$72,"1")/1000</f>
        <v>1016590.7739836</v>
      </c>
      <c r="H394" s="374"/>
      <c r="I394" s="285">
        <f t="shared" si="31"/>
        <v>5.1979085450811389E-2</v>
      </c>
    </row>
    <row r="395" spans="1:9" ht="14.25" x14ac:dyDescent="0.2">
      <c r="A395" s="247" t="s">
        <v>450</v>
      </c>
      <c r="B395" s="248"/>
      <c r="C395" s="248">
        <f>SUMIFS(Data!$T$2:$T$14,Data!$S$2:$S$14,MarketProfile!A395,Data!$X$2:$X$14,"1")/1000</f>
        <v>279.72971999999999</v>
      </c>
      <c r="D395" s="374">
        <f>SUMIFS(Data!$T$30:$T$42,Data!$S$30:$S$42,MarketProfile!A395,Data!$X$30:$X$42,"1")/1000</f>
        <v>180.11353</v>
      </c>
      <c r="E395" s="374"/>
      <c r="F395" s="285">
        <f t="shared" si="30"/>
        <v>0.55307444143702023</v>
      </c>
      <c r="G395" s="374">
        <f>SUMIFS(Data!$T$60:$T$72,Data!$S$60:$S$72,MarketProfile!A395,Data!$X$60:$X$72,"1")/1000</f>
        <v>1403.8881399999998</v>
      </c>
      <c r="H395" s="374"/>
      <c r="I395" s="285">
        <f t="shared" si="31"/>
        <v>-0.80074643268943058</v>
      </c>
    </row>
    <row r="396" spans="1:9" ht="14.25" x14ac:dyDescent="0.2">
      <c r="A396" s="247" t="s">
        <v>451</v>
      </c>
      <c r="B396" s="248"/>
      <c r="C396" s="248">
        <f>SUMIFS(Data!$T$2:$T$14,Data!$S$2:$S$14,MarketProfile!A396,Data!$X$2:$X$14,"1")/1000</f>
        <v>5293694.3841019999</v>
      </c>
      <c r="D396" s="374">
        <f>SUMIFS(Data!$T$30:$T$42,Data!$S$30:$S$42,MarketProfile!A396,Data!$X$30:$X$42,"1")/1000</f>
        <v>5674698.6146359993</v>
      </c>
      <c r="E396" s="374"/>
      <c r="F396" s="285">
        <f t="shared" si="30"/>
        <v>-6.7140875032785985E-2</v>
      </c>
      <c r="G396" s="374">
        <f>SUMIFS(Data!$T$60:$T$72,Data!$S$60:$S$72,MarketProfile!A396,Data!$X$60:$X$72,"1")/1000</f>
        <v>379872.16424999997</v>
      </c>
      <c r="H396" s="374"/>
      <c r="I396" s="285">
        <f t="shared" si="31"/>
        <v>12.935462722186021</v>
      </c>
    </row>
    <row r="397" spans="1:9" ht="15" x14ac:dyDescent="0.25">
      <c r="A397" s="287" t="s">
        <v>133</v>
      </c>
      <c r="B397" s="249"/>
      <c r="C397" s="249">
        <f>SUM(C390:C396)</f>
        <v>347965538.72501487</v>
      </c>
      <c r="D397" s="375">
        <f>SUM(D390:E396)</f>
        <v>918008402.89993405</v>
      </c>
      <c r="E397" s="375">
        <f>SUM(E390:E396)</f>
        <v>0</v>
      </c>
      <c r="F397" s="325">
        <f t="shared" si="30"/>
        <v>-0.62095604176844954</v>
      </c>
      <c r="G397" s="375">
        <f>SUM(G390:H396)</f>
        <v>343975586.03298593</v>
      </c>
      <c r="H397" s="375">
        <v>320543973</v>
      </c>
      <c r="I397" s="325">
        <f t="shared" si="31"/>
        <v>1.1599522913949825E-2</v>
      </c>
    </row>
    <row r="398" spans="1:9" ht="14.25" x14ac:dyDescent="0.2">
      <c r="A398" s="247"/>
      <c r="B398" s="248"/>
      <c r="C398" s="248"/>
      <c r="D398" s="247"/>
      <c r="E398" s="248"/>
      <c r="F398" s="285"/>
      <c r="G398" s="247"/>
      <c r="H398" s="248"/>
      <c r="I398" s="285"/>
    </row>
    <row r="399" spans="1:9" ht="15" x14ac:dyDescent="0.25">
      <c r="A399" s="338" t="s">
        <v>206</v>
      </c>
      <c r="B399" s="249"/>
      <c r="C399" s="249"/>
      <c r="D399" s="247"/>
      <c r="E399" s="249"/>
      <c r="F399" s="285"/>
      <c r="G399" s="247"/>
      <c r="H399" s="249"/>
      <c r="I399" s="285"/>
    </row>
    <row r="400" spans="1:9" ht="14.25" x14ac:dyDescent="0.2">
      <c r="A400" s="247" t="s">
        <v>446</v>
      </c>
      <c r="B400" s="248"/>
      <c r="C400" s="248">
        <f>SUMIFS(Data!$T$2:$T$14,Data!$S$2:$S$14,MarketProfile!A400,Data!$X$2:$X$14,"0")/1000</f>
        <v>4022520.5511699999</v>
      </c>
      <c r="D400" s="374">
        <f>SUMIFS(Data!$T$30:$T$42,Data!$S$30:$S$42,MarketProfile!A400,Data!$X$30:$X$42,"0")/1000</f>
        <v>1652105.6629699999</v>
      </c>
      <c r="E400" s="374"/>
      <c r="F400" s="285">
        <f t="shared" ref="F400:F404" si="32">IFERROR(IF(OR(AND(D400="",C400=""),AND(D400=0,C400=0)),"",
IF(OR(D400="",D400=0),1,
IF(OR(D400&lt;&gt;"",D400&lt;&gt;0),(C400-D400)/ABS(D400)))),-1)</f>
        <v>1.4347840706136745</v>
      </c>
      <c r="G400" s="374">
        <f>SUMIFS(Data!$T$60:$T$72,Data!$S$60:$S$72,MarketProfile!A400,Data!$X$60:$X$72,"0")/1000</f>
        <v>3085755.0398000004</v>
      </c>
      <c r="H400" s="374"/>
      <c r="I400" s="285">
        <f t="shared" ref="I400:I404" si="33">IFERROR(IF(OR(AND(G400="",C400=""),AND(G400=0,C400=0)),"",
IF(OR(G400="",G400=0),1,
IF(OR(G400&lt;&gt;"",G400&lt;&gt;0),(C400-G400)/ABS(G400)))),-1)</f>
        <v>0.30357740627095109</v>
      </c>
    </row>
    <row r="401" spans="1:9" ht="14.25" x14ac:dyDescent="0.2">
      <c r="A401" s="247" t="s">
        <v>447</v>
      </c>
      <c r="B401" s="248"/>
      <c r="C401" s="248">
        <f>SUMIFS(Data!$T$2:$T$14,Data!$S$2:$S$14,MarketProfile!A401,Data!$X$2:$X$14,"0")/1000</f>
        <v>612870.19678999996</v>
      </c>
      <c r="D401" s="374">
        <f>SUMIFS(Data!$T$30:$T$42,Data!$S$30:$S$42,MarketProfile!A401,Data!$X$30:$X$42,"0")/1000</f>
        <v>616376.87190999999</v>
      </c>
      <c r="E401" s="374"/>
      <c r="F401" s="285">
        <f t="shared" si="32"/>
        <v>-5.6891737503610533E-3</v>
      </c>
      <c r="G401" s="374">
        <f>SUMIFS(Data!$T$60:$T$72,Data!$S$60:$S$72,MarketProfile!A401,Data!$X$60:$X$72,"0")/1000</f>
        <v>353181.55254</v>
      </c>
      <c r="H401" s="374"/>
      <c r="I401" s="285">
        <f t="shared" si="33"/>
        <v>0.73528371564816819</v>
      </c>
    </row>
    <row r="402" spans="1:9" ht="14.25" x14ac:dyDescent="0.2">
      <c r="A402" s="247" t="s">
        <v>451</v>
      </c>
      <c r="B402" s="248"/>
      <c r="C402" s="248">
        <f>SUMIFS(Data!$T$2:$T$14,Data!$S$2:$S$14,MarketProfile!A402,Data!$X$2:$X$14,"0")/1000</f>
        <v>151927.3602</v>
      </c>
      <c r="D402" s="374">
        <f>SUMIFS(Data!$T$30:$T$42,Data!$S$30:$S$42,MarketProfile!A402,Data!$X$30:$X$42,"0")/1000</f>
        <v>114596.44885</v>
      </c>
      <c r="E402" s="374"/>
      <c r="F402" s="285">
        <f t="shared" si="32"/>
        <v>0.32575975717069522</v>
      </c>
      <c r="G402" s="374">
        <f>SUMIFS(Data!$T$60:$T$72,Data!$S$60:$S$72,MarketProfile!A402,Data!$X$60:$X$72,"0")/1000</f>
        <v>100564.98887999999</v>
      </c>
      <c r="H402" s="374"/>
      <c r="I402" s="285">
        <f t="shared" si="33"/>
        <v>0.51073809973059892</v>
      </c>
    </row>
    <row r="403" spans="1:9" ht="14.25" x14ac:dyDescent="0.2">
      <c r="A403" s="247" t="s">
        <v>448</v>
      </c>
      <c r="B403" s="248"/>
      <c r="C403" s="248">
        <f>SUMIFS(Data!$T$2:$T$14,Data!$S$2:$S$14,MarketProfile!A403,Data!$X$2:$X$14,"0")/1000</f>
        <v>0</v>
      </c>
      <c r="D403" s="374">
        <f>SUMIFS(Data!$T$30:$T$42,Data!$S$30:$S$42,MarketProfile!A403,Data!$X$30:$X$42,"0")/1000</f>
        <v>0</v>
      </c>
      <c r="E403" s="374"/>
      <c r="F403" s="285" t="str">
        <f t="shared" si="32"/>
        <v/>
      </c>
      <c r="G403" s="374">
        <f>SUMIFS(Data!$T$60:$T$72,Data!$S$60:$S$72,MarketProfile!A403,Data!$X$60:$X$72,"0")/1000</f>
        <v>0</v>
      </c>
      <c r="H403" s="374"/>
      <c r="I403" s="285" t="str">
        <f t="shared" si="33"/>
        <v/>
      </c>
    </row>
    <row r="404" spans="1:9" ht="15" x14ac:dyDescent="0.25">
      <c r="A404" s="287" t="s">
        <v>133</v>
      </c>
      <c r="B404" s="249"/>
      <c r="C404" s="249">
        <f>SUM(C400:C403)</f>
        <v>4787318.1081599994</v>
      </c>
      <c r="D404" s="375">
        <f>SUM(D400:E403)</f>
        <v>2383078.98373</v>
      </c>
      <c r="E404" s="375">
        <f>SUM(E400:E403)</f>
        <v>0</v>
      </c>
      <c r="F404" s="325">
        <f t="shared" si="32"/>
        <v>1.0088793283162103</v>
      </c>
      <c r="G404" s="375">
        <f>SUM(G400:H403)</f>
        <v>3539501.5812200005</v>
      </c>
      <c r="H404" s="375">
        <v>1436842</v>
      </c>
      <c r="I404" s="325">
        <f t="shared" si="33"/>
        <v>0.35254018067422355</v>
      </c>
    </row>
    <row r="405" spans="1:9" ht="14.25" x14ac:dyDescent="0.2">
      <c r="A405" s="247"/>
      <c r="B405" s="248"/>
      <c r="C405" s="248"/>
      <c r="D405" s="247"/>
      <c r="E405" s="248"/>
      <c r="F405" s="285"/>
      <c r="G405" s="247"/>
      <c r="H405" s="248"/>
      <c r="I405" s="285"/>
    </row>
    <row r="406" spans="1:9" ht="15" x14ac:dyDescent="0.25">
      <c r="A406" s="331" t="s">
        <v>144</v>
      </c>
      <c r="B406" s="331"/>
      <c r="C406" s="331"/>
      <c r="D406" s="331"/>
      <c r="E406" s="331"/>
      <c r="F406" s="339"/>
      <c r="G406" s="331"/>
      <c r="H406" s="331"/>
      <c r="I406" s="339"/>
    </row>
    <row r="407" spans="1:9" ht="14.25" x14ac:dyDescent="0.2">
      <c r="A407" s="338" t="s">
        <v>14</v>
      </c>
      <c r="B407" s="247"/>
      <c r="C407" s="247"/>
      <c r="D407" s="247"/>
      <c r="E407" s="247"/>
      <c r="F407" s="285"/>
      <c r="G407" s="247"/>
      <c r="H407" s="247"/>
      <c r="I407" s="285"/>
    </row>
    <row r="408" spans="1:9" ht="14.25" x14ac:dyDescent="0.2">
      <c r="A408" s="247" t="s">
        <v>446</v>
      </c>
      <c r="B408" s="127"/>
      <c r="C408" s="127">
        <f>SUMIFS(Data!$W$15:$W$27,Data!$S$15:$S$27,MarketProfile!A408,Data!$X$15:$X$27,"1")</f>
        <v>671733</v>
      </c>
      <c r="D408" s="374">
        <f>SUMIFS(Data!$W$45:$W$57,Data!$S$45:$S$57,MarketProfile!A408,Data!$X$45:$X$57,"1")</f>
        <v>624401</v>
      </c>
      <c r="E408" s="374"/>
      <c r="F408" s="285">
        <f t="shared" ref="F408:F414" si="34">IFERROR(IF(OR(AND(D408="",C408=""),AND(D408=0,C408=0)),"",
IF(OR(D408="",D408=0),1,
IF(OR(D408&lt;&gt;"",D408&lt;&gt;0),(C408-D408)/ABS(D408)))),-1)</f>
        <v>7.5803850410233173E-2</v>
      </c>
      <c r="G408" s="374">
        <f>SUMIFS(Data!$W$75:$W$87,Data!$S$75:$S$87,MarketProfile!A408,Data!$X$75:$X$87,"1")</f>
        <v>863338</v>
      </c>
      <c r="H408" s="374"/>
      <c r="I408" s="285">
        <f t="shared" ref="I408:I414" si="35">IFERROR(IF(OR(AND(G408="",C408=""),AND(G408=0,C408=0)),"",
IF(OR(G408="",G408=0),1,
IF(OR(G408&lt;&gt;"",G408&lt;&gt;0),(C408-G408)/ABS(G408)))),-1)</f>
        <v>-0.22193509378713783</v>
      </c>
    </row>
    <row r="409" spans="1:9" ht="14.25" x14ac:dyDescent="0.2">
      <c r="A409" s="247" t="s">
        <v>447</v>
      </c>
      <c r="B409" s="127"/>
      <c r="C409" s="127">
        <f>SUMIFS(Data!$W$15:$W$27,Data!$S$15:$S$27,MarketProfile!A409,Data!$X$15:$X$27,"1")</f>
        <v>1211214</v>
      </c>
      <c r="D409" s="374">
        <f>SUMIFS(Data!$W$45:$W$57,Data!$S$45:$S$57,MarketProfile!A409,Data!$X$45:$X$57,"1")</f>
        <v>1265530</v>
      </c>
      <c r="E409" s="374"/>
      <c r="F409" s="285">
        <f t="shared" si="34"/>
        <v>-4.2919567295915548E-2</v>
      </c>
      <c r="G409" s="374">
        <f>SUMIFS(Data!$W$75:$W$87,Data!$S$75:$S$87,MarketProfile!A409,Data!$X$75:$X$87,"1")</f>
        <v>852940</v>
      </c>
      <c r="H409" s="374"/>
      <c r="I409" s="285">
        <f t="shared" si="35"/>
        <v>0.42004595868408096</v>
      </c>
    </row>
    <row r="410" spans="1:9" ht="14.25" x14ac:dyDescent="0.2">
      <c r="A410" s="247" t="s">
        <v>448</v>
      </c>
      <c r="B410" s="127"/>
      <c r="C410" s="127">
        <f>SUMIFS(Data!$W$15:$W$27,Data!$S$15:$S$27,MarketProfile!A410,Data!$X$15:$X$27,"1")</f>
        <v>0</v>
      </c>
      <c r="D410" s="374">
        <f>SUMIFS(Data!$W$45:$W$57,Data!$S$45:$S$57,MarketProfile!A410,Data!$X$45:$X$57,"1")</f>
        <v>916942</v>
      </c>
      <c r="E410" s="374"/>
      <c r="F410" s="285">
        <f t="shared" si="34"/>
        <v>-1</v>
      </c>
      <c r="G410" s="374">
        <f>SUMIFS(Data!$W$75:$W$87,Data!$S$75:$S$87,MarketProfile!A410,Data!$X$75:$X$87,"1")</f>
        <v>596521</v>
      </c>
      <c r="H410" s="374"/>
      <c r="I410" s="285">
        <f t="shared" si="35"/>
        <v>-1</v>
      </c>
    </row>
    <row r="411" spans="1:9" ht="14.25" x14ac:dyDescent="0.2">
      <c r="A411" s="247" t="s">
        <v>182</v>
      </c>
      <c r="B411" s="127"/>
      <c r="C411" s="127">
        <f>SUMIFS(Data!$W$15:$W$27,Data!$S$15:$S$27,MarketProfile!A411,Data!$X$15:$X$27,"1")</f>
        <v>1536119</v>
      </c>
      <c r="D411" s="374">
        <f>SUMIFS(Data!$W$45:$W$57,Data!$S$45:$S$57,MarketProfile!A411,Data!$X$45:$X$57,"1")</f>
        <v>1905943</v>
      </c>
      <c r="E411" s="374"/>
      <c r="F411" s="285">
        <f t="shared" si="34"/>
        <v>-0.19403728233215789</v>
      </c>
      <c r="G411" s="374">
        <f>SUMIFS(Data!$W$75:$W$87,Data!$S$75:$S$87,MarketProfile!A411,Data!$X$75:$X$87,"1")</f>
        <v>1346774</v>
      </c>
      <c r="H411" s="374"/>
      <c r="I411" s="285">
        <f t="shared" si="35"/>
        <v>0.14059151721075697</v>
      </c>
    </row>
    <row r="412" spans="1:9" ht="14.25" x14ac:dyDescent="0.2">
      <c r="A412" s="247" t="s">
        <v>449</v>
      </c>
      <c r="B412" s="127"/>
      <c r="C412" s="127">
        <f>SUMIFS(Data!$W$15:$W$27,Data!$S$15:$S$27,MarketProfile!A412,Data!$X$15:$X$27,"1")</f>
        <v>12027706</v>
      </c>
      <c r="D412" s="374">
        <f>SUMIFS(Data!$W$45:$W$57,Data!$S$45:$S$57,MarketProfile!A412,Data!$X$45:$X$57,"1")</f>
        <v>12118562</v>
      </c>
      <c r="E412" s="374"/>
      <c r="F412" s="285">
        <f t="shared" si="34"/>
        <v>-7.4972591632571587E-3</v>
      </c>
      <c r="G412" s="374">
        <f>SUMIFS(Data!$W$75:$W$87,Data!$S$75:$S$87,MarketProfile!A412,Data!$X$75:$X$87,"1")</f>
        <v>19109498</v>
      </c>
      <c r="H412" s="374"/>
      <c r="I412" s="285">
        <f t="shared" si="35"/>
        <v>-0.37059016411629442</v>
      </c>
    </row>
    <row r="413" spans="1:9" ht="14.25" x14ac:dyDescent="0.2">
      <c r="A413" s="247" t="s">
        <v>450</v>
      </c>
      <c r="B413" s="127"/>
      <c r="C413" s="127">
        <f>SUMIFS(Data!$W$15:$W$27,Data!$S$15:$S$27,MarketProfile!A413,Data!$X$15:$X$27,"1")</f>
        <v>11531907</v>
      </c>
      <c r="D413" s="374">
        <f>SUMIFS(Data!$W$45:$W$57,Data!$S$45:$S$57,MarketProfile!A413,Data!$X$45:$X$57,"1")</f>
        <v>11617567</v>
      </c>
      <c r="E413" s="374"/>
      <c r="F413" s="285">
        <f t="shared" si="34"/>
        <v>-7.373316633336395E-3</v>
      </c>
      <c r="G413" s="374">
        <f>SUMIFS(Data!$W$75:$W$87,Data!$S$75:$S$87,MarketProfile!A413,Data!$X$75:$X$87,"1")</f>
        <v>18624765</v>
      </c>
      <c r="H413" s="374"/>
      <c r="I413" s="285">
        <f t="shared" si="35"/>
        <v>-0.38082939569975782</v>
      </c>
    </row>
    <row r="414" spans="1:9" ht="14.25" x14ac:dyDescent="0.2">
      <c r="A414" s="247" t="s">
        <v>451</v>
      </c>
      <c r="B414" s="127"/>
      <c r="C414" s="127">
        <f>SUMIFS(Data!$W$15:$W$27,Data!$S$15:$S$27,MarketProfile!A414,Data!$X$15:$X$27,"1")</f>
        <v>472686</v>
      </c>
      <c r="D414" s="374">
        <f>SUMIFS(Data!$W$45:$W$57,Data!$S$45:$S$57,MarketProfile!A414,Data!$X$45:$X$57,"1")</f>
        <v>480854</v>
      </c>
      <c r="E414" s="374"/>
      <c r="F414" s="285">
        <f t="shared" si="34"/>
        <v>-1.6986444950026412E-2</v>
      </c>
      <c r="G414" s="374">
        <f>SUMIFS(Data!$W$75:$W$87,Data!$S$75:$S$87,MarketProfile!A414,Data!$X$75:$X$87,"1")</f>
        <v>808696</v>
      </c>
      <c r="H414" s="374"/>
      <c r="I414" s="285">
        <f t="shared" si="35"/>
        <v>-0.4154960578511579</v>
      </c>
    </row>
    <row r="415" spans="1:9" ht="14.25" x14ac:dyDescent="0.2">
      <c r="A415" s="247"/>
      <c r="B415" s="127"/>
      <c r="C415" s="127"/>
      <c r="D415" s="247"/>
      <c r="E415" s="127"/>
      <c r="F415" s="285"/>
      <c r="G415" s="247"/>
      <c r="H415" s="248"/>
      <c r="I415" s="285"/>
    </row>
    <row r="416" spans="1:9" ht="14.25" x14ac:dyDescent="0.2">
      <c r="A416" s="338" t="s">
        <v>15</v>
      </c>
      <c r="B416" s="248"/>
      <c r="C416" s="127"/>
      <c r="D416" s="247"/>
      <c r="E416" s="248"/>
      <c r="F416" s="285"/>
      <c r="G416" s="247"/>
      <c r="H416" s="248"/>
      <c r="I416" s="285"/>
    </row>
    <row r="417" spans="1:12" ht="14.25" x14ac:dyDescent="0.2">
      <c r="A417" s="247" t="s">
        <v>446</v>
      </c>
      <c r="B417" s="127"/>
      <c r="C417" s="127">
        <f>SUMIFS(Data!$W$15:$W$27,Data!$S$15:$S$27,MarketProfile!A417,Data!$X$15:$X$27,"0")</f>
        <v>1076998</v>
      </c>
      <c r="D417" s="374">
        <f>SUMIFS(Data!$W$45:$W$57,Data!$S$45:$S$57,MarketProfile!A417,Data!$X$45:$X$57,"0")</f>
        <v>933499</v>
      </c>
      <c r="E417" s="374"/>
      <c r="F417" s="285">
        <f t="shared" ref="F417:F419" si="36">IFERROR(IF(OR(AND(D417="",C417=""),AND(D417=0,C417=0)),"",
IF(OR(D417="",D417=0),1,
IF(OR(D417&lt;&gt;"",D417&lt;&gt;0),(C417-D417)/ABS(D417)))),-1)</f>
        <v>0.15372164297979965</v>
      </c>
      <c r="G417" s="374">
        <f>SUMIFS(Data!$W$75:$W$87,Data!$S$75:$S$87,MarketProfile!A417,Data!$X$75:$X$87,"0")</f>
        <v>945995</v>
      </c>
      <c r="H417" s="374"/>
      <c r="I417" s="285">
        <f t="shared" ref="I417:I419" si="37">IFERROR(IF(OR(AND(G417="",C417=""),AND(G417=0,C417=0)),"",
IF(OR(G417="",G417=0),1,
IF(OR(G417&lt;&gt;"",G417&lt;&gt;0),(C417-G417)/ABS(G417)))),-1)</f>
        <v>0.13848170444875502</v>
      </c>
    </row>
    <row r="418" spans="1:12" ht="14.25" x14ac:dyDescent="0.2">
      <c r="A418" s="247" t="s">
        <v>447</v>
      </c>
      <c r="B418" s="127"/>
      <c r="C418" s="127">
        <f>SUMIFS(Data!$W$15:$W$27,Data!$S$15:$S$27,MarketProfile!A418,Data!$X$15:$X$27,"0")</f>
        <v>2073130</v>
      </c>
      <c r="D418" s="374">
        <f>SUMIFS(Data!$W$45:$W$57,Data!$S$45:$S$57,MarketProfile!A418,Data!$X$45:$X$57,"0")</f>
        <v>1733536</v>
      </c>
      <c r="E418" s="374"/>
      <c r="F418" s="285">
        <f t="shared" si="36"/>
        <v>0.19589671053846011</v>
      </c>
      <c r="G418" s="374">
        <f>SUMIFS(Data!$W$75:$W$87,Data!$S$75:$S$87,MarketProfile!A418,Data!$X$75:$X$87,"0")</f>
        <v>1767545</v>
      </c>
      <c r="H418" s="374"/>
      <c r="I418" s="285">
        <f t="shared" si="37"/>
        <v>0.17288668746764579</v>
      </c>
    </row>
    <row r="419" spans="1:12" ht="14.25" x14ac:dyDescent="0.2">
      <c r="A419" s="247" t="s">
        <v>451</v>
      </c>
      <c r="B419" s="127"/>
      <c r="C419" s="127">
        <f>SUMIFS(Data!$W$15:$W$27,Data!$S$15:$S$27,MarketProfile!A419,Data!$X$15:$X$27,"0")</f>
        <v>318663</v>
      </c>
      <c r="D419" s="374">
        <f>SUMIFS(Data!$W$45:$W$57,Data!$S$45:$S$57,MarketProfile!A419,Data!$X$45:$X$57,"0")</f>
        <v>312255</v>
      </c>
      <c r="E419" s="374"/>
      <c r="F419" s="285">
        <f t="shared" si="36"/>
        <v>2.0521689004179278E-2</v>
      </c>
      <c r="G419" s="374">
        <f>SUMIFS(Data!$W$75:$W$87,Data!$S$75:$S$87,MarketProfile!A419,Data!$X$75:$X$87,"0")</f>
        <v>559605</v>
      </c>
      <c r="H419" s="374"/>
      <c r="I419" s="285">
        <f t="shared" si="37"/>
        <v>-0.43055726807301581</v>
      </c>
    </row>
    <row r="420" spans="1:12" ht="15" thickBot="1" x14ac:dyDescent="0.25">
      <c r="A420" s="288" t="s">
        <v>448</v>
      </c>
      <c r="B420" s="288"/>
      <c r="C420" s="128">
        <f>SUMIFS(Data!$W$15:$W$27,Data!$S$15:$S$27,MarketProfile!A420,Data!$X$15:$X$27,"0")</f>
        <v>0</v>
      </c>
      <c r="D420" s="288"/>
      <c r="E420" s="288"/>
      <c r="F420" s="290"/>
      <c r="G420" s="288"/>
      <c r="H420" s="288"/>
      <c r="I420" s="290"/>
    </row>
    <row r="421" spans="1:12" s="246" customFormat="1" ht="15" thickTop="1" x14ac:dyDescent="0.2">
      <c r="A421" s="183"/>
      <c r="B421" s="183"/>
      <c r="C421" s="206"/>
      <c r="D421" s="183"/>
      <c r="E421" s="183"/>
      <c r="F421" s="203"/>
      <c r="G421" s="183"/>
      <c r="H421" s="183"/>
      <c r="I421" s="203"/>
      <c r="K421" s="261"/>
      <c r="L421" s="261"/>
    </row>
    <row r="422" spans="1:12" ht="14.25" x14ac:dyDescent="0.2">
      <c r="A422" s="247"/>
      <c r="B422" s="247"/>
      <c r="C422" s="247"/>
      <c r="D422" s="247"/>
      <c r="E422" s="247"/>
      <c r="F422" s="247"/>
      <c r="G422" s="247"/>
      <c r="H422" s="247"/>
      <c r="I422" s="247"/>
    </row>
    <row r="423" spans="1:12" ht="14.25" x14ac:dyDescent="0.2">
      <c r="A423" s="247"/>
      <c r="B423" s="247"/>
      <c r="C423" s="247"/>
      <c r="D423" s="247"/>
      <c r="E423" s="247"/>
      <c r="F423" s="247"/>
      <c r="G423" s="247"/>
      <c r="H423" s="247"/>
      <c r="I423" s="247"/>
    </row>
    <row r="424" spans="1:12" ht="14.25" x14ac:dyDescent="0.2">
      <c r="A424" s="247"/>
      <c r="B424" s="247"/>
      <c r="C424" s="247"/>
      <c r="D424" s="247"/>
      <c r="E424" s="247"/>
      <c r="F424" s="247"/>
      <c r="G424" s="247"/>
      <c r="H424" s="247"/>
      <c r="I424" s="247"/>
    </row>
    <row r="425" spans="1:12" ht="14.25" x14ac:dyDescent="0.2">
      <c r="A425" s="247"/>
      <c r="B425" s="247"/>
      <c r="C425" s="247"/>
      <c r="D425" s="247"/>
      <c r="E425" s="247"/>
      <c r="F425" s="247"/>
      <c r="G425" s="247"/>
      <c r="H425" s="247"/>
      <c r="I425" s="247"/>
    </row>
    <row r="426" spans="1:12" ht="14.25" x14ac:dyDescent="0.2">
      <c r="A426" s="247"/>
      <c r="B426" s="247"/>
      <c r="C426" s="247"/>
      <c r="D426" s="247"/>
      <c r="E426" s="247"/>
      <c r="F426" s="247"/>
      <c r="G426" s="247"/>
      <c r="H426" s="247"/>
      <c r="I426" s="247"/>
    </row>
    <row r="427" spans="1:12" s="246" customFormat="1" ht="4.5" customHeight="1" x14ac:dyDescent="0.2">
      <c r="A427" s="247"/>
      <c r="B427" s="247"/>
      <c r="C427" s="247"/>
      <c r="D427" s="247"/>
      <c r="E427" s="247"/>
      <c r="F427" s="247"/>
      <c r="G427" s="247"/>
      <c r="H427" s="247"/>
      <c r="I427" s="247"/>
      <c r="K427" s="261"/>
      <c r="L427" s="261"/>
    </row>
    <row r="428" spans="1:12" ht="14.25" x14ac:dyDescent="0.2">
      <c r="B428" s="247"/>
      <c r="C428" s="247"/>
      <c r="D428" s="247"/>
      <c r="E428" s="247"/>
      <c r="F428" s="247"/>
      <c r="G428" s="247"/>
      <c r="H428" s="247"/>
      <c r="I428" s="247"/>
    </row>
    <row r="429" spans="1:12" ht="8.25" customHeight="1" x14ac:dyDescent="0.2">
      <c r="A429" s="385" t="str">
        <f>"Market Profile - "&amp; TEXT($H$3,"MMM")&amp;" "&amp;TEXT($H$3,"YYYY")</f>
        <v>Market Profile - Oct 2017</v>
      </c>
      <c r="B429" s="247"/>
      <c r="C429" s="247"/>
      <c r="D429" s="247"/>
      <c r="E429" s="389" t="s">
        <v>205</v>
      </c>
      <c r="F429" s="389"/>
      <c r="G429" s="389"/>
      <c r="H429" s="389"/>
      <c r="I429" s="389"/>
    </row>
    <row r="430" spans="1:12" ht="10.5" customHeight="1" thickBot="1" x14ac:dyDescent="0.25">
      <c r="A430" s="386"/>
      <c r="B430" s="277"/>
      <c r="C430" s="277"/>
      <c r="D430" s="277"/>
      <c r="E430" s="390"/>
      <c r="F430" s="390"/>
      <c r="G430" s="390"/>
      <c r="H430" s="390"/>
      <c r="I430" s="390"/>
    </row>
    <row r="431" spans="1:12" ht="38.25" customHeight="1" thickBot="1" x14ac:dyDescent="0.3">
      <c r="A431" s="329"/>
      <c r="B431" s="329"/>
      <c r="C431" s="340" t="str">
        <f>TEXT($H$3,"MMM")&amp;" "&amp;TEXT($H$3,"YYYY")</f>
        <v>Oct 2017</v>
      </c>
      <c r="D431" s="329"/>
      <c r="E431" s="340" t="str">
        <f>TEXT(DATE(2000,TEXT(H3,"M")-1,1),"mmm")&amp; " "&amp; TEXT(H3,"YYYY")</f>
        <v>Sep 2017</v>
      </c>
      <c r="F431" s="180" t="s">
        <v>193</v>
      </c>
      <c r="G431" s="329"/>
      <c r="H431" s="341" t="str">
        <f>TEXT($H$3,"MMM")&amp;" "&amp;TEXT($H$3,"YYYY")-1</f>
        <v>Oct 2016</v>
      </c>
      <c r="I431" s="341" t="s">
        <v>194</v>
      </c>
    </row>
    <row r="432" spans="1:12" ht="15" x14ac:dyDescent="0.25">
      <c r="A432" s="331" t="s">
        <v>117</v>
      </c>
      <c r="B432" s="331"/>
      <c r="C432" s="331"/>
      <c r="D432" s="331"/>
      <c r="E432" s="331"/>
      <c r="F432" s="331"/>
      <c r="G432" s="331"/>
      <c r="H432" s="331"/>
      <c r="I432" s="342"/>
    </row>
    <row r="433" spans="1:10" x14ac:dyDescent="0.2">
      <c r="A433" s="139" t="s">
        <v>14</v>
      </c>
      <c r="B433" s="246"/>
      <c r="C433" s="246"/>
      <c r="D433" s="246"/>
      <c r="E433" s="246"/>
      <c r="F433" s="140"/>
      <c r="G433" s="246"/>
      <c r="H433" s="246"/>
      <c r="I433" s="179"/>
    </row>
    <row r="434" spans="1:10" x14ac:dyDescent="0.2">
      <c r="A434" s="246" t="s">
        <v>461</v>
      </c>
      <c r="B434" s="246"/>
      <c r="C434" s="3">
        <f>SUMIFS(Data!$AC:$AC,Data!$Z:$Z,MarketProfile!A434,Data!$AE:$AE,"1")</f>
        <v>748</v>
      </c>
      <c r="D434" s="372">
        <f>SUMIFS(Data!$AQ:$AQ,Data!$AN:$AN,MarketProfile!A434,Data!$AS:$AS,"1")</f>
        <v>586</v>
      </c>
      <c r="E434" s="372"/>
      <c r="F434" s="179">
        <f>IFERROR(IF(OR(AND(D434="",C434=""),AND(D434=0,C434=0)),"",
IF(OR(D434="",D434=0),1,
IF(OR(D434&lt;&gt;"",D434&lt;&gt;0),(C434-D434)/ABS(D434)))),-1)</f>
        <v>0.2764505119453925</v>
      </c>
      <c r="G434" s="372">
        <f>SUMIFS(Data!$BE:$BE,Data!$BB:$BB,MarketProfile!A434,Data!BG:BG,"1")</f>
        <v>839</v>
      </c>
      <c r="H434" s="372"/>
      <c r="I434" s="179">
        <f t="shared" ref="I434:I441" si="38">IFERROR(IF(OR(AND(G434="",C434=""),AND(G434=0,C434=0)),"",
IF(OR(G434="",G434=0),1,
IF(OR(G434&lt;&gt;"",G434&lt;&gt;0),(C434-G434)/ABS(G434)))),-1)</f>
        <v>-0.10846245530393325</v>
      </c>
      <c r="J434" s="158"/>
    </row>
    <row r="435" spans="1:10" x14ac:dyDescent="0.2">
      <c r="A435" s="246" t="s">
        <v>184</v>
      </c>
      <c r="B435" s="246"/>
      <c r="C435" s="3">
        <f>SUMIFS(Data!$AC:$AC,Data!$Z:$Z,MarketProfile!A435,Data!$AE:$AE,"1")</f>
        <v>2943</v>
      </c>
      <c r="D435" s="372">
        <f>SUMIFS(Data!$AQ:$AQ,Data!$AN:$AN,MarketProfile!A435,Data!$AS:$AS,"1")</f>
        <v>1853</v>
      </c>
      <c r="E435" s="372"/>
      <c r="F435" s="179">
        <f t="shared" ref="F435:F442" si="39">IFERROR(IF(OR(AND(D435="",C435=""),AND(D435=0,C435=0)),"",
IF(OR(D435="",D435=0),1,
IF(OR(D435&lt;&gt;"",D435&lt;&gt;0),(C435-D435)/ABS(D435)))),-1)</f>
        <v>0.58823529411764708</v>
      </c>
      <c r="G435" s="372">
        <f>SUMIFS(Data!$BE:$BE,Data!$BB:$BB,MarketProfile!A435,Data!BG:BG,"1")</f>
        <v>1094</v>
      </c>
      <c r="H435" s="372"/>
      <c r="I435" s="179">
        <f t="shared" si="38"/>
        <v>1.6901279707495429</v>
      </c>
      <c r="J435" s="158"/>
    </row>
    <row r="436" spans="1:10" x14ac:dyDescent="0.2">
      <c r="A436" s="246" t="s">
        <v>462</v>
      </c>
      <c r="B436" s="246"/>
      <c r="C436" s="3">
        <f>SUMIFS(Data!$AC:$AC,Data!$Z:$Z,MarketProfile!A436,Data!$AE:$AE,"1")</f>
        <v>6166</v>
      </c>
      <c r="D436" s="372">
        <f>SUMIFS(Data!$AQ:$AQ,Data!$AN:$AN,MarketProfile!A436,Data!$AS:$AS,"1")</f>
        <v>4313</v>
      </c>
      <c r="E436" s="372"/>
      <c r="F436" s="179">
        <f t="shared" si="39"/>
        <v>0.42963134709019246</v>
      </c>
      <c r="G436" s="372">
        <f>SUMIFS(Data!$BE:$BE,Data!$BB:$BB,MarketProfile!A436,Data!BG:BG,"1")</f>
        <v>6145</v>
      </c>
      <c r="H436" s="372"/>
      <c r="I436" s="179">
        <f t="shared" si="38"/>
        <v>3.417412530512612E-3</v>
      </c>
      <c r="J436" s="158"/>
    </row>
    <row r="437" spans="1:10" x14ac:dyDescent="0.2">
      <c r="A437" s="246" t="s">
        <v>140</v>
      </c>
      <c r="B437" s="246"/>
      <c r="C437" s="3">
        <f>SUMIFS(Data!$AC:$AC,Data!$Z:$Z,MarketProfile!A437,Data!$AE:$AE,"1")</f>
        <v>14</v>
      </c>
      <c r="D437" s="372">
        <f>SUMIFS(Data!$AQ:$AQ,Data!$AN:$AN,MarketProfile!A437,Data!$AS:$AS,"1")</f>
        <v>25</v>
      </c>
      <c r="E437" s="372"/>
      <c r="F437" s="179">
        <f t="shared" si="39"/>
        <v>-0.44</v>
      </c>
      <c r="G437" s="372">
        <f>SUMIFS(Data!$BE:$BE,Data!$BB:$BB,MarketProfile!A437,Data!BG:BG,"1")</f>
        <v>25</v>
      </c>
      <c r="H437" s="372"/>
      <c r="I437" s="179">
        <f t="shared" si="38"/>
        <v>-0.44</v>
      </c>
      <c r="J437" s="158"/>
    </row>
    <row r="438" spans="1:10" x14ac:dyDescent="0.2">
      <c r="A438" s="246" t="s">
        <v>463</v>
      </c>
      <c r="B438" s="246"/>
      <c r="C438" s="3">
        <f>SUMIFS(Data!$AC:$AC,Data!$Z:$Z,MarketProfile!A438,Data!$AE:$AE,"1")</f>
        <v>2798</v>
      </c>
      <c r="D438" s="372">
        <f>SUMIFS(Data!$AQ:$AQ,Data!$AN:$AN,MarketProfile!A438,Data!$AS:$AS,"1")</f>
        <v>1430</v>
      </c>
      <c r="E438" s="372"/>
      <c r="F438" s="179">
        <f t="shared" si="39"/>
        <v>0.95664335664335665</v>
      </c>
      <c r="G438" s="372">
        <f>SUMIFS(Data!$BE:$BE,Data!$BB:$BB,MarketProfile!A438,Data!BG:BG,"1")</f>
        <v>1527</v>
      </c>
      <c r="H438" s="372"/>
      <c r="I438" s="179">
        <f t="shared" si="38"/>
        <v>0.83235101506221354</v>
      </c>
      <c r="J438" s="158"/>
    </row>
    <row r="439" spans="1:10" x14ac:dyDescent="0.2">
      <c r="A439" s="246" t="s">
        <v>464</v>
      </c>
      <c r="B439" s="246"/>
      <c r="C439" s="3">
        <f>SUMIFS(Data!$AC:$AC,Data!$Z:$Z,MarketProfile!A439,Data!$AE:$AE,"1")</f>
        <v>12590</v>
      </c>
      <c r="D439" s="372">
        <f>SUMIFS(Data!$AQ:$AQ,Data!$AN:$AN,MarketProfile!A439,Data!$AS:$AS,"1")</f>
        <v>9186</v>
      </c>
      <c r="E439" s="372"/>
      <c r="F439" s="179">
        <f t="shared" si="39"/>
        <v>0.37056390158937513</v>
      </c>
      <c r="G439" s="372">
        <f>SUMIFS(Data!$BE:$BE,Data!$BB:$BB,MarketProfile!A439,Data!BG:BG,"1")</f>
        <v>14792</v>
      </c>
      <c r="H439" s="372"/>
      <c r="I439" s="179">
        <f t="shared" si="38"/>
        <v>-0.14886425094645755</v>
      </c>
      <c r="J439" s="158"/>
    </row>
    <row r="440" spans="1:10" x14ac:dyDescent="0.2">
      <c r="A440" s="246" t="s">
        <v>465</v>
      </c>
      <c r="B440" s="246"/>
      <c r="C440" s="3">
        <f>SUMIFS(Data!$AC:$AC,Data!$Z:$Z,MarketProfile!A440,Data!$AE:$AE,"1")</f>
        <v>11</v>
      </c>
      <c r="D440" s="372">
        <f>SUMIFS(Data!$AQ:$AQ,Data!$AN:$AN,MarketProfile!A440,Data!$AS:$AS,"1")</f>
        <v>21</v>
      </c>
      <c r="E440" s="372"/>
      <c r="F440" s="179">
        <f t="shared" si="39"/>
        <v>-0.47619047619047616</v>
      </c>
      <c r="G440" s="372">
        <f>SUMIFS(Data!$BE:$BE,Data!$BB:$BB,MarketProfile!A440,Data!BG:BG,"1")</f>
        <v>25</v>
      </c>
      <c r="H440" s="372"/>
      <c r="I440" s="179">
        <f t="shared" si="38"/>
        <v>-0.56000000000000005</v>
      </c>
      <c r="J440" s="158"/>
    </row>
    <row r="441" spans="1:10" x14ac:dyDescent="0.2">
      <c r="A441" s="246" t="s">
        <v>141</v>
      </c>
      <c r="B441" s="246"/>
      <c r="C441" s="3">
        <f>SUMIFS(Data!$AC:$AC,Data!$Z:$Z,MarketProfile!A441,Data!$AE:$AE,"1")</f>
        <v>3</v>
      </c>
      <c r="D441" s="372">
        <f>SUMIFS(Data!$AQ:$AQ,Data!$AN:$AN,MarketProfile!A441,Data!$AS:$AS,"1")</f>
        <v>31</v>
      </c>
      <c r="E441" s="372"/>
      <c r="F441" s="179">
        <f t="shared" si="39"/>
        <v>-0.90322580645161288</v>
      </c>
      <c r="G441" s="372">
        <f>SUMIFS(Data!$BE:$BE,Data!$BB:$BB,MarketProfile!A441,Data!BG:BG,"1")</f>
        <v>15</v>
      </c>
      <c r="H441" s="372"/>
      <c r="I441" s="179">
        <f t="shared" si="38"/>
        <v>-0.8</v>
      </c>
      <c r="J441" s="158"/>
    </row>
    <row r="442" spans="1:10" x14ac:dyDescent="0.2">
      <c r="A442" s="245" t="s">
        <v>187</v>
      </c>
      <c r="B442" s="246"/>
      <c r="C442" s="4">
        <f>SUM(C434:C441)</f>
        <v>25273</v>
      </c>
      <c r="D442" s="373">
        <f>SUM(D434:E441)</f>
        <v>17445</v>
      </c>
      <c r="E442" s="373">
        <f>SUM(E434:E441)</f>
        <v>0</v>
      </c>
      <c r="F442" s="166">
        <f t="shared" si="39"/>
        <v>0.44872456291200918</v>
      </c>
      <c r="G442" s="373">
        <f>SUM(G434:H441)</f>
        <v>24462</v>
      </c>
      <c r="H442" s="373">
        <f>SUM(H434:H441)</f>
        <v>0</v>
      </c>
      <c r="I442" s="166">
        <f>IFERROR(IF(OR(AND(G442="",C442=""),AND(G442=0,C442=0)),"",
IF(OR(G442="",G442=0),1,
IF(OR(G442&lt;&gt;"",G442&lt;&gt;0),(C442-G442)/ABS(G442)))),-1)</f>
        <v>3.3153462513285915E-2</v>
      </c>
      <c r="J442" s="158"/>
    </row>
    <row r="443" spans="1:10" x14ac:dyDescent="0.2">
      <c r="A443" s="139" t="s">
        <v>15</v>
      </c>
      <c r="B443" s="246"/>
      <c r="C443" s="3"/>
      <c r="D443" s="246"/>
      <c r="E443" s="246"/>
      <c r="F443" s="179"/>
      <c r="G443" s="246"/>
      <c r="H443" s="246"/>
      <c r="I443" s="179" t="s">
        <v>191</v>
      </c>
    </row>
    <row r="444" spans="1:10" x14ac:dyDescent="0.2">
      <c r="A444" s="246" t="s">
        <v>461</v>
      </c>
      <c r="B444" s="246"/>
      <c r="C444" s="3">
        <f>SUMIFS(Data!$AC:$AC,Data!$Z:$Z,MarketProfile!A444,Data!$AE:$AE,"0")</f>
        <v>0</v>
      </c>
      <c r="D444" s="372">
        <f>SUMIFS(Data!$AQ:$AQ,Data!$AN:$AN,MarketProfile!A444,Data!$AS:$AS,"0")</f>
        <v>0</v>
      </c>
      <c r="E444" s="372"/>
      <c r="F444" s="179" t="str">
        <f t="shared" ref="F444:F452" si="40">IFERROR(IF(OR(AND(D444="",C444=""),AND(D444=0,C444=0)),"",
IF(OR(D444="",D444=0),1,
IF(OR(D444&lt;&gt;"",D444&lt;&gt;0),(C444-D444)/ABS(D444)))),-1)</f>
        <v/>
      </c>
      <c r="G444" s="372">
        <f>SUMIFS(Data!$BE:$BE,Data!$BB:$BB,MarketProfile!A444,Data!BG:BG,"0")</f>
        <v>0</v>
      </c>
      <c r="H444" s="372"/>
      <c r="I444" s="179" t="str">
        <f t="shared" ref="I444:I452" si="41">IFERROR(IF(OR(AND(G444="",C444=""),AND(G444=0,C444=0)),"",
IF(OR(G444="",G444=0),1,
IF(OR(G444&lt;&gt;"",G444&lt;&gt;0),(C444-G444)/ABS(G444)))),-1)</f>
        <v/>
      </c>
    </row>
    <row r="445" spans="1:10" x14ac:dyDescent="0.2">
      <c r="A445" s="246" t="s">
        <v>184</v>
      </c>
      <c r="B445" s="246"/>
      <c r="C445" s="3">
        <f>SUMIFS(Data!$AC:$AC,Data!$Z:$Z,MarketProfile!A445,Data!$AE:$AE,"0")</f>
        <v>258</v>
      </c>
      <c r="D445" s="372">
        <f>SUMIFS(Data!$AQ:$AQ,Data!$AN:$AN,MarketProfile!A445,Data!$AS:$AS,"0")</f>
        <v>122</v>
      </c>
      <c r="E445" s="372"/>
      <c r="F445" s="179">
        <f t="shared" si="40"/>
        <v>1.1147540983606556</v>
      </c>
      <c r="G445" s="372">
        <f>SUMIFS(Data!$BE:$BE,Data!$BB:$BB,MarketProfile!A445,Data!BG:BG,"0")</f>
        <v>94</v>
      </c>
      <c r="H445" s="372"/>
      <c r="I445" s="179">
        <f t="shared" si="41"/>
        <v>1.7446808510638299</v>
      </c>
    </row>
    <row r="446" spans="1:10" x14ac:dyDescent="0.2">
      <c r="A446" s="246" t="s">
        <v>462</v>
      </c>
      <c r="B446" s="246"/>
      <c r="C446" s="3">
        <f>SUMIFS(Data!$AC:$AC,Data!$Z:$Z,MarketProfile!A446,Data!$AE:$AE,"0")</f>
        <v>467</v>
      </c>
      <c r="D446" s="372">
        <f>SUMIFS(Data!$AQ:$AQ,Data!$AN:$AN,MarketProfile!A446,Data!$AS:$AS,"0")</f>
        <v>226</v>
      </c>
      <c r="E446" s="372"/>
      <c r="F446" s="179">
        <f t="shared" si="40"/>
        <v>1.0663716814159292</v>
      </c>
      <c r="G446" s="372">
        <f>SUMIFS(Data!$BE:$BE,Data!$BB:$BB,MarketProfile!A446,Data!BG:BG,"0")</f>
        <v>341</v>
      </c>
      <c r="H446" s="372"/>
      <c r="I446" s="179">
        <f t="shared" si="41"/>
        <v>0.36950146627565983</v>
      </c>
    </row>
    <row r="447" spans="1:10" x14ac:dyDescent="0.2">
      <c r="A447" s="246" t="s">
        <v>140</v>
      </c>
      <c r="B447" s="246"/>
      <c r="C447" s="3">
        <f>SUMIFS(Data!$AC:$AC,Data!$Z:$Z,MarketProfile!A447,Data!$AE:$AE,"0")</f>
        <v>0</v>
      </c>
      <c r="D447" s="372">
        <f>SUMIFS(Data!$AQ:$AQ,Data!$AN:$AN,MarketProfile!A447,Data!$AS:$AS,"0")</f>
        <v>0</v>
      </c>
      <c r="E447" s="372"/>
      <c r="F447" s="179" t="str">
        <f t="shared" si="40"/>
        <v/>
      </c>
      <c r="G447" s="372">
        <f>SUMIFS(Data!$BE:$BE,Data!$BB:$BB,MarketProfile!A447,Data!BG:BG,"0")</f>
        <v>0</v>
      </c>
      <c r="H447" s="372"/>
      <c r="I447" s="179" t="str">
        <f t="shared" si="41"/>
        <v/>
      </c>
    </row>
    <row r="448" spans="1:10" x14ac:dyDescent="0.2">
      <c r="A448" s="246" t="s">
        <v>463</v>
      </c>
      <c r="B448" s="246"/>
      <c r="C448" s="3">
        <f>SUMIFS(Data!$AC:$AC,Data!$Z:$Z,MarketProfile!A448,Data!$AE:$AE,"0")</f>
        <v>269</v>
      </c>
      <c r="D448" s="372">
        <f>SUMIFS(Data!$AQ:$AQ,Data!$AN:$AN,MarketProfile!A448,Data!$AS:$AS,"0")</f>
        <v>100</v>
      </c>
      <c r="E448" s="372"/>
      <c r="F448" s="179">
        <f t="shared" si="40"/>
        <v>1.69</v>
      </c>
      <c r="G448" s="372">
        <f>SUMIFS(Data!$BE:$BE,Data!$BB:$BB,MarketProfile!A448,Data!BG:BG,"0")</f>
        <v>51</v>
      </c>
      <c r="H448" s="372"/>
      <c r="I448" s="179">
        <f t="shared" si="41"/>
        <v>4.2745098039215685</v>
      </c>
    </row>
    <row r="449" spans="1:9" x14ac:dyDescent="0.2">
      <c r="A449" s="246" t="s">
        <v>464</v>
      </c>
      <c r="B449" s="246"/>
      <c r="C449" s="3">
        <f>SUMIFS(Data!$AC:$AC,Data!$Z:$Z,MarketProfile!A449,Data!$AE:$AE,"0")</f>
        <v>1776</v>
      </c>
      <c r="D449" s="372">
        <f>SUMIFS(Data!$AQ:$AQ,Data!$AN:$AN,MarketProfile!A449,Data!$AS:$AS,"0")</f>
        <v>1306</v>
      </c>
      <c r="E449" s="372"/>
      <c r="F449" s="179">
        <f t="shared" si="40"/>
        <v>0.35987748851454826</v>
      </c>
      <c r="G449" s="372">
        <f>SUMIFS(Data!$BE:$BE,Data!$BB:$BB,MarketProfile!A449,Data!BG:BG,"0")</f>
        <v>2931</v>
      </c>
      <c r="H449" s="372"/>
      <c r="I449" s="179">
        <f t="shared" si="41"/>
        <v>-0.39406345957011257</v>
      </c>
    </row>
    <row r="450" spans="1:9" x14ac:dyDescent="0.2">
      <c r="A450" s="246" t="s">
        <v>465</v>
      </c>
      <c r="B450" s="246"/>
      <c r="C450" s="3">
        <f>SUMIFS(Data!$AC:$AC,Data!$Z:$Z,MarketProfile!A450,Data!$AE:$AE,"0")</f>
        <v>2</v>
      </c>
      <c r="D450" s="372">
        <f>SUMIFS(Data!$AQ:$AQ,Data!$AN:$AN,MarketProfile!A450,Data!$AS:$AS,"0")</f>
        <v>4</v>
      </c>
      <c r="E450" s="372"/>
      <c r="F450" s="179">
        <f t="shared" si="40"/>
        <v>-0.5</v>
      </c>
      <c r="G450" s="372">
        <f>SUMIFS(Data!$BE:$BE,Data!$BB:$BB,MarketProfile!A450,Data!BG:BG,"0")</f>
        <v>0</v>
      </c>
      <c r="H450" s="372"/>
      <c r="I450" s="179">
        <f t="shared" si="41"/>
        <v>1</v>
      </c>
    </row>
    <row r="451" spans="1:9" x14ac:dyDescent="0.2">
      <c r="A451" s="246" t="s">
        <v>141</v>
      </c>
      <c r="B451" s="246"/>
      <c r="C451" s="3">
        <f>SUMIFS(Data!$AC:$AC,Data!$Z:$Z,MarketProfile!A451,Data!$AE:$AE,"0")</f>
        <v>0</v>
      </c>
      <c r="D451" s="372">
        <f>SUMIFS(Data!$AQ:$AQ,Data!$AN:$AN,MarketProfile!A451,Data!$AS:$AS,"0")</f>
        <v>0</v>
      </c>
      <c r="E451" s="372"/>
      <c r="F451" s="179" t="str">
        <f t="shared" si="40"/>
        <v/>
      </c>
      <c r="G451" s="372">
        <f>SUMIFS(Data!$BE:$BE,Data!$BB:$BB,MarketProfile!A451,Data!BG:BG,"0")</f>
        <v>0</v>
      </c>
      <c r="H451" s="372"/>
      <c r="I451" s="179" t="str">
        <f t="shared" si="41"/>
        <v/>
      </c>
    </row>
    <row r="452" spans="1:9" x14ac:dyDescent="0.2">
      <c r="A452" s="245" t="s">
        <v>188</v>
      </c>
      <c r="B452" s="246"/>
      <c r="C452" s="4">
        <f>SUM(C444:C451)</f>
        <v>2772</v>
      </c>
      <c r="D452" s="373">
        <f>SUM(D444:E451)</f>
        <v>1758</v>
      </c>
      <c r="E452" s="373">
        <f>SUM(E444:E451)</f>
        <v>0</v>
      </c>
      <c r="F452" s="166">
        <f t="shared" si="40"/>
        <v>0.57679180887372017</v>
      </c>
      <c r="G452" s="373">
        <f>SUM(G444:H451)</f>
        <v>3417</v>
      </c>
      <c r="H452" s="373">
        <f>SUM(H444:H451)</f>
        <v>0</v>
      </c>
      <c r="I452" s="166">
        <f t="shared" si="41"/>
        <v>-0.18876207199297629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6"/>
      <c r="C454" s="3"/>
      <c r="D454" s="246"/>
      <c r="E454" s="246"/>
      <c r="F454" s="140"/>
      <c r="G454" s="246"/>
      <c r="H454" s="246"/>
      <c r="I454" s="179"/>
    </row>
    <row r="455" spans="1:9" x14ac:dyDescent="0.2">
      <c r="A455" s="246" t="s">
        <v>461</v>
      </c>
      <c r="B455" s="246"/>
      <c r="C455" s="3">
        <f>SUMIFS(Data!$AB:$AB,Data!$Z:$Z,MarketProfile!A455,Data!$AE:$AE,"1")</f>
        <v>10163</v>
      </c>
      <c r="D455" s="372">
        <f>SUMIFS(Data!$AP:$AP,Data!$AN:$AN,MarketProfile!A455,Data!$AS:$AS,"1")</f>
        <v>9669</v>
      </c>
      <c r="E455" s="372"/>
      <c r="F455" s="179">
        <f t="shared" ref="F455:F463" si="42">IFERROR(IF(OR(AND(D455="",C455=""),AND(D455=0,C455=0)),"",
IF(OR(D455="",D455=0),1,
IF(OR(D455&lt;&gt;"",D455&lt;&gt;0),(C455-D455)/ABS(D455)))),-1)</f>
        <v>5.1091115937532322E-2</v>
      </c>
      <c r="G455" s="372">
        <f>SUMIFS(Data!$BD:$BD,Data!$BB:$BB,MarketProfile!A455,Data!BG:BG,"1")</f>
        <v>8466</v>
      </c>
      <c r="H455" s="372"/>
      <c r="I455" s="179">
        <f t="shared" ref="I455:I463" si="43">IFERROR(IF(OR(AND(G455="",C455=""),AND(G455=0,C455=0)),"",
IF(OR(G455="",G455=0),1,
IF(OR(G455&lt;&gt;"",G455&lt;&gt;0),(C455-G455)/ABS(G455)))),-1)</f>
        <v>0.20044885424049139</v>
      </c>
    </row>
    <row r="456" spans="1:9" x14ac:dyDescent="0.2">
      <c r="A456" s="246" t="s">
        <v>184</v>
      </c>
      <c r="B456" s="246"/>
      <c r="C456" s="3">
        <f>SUMIFS(Data!$AB:$AB,Data!$Z:$Z,MarketProfile!A456,Data!$AE:$AE,"1")</f>
        <v>23629</v>
      </c>
      <c r="D456" s="372">
        <f>SUMIFS(Data!$AP:$AP,Data!$AN:$AN,MarketProfile!A456,Data!$AS:$AS,"1")</f>
        <v>18010</v>
      </c>
      <c r="E456" s="372"/>
      <c r="F456" s="179">
        <f t="shared" si="42"/>
        <v>0.31199333703498056</v>
      </c>
      <c r="G456" s="372">
        <f>SUMIFS(Data!$BD:$BD,Data!$BB:$BB,MarketProfile!A456,Data!BG:BG,"1")</f>
        <v>6901</v>
      </c>
      <c r="H456" s="372"/>
      <c r="I456" s="179">
        <f t="shared" si="43"/>
        <v>2.423996522243153</v>
      </c>
    </row>
    <row r="457" spans="1:9" x14ac:dyDescent="0.2">
      <c r="A457" s="246" t="s">
        <v>462</v>
      </c>
      <c r="B457" s="246"/>
      <c r="C457" s="3">
        <f>SUMIFS(Data!$AB:$AB,Data!$Z:$Z,MarketProfile!A457,Data!$AE:$AE,"1")</f>
        <v>37435</v>
      </c>
      <c r="D457" s="372">
        <f>SUMIFS(Data!$AP:$AP,Data!$AN:$AN,MarketProfile!A457,Data!$AS:$AS,"1")</f>
        <v>36036</v>
      </c>
      <c r="E457" s="372"/>
      <c r="F457" s="179">
        <f t="shared" si="42"/>
        <v>3.8822288822288824E-2</v>
      </c>
      <c r="G457" s="372">
        <f>SUMIFS(Data!$BD:$BD,Data!$BB:$BB,MarketProfile!A457,Data!BG:BG,"1")</f>
        <v>32836</v>
      </c>
      <c r="H457" s="372"/>
      <c r="I457" s="179">
        <f t="shared" si="43"/>
        <v>0.1400596905835059</v>
      </c>
    </row>
    <row r="458" spans="1:9" x14ac:dyDescent="0.2">
      <c r="A458" s="246" t="s">
        <v>140</v>
      </c>
      <c r="B458" s="246"/>
      <c r="C458" s="3">
        <f>SUMIFS(Data!$AB:$AB,Data!$Z:$Z,MarketProfile!A458,Data!$AE:$AE,"1")</f>
        <v>94</v>
      </c>
      <c r="D458" s="372">
        <f>SUMIFS(Data!$AP:$AP,Data!$AN:$AN,MarketProfile!A458,Data!$AS:$AS,"1")</f>
        <v>142</v>
      </c>
      <c r="E458" s="372"/>
      <c r="F458" s="179">
        <f t="shared" si="42"/>
        <v>-0.3380281690140845</v>
      </c>
      <c r="G458" s="372">
        <f>SUMIFS(Data!$BD:$BD,Data!$BB:$BB,MarketProfile!A458,Data!BG:BG,"1")</f>
        <v>860</v>
      </c>
      <c r="H458" s="372"/>
      <c r="I458" s="179">
        <f t="shared" si="43"/>
        <v>-0.8906976744186047</v>
      </c>
    </row>
    <row r="459" spans="1:9" x14ac:dyDescent="0.2">
      <c r="A459" s="246" t="s">
        <v>463</v>
      </c>
      <c r="B459" s="246"/>
      <c r="C459" s="3">
        <f>SUMIFS(Data!$AB:$AB,Data!$Z:$Z,MarketProfile!A459,Data!$AE:$AE,"1")</f>
        <v>25790</v>
      </c>
      <c r="D459" s="372">
        <f>SUMIFS(Data!$AP:$AP,Data!$AN:$AN,MarketProfile!A459,Data!$AS:$AS,"1")</f>
        <v>11702</v>
      </c>
      <c r="E459" s="372"/>
      <c r="F459" s="179">
        <f t="shared" si="42"/>
        <v>1.203896769782943</v>
      </c>
      <c r="G459" s="372">
        <f>SUMIFS(Data!$BD:$BD,Data!$BB:$BB,MarketProfile!A459,Data!BG:BG,"1")</f>
        <v>11506</v>
      </c>
      <c r="H459" s="372"/>
      <c r="I459" s="179">
        <f t="shared" si="43"/>
        <v>1.2414392490874326</v>
      </c>
    </row>
    <row r="460" spans="1:9" x14ac:dyDescent="0.2">
      <c r="A460" s="246" t="s">
        <v>464</v>
      </c>
      <c r="B460" s="246"/>
      <c r="C460" s="3">
        <f>SUMIFS(Data!$AB:$AB,Data!$Z:$Z,MarketProfile!A460,Data!$AE:$AE,"1")</f>
        <v>72180</v>
      </c>
      <c r="D460" s="372">
        <f>SUMIFS(Data!$AP:$AP,Data!$AN:$AN,MarketProfile!A460,Data!$AS:$AS,"1")</f>
        <v>52743</v>
      </c>
      <c r="E460" s="372"/>
      <c r="F460" s="179">
        <f t="shared" si="42"/>
        <v>0.36852283715374551</v>
      </c>
      <c r="G460" s="372">
        <f>SUMIFS(Data!$BD:$BD,Data!$BB:$BB,MarketProfile!A460,Data!BG:BG,"1")</f>
        <v>85867</v>
      </c>
      <c r="H460" s="372"/>
      <c r="I460" s="179">
        <f t="shared" si="43"/>
        <v>-0.15939767314567879</v>
      </c>
    </row>
    <row r="461" spans="1:9" x14ac:dyDescent="0.2">
      <c r="A461" s="246" t="s">
        <v>465</v>
      </c>
      <c r="B461" s="246"/>
      <c r="C461" s="3">
        <f>SUMIFS(Data!$AB:$AB,Data!$Z:$Z,MarketProfile!A461,Data!$AE:$AE,"1")</f>
        <v>311</v>
      </c>
      <c r="D461" s="372">
        <f>SUMIFS(Data!$AP:$AP,Data!$AN:$AN,MarketProfile!A461,Data!$AS:$AS,"1")</f>
        <v>223</v>
      </c>
      <c r="E461" s="372"/>
      <c r="F461" s="179">
        <f t="shared" si="42"/>
        <v>0.39461883408071746</v>
      </c>
      <c r="G461" s="372">
        <f>SUMIFS(Data!$BD:$BD,Data!$BB:$BB,MarketProfile!A461,Data!BG:BG,"1")</f>
        <v>43</v>
      </c>
      <c r="H461" s="372"/>
      <c r="I461" s="179">
        <f t="shared" si="43"/>
        <v>6.2325581395348841</v>
      </c>
    </row>
    <row r="462" spans="1:9" x14ac:dyDescent="0.2">
      <c r="A462" s="246" t="s">
        <v>141</v>
      </c>
      <c r="B462" s="246"/>
      <c r="C462" s="3">
        <f>SUMIFS(Data!$AB:$AB,Data!$Z:$Z,MarketProfile!A462,Data!$AE:$AE,"1")</f>
        <v>8</v>
      </c>
      <c r="D462" s="372">
        <f>SUMIFS(Data!$AP:$AP,Data!$AN:$AN,MarketProfile!A462,Data!$AS:$AS,"1")</f>
        <v>2183</v>
      </c>
      <c r="E462" s="372"/>
      <c r="F462" s="179">
        <f t="shared" si="42"/>
        <v>-0.99633531836921663</v>
      </c>
      <c r="G462" s="372">
        <f>SUMIFS(Data!$BD:$BD,Data!$BB:$BB,MarketProfile!A462,Data!BG:BG,"1")</f>
        <v>31</v>
      </c>
      <c r="H462" s="372"/>
      <c r="I462" s="179">
        <f t="shared" si="43"/>
        <v>-0.74193548387096775</v>
      </c>
    </row>
    <row r="463" spans="1:9" x14ac:dyDescent="0.2">
      <c r="A463" s="245" t="s">
        <v>187</v>
      </c>
      <c r="B463" s="246"/>
      <c r="C463" s="4">
        <f>SUM(C455:C462)</f>
        <v>169610</v>
      </c>
      <c r="D463" s="373">
        <f>SUM(D455:E462)</f>
        <v>130708</v>
      </c>
      <c r="E463" s="373">
        <f>SUM(E455:E462)</f>
        <v>0</v>
      </c>
      <c r="F463" s="166">
        <f t="shared" si="42"/>
        <v>0.29762524099519538</v>
      </c>
      <c r="G463" s="373">
        <f>SUM(G455:H462)</f>
        <v>146510</v>
      </c>
      <c r="H463" s="373">
        <f>SUM(H455:H462)</f>
        <v>0</v>
      </c>
      <c r="I463" s="166">
        <f t="shared" si="43"/>
        <v>0.15766841853798375</v>
      </c>
    </row>
    <row r="464" spans="1:9" x14ac:dyDescent="0.2">
      <c r="A464" s="139" t="s">
        <v>15</v>
      </c>
      <c r="B464" s="246"/>
      <c r="C464" s="3"/>
      <c r="D464" s="246"/>
      <c r="E464" s="246"/>
      <c r="F464" s="179"/>
      <c r="G464" s="246"/>
      <c r="H464" s="246"/>
      <c r="I464" s="179"/>
    </row>
    <row r="465" spans="1:9" x14ac:dyDescent="0.2">
      <c r="A465" s="246" t="s">
        <v>461</v>
      </c>
      <c r="B465" s="246"/>
      <c r="C465" s="3">
        <f>SUMIFS(Data!$AB:$AB,Data!$Z:$Z,MarketProfile!A465,Data!$AE:$AE,"0")</f>
        <v>0</v>
      </c>
      <c r="D465" s="372">
        <f>SUMIFS(Data!$AP:$AP,Data!$AN:$AN,MarketProfile!A465,Data!$AS:$AS,"0")</f>
        <v>0</v>
      </c>
      <c r="E465" s="372"/>
      <c r="F465" s="179" t="str">
        <f t="shared" ref="F465:F473" si="44">IFERROR(IF(OR(AND(D465="",C465=""),AND(D465=0,C465=0)),"",
IF(OR(D465="",D465=0),1,
IF(OR(D465&lt;&gt;"",D465&lt;&gt;0),(C465-D465)/ABS(D465)))),-1)</f>
        <v/>
      </c>
      <c r="G465" s="372">
        <f>SUMIFS(Data!$BD:$BD,Data!$BB:$BB,MarketProfile!A465,Data!BG:BG,"0")</f>
        <v>0</v>
      </c>
      <c r="H465" s="372"/>
      <c r="I465" s="179" t="str">
        <f t="shared" ref="I465:I473" si="45">IFERROR(IF(OR(AND(G465="",C465=""),AND(G465=0,C465=0)),"",
IF(OR(G465="",G465=0),1,
IF(OR(G465&lt;&gt;"",G465&lt;&gt;0),(C465-G465)/ABS(G465)))),-1)</f>
        <v/>
      </c>
    </row>
    <row r="466" spans="1:9" x14ac:dyDescent="0.2">
      <c r="A466" s="246" t="s">
        <v>184</v>
      </c>
      <c r="B466" s="246"/>
      <c r="C466" s="3">
        <f>SUMIFS(Data!$AB:$AB,Data!$Z:$Z,MarketProfile!A466,Data!$AE:$AE,"0")</f>
        <v>3830</v>
      </c>
      <c r="D466" s="372">
        <f>SUMIFS(Data!$AP:$AP,Data!$AN:$AN,MarketProfile!A466,Data!$AS:$AS,"0")</f>
        <v>3564</v>
      </c>
      <c r="E466" s="372"/>
      <c r="F466" s="179">
        <f t="shared" si="44"/>
        <v>7.4635241301907962E-2</v>
      </c>
      <c r="G466" s="372">
        <f>SUMIFS(Data!$BD:$BD,Data!$BB:$BB,MarketProfile!A466,Data!BG:BG,"0")</f>
        <v>3362</v>
      </c>
      <c r="H466" s="372"/>
      <c r="I466" s="179">
        <f t="shared" si="45"/>
        <v>0.13920285544318858</v>
      </c>
    </row>
    <row r="467" spans="1:9" x14ac:dyDescent="0.2">
      <c r="A467" s="246" t="s">
        <v>462</v>
      </c>
      <c r="B467" s="246"/>
      <c r="C467" s="3">
        <f>SUMIFS(Data!$AB:$AB,Data!$Z:$Z,MarketProfile!A467,Data!$AE:$AE,"0")</f>
        <v>4523</v>
      </c>
      <c r="D467" s="372">
        <f>SUMIFS(Data!$AP:$AP,Data!$AN:$AN,MarketProfile!A467,Data!$AS:$AS,"0")</f>
        <v>2798</v>
      </c>
      <c r="E467" s="372"/>
      <c r="F467" s="179">
        <f t="shared" si="44"/>
        <v>0.61651179413867052</v>
      </c>
      <c r="G467" s="372">
        <f>SUMIFS(Data!$BD:$BD,Data!$BB:$BB,MarketProfile!A467,Data!BG:BG,"0")</f>
        <v>3573</v>
      </c>
      <c r="H467" s="372"/>
      <c r="I467" s="179">
        <f t="shared" si="45"/>
        <v>0.26588301147495103</v>
      </c>
    </row>
    <row r="468" spans="1:9" x14ac:dyDescent="0.2">
      <c r="A468" s="246" t="s">
        <v>140</v>
      </c>
      <c r="B468" s="246"/>
      <c r="C468" s="3">
        <f>SUMIFS(Data!$AB:$AB,Data!$Z:$Z,MarketProfile!A468,Data!$AE:$AE,"0")</f>
        <v>0</v>
      </c>
      <c r="D468" s="372">
        <f>SUMIFS(Data!$AP:$AP,Data!$AN:$AN,MarketProfile!A468,Data!$AS:$AS,"0")</f>
        <v>0</v>
      </c>
      <c r="E468" s="372"/>
      <c r="F468" s="179" t="str">
        <f t="shared" si="44"/>
        <v/>
      </c>
      <c r="G468" s="372">
        <f>SUMIFS(Data!$BD:$BD,Data!$BB:$BB,MarketProfile!A468,Data!BG:BG,"0")</f>
        <v>0</v>
      </c>
      <c r="H468" s="372"/>
      <c r="I468" s="179" t="str">
        <f t="shared" si="45"/>
        <v/>
      </c>
    </row>
    <row r="469" spans="1:9" x14ac:dyDescent="0.2">
      <c r="A469" s="246" t="s">
        <v>463</v>
      </c>
      <c r="B469" s="246"/>
      <c r="C469" s="3">
        <f>SUMIFS(Data!$AB:$AB,Data!$Z:$Z,MarketProfile!A469,Data!$AE:$AE,"0")</f>
        <v>3841</v>
      </c>
      <c r="D469" s="372">
        <f>SUMIFS(Data!$AP:$AP,Data!$AN:$AN,MarketProfile!A469,Data!$AS:$AS,"0")</f>
        <v>1174</v>
      </c>
      <c r="E469" s="372"/>
      <c r="F469" s="179">
        <f t="shared" si="44"/>
        <v>2.2717206132879046</v>
      </c>
      <c r="G469" s="372">
        <f>SUMIFS(Data!$BD:$BD,Data!$BB:$BB,MarketProfile!A469,Data!BG:BG,"0")</f>
        <v>1325</v>
      </c>
      <c r="H469" s="372"/>
      <c r="I469" s="179">
        <f t="shared" si="45"/>
        <v>1.8988679245283018</v>
      </c>
    </row>
    <row r="470" spans="1:9" x14ac:dyDescent="0.2">
      <c r="A470" s="246" t="s">
        <v>464</v>
      </c>
      <c r="B470" s="246"/>
      <c r="C470" s="3">
        <f>SUMIFS(Data!$AB:$AB,Data!$Z:$Z,MarketProfile!A470,Data!$AE:$AE,"0")</f>
        <v>13472</v>
      </c>
      <c r="D470" s="372">
        <f>SUMIFS(Data!$AP:$AP,Data!$AN:$AN,MarketProfile!A470,Data!$AS:$AS,"0")</f>
        <v>13690</v>
      </c>
      <c r="E470" s="372"/>
      <c r="F470" s="179">
        <f t="shared" si="44"/>
        <v>-1.5924032140248356E-2</v>
      </c>
      <c r="G470" s="372">
        <f>SUMIFS(Data!$BD:$BD,Data!$BB:$BB,MarketProfile!A470,Data!BG:BG,"0")</f>
        <v>22808</v>
      </c>
      <c r="H470" s="372"/>
      <c r="I470" s="179">
        <f t="shared" si="45"/>
        <v>-0.40933005962820063</v>
      </c>
    </row>
    <row r="471" spans="1:9" x14ac:dyDescent="0.2">
      <c r="A471" s="246" t="s">
        <v>465</v>
      </c>
      <c r="B471" s="246"/>
      <c r="C471" s="3">
        <f>SUMIFS(Data!$AB:$AB,Data!$Z:$Z,MarketProfile!A471,Data!$AE:$AE,"0")</f>
        <v>20</v>
      </c>
      <c r="D471" s="372">
        <f>SUMIFS(Data!$AP:$AP,Data!$AN:$AN,MarketProfile!A471,Data!$AS:$AS,"0")</f>
        <v>50</v>
      </c>
      <c r="E471" s="372"/>
      <c r="F471" s="179">
        <f t="shared" si="44"/>
        <v>-0.6</v>
      </c>
      <c r="G471" s="372">
        <f>SUMIFS(Data!$BD:$BD,Data!$BB:$BB,MarketProfile!A471,Data!BG:BG,"0")</f>
        <v>0</v>
      </c>
      <c r="H471" s="372"/>
      <c r="I471" s="179">
        <f t="shared" si="45"/>
        <v>1</v>
      </c>
    </row>
    <row r="472" spans="1:9" x14ac:dyDescent="0.2">
      <c r="A472" s="246" t="s">
        <v>141</v>
      </c>
      <c r="B472" s="246"/>
      <c r="C472" s="3">
        <f>SUMIFS(Data!$AB:$AB,Data!$Z:$Z,MarketProfile!A472,Data!$AE:$AE,"0")</f>
        <v>0</v>
      </c>
      <c r="D472" s="372">
        <f>SUMIFS(Data!$AP:$AP,Data!$AN:$AN,MarketProfile!A472,Data!$AS:$AS,"0")</f>
        <v>0</v>
      </c>
      <c r="E472" s="372"/>
      <c r="F472" s="179" t="str">
        <f t="shared" si="44"/>
        <v/>
      </c>
      <c r="G472" s="372">
        <f>SUMIFS(Data!$BD:$BD,Data!$BB:$BB,MarketProfile!A472,Data!BG:BG,"0")</f>
        <v>0</v>
      </c>
      <c r="H472" s="372"/>
      <c r="I472" s="179" t="str">
        <f t="shared" si="45"/>
        <v/>
      </c>
    </row>
    <row r="473" spans="1:9" x14ac:dyDescent="0.2">
      <c r="A473" s="245" t="s">
        <v>188</v>
      </c>
      <c r="B473" s="246"/>
      <c r="C473" s="4">
        <f>SUM(C465:C472)</f>
        <v>25686</v>
      </c>
      <c r="D473" s="373">
        <f>SUM(D465:E472)</f>
        <v>21276</v>
      </c>
      <c r="E473" s="373">
        <v>34213</v>
      </c>
      <c r="F473" s="166">
        <f t="shared" si="44"/>
        <v>0.20727580372250423</v>
      </c>
      <c r="G473" s="373">
        <f>SUM(G465:H472)</f>
        <v>31068</v>
      </c>
      <c r="H473" s="373">
        <f>SUM(H465:H472)</f>
        <v>0</v>
      </c>
      <c r="I473" s="166">
        <f t="shared" si="45"/>
        <v>-0.17323290845886444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6"/>
      <c r="C475" s="3"/>
      <c r="D475" s="246"/>
      <c r="E475" s="246"/>
      <c r="F475" s="140"/>
      <c r="G475" s="246"/>
      <c r="H475" s="246"/>
      <c r="I475" s="179"/>
    </row>
    <row r="476" spans="1:9" x14ac:dyDescent="0.2">
      <c r="A476" s="246" t="s">
        <v>461</v>
      </c>
      <c r="B476" s="246"/>
      <c r="C476" s="3">
        <f>SUMIFS(Data!$AA:$AA,Data!$Z:$Z,MarketProfile!A476,Data!$AE:$AE,"1")/1000</f>
        <v>2094453.1784699999</v>
      </c>
      <c r="D476" s="372">
        <f>SUMIFS(Data!$AO:$AO,Data!$AN:$AN,MarketProfile!A476,Data!$AS:$AS,"1")/1000</f>
        <v>1887316.46031</v>
      </c>
      <c r="E476" s="372"/>
      <c r="F476" s="179">
        <f t="shared" ref="F476:F484" si="46">IFERROR(IF(OR(AND(D476="",C476=""),AND(D476=0,C476=0)),"",
IF(OR(D476="",D476=0),1,
IF(OR(D476&lt;&gt;"",D476&lt;&gt;0),(C476-D476)/ABS(D476)))),-1)</f>
        <v>0.10975197986986074</v>
      </c>
      <c r="G476" s="372">
        <f>SUMIFS(Data!$BC:$BC,Data!$BB:$BB,MarketProfile!A476,Data!BG:BG,"1")/1000</f>
        <v>1679202.5205999999</v>
      </c>
      <c r="H476" s="372"/>
      <c r="I476" s="179">
        <f t="shared" ref="I476:I484" si="47">IFERROR(IF(OR(AND(G476="",C476=""),AND(G476=0,C476=0)),"",
IF(OR(G476="",G476=0),1,
IF(OR(G476&lt;&gt;"",G476&lt;&gt;0),(C476-G476)/ABS(G476)))),-1)</f>
        <v>0.24729039694486987</v>
      </c>
    </row>
    <row r="477" spans="1:9" x14ac:dyDescent="0.2">
      <c r="A477" s="246" t="s">
        <v>184</v>
      </c>
      <c r="B477" s="246"/>
      <c r="C477" s="3">
        <f>SUMIFS(Data!$AA:$AA,Data!$Z:$Z,MarketProfile!A477,Data!$AE:$AE,"1")/1000</f>
        <v>5756310.8380800001</v>
      </c>
      <c r="D477" s="372">
        <f>SUMIFS(Data!$AO:$AO,Data!$AN:$AN,MarketProfile!A477,Data!$AS:$AS,"1")/1000</f>
        <v>4333807.3932400001</v>
      </c>
      <c r="E477" s="372"/>
      <c r="F477" s="179">
        <f t="shared" si="46"/>
        <v>0.32823411743190584</v>
      </c>
      <c r="G477" s="372">
        <f>SUMIFS(Data!$BC:$BC,Data!$BB:$BB,MarketProfile!A477,Data!BG:BG,"1")/1000</f>
        <v>2191733.36784</v>
      </c>
      <c r="H477" s="372"/>
      <c r="I477" s="179">
        <f t="shared" si="47"/>
        <v>1.6263736832883862</v>
      </c>
    </row>
    <row r="478" spans="1:9" x14ac:dyDescent="0.2">
      <c r="A478" s="246" t="s">
        <v>462</v>
      </c>
      <c r="B478" s="246"/>
      <c r="C478" s="3">
        <f>SUMIFS(Data!$AA:$AA,Data!$Z:$Z,MarketProfile!A478,Data!$AE:$AE,"1")/1000</f>
        <v>7759898.0208000001</v>
      </c>
      <c r="D478" s="372">
        <f>SUMIFS(Data!$AO:$AO,Data!$AN:$AN,MarketProfile!A478,Data!$AS:$AS,"1")/1000</f>
        <v>7256354.4907600004</v>
      </c>
      <c r="E478" s="372"/>
      <c r="F478" s="179">
        <f t="shared" si="46"/>
        <v>6.9393457924526031E-2</v>
      </c>
      <c r="G478" s="372">
        <f>SUMIFS(Data!$BC:$BC,Data!$BB:$BB,MarketProfile!A478,Data!BG:BG,"1")/1000</f>
        <v>10029469.972349999</v>
      </c>
      <c r="H478" s="372"/>
      <c r="I478" s="179">
        <f t="shared" si="47"/>
        <v>-0.2262903182129192</v>
      </c>
    </row>
    <row r="479" spans="1:9" x14ac:dyDescent="0.2">
      <c r="A479" s="246" t="s">
        <v>140</v>
      </c>
      <c r="B479" s="246"/>
      <c r="C479" s="3">
        <f>SUMIFS(Data!$AA:$AA,Data!$Z:$Z,MarketProfile!A479,Data!$AE:$AE,"1")/1000</f>
        <v>16739.54</v>
      </c>
      <c r="D479" s="372">
        <f>SUMIFS(Data!$AO:$AO,Data!$AN:$AN,MarketProfile!A479,Data!$AS:$AS,"1")/1000</f>
        <v>25013.350899999998</v>
      </c>
      <c r="E479" s="372"/>
      <c r="F479" s="179">
        <f t="shared" si="46"/>
        <v>-0.33077578982030742</v>
      </c>
      <c r="G479" s="372">
        <f>SUMIFS(Data!$BC:$BC,Data!$BB:$BB,MarketProfile!A479,Data!BG:BG,"1")/1000</f>
        <v>154992.28090000001</v>
      </c>
      <c r="H479" s="372"/>
      <c r="I479" s="179">
        <f t="shared" si="47"/>
        <v>-0.89199758915219629</v>
      </c>
    </row>
    <row r="480" spans="1:9" x14ac:dyDescent="0.2">
      <c r="A480" s="246" t="s">
        <v>463</v>
      </c>
      <c r="B480" s="246"/>
      <c r="C480" s="3">
        <f>SUMIFS(Data!$AA:$AA,Data!$Z:$Z,MarketProfile!A480,Data!$AE:$AE,"1")/1000</f>
        <v>5960042.647655</v>
      </c>
      <c r="D480" s="372">
        <f>SUMIFS(Data!$AO:$AO,Data!$AN:$AN,MarketProfile!A480,Data!$AS:$AS,"1")/1000</f>
        <v>2844437.416555</v>
      </c>
      <c r="E480" s="372"/>
      <c r="F480" s="179">
        <f t="shared" si="46"/>
        <v>1.0953326703434456</v>
      </c>
      <c r="G480" s="372">
        <f>SUMIFS(Data!$BC:$BC,Data!$BB:$BB,MarketProfile!A480,Data!BG:BG,"1")/1000</f>
        <v>3661139.5759549998</v>
      </c>
      <c r="H480" s="372"/>
      <c r="I480" s="179">
        <f t="shared" si="47"/>
        <v>0.62792008444538383</v>
      </c>
    </row>
    <row r="481" spans="1:9" x14ac:dyDescent="0.2">
      <c r="A481" s="246" t="s">
        <v>464</v>
      </c>
      <c r="B481" s="246"/>
      <c r="C481" s="3">
        <f>SUMIFS(Data!$AA:$AA,Data!$Z:$Z,MarketProfile!A481,Data!$AE:$AE,"1")/1000</f>
        <v>14169646.51032</v>
      </c>
      <c r="D481" s="372">
        <f>SUMIFS(Data!$AO:$AO,Data!$AN:$AN,MarketProfile!A481,Data!$AS:$AS,"1")/1000</f>
        <v>10114218.642270001</v>
      </c>
      <c r="E481" s="372"/>
      <c r="F481" s="179">
        <f t="shared" si="46"/>
        <v>0.40096304138624134</v>
      </c>
      <c r="G481" s="372">
        <f>SUMIFS(Data!$BC:$BC,Data!$BB:$BB,MarketProfile!A481,Data!BG:BG,"1")/1000</f>
        <v>29322262.909320001</v>
      </c>
      <c r="H481" s="372"/>
      <c r="I481" s="179">
        <f t="shared" si="47"/>
        <v>-0.51676149435873797</v>
      </c>
    </row>
    <row r="482" spans="1:9" x14ac:dyDescent="0.2">
      <c r="A482" s="246" t="s">
        <v>465</v>
      </c>
      <c r="B482" s="246"/>
      <c r="C482" s="3">
        <f>SUMIFS(Data!$AA:$AA,Data!$Z:$Z,MarketProfile!A482,Data!$AE:$AE,"1")/1000</f>
        <v>40253.525099999999</v>
      </c>
      <c r="D482" s="372">
        <f>SUMIFS(Data!$AO:$AO,Data!$AN:$AN,MarketProfile!A482,Data!$AS:$AS,"1")/1000</f>
        <v>29245.016955999999</v>
      </c>
      <c r="E482" s="372"/>
      <c r="F482" s="179">
        <f t="shared" si="46"/>
        <v>0.37642338045358731</v>
      </c>
      <c r="G482" s="372">
        <f>SUMIFS(Data!$BC:$BC,Data!$BB:$BB,MarketProfile!A482,Data!BG:BG,"1")/1000</f>
        <v>5836.48</v>
      </c>
      <c r="H482" s="372"/>
      <c r="I482" s="179">
        <f t="shared" si="47"/>
        <v>5.8968839266133024</v>
      </c>
    </row>
    <row r="483" spans="1:9" x14ac:dyDescent="0.2">
      <c r="A483" s="246" t="s">
        <v>141</v>
      </c>
      <c r="B483" s="246"/>
      <c r="C483" s="3">
        <f>SUMIFS(Data!$AA:$AA,Data!$Z:$Z,MarketProfile!A483,Data!$AE:$AE,"1")/1000</f>
        <v>573</v>
      </c>
      <c r="D483" s="372">
        <f>SUMIFS(Data!$AO:$AO,Data!$AN:$AN,MarketProfile!A483,Data!$AS:$AS,"1")/1000</f>
        <v>144818.84641999999</v>
      </c>
      <c r="E483" s="372"/>
      <c r="F483" s="179">
        <f t="shared" si="46"/>
        <v>-0.99604333265893996</v>
      </c>
      <c r="G483" s="372">
        <f>SUMIFS(Data!$BC:$BC,Data!$BB:$BB,MarketProfile!A483,Data!BG:BG,"1")/1000</f>
        <v>2242.86</v>
      </c>
      <c r="H483" s="372"/>
      <c r="I483" s="179">
        <f t="shared" si="47"/>
        <v>-0.74452261844252432</v>
      </c>
    </row>
    <row r="484" spans="1:9" x14ac:dyDescent="0.2">
      <c r="A484" s="245" t="s">
        <v>187</v>
      </c>
      <c r="B484" s="246"/>
      <c r="C484" s="4">
        <f>SUM(C476:C483)</f>
        <v>35797917.260424994</v>
      </c>
      <c r="D484" s="373">
        <f>SUM(D476:E483)</f>
        <v>26635211.617411006</v>
      </c>
      <c r="E484" s="373">
        <f>SUM(E476:E483)</f>
        <v>0</v>
      </c>
      <c r="F484" s="166">
        <f t="shared" si="46"/>
        <v>0.34400724028880908</v>
      </c>
      <c r="G484" s="373">
        <f>SUM(G476:H483)</f>
        <v>47046879.966964997</v>
      </c>
      <c r="H484" s="373">
        <f>SUM(H476:H483)</f>
        <v>0</v>
      </c>
      <c r="I484" s="166">
        <f t="shared" si="47"/>
        <v>-0.23910114155154838</v>
      </c>
    </row>
    <row r="485" spans="1:9" x14ac:dyDescent="0.2">
      <c r="A485" s="139" t="s">
        <v>15</v>
      </c>
      <c r="B485" s="246"/>
      <c r="C485" s="3"/>
      <c r="D485" s="246"/>
      <c r="E485" s="141"/>
      <c r="F485" s="179" t="s">
        <v>191</v>
      </c>
      <c r="G485" s="246"/>
      <c r="H485" s="141"/>
      <c r="I485" s="179"/>
    </row>
    <row r="486" spans="1:9" x14ac:dyDescent="0.2">
      <c r="A486" s="246" t="s">
        <v>461</v>
      </c>
      <c r="B486" s="246"/>
      <c r="C486" s="3">
        <f>SUMIFS(Data!$AA:$AA,Data!$Z:$Z,MarketProfile!A486,Data!$AE:$AE,"0")/1000</f>
        <v>0</v>
      </c>
      <c r="D486" s="372">
        <f>SUMIFS(Data!$AO:$AO,Data!$AN:$AN,MarketProfile!A486,Data!$AS:$AS,"0")/1000</f>
        <v>0</v>
      </c>
      <c r="E486" s="372"/>
      <c r="F486" s="179" t="str">
        <f t="shared" ref="F486:F494" si="48">IFERROR(IF(OR(AND(D486="",C486=""),AND(D486=0,C486=0)),"",
IF(OR(D486="",D486=0),1,
IF(OR(D486&lt;&gt;"",D486&lt;&gt;0),(C486-D486)/ABS(D486)))),-1)</f>
        <v/>
      </c>
      <c r="G486" s="372">
        <f>SUMIFS(Data!$BC:$BC,Data!$BB:$BB,MarketProfile!A486,Data!BG:BG,"0")/1000</f>
        <v>0</v>
      </c>
      <c r="H486" s="372"/>
      <c r="I486" s="179" t="str">
        <f t="shared" ref="I486:I494" si="49">IFERROR(IF(OR(AND(G486="",C486=""),AND(G486=0,C486=0)),"",
IF(OR(G486="",G486=0),1,
IF(OR(G486&lt;&gt;"",G486&lt;&gt;0),(C486-G486)/ABS(G486)))),-1)</f>
        <v/>
      </c>
    </row>
    <row r="487" spans="1:9" x14ac:dyDescent="0.2">
      <c r="A487" s="246" t="s">
        <v>184</v>
      </c>
      <c r="B487" s="246"/>
      <c r="C487" s="3">
        <f>SUMIFS(Data!$AA:$AA,Data!$Z:$Z,MarketProfile!A487,Data!$AE:$AE,"0")/1000</f>
        <v>48885.299759999994</v>
      </c>
      <c r="D487" s="372">
        <f>SUMIFS(Data!$AO:$AO,Data!$AN:$AN,MarketProfile!A487,Data!$AS:$AS,"0")/1000</f>
        <v>49459.001680000001</v>
      </c>
      <c r="E487" s="372"/>
      <c r="F487" s="179">
        <f t="shared" si="48"/>
        <v>-1.1599545088108757E-2</v>
      </c>
      <c r="G487" s="372">
        <f>SUMIFS(Data!$BC:$BC,Data!$BB:$BB,MarketProfile!A487,Data!BG:BG,"0")/1000</f>
        <v>41744.555100000005</v>
      </c>
      <c r="H487" s="372"/>
      <c r="I487" s="179">
        <f t="shared" si="49"/>
        <v>0.1710581090849855</v>
      </c>
    </row>
    <row r="488" spans="1:9" x14ac:dyDescent="0.2">
      <c r="A488" s="246" t="s">
        <v>462</v>
      </c>
      <c r="B488" s="246"/>
      <c r="C488" s="3">
        <f>SUMIFS(Data!$AA:$AA,Data!$Z:$Z,MarketProfile!A488,Data!$AE:$AE,"0")/1000</f>
        <v>42128.549650000001</v>
      </c>
      <c r="D488" s="372">
        <f>SUMIFS(Data!$AO:$AO,Data!$AN:$AN,MarketProfile!A488,Data!$AS:$AS,"0")/1000</f>
        <v>25507.781780000001</v>
      </c>
      <c r="E488" s="372"/>
      <c r="F488" s="179">
        <f t="shared" si="48"/>
        <v>0.65159597229391064</v>
      </c>
      <c r="G488" s="372">
        <f>SUMIFS(Data!$BC:$BC,Data!$BB:$BB,MarketProfile!A488,Data!BG:BG,"0")/1000</f>
        <v>39138.767240000001</v>
      </c>
      <c r="H488" s="372"/>
      <c r="I488" s="179">
        <f t="shared" si="49"/>
        <v>7.6389284099485602E-2</v>
      </c>
    </row>
    <row r="489" spans="1:9" x14ac:dyDescent="0.2">
      <c r="A489" s="246" t="s">
        <v>140</v>
      </c>
      <c r="B489" s="246"/>
      <c r="C489" s="3">
        <f>SUMIFS(Data!$AA:$AA,Data!$Z:$Z,MarketProfile!A489,Data!$AE:$AE,"0")/1000</f>
        <v>0</v>
      </c>
      <c r="D489" s="372">
        <f>SUMIFS(Data!$AO:$AO,Data!$AN:$AN,MarketProfile!A489,Data!$AS:$AS,"0")/1000</f>
        <v>0</v>
      </c>
      <c r="E489" s="372"/>
      <c r="F489" s="179" t="str">
        <f t="shared" si="48"/>
        <v/>
      </c>
      <c r="G489" s="372">
        <f>SUMIFS(Data!$BC:$BC,Data!$BB:$BB,MarketProfile!A489,Data!BG:BG,"0")/1000</f>
        <v>0</v>
      </c>
      <c r="H489" s="372"/>
      <c r="I489" s="179" t="str">
        <f t="shared" si="49"/>
        <v/>
      </c>
    </row>
    <row r="490" spans="1:9" x14ac:dyDescent="0.2">
      <c r="A490" s="246" t="s">
        <v>463</v>
      </c>
      <c r="B490" s="246"/>
      <c r="C490" s="3">
        <f>SUMIFS(Data!$AA:$AA,Data!$Z:$Z,MarketProfile!A490,Data!$AE:$AE,"0")/1000</f>
        <v>28584.925139999999</v>
      </c>
      <c r="D490" s="372">
        <f>SUMIFS(Data!$AO:$AO,Data!$AN:$AN,MarketProfile!A490,Data!$AS:$AS,"0")/1000</f>
        <v>10746.143900000001</v>
      </c>
      <c r="E490" s="372"/>
      <c r="F490" s="179">
        <f t="shared" si="48"/>
        <v>1.6600169703664582</v>
      </c>
      <c r="G490" s="372">
        <f>SUMIFS(Data!$BC:$BC,Data!$BB:$BB,MarketProfile!A490,Data!BG:BG,"0")/1000</f>
        <v>19876.877700000001</v>
      </c>
      <c r="H490" s="372"/>
      <c r="I490" s="179">
        <f t="shared" si="49"/>
        <v>0.43809936205423239</v>
      </c>
    </row>
    <row r="491" spans="1:9" x14ac:dyDescent="0.2">
      <c r="A491" s="246" t="s">
        <v>464</v>
      </c>
      <c r="B491" s="246"/>
      <c r="C491" s="3">
        <f>SUMIFS(Data!$AA:$AA,Data!$Z:$Z,MarketProfile!A491,Data!$AE:$AE,"0")/1000</f>
        <v>130398.43017000001</v>
      </c>
      <c r="D491" s="372">
        <f>SUMIFS(Data!$AO:$AO,Data!$AN:$AN,MarketProfile!A491,Data!$AS:$AS,"0")/1000</f>
        <v>111176.63141</v>
      </c>
      <c r="E491" s="372"/>
      <c r="F491" s="179">
        <f>IFERROR(IF(OR(AND(D491="",C491=""),AND(D491=0,C491=0)),"",
IF(OR(D491="",D491=0),1,
IF(OR(D491&lt;&gt;"",D491&lt;&gt;0),(C491-D491)/ABS(D491)))),-1)</f>
        <v>0.17289423610177004</v>
      </c>
      <c r="G491" s="372">
        <f>SUMIFS(Data!$BC:$BC,Data!$BB:$BB,MarketProfile!A491,Data!BG:BG,"0")/1000</f>
        <v>864384.05660999997</v>
      </c>
      <c r="H491" s="372"/>
      <c r="I491" s="179">
        <f t="shared" si="49"/>
        <v>-0.84914294846968219</v>
      </c>
    </row>
    <row r="492" spans="1:9" x14ac:dyDescent="0.2">
      <c r="A492" s="246" t="s">
        <v>465</v>
      </c>
      <c r="B492" s="246"/>
      <c r="C492" s="3">
        <f>SUMIFS(Data!$AA:$AA,Data!$Z:$Z,MarketProfile!A492,Data!$AE:$AE,"0")/1000</f>
        <v>31.760200000000001</v>
      </c>
      <c r="D492" s="372">
        <f>SUMIFS(Data!$AO:$AO,Data!$AN:$AN,MarketProfile!A492,Data!$AS:$AS,"0")/1000</f>
        <v>221.28800000000001</v>
      </c>
      <c r="E492" s="372"/>
      <c r="F492" s="179">
        <f t="shared" si="48"/>
        <v>-0.85647572394345828</v>
      </c>
      <c r="G492" s="372">
        <f>SUMIFS(Data!$BC:$BC,Data!$BB:$BB,MarketProfile!A492,Data!BG:BG,"0")/1000</f>
        <v>0</v>
      </c>
      <c r="H492" s="372"/>
      <c r="I492" s="179">
        <f t="shared" si="49"/>
        <v>1</v>
      </c>
    </row>
    <row r="493" spans="1:9" x14ac:dyDescent="0.2">
      <c r="A493" s="246" t="s">
        <v>141</v>
      </c>
      <c r="B493" s="246"/>
      <c r="C493" s="3">
        <f>SUMIFS(Data!$AA:$AA,Data!$Z:$Z,MarketProfile!A493,Data!$AE:$AE,"0")/1000</f>
        <v>0</v>
      </c>
      <c r="D493" s="372">
        <f>SUMIFS(Data!$AO:$AO,Data!$AN:$AN,MarketProfile!A493,Data!$AS:$AS,"0")/1000</f>
        <v>0</v>
      </c>
      <c r="E493" s="372"/>
      <c r="F493" s="179" t="str">
        <f t="shared" si="48"/>
        <v/>
      </c>
      <c r="G493" s="372">
        <f>SUMIFS(Data!$BC:$BC,Data!$BB:$BB,MarketProfile!A493,Data!BG:BG,"0")/1000</f>
        <v>0</v>
      </c>
      <c r="H493" s="372"/>
      <c r="I493" s="179" t="str">
        <f t="shared" si="49"/>
        <v/>
      </c>
    </row>
    <row r="494" spans="1:9" x14ac:dyDescent="0.2">
      <c r="A494" s="245" t="s">
        <v>188</v>
      </c>
      <c r="B494" s="246"/>
      <c r="C494" s="4">
        <f>SUM(C486:C493)</f>
        <v>250028.96492</v>
      </c>
      <c r="D494" s="373">
        <f>SUM(D486:E493)</f>
        <v>197110.84677</v>
      </c>
      <c r="E494" s="373">
        <f>SUM(E486:E493)</f>
        <v>0</v>
      </c>
      <c r="F494" s="166">
        <f t="shared" si="48"/>
        <v>0.268468828667495</v>
      </c>
      <c r="G494" s="373">
        <f>SUM(G486:H493)</f>
        <v>965144.25665</v>
      </c>
      <c r="H494" s="373">
        <f>SUM(H486:H493)</f>
        <v>0</v>
      </c>
      <c r="I494" s="166">
        <f t="shared" si="49"/>
        <v>-0.74094135338084433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6"/>
      <c r="C496" s="3"/>
      <c r="D496" s="246"/>
      <c r="E496" s="246"/>
      <c r="F496" s="246"/>
      <c r="G496" s="246"/>
      <c r="H496" s="246"/>
      <c r="I496" s="179"/>
    </row>
    <row r="497" spans="1:9" x14ac:dyDescent="0.2">
      <c r="A497" s="246" t="s">
        <v>461</v>
      </c>
      <c r="B497" s="246"/>
      <c r="C497" s="3">
        <f>SUMIFS(Data!$AK:$AK,Data!$AG:$AG,MarketProfile!A497,Data!$AL:$AL,"1")</f>
        <v>20228</v>
      </c>
      <c r="D497" s="372">
        <f>SUMIFS(Data!$AY:$AY,Data!$AU:$AU,MarketProfile!A497,Data!$AZ:$AZ,"1")</f>
        <v>19056</v>
      </c>
      <c r="E497" s="372"/>
      <c r="F497" s="179">
        <f t="shared" ref="F497:F512" si="50">IFERROR(IF(OR(AND(D497="",C497=""),AND(D497=0,C497=0)),"",
IF(OR(D497="",D497=0),1,
IF(OR(D497&lt;&gt;"",D497&lt;&gt;0),(C497-D497)/ABS(D497)))),-1)</f>
        <v>6.1502938706968935E-2</v>
      </c>
      <c r="G497" s="372">
        <f>SUMIFS(Data!$BL:$BL,Data!$BH:$BH,MarketProfile!A497,Data!$BM:$BM,"1")</f>
        <v>2680</v>
      </c>
      <c r="H497" s="372"/>
      <c r="I497" s="179">
        <f t="shared" ref="I497:I504" si="51">IFERROR(IF(OR(AND(G497="",C497=""),AND(G497=0,C497=0)),"",
IF(OR(G497="",G497=0),1,
IF(OR(G497&lt;&gt;"",G497&lt;&gt;0),(C497-G497)/ABS(G497)))),-1)</f>
        <v>6.5477611940298504</v>
      </c>
    </row>
    <row r="498" spans="1:9" x14ac:dyDescent="0.2">
      <c r="A498" s="246" t="s">
        <v>184</v>
      </c>
      <c r="B498" s="246"/>
      <c r="C498" s="3">
        <f>SUMIFS(Data!$AK:$AK,Data!$AG:$AG,MarketProfile!A498,Data!$AL:$AL,"1")</f>
        <v>18296</v>
      </c>
      <c r="D498" s="372">
        <f>SUMIFS(Data!$AY:$AY,Data!$AU:$AU,MarketProfile!A498,Data!$AZ:$AZ,"1")</f>
        <v>16426</v>
      </c>
      <c r="E498" s="372"/>
      <c r="F498" s="179">
        <f t="shared" si="50"/>
        <v>0.11384390600267869</v>
      </c>
      <c r="G498" s="372">
        <f>SUMIFS(Data!$BL:$BL,Data!$BH:$BH,MarketProfile!A498,Data!$BM:$BM,"1")</f>
        <v>6919</v>
      </c>
      <c r="H498" s="372"/>
      <c r="I498" s="179">
        <f t="shared" si="51"/>
        <v>1.6443127619598208</v>
      </c>
    </row>
    <row r="499" spans="1:9" x14ac:dyDescent="0.2">
      <c r="A499" s="246" t="s">
        <v>462</v>
      </c>
      <c r="B499" s="246"/>
      <c r="C499" s="3">
        <f>SUMIFS(Data!$AK:$AK,Data!$AG:$AG,MarketProfile!A499,Data!$AL:$AL,"1")</f>
        <v>27368</v>
      </c>
      <c r="D499" s="372">
        <f>SUMIFS(Data!$AY:$AY,Data!$AU:$AU,MarketProfile!A499,Data!$AZ:$AZ,"1")</f>
        <v>28983</v>
      </c>
      <c r="E499" s="372"/>
      <c r="F499" s="179">
        <f t="shared" si="50"/>
        <v>-5.572231998067833E-2</v>
      </c>
      <c r="G499" s="372">
        <f>SUMIFS(Data!$BL:$BL,Data!$BH:$BH,MarketProfile!A499,Data!$BM:$BM,"1")</f>
        <v>17206</v>
      </c>
      <c r="H499" s="372"/>
      <c r="I499" s="179">
        <f t="shared" si="51"/>
        <v>0.59060792746716262</v>
      </c>
    </row>
    <row r="500" spans="1:9" x14ac:dyDescent="0.2">
      <c r="A500" s="246" t="s">
        <v>140</v>
      </c>
      <c r="B500" s="246"/>
      <c r="C500" s="3">
        <f>SUMIFS(Data!$AK:$AK,Data!$AG:$AG,MarketProfile!A500,Data!$AL:$AL,"1")</f>
        <v>1308</v>
      </c>
      <c r="D500" s="372">
        <f>SUMIFS(Data!$AY:$AY,Data!$AU:$AU,MarketProfile!A500,Data!$AZ:$AZ,"1")</f>
        <v>1310</v>
      </c>
      <c r="E500" s="372"/>
      <c r="F500" s="179">
        <f t="shared" si="50"/>
        <v>-1.5267175572519084E-3</v>
      </c>
      <c r="G500" s="372">
        <f>SUMIFS(Data!$BL:$BL,Data!$BH:$BH,MarketProfile!A500,Data!$BM:$BM,"1")</f>
        <v>37</v>
      </c>
      <c r="H500" s="372"/>
      <c r="I500" s="179">
        <f t="shared" si="51"/>
        <v>34.351351351351354</v>
      </c>
    </row>
    <row r="501" spans="1:9" x14ac:dyDescent="0.2">
      <c r="A501" s="246" t="s">
        <v>463</v>
      </c>
      <c r="B501" s="246"/>
      <c r="C501" s="3">
        <f>SUMIFS(Data!$AK:$AK,Data!$AG:$AG,MarketProfile!A501,Data!$AL:$AL,"1")</f>
        <v>11271</v>
      </c>
      <c r="D501" s="372">
        <f>SUMIFS(Data!$AY:$AY,Data!$AU:$AU,MarketProfile!A501,Data!$AZ:$AZ,"1")</f>
        <v>12148</v>
      </c>
      <c r="E501" s="372"/>
      <c r="F501" s="179">
        <f t="shared" si="50"/>
        <v>-7.2192953572604537E-2</v>
      </c>
      <c r="G501" s="372">
        <f>SUMIFS(Data!$BL:$BL,Data!$BH:$BH,MarketProfile!A501,Data!$BM:$BM,"1")</f>
        <v>5476</v>
      </c>
      <c r="H501" s="372"/>
      <c r="I501" s="179">
        <f t="shared" si="51"/>
        <v>1.058254200146092</v>
      </c>
    </row>
    <row r="502" spans="1:9" x14ac:dyDescent="0.2">
      <c r="A502" s="246" t="s">
        <v>464</v>
      </c>
      <c r="B502" s="246"/>
      <c r="C502" s="3">
        <f>SUMIFS(Data!$AK:$AK,Data!$AG:$AG,MarketProfile!A502,Data!$AL:$AL,"1")</f>
        <v>41197</v>
      </c>
      <c r="D502" s="372">
        <f>SUMIFS(Data!$AY:$AY,Data!$AU:$AU,MarketProfile!A502,Data!$AZ:$AZ,"1")</f>
        <v>40048</v>
      </c>
      <c r="E502" s="372"/>
      <c r="F502" s="179">
        <f t="shared" si="50"/>
        <v>2.8690571314422694E-2</v>
      </c>
      <c r="G502" s="372">
        <f>SUMIFS(Data!$BL:$BL,Data!$BH:$BH,MarketProfile!A502,Data!$BM:$BM,"1")</f>
        <v>22637</v>
      </c>
      <c r="H502" s="372"/>
      <c r="I502" s="179">
        <f t="shared" si="51"/>
        <v>0.81989662941202457</v>
      </c>
    </row>
    <row r="503" spans="1:9" x14ac:dyDescent="0.2">
      <c r="A503" s="246" t="s">
        <v>465</v>
      </c>
      <c r="B503" s="246"/>
      <c r="C503" s="3">
        <f>SUMIFS(Data!$AK:$AK,Data!$AG:$AG,MarketProfile!A503,Data!$AL:$AL,"1")</f>
        <v>368</v>
      </c>
      <c r="D503" s="372">
        <f>SUMIFS(Data!$AY:$AY,Data!$AU:$AU,MarketProfile!A503,Data!$AZ:$AZ,"1")</f>
        <v>666</v>
      </c>
      <c r="E503" s="372"/>
      <c r="F503" s="179">
        <f t="shared" si="50"/>
        <v>-0.44744744744744747</v>
      </c>
      <c r="G503" s="372">
        <f>SUMIFS(Data!$BL:$BL,Data!$BH:$BH,MarketProfile!A503,Data!$BM:$BM,"1")</f>
        <v>31</v>
      </c>
      <c r="H503" s="372"/>
      <c r="I503" s="179">
        <f t="shared" si="51"/>
        <v>10.870967741935484</v>
      </c>
    </row>
    <row r="504" spans="1:9" x14ac:dyDescent="0.2">
      <c r="A504" s="246" t="s">
        <v>141</v>
      </c>
      <c r="B504" s="246"/>
      <c r="C504" s="3">
        <f>SUMIFS(Data!$AK:$AK,Data!$AG:$AG,MarketProfile!A504,Data!$AL:$AL,"1")</f>
        <v>4</v>
      </c>
      <c r="D504" s="372">
        <f>SUMIFS(Data!$AY:$AY,Data!$AU:$AU,MarketProfile!A504,Data!$AZ:$AZ,"1")</f>
        <v>6</v>
      </c>
      <c r="E504" s="372"/>
      <c r="F504" s="179">
        <f t="shared" si="50"/>
        <v>-0.33333333333333331</v>
      </c>
      <c r="G504" s="372">
        <f>SUMIFS(Data!$BL:$BL,Data!$BH:$BH,MarketProfile!A504,Data!$BM:$BM,"1")</f>
        <v>28</v>
      </c>
      <c r="H504" s="372"/>
      <c r="I504" s="179">
        <f t="shared" si="51"/>
        <v>-0.8571428571428571</v>
      </c>
    </row>
    <row r="505" spans="1:9" x14ac:dyDescent="0.2">
      <c r="A505" s="139" t="s">
        <v>15</v>
      </c>
      <c r="B505" s="246"/>
      <c r="C505" s="3"/>
      <c r="D505" s="246"/>
      <c r="E505" s="3"/>
      <c r="F505" s="179"/>
      <c r="G505" s="246"/>
      <c r="H505" s="3"/>
      <c r="I505" s="179"/>
    </row>
    <row r="506" spans="1:9" x14ac:dyDescent="0.2">
      <c r="A506" s="246" t="s">
        <v>461</v>
      </c>
      <c r="B506" s="246"/>
      <c r="C506" s="3">
        <f>SUMIFS(Data!$AK:$AK,Data!$AG:$AG,MarketProfile!A506,Data!$AL:$AL,"0")</f>
        <v>0</v>
      </c>
      <c r="D506" s="372">
        <f>SUMIFS(Data!$AY:$AY,Data!$AU:$AU,MarketProfile!A506,Data!$AZ:$AZ,"0")</f>
        <v>0</v>
      </c>
      <c r="E506" s="372"/>
      <c r="F506" s="179" t="str">
        <f t="shared" si="50"/>
        <v/>
      </c>
      <c r="G506" s="372">
        <f>SUMIFS(Data!$BL:$BL,Data!$BH:$BH,MarketProfile!A506,Data!$BM:$BM,"0")</f>
        <v>281</v>
      </c>
      <c r="H506" s="372"/>
      <c r="I506" s="179">
        <f t="shared" ref="I506:I513" si="52">IFERROR(IF(OR(AND(G506="",C506=""),AND(G506=0,C506=0)),"",
IF(OR(G506="",G506=0),1,
IF(OR(G506&lt;&gt;"",G506&lt;&gt;0),(C506-G506)/ABS(G506)))),-1)</f>
        <v>-1</v>
      </c>
    </row>
    <row r="507" spans="1:9" x14ac:dyDescent="0.2">
      <c r="A507" s="246" t="s">
        <v>184</v>
      </c>
      <c r="B507" s="246"/>
      <c r="C507" s="3">
        <f>SUMIFS(Data!$AK:$AK,Data!$AG:$AG,MarketProfile!A507,Data!$AL:$AL,"0")</f>
        <v>5047</v>
      </c>
      <c r="D507" s="372">
        <f>SUMIFS(Data!$AY:$AY,Data!$AU:$AU,MarketProfile!A507,Data!$AZ:$AZ,"0")</f>
        <v>3663</v>
      </c>
      <c r="E507" s="372"/>
      <c r="F507" s="179">
        <f t="shared" si="50"/>
        <v>0.37783237783237783</v>
      </c>
      <c r="G507" s="372">
        <f>SUMIFS(Data!$BL:$BL,Data!$BH:$BH,MarketProfile!A507,Data!$BM:$BM,"0")</f>
        <v>2701</v>
      </c>
      <c r="H507" s="372"/>
      <c r="I507" s="179">
        <f t="shared" si="52"/>
        <v>0.86856719733432064</v>
      </c>
    </row>
    <row r="508" spans="1:9" x14ac:dyDescent="0.2">
      <c r="A508" s="246" t="s">
        <v>462</v>
      </c>
      <c r="B508" s="246"/>
      <c r="C508" s="3">
        <f>SUMIFS(Data!$AK:$AK,Data!$AG:$AG,MarketProfile!A508,Data!$AL:$AL,"0")</f>
        <v>10871</v>
      </c>
      <c r="D508" s="372">
        <f>SUMIFS(Data!$AY:$AY,Data!$AU:$AU,MarketProfile!A508,Data!$AZ:$AZ,"0")</f>
        <v>9533</v>
      </c>
      <c r="E508" s="372"/>
      <c r="F508" s="179">
        <f t="shared" si="50"/>
        <v>0.14035455785167314</v>
      </c>
      <c r="G508" s="372">
        <f>SUMIFS(Data!$BL:$BL,Data!$BH:$BH,MarketProfile!A508,Data!$BM:$BM,"0")</f>
        <v>15426</v>
      </c>
      <c r="H508" s="372"/>
      <c r="I508" s="179">
        <f t="shared" si="52"/>
        <v>-0.29528069493063658</v>
      </c>
    </row>
    <row r="509" spans="1:9" x14ac:dyDescent="0.2">
      <c r="A509" s="246" t="s">
        <v>140</v>
      </c>
      <c r="B509" s="246"/>
      <c r="C509" s="3">
        <f>SUMIFS(Data!$AK:$AK,Data!$AG:$AG,MarketProfile!A509,Data!$AL:$AL,"0")</f>
        <v>0</v>
      </c>
      <c r="D509" s="372">
        <f>SUMIFS(Data!$AY:$AY,Data!$AU:$AU,MarketProfile!A509,Data!$AZ:$AZ,"0")</f>
        <v>0</v>
      </c>
      <c r="E509" s="372"/>
      <c r="F509" s="179" t="str">
        <f t="shared" si="50"/>
        <v/>
      </c>
      <c r="G509" s="372">
        <f>SUMIFS(Data!$BL:$BL,Data!$BH:$BH,MarketProfile!A509,Data!$BM:$BM,"0")</f>
        <v>0</v>
      </c>
      <c r="H509" s="372"/>
      <c r="I509" s="179" t="str">
        <f t="shared" si="52"/>
        <v/>
      </c>
    </row>
    <row r="510" spans="1:9" x14ac:dyDescent="0.2">
      <c r="A510" s="246" t="s">
        <v>463</v>
      </c>
      <c r="B510" s="246"/>
      <c r="C510" s="3">
        <f>SUMIFS(Data!$AK:$AK,Data!$AG:$AG,MarketProfile!A510,Data!$AL:$AL,"0")</f>
        <v>4855</v>
      </c>
      <c r="D510" s="372">
        <f>SUMIFS(Data!$AY:$AY,Data!$AU:$AU,MarketProfile!A510,Data!$AZ:$AZ,"0")</f>
        <v>5055</v>
      </c>
      <c r="E510" s="372"/>
      <c r="F510" s="179">
        <f t="shared" si="50"/>
        <v>-3.9564787339268048E-2</v>
      </c>
      <c r="G510" s="372">
        <f>SUMIFS(Data!$BL:$BL,Data!$BH:$BH,MarketProfile!A510,Data!$BM:$BM,"0")</f>
        <v>3414</v>
      </c>
      <c r="H510" s="372"/>
      <c r="I510" s="179">
        <f t="shared" si="52"/>
        <v>0.4220855301698887</v>
      </c>
    </row>
    <row r="511" spans="1:9" x14ac:dyDescent="0.2">
      <c r="A511" s="246" t="s">
        <v>464</v>
      </c>
      <c r="B511" s="246"/>
      <c r="C511" s="3">
        <f>SUMIFS(Data!$AK:$AK,Data!$AG:$AG,MarketProfile!A511,Data!$AL:$AL,"0")</f>
        <v>37354</v>
      </c>
      <c r="D511" s="372">
        <f>SUMIFS(Data!$AY:$AY,Data!$AU:$AU,MarketProfile!A511,Data!$AZ:$AZ,"0")</f>
        <v>33210</v>
      </c>
      <c r="E511" s="372"/>
      <c r="F511" s="179">
        <f t="shared" si="50"/>
        <v>0.12478169226136705</v>
      </c>
      <c r="G511" s="372">
        <f>SUMIFS(Data!$BL:$BL,Data!$BH:$BH,MarketProfile!A511,Data!$BM:$BM,"0")</f>
        <v>41863</v>
      </c>
      <c r="H511" s="372"/>
      <c r="I511" s="179">
        <f t="shared" si="52"/>
        <v>-0.10770847765329766</v>
      </c>
    </row>
    <row r="512" spans="1:9" x14ac:dyDescent="0.2">
      <c r="A512" s="246" t="s">
        <v>465</v>
      </c>
      <c r="B512" s="246"/>
      <c r="C512" s="3">
        <f>SUMIFS(Data!$AK:$AK,Data!$AG:$AG,MarketProfile!A512,Data!$AL:$AL,"0")</f>
        <v>60</v>
      </c>
      <c r="D512" s="372">
        <f>SUMIFS(Data!$AY:$AY,Data!$AU:$AU,MarketProfile!A512,Data!$AZ:$AZ,"0")</f>
        <v>40</v>
      </c>
      <c r="E512" s="372"/>
      <c r="F512" s="179">
        <f t="shared" si="50"/>
        <v>0.5</v>
      </c>
      <c r="G512" s="372">
        <f>SUMIFS(Data!$BL:$BL,Data!$BH:$BH,MarketProfile!A512,Data!$BM:$BM,"0")</f>
        <v>40</v>
      </c>
      <c r="H512" s="372"/>
      <c r="I512" s="179">
        <f t="shared" si="52"/>
        <v>0.5</v>
      </c>
    </row>
    <row r="513" spans="1:9" x14ac:dyDescent="0.2">
      <c r="A513" s="246" t="s">
        <v>141</v>
      </c>
      <c r="B513" s="246"/>
      <c r="C513" s="3">
        <f>SUMIFS(Data!$AK:$AK,Data!$AG:$AG,MarketProfile!A513,Data!$AL:$AL,"0")</f>
        <v>0</v>
      </c>
      <c r="D513" s="372">
        <f>SUMIFS(Data!$AY:$AY,Data!$AU:$AU,MarketProfile!A513,Data!$AZ:$AZ,"0")</f>
        <v>0</v>
      </c>
      <c r="E513" s="372"/>
      <c r="F513" s="179" t="str">
        <f t="shared" ref="F513" si="53">IFERROR(IF(OR(AND(C513="",D513=""),AND(C513=0,D513=0)),"",
IF(OR(C513="",C513=0),1,
IF(OR(C513&lt;&gt;"",C513&lt;&gt;0),(D513-C513)/ABS(C513)))),-1)</f>
        <v/>
      </c>
      <c r="G513" s="372">
        <f>SUMIFS(Data!$BL:$BL,Data!$BH:$BH,MarketProfile!A513,Data!$BM:$BM,"0")</f>
        <v>0</v>
      </c>
      <c r="H513" s="372"/>
      <c r="I513" s="179" t="str">
        <f t="shared" si="52"/>
        <v/>
      </c>
    </row>
    <row r="514" spans="1:9" x14ac:dyDescent="0.2">
      <c r="A514" s="246"/>
      <c r="B514" s="246"/>
      <c r="C514" s="246"/>
      <c r="D514" s="246"/>
      <c r="E514" s="246"/>
      <c r="F514" s="246"/>
      <c r="G514" s="246"/>
      <c r="H514" s="246"/>
      <c r="I514" s="246"/>
    </row>
  </sheetData>
  <mergeCells count="265"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4" max="16383" man="1"/>
    <brk id="169" max="16383" man="1"/>
    <brk id="253" max="16383" man="1"/>
    <brk id="338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6"/>
  <sheetViews>
    <sheetView topLeftCell="BU1" zoomScaleNormal="100" workbookViewId="0">
      <selection activeCell="DL14" sqref="DL14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536</v>
      </c>
      <c r="C1" s="188" t="s">
        <v>537</v>
      </c>
      <c r="D1" s="188" t="s">
        <v>538</v>
      </c>
      <c r="E1" s="153" t="s">
        <v>217</v>
      </c>
      <c r="F1" s="210" t="s">
        <v>538</v>
      </c>
      <c r="G1" s="210" t="s">
        <v>536</v>
      </c>
      <c r="H1" s="210" t="s">
        <v>537</v>
      </c>
      <c r="I1" s="153" t="s">
        <v>218</v>
      </c>
      <c r="J1" s="153" t="s">
        <v>220</v>
      </c>
      <c r="K1" s="234" t="s">
        <v>539</v>
      </c>
      <c r="L1" s="234" t="s">
        <v>540</v>
      </c>
      <c r="M1" s="236" t="s">
        <v>537</v>
      </c>
      <c r="N1" s="153" t="s">
        <v>223</v>
      </c>
      <c r="O1" s="241" t="s">
        <v>524</v>
      </c>
      <c r="P1" s="241" t="s">
        <v>525</v>
      </c>
      <c r="Q1" s="241" t="s">
        <v>526</v>
      </c>
      <c r="R1" s="153" t="s">
        <v>452</v>
      </c>
      <c r="S1" s="253" t="s">
        <v>560</v>
      </c>
      <c r="T1" s="256" t="s">
        <v>561</v>
      </c>
      <c r="U1" s="256" t="s">
        <v>562</v>
      </c>
      <c r="V1" s="256" t="s">
        <v>563</v>
      </c>
      <c r="W1" s="256" t="s">
        <v>564</v>
      </c>
      <c r="X1" s="256" t="s">
        <v>565</v>
      </c>
      <c r="Y1" s="251" t="s">
        <v>458</v>
      </c>
      <c r="Z1" s="253" t="s">
        <v>521</v>
      </c>
      <c r="AA1" s="253" t="s">
        <v>561</v>
      </c>
      <c r="AB1" s="253" t="s">
        <v>562</v>
      </c>
      <c r="AC1" s="253" t="s">
        <v>563</v>
      </c>
      <c r="AD1" s="253" t="s">
        <v>564</v>
      </c>
      <c r="AE1" s="253" t="s">
        <v>565</v>
      </c>
      <c r="AF1" s="251" t="s">
        <v>466</v>
      </c>
      <c r="AG1" s="253" t="s">
        <v>521</v>
      </c>
      <c r="AH1" s="253" t="s">
        <v>561</v>
      </c>
      <c r="AI1" s="253" t="s">
        <v>562</v>
      </c>
      <c r="AJ1" s="253" t="s">
        <v>563</v>
      </c>
      <c r="AK1" s="253" t="s">
        <v>564</v>
      </c>
      <c r="AL1" s="253" t="s">
        <v>565</v>
      </c>
      <c r="AM1" s="251" t="s">
        <v>460</v>
      </c>
      <c r="AN1" s="253" t="s">
        <v>521</v>
      </c>
      <c r="AO1" s="253" t="s">
        <v>561</v>
      </c>
      <c r="AP1" s="253" t="s">
        <v>562</v>
      </c>
      <c r="AQ1" s="253" t="s">
        <v>563</v>
      </c>
      <c r="AR1" s="253" t="s">
        <v>564</v>
      </c>
      <c r="AS1" s="253" t="s">
        <v>565</v>
      </c>
      <c r="AT1" s="251" t="s">
        <v>467</v>
      </c>
      <c r="AU1" s="253" t="s">
        <v>521</v>
      </c>
      <c r="AV1" s="253" t="s">
        <v>561</v>
      </c>
      <c r="AW1" s="253" t="s">
        <v>562</v>
      </c>
      <c r="AX1" s="253" t="s">
        <v>563</v>
      </c>
      <c r="AY1" s="253" t="s">
        <v>564</v>
      </c>
      <c r="AZ1" s="253" t="s">
        <v>565</v>
      </c>
      <c r="BA1" s="251" t="s">
        <v>459</v>
      </c>
      <c r="BB1" s="253" t="s">
        <v>521</v>
      </c>
      <c r="BC1" s="253" t="s">
        <v>561</v>
      </c>
      <c r="BD1" s="253" t="s">
        <v>562</v>
      </c>
      <c r="BE1" s="253" t="s">
        <v>563</v>
      </c>
      <c r="BF1" s="253" t="s">
        <v>564</v>
      </c>
      <c r="BG1" s="253" t="s">
        <v>565</v>
      </c>
      <c r="BH1" s="251" t="s">
        <v>521</v>
      </c>
      <c r="BI1" s="253" t="s">
        <v>561</v>
      </c>
      <c r="BJ1" s="253" t="s">
        <v>562</v>
      </c>
      <c r="BK1" s="253" t="s">
        <v>563</v>
      </c>
      <c r="BL1" s="253" t="s">
        <v>564</v>
      </c>
      <c r="BM1" s="253" t="s">
        <v>565</v>
      </c>
      <c r="BN1" s="253"/>
      <c r="BO1" s="251" t="s">
        <v>468</v>
      </c>
      <c r="BP1" s="263" t="s">
        <v>561</v>
      </c>
      <c r="BQ1" s="263" t="s">
        <v>562</v>
      </c>
      <c r="BR1" s="263" t="s">
        <v>563</v>
      </c>
      <c r="BS1" s="260" t="s">
        <v>501</v>
      </c>
      <c r="BT1" s="265" t="s">
        <v>619</v>
      </c>
      <c r="BU1" s="265" t="s">
        <v>620</v>
      </c>
      <c r="BV1" s="265" t="s">
        <v>621</v>
      </c>
      <c r="BW1" s="265" t="s">
        <v>622</v>
      </c>
      <c r="BX1" s="265" t="s">
        <v>623</v>
      </c>
      <c r="BY1" s="265" t="s">
        <v>624</v>
      </c>
      <c r="BZ1" s="265" t="s">
        <v>625</v>
      </c>
      <c r="CA1" s="265" t="s">
        <v>626</v>
      </c>
      <c r="CB1" s="265" t="s">
        <v>627</v>
      </c>
      <c r="CC1" s="266" t="s">
        <v>502</v>
      </c>
      <c r="CD1" s="267" t="s">
        <v>632</v>
      </c>
      <c r="CE1" s="267" t="s">
        <v>633</v>
      </c>
      <c r="CF1" s="266" t="s">
        <v>507</v>
      </c>
      <c r="CG1" s="265" t="s">
        <v>6</v>
      </c>
      <c r="CH1" s="265" t="s">
        <v>634</v>
      </c>
      <c r="CI1" s="266" t="s">
        <v>509</v>
      </c>
      <c r="CJ1" s="246" t="s">
        <v>117</v>
      </c>
      <c r="CK1" s="246">
        <v>32686</v>
      </c>
      <c r="CL1" s="266" t="s">
        <v>512</v>
      </c>
      <c r="CM1" s="246" t="s">
        <v>117</v>
      </c>
      <c r="CN1" s="246">
        <v>16334</v>
      </c>
      <c r="CO1" s="266" t="s">
        <v>515</v>
      </c>
      <c r="CP1" s="246" t="s">
        <v>117</v>
      </c>
      <c r="CQ1" s="246">
        <v>1594</v>
      </c>
      <c r="CR1" s="266" t="s">
        <v>518</v>
      </c>
      <c r="CS1" s="275" t="s">
        <v>638</v>
      </c>
      <c r="CT1" s="274" t="s">
        <v>639</v>
      </c>
      <c r="CU1" s="274" t="s">
        <v>640</v>
      </c>
      <c r="CV1" s="274" t="s">
        <v>641</v>
      </c>
      <c r="CW1" s="274" t="s">
        <v>642</v>
      </c>
      <c r="CX1" s="274" t="s">
        <v>643</v>
      </c>
      <c r="CY1" s="274" t="s">
        <v>644</v>
      </c>
      <c r="CZ1" s="274" t="s">
        <v>645</v>
      </c>
      <c r="DA1" s="274" t="s">
        <v>646</v>
      </c>
      <c r="DB1" s="274" t="s">
        <v>647</v>
      </c>
      <c r="DC1" s="274" t="s">
        <v>648</v>
      </c>
      <c r="DD1" s="274" t="s">
        <v>649</v>
      </c>
      <c r="DF1" s="355" t="s">
        <v>529</v>
      </c>
      <c r="DG1" s="346" t="s">
        <v>659</v>
      </c>
      <c r="DH1" s="346" t="s">
        <v>660</v>
      </c>
      <c r="DI1" s="355" t="s">
        <v>530</v>
      </c>
      <c r="DJ1" s="353" t="s">
        <v>659</v>
      </c>
      <c r="DK1" s="353" t="s">
        <v>660</v>
      </c>
      <c r="DL1" s="355" t="s">
        <v>531</v>
      </c>
      <c r="DM1" s="348" t="s">
        <v>659</v>
      </c>
      <c r="DN1" s="348" t="s">
        <v>660</v>
      </c>
    </row>
    <row r="2" spans="1:118" x14ac:dyDescent="0.2">
      <c r="B2" s="188">
        <v>9373167011</v>
      </c>
      <c r="C2" s="188">
        <v>481501715067.69476</v>
      </c>
      <c r="D2" s="188">
        <v>5402689</v>
      </c>
      <c r="E2" s="208"/>
      <c r="F2" s="210">
        <v>3458</v>
      </c>
      <c r="G2" s="210">
        <v>1956609059</v>
      </c>
      <c r="H2" s="210">
        <v>55282432220.264763</v>
      </c>
      <c r="J2" s="152" t="str">
        <f>K2&amp;L2</f>
        <v>ABuy</v>
      </c>
      <c r="K2" s="233" t="s">
        <v>541</v>
      </c>
      <c r="L2" s="233" t="s">
        <v>542</v>
      </c>
      <c r="M2" s="237">
        <v>230238020312.45709</v>
      </c>
      <c r="O2" s="240">
        <v>89407006125.330002</v>
      </c>
      <c r="P2" s="240">
        <v>-80335668531.479996</v>
      </c>
      <c r="Q2" s="240">
        <v>9071337593.8500004</v>
      </c>
      <c r="S2" s="252" t="s">
        <v>446</v>
      </c>
      <c r="T2" s="257">
        <v>328786336550.04089</v>
      </c>
      <c r="U2" s="257">
        <v>888403</v>
      </c>
      <c r="V2" s="257">
        <v>231904</v>
      </c>
      <c r="W2" s="257">
        <v>671733</v>
      </c>
      <c r="X2" s="257">
        <v>1</v>
      </c>
      <c r="Y2" s="244"/>
      <c r="Z2" s="252" t="s">
        <v>567</v>
      </c>
      <c r="AA2" s="252">
        <v>0</v>
      </c>
      <c r="AB2" s="252">
        <v>0</v>
      </c>
      <c r="AC2" s="252">
        <v>0</v>
      </c>
      <c r="AD2" s="252">
        <v>0</v>
      </c>
      <c r="AE2" s="252">
        <v>0</v>
      </c>
      <c r="AF2" s="252"/>
      <c r="AG2" s="252" t="s">
        <v>567</v>
      </c>
      <c r="AH2" s="252">
        <v>0</v>
      </c>
      <c r="AI2" s="252">
        <v>0</v>
      </c>
      <c r="AJ2" s="252">
        <v>0</v>
      </c>
      <c r="AK2" s="252">
        <v>0</v>
      </c>
      <c r="AL2" s="252">
        <v>0</v>
      </c>
      <c r="AM2" s="244"/>
      <c r="AN2" s="252" t="s">
        <v>567</v>
      </c>
      <c r="AO2" s="252">
        <v>0</v>
      </c>
      <c r="AP2" s="252">
        <v>0</v>
      </c>
      <c r="AQ2" s="252">
        <v>0</v>
      </c>
      <c r="AR2" s="252">
        <v>0</v>
      </c>
      <c r="AS2" s="252">
        <v>0</v>
      </c>
      <c r="AT2" s="244"/>
      <c r="AU2" s="252" t="s">
        <v>567</v>
      </c>
      <c r="AV2" s="252">
        <v>0</v>
      </c>
      <c r="AW2" s="252">
        <v>0</v>
      </c>
      <c r="AX2" s="252">
        <v>0</v>
      </c>
      <c r="AY2" s="252">
        <v>0</v>
      </c>
      <c r="AZ2" s="252">
        <v>0</v>
      </c>
      <c r="BA2" s="244"/>
      <c r="BB2" s="252" t="s">
        <v>567</v>
      </c>
      <c r="BC2" s="252">
        <v>0</v>
      </c>
      <c r="BD2" s="252">
        <v>0</v>
      </c>
      <c r="BE2" s="252">
        <v>0</v>
      </c>
      <c r="BF2" s="252">
        <v>0</v>
      </c>
      <c r="BG2" s="252">
        <v>0</v>
      </c>
      <c r="BH2" s="246" t="s">
        <v>567</v>
      </c>
      <c r="BI2" s="252">
        <v>0</v>
      </c>
      <c r="BJ2" s="252">
        <v>0</v>
      </c>
      <c r="BK2" s="252">
        <v>0</v>
      </c>
      <c r="BL2" s="252">
        <v>0</v>
      </c>
      <c r="BM2" s="252">
        <v>0</v>
      </c>
      <c r="BN2" s="252"/>
      <c r="BO2" s="244"/>
      <c r="BP2" s="262">
        <v>4927639742199.3623</v>
      </c>
      <c r="BQ2" s="262">
        <v>243724756</v>
      </c>
      <c r="BR2" s="262">
        <v>2687832</v>
      </c>
      <c r="BS2" s="244"/>
      <c r="BT2" s="264" t="s">
        <v>139</v>
      </c>
      <c r="BU2" s="264">
        <v>52</v>
      </c>
      <c r="BV2" s="264">
        <v>1</v>
      </c>
      <c r="BW2" s="264">
        <v>1</v>
      </c>
      <c r="BX2" s="264">
        <v>0</v>
      </c>
      <c r="BY2" s="264">
        <v>0</v>
      </c>
      <c r="BZ2" s="264">
        <v>52</v>
      </c>
      <c r="CA2" s="264">
        <v>39</v>
      </c>
      <c r="CB2" s="264">
        <v>13</v>
      </c>
      <c r="CC2" s="244"/>
      <c r="CD2" s="268">
        <v>814</v>
      </c>
      <c r="CE2" s="268">
        <v>16176588375170.006</v>
      </c>
      <c r="CF2" s="244"/>
      <c r="CG2" s="264">
        <v>2017</v>
      </c>
      <c r="CH2" s="264">
        <v>22</v>
      </c>
      <c r="CI2" s="244"/>
      <c r="CJ2" s="246" t="s">
        <v>636</v>
      </c>
      <c r="CK2" s="246">
        <v>893139422108</v>
      </c>
      <c r="CL2" s="246"/>
      <c r="CM2" s="246" t="s">
        <v>636</v>
      </c>
      <c r="CN2" s="246">
        <v>2031824067944</v>
      </c>
      <c r="CO2" s="246"/>
      <c r="CP2" s="246" t="s">
        <v>636</v>
      </c>
      <c r="CQ2" s="246">
        <v>182342299393</v>
      </c>
      <c r="CR2" s="244"/>
      <c r="CS2" s="276">
        <v>2017</v>
      </c>
      <c r="CT2" s="274">
        <v>45</v>
      </c>
      <c r="CU2" s="274" t="s">
        <v>650</v>
      </c>
      <c r="CV2" s="274">
        <v>0</v>
      </c>
      <c r="CW2" s="274">
        <v>32522837743</v>
      </c>
      <c r="CX2" s="274">
        <v>3705</v>
      </c>
      <c r="CY2" s="274">
        <v>0</v>
      </c>
      <c r="CZ2" s="274">
        <v>168024945088</v>
      </c>
      <c r="DA2" s="274">
        <v>2050</v>
      </c>
      <c r="DB2" s="274">
        <v>0</v>
      </c>
      <c r="DC2" s="274">
        <v>135502107345</v>
      </c>
      <c r="DD2" s="274">
        <v>1655</v>
      </c>
      <c r="DG2" s="347" t="s">
        <v>661</v>
      </c>
      <c r="DH2" s="345">
        <v>6675419025.1000004</v>
      </c>
      <c r="DJ2" s="351" t="s">
        <v>661</v>
      </c>
      <c r="DK2" s="349">
        <v>23060625689.48</v>
      </c>
      <c r="DM2" s="350" t="s">
        <v>661</v>
      </c>
      <c r="DN2" s="352">
        <v>11625247798.860001</v>
      </c>
    </row>
    <row r="3" spans="1:118" x14ac:dyDescent="0.2">
      <c r="B3" s="188"/>
      <c r="C3" s="188"/>
      <c r="D3" s="188"/>
      <c r="E3" s="208"/>
      <c r="F3" s="208"/>
      <c r="G3" s="208"/>
      <c r="H3" s="208"/>
      <c r="J3" s="152" t="str">
        <f t="shared" ref="J3:J5" si="0">K3&amp;L3</f>
        <v>PBuy</v>
      </c>
      <c r="K3" s="233" t="s">
        <v>543</v>
      </c>
      <c r="L3" s="233" t="s">
        <v>542</v>
      </c>
      <c r="M3" s="237">
        <v>251263694755.23767</v>
      </c>
      <c r="N3" s="136"/>
      <c r="O3" s="238"/>
      <c r="P3" s="238"/>
      <c r="Q3" s="238"/>
      <c r="S3" s="252" t="s">
        <v>451</v>
      </c>
      <c r="T3" s="257">
        <v>151927360.19999999</v>
      </c>
      <c r="U3" s="257">
        <v>116891</v>
      </c>
      <c r="V3" s="257">
        <v>157</v>
      </c>
      <c r="W3" s="257">
        <v>318663</v>
      </c>
      <c r="X3" s="257">
        <v>0</v>
      </c>
      <c r="Y3" s="244"/>
      <c r="Z3" s="252" t="s">
        <v>568</v>
      </c>
      <c r="AA3" s="252">
        <v>0</v>
      </c>
      <c r="AB3" s="252">
        <v>0</v>
      </c>
      <c r="AC3" s="252">
        <v>0</v>
      </c>
      <c r="AD3" s="252">
        <v>0</v>
      </c>
      <c r="AE3" s="252">
        <v>0</v>
      </c>
      <c r="AF3" s="252"/>
      <c r="AG3" s="252" t="s">
        <v>568</v>
      </c>
      <c r="AH3" s="252">
        <v>0</v>
      </c>
      <c r="AI3" s="252">
        <v>0</v>
      </c>
      <c r="AJ3" s="252">
        <v>0</v>
      </c>
      <c r="AK3" s="252">
        <v>0</v>
      </c>
      <c r="AL3" s="252">
        <v>0</v>
      </c>
      <c r="AM3" s="244"/>
      <c r="AN3" s="252" t="s">
        <v>568</v>
      </c>
      <c r="AO3" s="252">
        <v>0</v>
      </c>
      <c r="AP3" s="252">
        <v>0</v>
      </c>
      <c r="AQ3" s="252">
        <v>0</v>
      </c>
      <c r="AR3" s="252">
        <v>0</v>
      </c>
      <c r="AS3" s="252">
        <v>0</v>
      </c>
      <c r="AT3" s="244"/>
      <c r="AU3" s="252" t="s">
        <v>568</v>
      </c>
      <c r="AV3" s="252">
        <v>0</v>
      </c>
      <c r="AW3" s="252">
        <v>0</v>
      </c>
      <c r="AX3" s="252">
        <v>0</v>
      </c>
      <c r="AY3" s="252">
        <v>0</v>
      </c>
      <c r="AZ3" s="252">
        <v>0</v>
      </c>
      <c r="BA3" s="244"/>
      <c r="BB3" s="252" t="s">
        <v>568</v>
      </c>
      <c r="BC3" s="252">
        <v>0</v>
      </c>
      <c r="BD3" s="252">
        <v>0</v>
      </c>
      <c r="BE3" s="252">
        <v>0</v>
      </c>
      <c r="BF3" s="252">
        <v>5901</v>
      </c>
      <c r="BG3" s="252">
        <v>0</v>
      </c>
      <c r="BH3" s="246" t="s">
        <v>568</v>
      </c>
      <c r="BI3" s="252">
        <v>0</v>
      </c>
      <c r="BJ3" s="252">
        <v>0</v>
      </c>
      <c r="BK3" s="252">
        <v>0</v>
      </c>
      <c r="BL3" s="252">
        <v>281</v>
      </c>
      <c r="BM3" s="252">
        <v>0</v>
      </c>
      <c r="BN3" s="252"/>
      <c r="BO3" s="244"/>
      <c r="BP3" s="244"/>
      <c r="BQ3" s="244"/>
      <c r="BR3" s="244"/>
      <c r="BS3" s="244"/>
      <c r="BT3" s="264" t="s">
        <v>628</v>
      </c>
      <c r="BU3" s="264">
        <v>2</v>
      </c>
      <c r="BV3" s="264">
        <v>0</v>
      </c>
      <c r="BW3" s="264">
        <v>0</v>
      </c>
      <c r="BX3" s="264">
        <v>0</v>
      </c>
      <c r="BY3" s="264">
        <v>0</v>
      </c>
      <c r="BZ3" s="264">
        <v>2</v>
      </c>
      <c r="CA3" s="264">
        <v>2</v>
      </c>
      <c r="CB3" s="264">
        <v>0</v>
      </c>
      <c r="CC3" s="244"/>
      <c r="CD3" s="244"/>
      <c r="CE3" s="244"/>
      <c r="CF3" s="244"/>
      <c r="CG3" s="264">
        <v>2016</v>
      </c>
      <c r="CH3" s="264">
        <v>21</v>
      </c>
      <c r="CI3" s="244"/>
      <c r="CJ3" s="246" t="s">
        <v>637</v>
      </c>
      <c r="CK3" s="246">
        <v>915548691831.91089</v>
      </c>
      <c r="CL3" s="246"/>
      <c r="CM3" s="246" t="s">
        <v>637</v>
      </c>
      <c r="CN3" s="246">
        <v>1963477833648.6782</v>
      </c>
      <c r="CO3" s="246"/>
      <c r="CP3" s="246" t="s">
        <v>637</v>
      </c>
      <c r="CQ3" s="246">
        <v>113106826796.84001</v>
      </c>
      <c r="CR3" s="244"/>
      <c r="CS3" s="276">
        <v>2017</v>
      </c>
      <c r="CT3" s="274">
        <v>3</v>
      </c>
      <c r="CU3" s="274" t="s">
        <v>651</v>
      </c>
      <c r="CV3" s="274">
        <v>294276509.67000002</v>
      </c>
      <c r="CW3" s="274">
        <v>299810000</v>
      </c>
      <c r="CX3" s="274">
        <v>3</v>
      </c>
      <c r="CY3" s="274">
        <v>294888623.24000001</v>
      </c>
      <c r="CZ3" s="274">
        <v>300110000</v>
      </c>
      <c r="DA3" s="274">
        <v>2</v>
      </c>
      <c r="DB3" s="274">
        <v>612113.56999999995</v>
      </c>
      <c r="DC3" s="274">
        <v>300000</v>
      </c>
      <c r="DD3" s="274">
        <v>1</v>
      </c>
      <c r="DG3" s="347" t="s">
        <v>662</v>
      </c>
      <c r="DH3" s="345">
        <v>1131576585.1099999</v>
      </c>
      <c r="DJ3" s="351" t="s">
        <v>662</v>
      </c>
      <c r="DK3" s="349">
        <v>16401341683.690001</v>
      </c>
      <c r="DM3" s="350" t="s">
        <v>662</v>
      </c>
      <c r="DN3" s="352">
        <v>25131554262.950001</v>
      </c>
    </row>
    <row r="4" spans="1:118" x14ac:dyDescent="0.2">
      <c r="A4" s="148" t="s">
        <v>211</v>
      </c>
      <c r="B4" s="188" t="s">
        <v>536</v>
      </c>
      <c r="C4" s="188" t="s">
        <v>537</v>
      </c>
      <c r="D4" s="188" t="s">
        <v>538</v>
      </c>
      <c r="E4" s="208"/>
      <c r="F4" s="210" t="s">
        <v>538</v>
      </c>
      <c r="G4" s="210" t="s">
        <v>536</v>
      </c>
      <c r="H4" s="210" t="s">
        <v>537</v>
      </c>
      <c r="J4" s="152" t="str">
        <f t="shared" si="0"/>
        <v>ASell</v>
      </c>
      <c r="K4" s="233" t="s">
        <v>541</v>
      </c>
      <c r="L4" s="233" t="s">
        <v>544</v>
      </c>
      <c r="M4" s="237">
        <v>241865750260.38068</v>
      </c>
      <c r="N4" s="153" t="s">
        <v>224</v>
      </c>
      <c r="O4" s="241" t="s">
        <v>524</v>
      </c>
      <c r="P4" s="241" t="s">
        <v>525</v>
      </c>
      <c r="Q4" s="241" t="s">
        <v>526</v>
      </c>
      <c r="S4" s="252" t="s">
        <v>446</v>
      </c>
      <c r="T4" s="257">
        <v>4022520551.1700001</v>
      </c>
      <c r="U4" s="257">
        <v>400869</v>
      </c>
      <c r="V4" s="257">
        <v>741</v>
      </c>
      <c r="W4" s="257">
        <v>1076998</v>
      </c>
      <c r="X4" s="257">
        <v>0</v>
      </c>
      <c r="Y4" s="244"/>
      <c r="Z4" s="252" t="s">
        <v>569</v>
      </c>
      <c r="AA4" s="252">
        <v>48885299.759999998</v>
      </c>
      <c r="AB4" s="252">
        <v>3830</v>
      </c>
      <c r="AC4" s="252">
        <v>258</v>
      </c>
      <c r="AD4" s="252">
        <v>93454</v>
      </c>
      <c r="AE4" s="252">
        <v>0</v>
      </c>
      <c r="AF4" s="252"/>
      <c r="AG4" s="252" t="s">
        <v>569</v>
      </c>
      <c r="AH4" s="252">
        <v>3072021.8</v>
      </c>
      <c r="AI4" s="252">
        <v>271</v>
      </c>
      <c r="AJ4" s="252">
        <v>20</v>
      </c>
      <c r="AK4" s="252">
        <v>5047</v>
      </c>
      <c r="AL4" s="252">
        <v>0</v>
      </c>
      <c r="AM4" s="244"/>
      <c r="AN4" s="252" t="s">
        <v>569</v>
      </c>
      <c r="AO4" s="252">
        <v>49459001.68</v>
      </c>
      <c r="AP4" s="252">
        <v>3564</v>
      </c>
      <c r="AQ4" s="252">
        <v>122</v>
      </c>
      <c r="AR4" s="252">
        <v>56886</v>
      </c>
      <c r="AS4" s="252">
        <v>0</v>
      </c>
      <c r="AT4" s="244"/>
      <c r="AU4" s="252" t="s">
        <v>569</v>
      </c>
      <c r="AV4" s="252">
        <v>35200</v>
      </c>
      <c r="AW4" s="252">
        <v>4</v>
      </c>
      <c r="AX4" s="252">
        <v>1</v>
      </c>
      <c r="AY4" s="252">
        <v>3663</v>
      </c>
      <c r="AZ4" s="252">
        <v>0</v>
      </c>
      <c r="BA4" s="244"/>
      <c r="BB4" s="252" t="s">
        <v>612</v>
      </c>
      <c r="BC4" s="252">
        <v>0</v>
      </c>
      <c r="BD4" s="252">
        <v>0</v>
      </c>
      <c r="BE4" s="252">
        <v>0</v>
      </c>
      <c r="BF4" s="252">
        <v>0</v>
      </c>
      <c r="BG4" s="252">
        <v>1</v>
      </c>
      <c r="BH4" s="246" t="s">
        <v>612</v>
      </c>
      <c r="BI4" s="252">
        <v>0</v>
      </c>
      <c r="BJ4" s="252">
        <v>0</v>
      </c>
      <c r="BK4" s="252">
        <v>0</v>
      </c>
      <c r="BL4" s="252">
        <v>0</v>
      </c>
      <c r="BM4" s="252">
        <v>1</v>
      </c>
      <c r="BN4" s="252"/>
      <c r="BO4" s="251" t="s">
        <v>469</v>
      </c>
      <c r="BP4" s="263" t="s">
        <v>561</v>
      </c>
      <c r="BQ4" s="263" t="s">
        <v>562</v>
      </c>
      <c r="BR4" s="263" t="s">
        <v>563</v>
      </c>
      <c r="BS4" s="244"/>
      <c r="BT4" s="264" t="s">
        <v>629</v>
      </c>
      <c r="BU4" s="264">
        <v>1</v>
      </c>
      <c r="BV4" s="264">
        <v>0</v>
      </c>
      <c r="BW4" s="264">
        <v>0</v>
      </c>
      <c r="BX4" s="264">
        <v>0</v>
      </c>
      <c r="BY4" s="264">
        <v>0</v>
      </c>
      <c r="BZ4" s="264">
        <v>1</v>
      </c>
      <c r="CA4" s="264">
        <v>1</v>
      </c>
      <c r="CB4" s="264">
        <v>0</v>
      </c>
      <c r="CC4" s="266" t="s">
        <v>503</v>
      </c>
      <c r="CD4" s="269" t="s">
        <v>632</v>
      </c>
      <c r="CE4" s="269" t="s">
        <v>633</v>
      </c>
      <c r="CF4" s="244"/>
      <c r="CG4" s="244"/>
      <c r="CH4" s="244"/>
      <c r="CI4" s="244"/>
      <c r="CJ4" s="244"/>
      <c r="CK4" s="244"/>
      <c r="CL4" s="246"/>
      <c r="CM4" s="246"/>
      <c r="CN4" s="246"/>
      <c r="CO4" s="246"/>
      <c r="CP4" s="246"/>
      <c r="CQ4" s="246"/>
      <c r="CR4" s="244"/>
      <c r="CS4" s="276">
        <v>2017</v>
      </c>
      <c r="CT4" s="274">
        <v>26</v>
      </c>
      <c r="CU4" s="274" t="s">
        <v>652</v>
      </c>
      <c r="CV4" s="274">
        <v>-123929713469.17995</v>
      </c>
      <c r="CW4" s="274">
        <v>-83674292571</v>
      </c>
      <c r="CX4" s="274">
        <v>7329</v>
      </c>
      <c r="CY4" s="274">
        <v>406247755020.56989</v>
      </c>
      <c r="CZ4" s="274">
        <v>429817235000</v>
      </c>
      <c r="DA4" s="274">
        <v>4899</v>
      </c>
      <c r="DB4" s="274">
        <v>530177468489.75006</v>
      </c>
      <c r="DC4" s="274">
        <v>513491527571</v>
      </c>
      <c r="DD4" s="274">
        <v>2430</v>
      </c>
      <c r="DG4" s="347" t="s">
        <v>663</v>
      </c>
      <c r="DH4" s="345">
        <v>964192415.40999997</v>
      </c>
      <c r="DJ4" s="351" t="s">
        <v>663</v>
      </c>
      <c r="DK4" s="349">
        <v>10353107729.23</v>
      </c>
      <c r="DM4" s="350" t="s">
        <v>663</v>
      </c>
      <c r="DN4" s="352">
        <v>32928324681.900002</v>
      </c>
    </row>
    <row r="5" spans="1:118" x14ac:dyDescent="0.2">
      <c r="B5" s="188">
        <v>68380572776</v>
      </c>
      <c r="C5" s="188">
        <v>4395205799463.7666</v>
      </c>
      <c r="D5" s="194">
        <v>56876139</v>
      </c>
      <c r="E5" s="208"/>
      <c r="F5" s="210">
        <v>29539</v>
      </c>
      <c r="G5" s="210">
        <v>7315222818</v>
      </c>
      <c r="H5" s="224">
        <v>324328823017.54645</v>
      </c>
      <c r="J5" s="152" t="str">
        <f t="shared" si="0"/>
        <v>PSell</v>
      </c>
      <c r="K5" s="233" t="s">
        <v>543</v>
      </c>
      <c r="L5" s="233" t="s">
        <v>544</v>
      </c>
      <c r="M5" s="237">
        <v>239635964807.31409</v>
      </c>
      <c r="N5" s="136"/>
      <c r="O5" s="240">
        <v>755553172176.27002</v>
      </c>
      <c r="P5" s="240">
        <v>-836329147436.25</v>
      </c>
      <c r="Q5" s="240">
        <v>-80775975259.979996</v>
      </c>
      <c r="S5" s="252" t="s">
        <v>448</v>
      </c>
      <c r="T5" s="257">
        <v>0</v>
      </c>
      <c r="U5" s="257">
        <v>0</v>
      </c>
      <c r="V5" s="257">
        <v>0</v>
      </c>
      <c r="W5" s="257">
        <v>0</v>
      </c>
      <c r="X5" s="257">
        <v>0</v>
      </c>
      <c r="Y5" s="244"/>
      <c r="Z5" s="252" t="s">
        <v>570</v>
      </c>
      <c r="AA5" s="252">
        <v>422011163.61000001</v>
      </c>
      <c r="AB5" s="252">
        <v>5218</v>
      </c>
      <c r="AC5" s="252">
        <v>100</v>
      </c>
      <c r="AD5" s="252">
        <v>43302</v>
      </c>
      <c r="AE5" s="252">
        <v>1</v>
      </c>
      <c r="AF5" s="252"/>
      <c r="AG5" s="252" t="s">
        <v>570</v>
      </c>
      <c r="AH5" s="252">
        <v>43699097.630000003</v>
      </c>
      <c r="AI5" s="252">
        <v>512</v>
      </c>
      <c r="AJ5" s="252">
        <v>18</v>
      </c>
      <c r="AK5" s="252">
        <v>2966</v>
      </c>
      <c r="AL5" s="252">
        <v>1</v>
      </c>
      <c r="AM5" s="244"/>
      <c r="AN5" s="252" t="s">
        <v>570</v>
      </c>
      <c r="AO5" s="252">
        <v>332201238.07999998</v>
      </c>
      <c r="AP5" s="252">
        <v>4474</v>
      </c>
      <c r="AQ5" s="252">
        <v>55</v>
      </c>
      <c r="AR5" s="252">
        <v>15303</v>
      </c>
      <c r="AS5" s="252">
        <v>1</v>
      </c>
      <c r="AT5" s="244"/>
      <c r="AU5" s="252" t="s">
        <v>570</v>
      </c>
      <c r="AV5" s="252">
        <v>21726834.809999999</v>
      </c>
      <c r="AW5" s="252">
        <v>279</v>
      </c>
      <c r="AX5" s="252">
        <v>12</v>
      </c>
      <c r="AY5" s="252">
        <v>1661</v>
      </c>
      <c r="AZ5" s="252">
        <v>1</v>
      </c>
      <c r="BA5" s="244"/>
      <c r="BB5" s="252" t="s">
        <v>569</v>
      </c>
      <c r="BC5" s="252">
        <v>41744555.100000001</v>
      </c>
      <c r="BD5" s="252">
        <v>3362</v>
      </c>
      <c r="BE5" s="252">
        <v>94</v>
      </c>
      <c r="BF5" s="252">
        <v>57427</v>
      </c>
      <c r="BG5" s="252">
        <v>0</v>
      </c>
      <c r="BH5" s="246" t="s">
        <v>569</v>
      </c>
      <c r="BI5" s="252">
        <v>6002900</v>
      </c>
      <c r="BJ5" s="252">
        <v>432</v>
      </c>
      <c r="BK5" s="252">
        <v>8</v>
      </c>
      <c r="BL5" s="252">
        <v>2701</v>
      </c>
      <c r="BM5" s="252">
        <v>0</v>
      </c>
      <c r="BN5" s="252"/>
      <c r="BO5" s="244"/>
      <c r="BP5" s="262">
        <v>35194018389.5</v>
      </c>
      <c r="BQ5" s="262">
        <v>15686879</v>
      </c>
      <c r="BR5" s="262">
        <v>21138</v>
      </c>
      <c r="BS5" s="244"/>
      <c r="BT5" s="264" t="s">
        <v>630</v>
      </c>
      <c r="BU5" s="264">
        <v>320</v>
      </c>
      <c r="BV5" s="264">
        <v>2</v>
      </c>
      <c r="BW5" s="264">
        <v>1</v>
      </c>
      <c r="BX5" s="264">
        <v>0</v>
      </c>
      <c r="BY5" s="264">
        <v>0</v>
      </c>
      <c r="BZ5" s="264">
        <v>321</v>
      </c>
      <c r="CA5" s="264">
        <v>258</v>
      </c>
      <c r="CB5" s="264">
        <v>62</v>
      </c>
      <c r="CC5" s="244"/>
      <c r="CD5" s="270">
        <v>800</v>
      </c>
      <c r="CE5" s="270">
        <v>13327118187431.52</v>
      </c>
      <c r="CF5" s="266" t="s">
        <v>508</v>
      </c>
      <c r="CG5" s="265" t="s">
        <v>6</v>
      </c>
      <c r="CH5" s="265" t="s">
        <v>634</v>
      </c>
      <c r="CI5" s="244"/>
      <c r="CJ5" s="244"/>
      <c r="CK5" s="246"/>
      <c r="CL5" s="246"/>
      <c r="CM5" s="246"/>
      <c r="CN5" s="246"/>
      <c r="CO5" s="246"/>
      <c r="CP5" s="246"/>
      <c r="CQ5" s="246"/>
      <c r="CR5" s="244"/>
      <c r="CS5" s="276">
        <v>2017</v>
      </c>
      <c r="CT5" s="274">
        <v>26</v>
      </c>
      <c r="CU5" s="274" t="s">
        <v>653</v>
      </c>
      <c r="CV5" s="274">
        <v>118680681812.66011</v>
      </c>
      <c r="CW5" s="274">
        <v>79156292571</v>
      </c>
      <c r="CX5" s="274">
        <v>7243</v>
      </c>
      <c r="CY5" s="274">
        <v>519796378764.48022</v>
      </c>
      <c r="CZ5" s="274">
        <v>503365527571</v>
      </c>
      <c r="DA5" s="274">
        <v>2399</v>
      </c>
      <c r="DB5" s="274">
        <v>401115696951.81836</v>
      </c>
      <c r="DC5" s="274">
        <v>424209235000</v>
      </c>
      <c r="DD5" s="274">
        <v>4844</v>
      </c>
      <c r="DG5" s="347" t="s">
        <v>664</v>
      </c>
      <c r="DH5" s="345">
        <v>88242617.030000001</v>
      </c>
      <c r="DJ5" s="351" t="s">
        <v>664</v>
      </c>
      <c r="DK5" s="349">
        <v>797947019.95000005</v>
      </c>
      <c r="DM5" s="350" t="s">
        <v>664</v>
      </c>
      <c r="DN5" s="352">
        <v>2047395697.3900001</v>
      </c>
    </row>
    <row r="6" spans="1:118" x14ac:dyDescent="0.2">
      <c r="B6" s="188"/>
      <c r="C6" s="188"/>
      <c r="D6" s="188"/>
      <c r="E6" s="208"/>
      <c r="F6" s="208"/>
      <c r="G6" s="208"/>
      <c r="H6" s="208"/>
      <c r="J6" s="152"/>
      <c r="K6" s="230"/>
      <c r="L6" s="228"/>
      <c r="M6" s="227"/>
      <c r="O6" s="238"/>
      <c r="P6" s="238"/>
      <c r="Q6" s="238"/>
      <c r="S6" s="252" t="s">
        <v>447</v>
      </c>
      <c r="T6" s="257">
        <v>12766778916.794001</v>
      </c>
      <c r="U6" s="257">
        <v>563214</v>
      </c>
      <c r="V6" s="257">
        <v>3480</v>
      </c>
      <c r="W6" s="257">
        <v>1211214</v>
      </c>
      <c r="X6" s="257">
        <v>1</v>
      </c>
      <c r="Y6" s="244"/>
      <c r="Z6" s="252" t="s">
        <v>571</v>
      </c>
      <c r="AA6" s="252">
        <v>140488187.34999999</v>
      </c>
      <c r="AB6" s="252">
        <v>4632</v>
      </c>
      <c r="AC6" s="252">
        <v>6</v>
      </c>
      <c r="AD6" s="252">
        <v>50052</v>
      </c>
      <c r="AE6" s="252">
        <v>1</v>
      </c>
      <c r="AF6" s="252"/>
      <c r="AG6" s="252" t="s">
        <v>571</v>
      </c>
      <c r="AH6" s="252">
        <v>2967556.5</v>
      </c>
      <c r="AI6" s="252">
        <v>90</v>
      </c>
      <c r="AJ6" s="252">
        <v>1</v>
      </c>
      <c r="AK6" s="252">
        <v>2361</v>
      </c>
      <c r="AL6" s="252">
        <v>1</v>
      </c>
      <c r="AM6" s="244"/>
      <c r="AN6" s="252" t="s">
        <v>571</v>
      </c>
      <c r="AO6" s="252">
        <v>18991328.899999999</v>
      </c>
      <c r="AP6" s="252">
        <v>669</v>
      </c>
      <c r="AQ6" s="252">
        <v>6</v>
      </c>
      <c r="AR6" s="252">
        <v>40729</v>
      </c>
      <c r="AS6" s="252">
        <v>1</v>
      </c>
      <c r="AT6" s="244"/>
      <c r="AU6" s="252" t="s">
        <v>571</v>
      </c>
      <c r="AV6" s="252">
        <v>0</v>
      </c>
      <c r="AW6" s="252">
        <v>0</v>
      </c>
      <c r="AX6" s="252">
        <v>0</v>
      </c>
      <c r="AY6" s="252">
        <v>2279</v>
      </c>
      <c r="AZ6" s="252">
        <v>1</v>
      </c>
      <c r="BA6" s="244"/>
      <c r="BB6" s="252" t="s">
        <v>570</v>
      </c>
      <c r="BC6" s="252">
        <v>133040956.95</v>
      </c>
      <c r="BD6" s="252">
        <v>1861</v>
      </c>
      <c r="BE6" s="252">
        <v>58</v>
      </c>
      <c r="BF6" s="252">
        <v>29042</v>
      </c>
      <c r="BG6" s="252">
        <v>1</v>
      </c>
      <c r="BH6" s="246" t="s">
        <v>570</v>
      </c>
      <c r="BI6" s="252">
        <v>68321609.040000007</v>
      </c>
      <c r="BJ6" s="252">
        <v>984</v>
      </c>
      <c r="BK6" s="252">
        <v>18</v>
      </c>
      <c r="BL6" s="252">
        <v>608</v>
      </c>
      <c r="BM6" s="252">
        <v>1</v>
      </c>
      <c r="BN6" s="252"/>
      <c r="BO6" s="246"/>
      <c r="BP6" s="262"/>
      <c r="BQ6" s="262"/>
      <c r="BR6" s="262"/>
      <c r="BS6" s="244"/>
      <c r="BT6" s="264" t="s">
        <v>631</v>
      </c>
      <c r="BU6" s="264">
        <v>1</v>
      </c>
      <c r="BV6" s="264">
        <v>0</v>
      </c>
      <c r="BW6" s="264">
        <v>0</v>
      </c>
      <c r="BX6" s="264">
        <v>0</v>
      </c>
      <c r="BY6" s="264">
        <v>0</v>
      </c>
      <c r="BZ6" s="264">
        <v>1</v>
      </c>
      <c r="CA6" s="264">
        <v>1</v>
      </c>
      <c r="CB6" s="264">
        <v>0</v>
      </c>
      <c r="CC6" s="244"/>
      <c r="CD6" s="244"/>
      <c r="CE6" s="244"/>
      <c r="CF6" s="244"/>
      <c r="CG6" s="264">
        <v>2017</v>
      </c>
      <c r="CH6" s="264">
        <v>208</v>
      </c>
      <c r="CI6" s="266" t="s">
        <v>510</v>
      </c>
      <c r="CJ6" s="246" t="s">
        <v>117</v>
      </c>
      <c r="CK6" s="246">
        <v>244451</v>
      </c>
      <c r="CL6" s="266" t="s">
        <v>513</v>
      </c>
      <c r="CM6" s="246" t="s">
        <v>117</v>
      </c>
      <c r="CN6" s="246">
        <v>133218</v>
      </c>
      <c r="CO6" s="266" t="s">
        <v>516</v>
      </c>
      <c r="CP6" s="246" t="s">
        <v>117</v>
      </c>
      <c r="CQ6" s="246">
        <v>7376</v>
      </c>
      <c r="CR6" s="244"/>
      <c r="CS6" s="276">
        <v>2017</v>
      </c>
      <c r="CT6" s="274">
        <v>522</v>
      </c>
      <c r="CU6" s="274" t="s">
        <v>654</v>
      </c>
      <c r="CV6" s="274">
        <v>-34659782385.159966</v>
      </c>
      <c r="CW6" s="274">
        <v>-33689474333</v>
      </c>
      <c r="CX6" s="274">
        <v>8309</v>
      </c>
      <c r="CY6" s="274">
        <v>94038248160.920135</v>
      </c>
      <c r="CZ6" s="274">
        <v>93415644069</v>
      </c>
      <c r="DA6" s="274">
        <v>4691</v>
      </c>
      <c r="DB6" s="274">
        <v>128698030546.07997</v>
      </c>
      <c r="DC6" s="274">
        <v>127105118402</v>
      </c>
      <c r="DD6" s="274">
        <v>3618</v>
      </c>
      <c r="DG6" s="347" t="s">
        <v>665</v>
      </c>
      <c r="DH6" s="345">
        <v>550174623</v>
      </c>
      <c r="DJ6" s="351" t="s">
        <v>665</v>
      </c>
      <c r="DK6" s="349">
        <v>7321599328.7799997</v>
      </c>
      <c r="DM6" s="350" t="s">
        <v>665</v>
      </c>
      <c r="DN6" s="352">
        <v>5918835534.4200001</v>
      </c>
    </row>
    <row r="7" spans="1:118" x14ac:dyDescent="0.2">
      <c r="A7" s="148" t="s">
        <v>212</v>
      </c>
      <c r="B7" s="188" t="s">
        <v>536</v>
      </c>
      <c r="C7" s="188" t="s">
        <v>537</v>
      </c>
      <c r="D7" s="188" t="s">
        <v>538</v>
      </c>
      <c r="E7" s="208"/>
      <c r="F7" s="210" t="s">
        <v>538</v>
      </c>
      <c r="G7" s="210" t="s">
        <v>536</v>
      </c>
      <c r="H7" s="210" t="s">
        <v>537</v>
      </c>
      <c r="I7" s="153" t="s">
        <v>219</v>
      </c>
      <c r="J7" s="148" t="s">
        <v>220</v>
      </c>
      <c r="K7" s="234" t="s">
        <v>539</v>
      </c>
      <c r="L7" s="234" t="s">
        <v>540</v>
      </c>
      <c r="M7" s="236" t="s">
        <v>537</v>
      </c>
      <c r="N7" s="153" t="s">
        <v>225</v>
      </c>
      <c r="O7" s="241" t="s">
        <v>524</v>
      </c>
      <c r="P7" s="241" t="s">
        <v>525</v>
      </c>
      <c r="Q7" s="241" t="s">
        <v>526</v>
      </c>
      <c r="S7" s="252" t="s">
        <v>449</v>
      </c>
      <c r="T7" s="257">
        <v>1069432232.693</v>
      </c>
      <c r="U7" s="257">
        <v>1182098</v>
      </c>
      <c r="V7" s="257">
        <v>186</v>
      </c>
      <c r="W7" s="257">
        <v>12027706</v>
      </c>
      <c r="X7" s="257">
        <v>1</v>
      </c>
      <c r="Y7" s="244"/>
      <c r="Z7" s="252" t="s">
        <v>572</v>
      </c>
      <c r="AA7" s="252">
        <v>224400</v>
      </c>
      <c r="AB7" s="252">
        <v>2</v>
      </c>
      <c r="AC7" s="252">
        <v>1</v>
      </c>
      <c r="AD7" s="252">
        <v>1212</v>
      </c>
      <c r="AE7" s="252">
        <v>1</v>
      </c>
      <c r="AF7" s="252"/>
      <c r="AG7" s="252" t="s">
        <v>572</v>
      </c>
      <c r="AH7" s="252">
        <v>0</v>
      </c>
      <c r="AI7" s="252">
        <v>0</v>
      </c>
      <c r="AJ7" s="252">
        <v>0</v>
      </c>
      <c r="AK7" s="252">
        <v>55</v>
      </c>
      <c r="AL7" s="252">
        <v>1</v>
      </c>
      <c r="AM7" s="244"/>
      <c r="AN7" s="252" t="s">
        <v>572</v>
      </c>
      <c r="AO7" s="252">
        <v>32456669.684999999</v>
      </c>
      <c r="AP7" s="252">
        <v>299</v>
      </c>
      <c r="AQ7" s="252">
        <v>57</v>
      </c>
      <c r="AR7" s="252">
        <v>2773</v>
      </c>
      <c r="AS7" s="252">
        <v>1</v>
      </c>
      <c r="AT7" s="244"/>
      <c r="AU7" s="252" t="s">
        <v>572</v>
      </c>
      <c r="AV7" s="252">
        <v>340500</v>
      </c>
      <c r="AW7" s="252">
        <v>3</v>
      </c>
      <c r="AX7" s="252">
        <v>2</v>
      </c>
      <c r="AY7" s="252">
        <v>57</v>
      </c>
      <c r="AZ7" s="252">
        <v>1</v>
      </c>
      <c r="BA7" s="244"/>
      <c r="BB7" s="252" t="s">
        <v>571</v>
      </c>
      <c r="BC7" s="252">
        <v>159977881.25</v>
      </c>
      <c r="BD7" s="252">
        <v>5638</v>
      </c>
      <c r="BE7" s="252">
        <v>8</v>
      </c>
      <c r="BF7" s="252">
        <v>39950</v>
      </c>
      <c r="BG7" s="252">
        <v>1</v>
      </c>
      <c r="BH7" s="246" t="s">
        <v>571</v>
      </c>
      <c r="BI7" s="252">
        <v>0</v>
      </c>
      <c r="BJ7" s="252">
        <v>0</v>
      </c>
      <c r="BK7" s="252">
        <v>0</v>
      </c>
      <c r="BL7" s="252">
        <v>1902</v>
      </c>
      <c r="BM7" s="252">
        <v>1</v>
      </c>
      <c r="BN7" s="252"/>
      <c r="BO7" s="251" t="s">
        <v>471</v>
      </c>
      <c r="BP7" s="263" t="s">
        <v>561</v>
      </c>
      <c r="BQ7" s="263" t="s">
        <v>562</v>
      </c>
      <c r="BR7" s="263" t="s">
        <v>563</v>
      </c>
      <c r="BS7" s="246"/>
      <c r="BT7" s="264"/>
      <c r="BU7" s="264"/>
      <c r="BV7" s="264"/>
      <c r="BW7" s="264"/>
      <c r="BX7" s="264"/>
      <c r="BY7" s="264"/>
      <c r="BZ7" s="264"/>
      <c r="CA7" s="264"/>
      <c r="CB7" s="264"/>
      <c r="CC7" s="244"/>
      <c r="CD7" s="244"/>
      <c r="CE7" s="244"/>
      <c r="CF7" s="244"/>
      <c r="CG7" s="264">
        <v>2016</v>
      </c>
      <c r="CH7" s="264">
        <v>208</v>
      </c>
      <c r="CI7" s="244"/>
      <c r="CJ7" s="246" t="s">
        <v>636</v>
      </c>
      <c r="CK7" s="246">
        <v>6462274027065</v>
      </c>
      <c r="CL7" s="246"/>
      <c r="CM7" s="246" t="s">
        <v>636</v>
      </c>
      <c r="CN7" s="246">
        <v>16335566661756</v>
      </c>
      <c r="CO7" s="246"/>
      <c r="CP7" s="246" t="s">
        <v>636</v>
      </c>
      <c r="CQ7" s="246">
        <v>599703326203</v>
      </c>
      <c r="CR7" s="244"/>
      <c r="CS7" s="276">
        <v>2017</v>
      </c>
      <c r="CT7" s="274">
        <v>213</v>
      </c>
      <c r="CU7" s="274" t="s">
        <v>655</v>
      </c>
      <c r="CV7" s="274">
        <v>96068263490.840057</v>
      </c>
      <c r="CW7" s="274">
        <v>96724573547</v>
      </c>
      <c r="CX7" s="274">
        <v>27800</v>
      </c>
      <c r="CY7" s="274">
        <v>800271010980.89062</v>
      </c>
      <c r="CZ7" s="274">
        <v>771954929842</v>
      </c>
      <c r="DA7" s="274">
        <v>15177</v>
      </c>
      <c r="DB7" s="274">
        <v>704202747490.04944</v>
      </c>
      <c r="DC7" s="274">
        <v>675230356295</v>
      </c>
      <c r="DD7" s="274">
        <v>12623</v>
      </c>
      <c r="DG7" s="10" t="s">
        <v>666</v>
      </c>
      <c r="DH7" s="365">
        <v>640000027.5</v>
      </c>
      <c r="DJ7" s="10" t="s">
        <v>666</v>
      </c>
      <c r="DK7" s="365">
        <v>28573846695.169998</v>
      </c>
      <c r="DM7" s="10" t="s">
        <v>666</v>
      </c>
      <c r="DN7" s="365">
        <v>21376264826.880001</v>
      </c>
    </row>
    <row r="8" spans="1:118" x14ac:dyDescent="0.2">
      <c r="B8" s="188">
        <v>67259096726</v>
      </c>
      <c r="C8" s="188">
        <v>5045359869157.0449</v>
      </c>
      <c r="D8" s="194">
        <v>59351400</v>
      </c>
      <c r="E8" s="208"/>
      <c r="F8" s="210">
        <v>32121</v>
      </c>
      <c r="G8" s="210">
        <v>5856400142</v>
      </c>
      <c r="H8" s="224">
        <v>331402183103.48566</v>
      </c>
      <c r="J8" s="152" t="str">
        <f>K8&amp;L8</f>
        <v>ABuy</v>
      </c>
      <c r="K8" s="233" t="s">
        <v>541</v>
      </c>
      <c r="L8" s="233" t="s">
        <v>542</v>
      </c>
      <c r="M8" s="237">
        <v>219358064148.6684</v>
      </c>
      <c r="O8" s="243">
        <v>874515712380.71997</v>
      </c>
      <c r="P8" s="243">
        <v>-975432351672.07996</v>
      </c>
      <c r="Q8" s="240">
        <v>-100916639291.36</v>
      </c>
      <c r="S8" s="252" t="s">
        <v>182</v>
      </c>
      <c r="T8" s="257">
        <v>48999400.664999999</v>
      </c>
      <c r="U8" s="257">
        <v>1063504</v>
      </c>
      <c r="V8" s="257">
        <v>362</v>
      </c>
      <c r="W8" s="257">
        <v>1536119</v>
      </c>
      <c r="X8" s="257">
        <v>1</v>
      </c>
      <c r="Y8" s="244"/>
      <c r="Z8" s="252" t="s">
        <v>573</v>
      </c>
      <c r="AA8" s="252">
        <v>0</v>
      </c>
      <c r="AB8" s="252">
        <v>0</v>
      </c>
      <c r="AC8" s="252">
        <v>0</v>
      </c>
      <c r="AD8" s="252">
        <v>0</v>
      </c>
      <c r="AE8" s="252">
        <v>0</v>
      </c>
      <c r="AF8" s="252"/>
      <c r="AG8" s="252" t="s">
        <v>573</v>
      </c>
      <c r="AH8" s="252">
        <v>0</v>
      </c>
      <c r="AI8" s="252">
        <v>0</v>
      </c>
      <c r="AJ8" s="252">
        <v>0</v>
      </c>
      <c r="AK8" s="252">
        <v>0</v>
      </c>
      <c r="AL8" s="252">
        <v>0</v>
      </c>
      <c r="AM8" s="244"/>
      <c r="AN8" s="252" t="s">
        <v>573</v>
      </c>
      <c r="AO8" s="252">
        <v>0</v>
      </c>
      <c r="AP8" s="252">
        <v>0</v>
      </c>
      <c r="AQ8" s="252">
        <v>0</v>
      </c>
      <c r="AR8" s="252">
        <v>0</v>
      </c>
      <c r="AS8" s="252">
        <v>0</v>
      </c>
      <c r="AT8" s="244"/>
      <c r="AU8" s="252" t="s">
        <v>573</v>
      </c>
      <c r="AV8" s="252">
        <v>0</v>
      </c>
      <c r="AW8" s="252">
        <v>0</v>
      </c>
      <c r="AX8" s="252">
        <v>0</v>
      </c>
      <c r="AY8" s="252">
        <v>0</v>
      </c>
      <c r="AZ8" s="252">
        <v>0</v>
      </c>
      <c r="BA8" s="244"/>
      <c r="BB8" s="252" t="s">
        <v>572</v>
      </c>
      <c r="BC8" s="252">
        <v>1786489.99</v>
      </c>
      <c r="BD8" s="252">
        <v>16</v>
      </c>
      <c r="BE8" s="252">
        <v>8</v>
      </c>
      <c r="BF8" s="252">
        <v>285</v>
      </c>
      <c r="BG8" s="252">
        <v>1</v>
      </c>
      <c r="BH8" s="246" t="s">
        <v>572</v>
      </c>
      <c r="BI8" s="252">
        <v>0</v>
      </c>
      <c r="BJ8" s="252">
        <v>0</v>
      </c>
      <c r="BK8" s="252">
        <v>0</v>
      </c>
      <c r="BL8" s="252">
        <v>12</v>
      </c>
      <c r="BM8" s="252">
        <v>1</v>
      </c>
      <c r="BN8" s="252"/>
      <c r="BO8" s="246"/>
      <c r="BP8" s="262">
        <v>5616211849847.9248</v>
      </c>
      <c r="BQ8" s="262">
        <v>319836454</v>
      </c>
      <c r="BR8" s="262">
        <v>3038428</v>
      </c>
      <c r="BS8" s="244"/>
      <c r="BT8" s="254"/>
      <c r="BU8" s="254"/>
      <c r="BV8" s="254"/>
      <c r="BW8" s="254"/>
      <c r="BX8" s="254"/>
      <c r="BY8" s="254"/>
      <c r="BZ8" s="254"/>
      <c r="CA8" s="254"/>
      <c r="CB8" s="254"/>
      <c r="CC8" s="266" t="s">
        <v>504</v>
      </c>
      <c r="CD8" s="265" t="s">
        <v>633</v>
      </c>
      <c r="CE8" s="265" t="s">
        <v>635</v>
      </c>
      <c r="CF8" s="244"/>
      <c r="CG8" s="244"/>
      <c r="CH8" s="244"/>
      <c r="CI8" s="244"/>
      <c r="CJ8" s="246" t="s">
        <v>637</v>
      </c>
      <c r="CK8" s="246">
        <v>6774448239297.7852</v>
      </c>
      <c r="CL8" s="246"/>
      <c r="CM8" s="246" t="s">
        <v>637</v>
      </c>
      <c r="CN8" s="246">
        <v>15923012763873.646</v>
      </c>
      <c r="CO8" s="246"/>
      <c r="CP8" s="246" t="s">
        <v>637</v>
      </c>
      <c r="CQ8" s="246">
        <v>260548425559.31998</v>
      </c>
      <c r="CR8" s="244"/>
      <c r="CS8" s="276">
        <v>2017</v>
      </c>
      <c r="CT8" s="274">
        <v>27</v>
      </c>
      <c r="CU8" s="274" t="s">
        <v>656</v>
      </c>
      <c r="CV8" s="274">
        <v>-10286891017.85001</v>
      </c>
      <c r="CW8" s="274">
        <v>-10647880076</v>
      </c>
      <c r="CX8" s="274">
        <v>824</v>
      </c>
      <c r="CY8" s="274">
        <v>28793499389.170002</v>
      </c>
      <c r="CZ8" s="274">
        <v>30148843771</v>
      </c>
      <c r="DA8" s="274">
        <v>345</v>
      </c>
      <c r="DB8" s="274">
        <v>39080390407.019958</v>
      </c>
      <c r="DC8" s="274">
        <v>40796723847</v>
      </c>
      <c r="DD8" s="274">
        <v>479</v>
      </c>
    </row>
    <row r="9" spans="1:118" x14ac:dyDescent="0.2">
      <c r="B9" s="187"/>
      <c r="C9" s="187"/>
      <c r="D9" s="187"/>
      <c r="E9" s="208"/>
      <c r="F9" s="208"/>
      <c r="G9" s="208"/>
      <c r="H9" s="208"/>
      <c r="J9" s="152" t="str">
        <f t="shared" ref="J9:J11" si="1">K9&amp;L9</f>
        <v>PBuy</v>
      </c>
      <c r="K9" s="233" t="s">
        <v>543</v>
      </c>
      <c r="L9" s="233" t="s">
        <v>542</v>
      </c>
      <c r="M9" s="237">
        <v>279725753380.54523</v>
      </c>
      <c r="N9" s="19"/>
      <c r="O9" s="238"/>
      <c r="P9" s="238"/>
      <c r="Q9" s="238"/>
      <c r="S9" s="252" t="s">
        <v>566</v>
      </c>
      <c r="T9" s="257">
        <v>0</v>
      </c>
      <c r="U9" s="257">
        <v>0</v>
      </c>
      <c r="V9" s="257">
        <v>0</v>
      </c>
      <c r="W9" s="257">
        <v>0</v>
      </c>
      <c r="X9" s="257">
        <v>1</v>
      </c>
      <c r="Y9" s="244"/>
      <c r="Z9" s="252" t="s">
        <v>574</v>
      </c>
      <c r="AA9" s="252">
        <v>1001195260.39</v>
      </c>
      <c r="AB9" s="252">
        <v>1945</v>
      </c>
      <c r="AC9" s="252">
        <v>204</v>
      </c>
      <c r="AD9" s="252">
        <v>14396</v>
      </c>
      <c r="AE9" s="252">
        <v>1</v>
      </c>
      <c r="AF9" s="252"/>
      <c r="AG9" s="252" t="s">
        <v>574</v>
      </c>
      <c r="AH9" s="252">
        <v>13395299.98</v>
      </c>
      <c r="AI9" s="252">
        <v>25</v>
      </c>
      <c r="AJ9" s="252">
        <v>6</v>
      </c>
      <c r="AK9" s="252">
        <v>781</v>
      </c>
      <c r="AL9" s="252">
        <v>1</v>
      </c>
      <c r="AM9" s="244"/>
      <c r="AN9" s="252" t="s">
        <v>574</v>
      </c>
      <c r="AO9" s="252">
        <v>542629324.21000004</v>
      </c>
      <c r="AP9" s="252">
        <v>1138</v>
      </c>
      <c r="AQ9" s="252">
        <v>105</v>
      </c>
      <c r="AR9" s="252">
        <v>6325</v>
      </c>
      <c r="AS9" s="252">
        <v>1</v>
      </c>
      <c r="AT9" s="244"/>
      <c r="AU9" s="252" t="s">
        <v>574</v>
      </c>
      <c r="AV9" s="252">
        <v>12359319.970000001</v>
      </c>
      <c r="AW9" s="252">
        <v>25</v>
      </c>
      <c r="AX9" s="252">
        <v>5</v>
      </c>
      <c r="AY9" s="252">
        <v>438</v>
      </c>
      <c r="AZ9" s="252">
        <v>1</v>
      </c>
      <c r="BA9" s="244"/>
      <c r="BB9" s="252" t="s">
        <v>573</v>
      </c>
      <c r="BC9" s="252">
        <v>0</v>
      </c>
      <c r="BD9" s="252">
        <v>0</v>
      </c>
      <c r="BE9" s="252">
        <v>0</v>
      </c>
      <c r="BF9" s="252">
        <v>0</v>
      </c>
      <c r="BG9" s="252">
        <v>0</v>
      </c>
      <c r="BH9" s="246" t="s">
        <v>573</v>
      </c>
      <c r="BI9" s="252">
        <v>0</v>
      </c>
      <c r="BJ9" s="252">
        <v>0</v>
      </c>
      <c r="BK9" s="252">
        <v>0</v>
      </c>
      <c r="BL9" s="252">
        <v>0</v>
      </c>
      <c r="BM9" s="252">
        <v>0</v>
      </c>
      <c r="BN9" s="252"/>
      <c r="BO9" s="246"/>
      <c r="BP9" s="246"/>
      <c r="BQ9" s="246"/>
      <c r="BR9" s="246"/>
      <c r="BS9" s="255" t="s">
        <v>499</v>
      </c>
      <c r="BT9" s="265" t="s">
        <v>619</v>
      </c>
      <c r="BU9" s="265" t="s">
        <v>620</v>
      </c>
      <c r="BV9" s="265" t="s">
        <v>621</v>
      </c>
      <c r="BW9" s="265" t="s">
        <v>622</v>
      </c>
      <c r="BX9" s="265" t="s">
        <v>623</v>
      </c>
      <c r="BY9" s="265" t="s">
        <v>624</v>
      </c>
      <c r="BZ9" s="265" t="s">
        <v>625</v>
      </c>
      <c r="CA9" s="265" t="s">
        <v>626</v>
      </c>
      <c r="CB9" s="265" t="s">
        <v>627</v>
      </c>
      <c r="CC9" s="244"/>
      <c r="CD9" s="268">
        <v>343916750505660.62</v>
      </c>
      <c r="CE9" s="271">
        <v>474203340440.48987</v>
      </c>
      <c r="CF9" s="244"/>
      <c r="CG9" s="244"/>
      <c r="CH9" s="244"/>
      <c r="CI9" s="244"/>
      <c r="CJ9" s="244"/>
      <c r="CK9" s="244"/>
      <c r="CL9" s="246"/>
      <c r="CM9" s="246"/>
      <c r="CN9" s="246"/>
      <c r="CO9" s="246"/>
      <c r="CP9" s="246"/>
      <c r="CQ9" s="246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</row>
    <row r="10" spans="1:118" x14ac:dyDescent="0.2">
      <c r="A10" s="148" t="s">
        <v>213</v>
      </c>
      <c r="B10" s="189"/>
      <c r="C10" s="189"/>
      <c r="D10" s="189"/>
      <c r="E10" s="220"/>
      <c r="F10" s="220"/>
      <c r="G10" s="220"/>
      <c r="H10" s="220"/>
      <c r="J10" s="152" t="str">
        <f t="shared" si="1"/>
        <v>ASell</v>
      </c>
      <c r="K10" s="233" t="s">
        <v>541</v>
      </c>
      <c r="L10" s="233" t="s">
        <v>544</v>
      </c>
      <c r="M10" s="237">
        <v>219682887210.13687</v>
      </c>
      <c r="N10" s="162" t="s">
        <v>213</v>
      </c>
      <c r="O10" s="242" t="s">
        <v>524</v>
      </c>
      <c r="P10" s="242" t="s">
        <v>525</v>
      </c>
      <c r="Q10" s="242" t="s">
        <v>526</v>
      </c>
      <c r="S10" s="252" t="s">
        <v>451</v>
      </c>
      <c r="T10" s="257">
        <v>5293694384.1020002</v>
      </c>
      <c r="U10" s="257">
        <v>229356</v>
      </c>
      <c r="V10" s="257">
        <v>366</v>
      </c>
      <c r="W10" s="257">
        <v>472686</v>
      </c>
      <c r="X10" s="257">
        <v>1</v>
      </c>
      <c r="Y10" s="244"/>
      <c r="Z10" s="252" t="s">
        <v>575</v>
      </c>
      <c r="AA10" s="252">
        <v>2215000</v>
      </c>
      <c r="AB10" s="252">
        <v>20</v>
      </c>
      <c r="AC10" s="252">
        <v>1</v>
      </c>
      <c r="AD10" s="252">
        <v>6886</v>
      </c>
      <c r="AE10" s="252">
        <v>1</v>
      </c>
      <c r="AF10" s="252"/>
      <c r="AG10" s="252" t="s">
        <v>575</v>
      </c>
      <c r="AH10" s="252">
        <v>2215000</v>
      </c>
      <c r="AI10" s="252">
        <v>20</v>
      </c>
      <c r="AJ10" s="252">
        <v>1</v>
      </c>
      <c r="AK10" s="252">
        <v>313</v>
      </c>
      <c r="AL10" s="252">
        <v>1</v>
      </c>
      <c r="AM10" s="244"/>
      <c r="AN10" s="252" t="s">
        <v>575</v>
      </c>
      <c r="AO10" s="252">
        <v>1966500</v>
      </c>
      <c r="AP10" s="252">
        <v>20</v>
      </c>
      <c r="AQ10" s="252">
        <v>1</v>
      </c>
      <c r="AR10" s="252">
        <v>6480</v>
      </c>
      <c r="AS10" s="252">
        <v>1</v>
      </c>
      <c r="AT10" s="244"/>
      <c r="AU10" s="252" t="s">
        <v>575</v>
      </c>
      <c r="AV10" s="252">
        <v>0</v>
      </c>
      <c r="AW10" s="252">
        <v>0</v>
      </c>
      <c r="AX10" s="252">
        <v>0</v>
      </c>
      <c r="AY10" s="252">
        <v>313</v>
      </c>
      <c r="AZ10" s="252">
        <v>1</v>
      </c>
      <c r="BA10" s="244"/>
      <c r="BB10" s="252" t="s">
        <v>574</v>
      </c>
      <c r="BC10" s="252">
        <v>260923567.28</v>
      </c>
      <c r="BD10" s="252">
        <v>500</v>
      </c>
      <c r="BE10" s="252">
        <v>52</v>
      </c>
      <c r="BF10" s="252">
        <v>2929</v>
      </c>
      <c r="BG10" s="252">
        <v>1</v>
      </c>
      <c r="BH10" s="246" t="s">
        <v>574</v>
      </c>
      <c r="BI10" s="252">
        <v>2659000</v>
      </c>
      <c r="BJ10" s="252">
        <v>5</v>
      </c>
      <c r="BK10" s="252">
        <v>1</v>
      </c>
      <c r="BL10" s="252">
        <v>129</v>
      </c>
      <c r="BM10" s="252">
        <v>1</v>
      </c>
      <c r="BN10" s="252"/>
      <c r="BO10" s="251" t="s">
        <v>472</v>
      </c>
      <c r="BP10" s="263" t="s">
        <v>561</v>
      </c>
      <c r="BQ10" s="263" t="s">
        <v>562</v>
      </c>
      <c r="BR10" s="263" t="s">
        <v>563</v>
      </c>
      <c r="BS10" s="244"/>
      <c r="BT10" s="264" t="s">
        <v>139</v>
      </c>
      <c r="BU10" s="264">
        <v>52</v>
      </c>
      <c r="BV10" s="264">
        <v>6</v>
      </c>
      <c r="BW10" s="264">
        <v>11</v>
      </c>
      <c r="BX10" s="264">
        <v>4</v>
      </c>
      <c r="BY10" s="264">
        <v>0</v>
      </c>
      <c r="BZ10" s="264">
        <v>43</v>
      </c>
      <c r="CA10" s="264">
        <v>39</v>
      </c>
      <c r="CB10" s="264">
        <v>13</v>
      </c>
      <c r="CC10" s="244"/>
      <c r="CD10" s="244"/>
      <c r="CE10" s="244"/>
      <c r="CF10" s="244"/>
      <c r="CG10" s="244"/>
      <c r="CH10" s="244"/>
      <c r="CI10" s="244"/>
      <c r="CJ10" s="244"/>
      <c r="CK10" s="246"/>
      <c r="CL10" s="246"/>
      <c r="CM10" s="246"/>
      <c r="CN10" s="246"/>
      <c r="CO10" s="246"/>
      <c r="CP10" s="246"/>
      <c r="CQ10" s="246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</row>
    <row r="11" spans="1:118" x14ac:dyDescent="0.2">
      <c r="B11" s="189"/>
      <c r="C11" s="189"/>
      <c r="D11" s="189"/>
      <c r="E11" s="220"/>
      <c r="F11" s="220"/>
      <c r="G11" s="220"/>
      <c r="H11" s="220"/>
      <c r="J11" s="152" t="str">
        <f t="shared" si="1"/>
        <v>PSell</v>
      </c>
      <c r="K11" s="233" t="s">
        <v>543</v>
      </c>
      <c r="L11" s="233" t="s">
        <v>544</v>
      </c>
      <c r="M11" s="237">
        <v>279400930319.07678</v>
      </c>
      <c r="N11" s="156"/>
      <c r="O11" s="343">
        <v>969468452821</v>
      </c>
      <c r="P11" s="343">
        <v>-970485061219</v>
      </c>
      <c r="Q11" s="343">
        <v>-1016608398</v>
      </c>
      <c r="S11" s="252" t="s">
        <v>450</v>
      </c>
      <c r="T11" s="257">
        <v>279729.71999999997</v>
      </c>
      <c r="U11" s="257">
        <v>950585</v>
      </c>
      <c r="V11" s="257">
        <v>177</v>
      </c>
      <c r="W11" s="257">
        <v>11531907</v>
      </c>
      <c r="X11" s="257">
        <v>1</v>
      </c>
      <c r="Y11" s="244"/>
      <c r="Z11" s="252" t="s">
        <v>576</v>
      </c>
      <c r="AA11" s="252">
        <v>0</v>
      </c>
      <c r="AB11" s="252">
        <v>0</v>
      </c>
      <c r="AC11" s="252">
        <v>0</v>
      </c>
      <c r="AD11" s="252">
        <v>0</v>
      </c>
      <c r="AE11" s="252">
        <v>0</v>
      </c>
      <c r="AF11" s="252"/>
      <c r="AG11" s="252" t="s">
        <v>576</v>
      </c>
      <c r="AH11" s="252">
        <v>0</v>
      </c>
      <c r="AI11" s="252">
        <v>0</v>
      </c>
      <c r="AJ11" s="252">
        <v>0</v>
      </c>
      <c r="AK11" s="252">
        <v>0</v>
      </c>
      <c r="AL11" s="252">
        <v>0</v>
      </c>
      <c r="AM11" s="244"/>
      <c r="AN11" s="252" t="s">
        <v>576</v>
      </c>
      <c r="AO11" s="252">
        <v>0</v>
      </c>
      <c r="AP11" s="252">
        <v>0</v>
      </c>
      <c r="AQ11" s="252">
        <v>0</v>
      </c>
      <c r="AR11" s="252">
        <v>0</v>
      </c>
      <c r="AS11" s="252">
        <v>0</v>
      </c>
      <c r="AT11" s="244"/>
      <c r="AU11" s="252" t="s">
        <v>576</v>
      </c>
      <c r="AV11" s="252">
        <v>0</v>
      </c>
      <c r="AW11" s="252">
        <v>0</v>
      </c>
      <c r="AX11" s="252">
        <v>0</v>
      </c>
      <c r="AY11" s="252">
        <v>0</v>
      </c>
      <c r="AZ11" s="252">
        <v>0</v>
      </c>
      <c r="BA11" s="244"/>
      <c r="BB11" s="252" t="s">
        <v>575</v>
      </c>
      <c r="BC11" s="252">
        <v>0</v>
      </c>
      <c r="BD11" s="252">
        <v>0</v>
      </c>
      <c r="BE11" s="252">
        <v>0</v>
      </c>
      <c r="BF11" s="252">
        <v>0</v>
      </c>
      <c r="BG11" s="252">
        <v>1</v>
      </c>
      <c r="BH11" s="246" t="s">
        <v>575</v>
      </c>
      <c r="BI11" s="252">
        <v>0</v>
      </c>
      <c r="BJ11" s="252">
        <v>0</v>
      </c>
      <c r="BK11" s="252">
        <v>0</v>
      </c>
      <c r="BL11" s="252">
        <v>0</v>
      </c>
      <c r="BM11" s="252">
        <v>1</v>
      </c>
      <c r="BN11" s="252"/>
      <c r="BO11" s="246"/>
      <c r="BP11" s="262">
        <v>36671896195.529999</v>
      </c>
      <c r="BQ11" s="262">
        <v>12974721</v>
      </c>
      <c r="BR11" s="262">
        <v>17452</v>
      </c>
      <c r="BS11" s="244"/>
      <c r="BT11" s="264" t="s">
        <v>628</v>
      </c>
      <c r="BU11" s="264">
        <v>2</v>
      </c>
      <c r="BV11" s="264">
        <v>0</v>
      </c>
      <c r="BW11" s="264">
        <v>0</v>
      </c>
      <c r="BX11" s="264">
        <v>0</v>
      </c>
      <c r="BY11" s="264">
        <v>0</v>
      </c>
      <c r="BZ11" s="264">
        <v>2</v>
      </c>
      <c r="CA11" s="264">
        <v>2</v>
      </c>
      <c r="CB11" s="264">
        <v>0</v>
      </c>
      <c r="CC11" s="266" t="s">
        <v>505</v>
      </c>
      <c r="CD11" s="265" t="s">
        <v>633</v>
      </c>
      <c r="CE11" s="265" t="s">
        <v>635</v>
      </c>
      <c r="CF11" s="244"/>
      <c r="CG11" s="244"/>
      <c r="CH11" s="244"/>
      <c r="CI11" s="266" t="s">
        <v>511</v>
      </c>
      <c r="CJ11" s="246" t="s">
        <v>117</v>
      </c>
      <c r="CK11" s="246">
        <v>243893</v>
      </c>
      <c r="CL11" s="266" t="s">
        <v>514</v>
      </c>
      <c r="CM11" s="246" t="s">
        <v>117</v>
      </c>
      <c r="CN11" s="246">
        <v>147208</v>
      </c>
      <c r="CO11" s="266" t="s">
        <v>517</v>
      </c>
      <c r="CP11" s="246" t="s">
        <v>117</v>
      </c>
      <c r="CQ11" s="246">
        <v>6128</v>
      </c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</row>
    <row r="12" spans="1:118" x14ac:dyDescent="0.2">
      <c r="B12" s="189"/>
      <c r="C12" s="189"/>
      <c r="D12" s="189"/>
      <c r="E12" s="220"/>
      <c r="F12" s="220"/>
      <c r="G12" s="220"/>
      <c r="H12" s="220"/>
      <c r="J12" s="152"/>
      <c r="K12" s="230"/>
      <c r="L12" s="229"/>
      <c r="M12" s="227"/>
      <c r="N12" s="156"/>
      <c r="O12" s="239"/>
      <c r="P12" s="239"/>
      <c r="Q12" s="239"/>
      <c r="S12" s="252" t="s">
        <v>449</v>
      </c>
      <c r="T12" s="257">
        <v>0</v>
      </c>
      <c r="U12" s="257">
        <v>0</v>
      </c>
      <c r="V12" s="257">
        <v>0</v>
      </c>
      <c r="W12" s="257">
        <v>0</v>
      </c>
      <c r="X12" s="257">
        <v>0</v>
      </c>
      <c r="Y12" s="244"/>
      <c r="Z12" s="252" t="s">
        <v>577</v>
      </c>
      <c r="AA12" s="252">
        <v>7759898020.8000002</v>
      </c>
      <c r="AB12" s="252">
        <v>37435</v>
      </c>
      <c r="AC12" s="252">
        <v>6166</v>
      </c>
      <c r="AD12" s="252">
        <v>635737</v>
      </c>
      <c r="AE12" s="252">
        <v>1</v>
      </c>
      <c r="AF12" s="252"/>
      <c r="AG12" s="252" t="s">
        <v>577</v>
      </c>
      <c r="AH12" s="252">
        <v>231248759.03999999</v>
      </c>
      <c r="AI12" s="252">
        <v>1083</v>
      </c>
      <c r="AJ12" s="252">
        <v>363</v>
      </c>
      <c r="AK12" s="252">
        <v>27368</v>
      </c>
      <c r="AL12" s="252">
        <v>1</v>
      </c>
      <c r="AM12" s="244"/>
      <c r="AN12" s="252" t="s">
        <v>577</v>
      </c>
      <c r="AO12" s="252">
        <v>7256354490.7600002</v>
      </c>
      <c r="AP12" s="252">
        <v>36036</v>
      </c>
      <c r="AQ12" s="252">
        <v>4313</v>
      </c>
      <c r="AR12" s="252">
        <v>585370</v>
      </c>
      <c r="AS12" s="252">
        <v>1</v>
      </c>
      <c r="AT12" s="244"/>
      <c r="AU12" s="252" t="s">
        <v>577</v>
      </c>
      <c r="AV12" s="252">
        <v>315362504.19</v>
      </c>
      <c r="AW12" s="252">
        <v>1550</v>
      </c>
      <c r="AX12" s="252">
        <v>240</v>
      </c>
      <c r="AY12" s="252">
        <v>28983</v>
      </c>
      <c r="AZ12" s="252">
        <v>1</v>
      </c>
      <c r="BA12" s="244"/>
      <c r="BB12" s="252" t="s">
        <v>576</v>
      </c>
      <c r="BC12" s="252">
        <v>0</v>
      </c>
      <c r="BD12" s="252">
        <v>0</v>
      </c>
      <c r="BE12" s="252">
        <v>0</v>
      </c>
      <c r="BF12" s="252">
        <v>0</v>
      </c>
      <c r="BG12" s="252">
        <v>0</v>
      </c>
      <c r="BH12" s="246" t="s">
        <v>576</v>
      </c>
      <c r="BI12" s="252">
        <v>0</v>
      </c>
      <c r="BJ12" s="252">
        <v>0</v>
      </c>
      <c r="BK12" s="252">
        <v>0</v>
      </c>
      <c r="BL12" s="252">
        <v>0</v>
      </c>
      <c r="BM12" s="252">
        <v>0</v>
      </c>
      <c r="BN12" s="252"/>
      <c r="BO12" s="246"/>
      <c r="BP12" s="262"/>
      <c r="BQ12" s="262"/>
      <c r="BR12" s="262"/>
      <c r="BS12" s="244"/>
      <c r="BT12" s="264" t="s">
        <v>629</v>
      </c>
      <c r="BU12" s="264">
        <v>1</v>
      </c>
      <c r="BV12" s="264">
        <v>0</v>
      </c>
      <c r="BW12" s="264">
        <v>0</v>
      </c>
      <c r="BX12" s="264">
        <v>0</v>
      </c>
      <c r="BY12" s="264">
        <v>0</v>
      </c>
      <c r="BZ12" s="264">
        <v>1</v>
      </c>
      <c r="CA12" s="264">
        <v>1</v>
      </c>
      <c r="CB12" s="264">
        <v>0</v>
      </c>
      <c r="CC12" s="244"/>
      <c r="CD12" s="268">
        <v>2943935836517596</v>
      </c>
      <c r="CE12" s="271">
        <v>4329173765045.2119</v>
      </c>
      <c r="CF12" s="244"/>
      <c r="CG12" s="244"/>
      <c r="CH12" s="244"/>
      <c r="CI12" s="246"/>
      <c r="CJ12" s="246" t="s">
        <v>636</v>
      </c>
      <c r="CK12" s="246">
        <v>6317168489946</v>
      </c>
      <c r="CL12" s="246"/>
      <c r="CM12" s="246" t="s">
        <v>636</v>
      </c>
      <c r="CN12" s="246">
        <v>17236045109560</v>
      </c>
      <c r="CO12" s="246"/>
      <c r="CP12" s="246" t="s">
        <v>636</v>
      </c>
      <c r="CQ12" s="246">
        <v>629382825041</v>
      </c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</row>
    <row r="13" spans="1:118" x14ac:dyDescent="0.2">
      <c r="A13" s="148" t="s">
        <v>214</v>
      </c>
      <c r="B13" s="189"/>
      <c r="C13" s="189"/>
      <c r="D13" s="189"/>
      <c r="E13" s="220"/>
      <c r="F13" s="220"/>
      <c r="G13" s="220"/>
      <c r="H13" s="220"/>
      <c r="I13" s="153" t="s">
        <v>221</v>
      </c>
      <c r="J13" s="148" t="s">
        <v>220</v>
      </c>
      <c r="K13" s="234" t="s">
        <v>539</v>
      </c>
      <c r="L13" s="234" t="s">
        <v>540</v>
      </c>
      <c r="M13" s="236" t="s">
        <v>537</v>
      </c>
      <c r="N13" s="162" t="s">
        <v>214</v>
      </c>
      <c r="O13" s="242" t="s">
        <v>524</v>
      </c>
      <c r="P13" s="242" t="s">
        <v>525</v>
      </c>
      <c r="Q13" s="242" t="s">
        <v>526</v>
      </c>
      <c r="S13" s="252" t="s">
        <v>447</v>
      </c>
      <c r="T13" s="257">
        <v>612870196.78999996</v>
      </c>
      <c r="U13" s="257">
        <v>585149</v>
      </c>
      <c r="V13" s="257">
        <v>411</v>
      </c>
      <c r="W13" s="257">
        <v>2073130</v>
      </c>
      <c r="X13" s="257">
        <v>0</v>
      </c>
      <c r="Y13" s="244"/>
      <c r="Z13" s="252" t="s">
        <v>578</v>
      </c>
      <c r="AA13" s="252">
        <v>0</v>
      </c>
      <c r="AB13" s="252">
        <v>0</v>
      </c>
      <c r="AC13" s="252">
        <v>0</v>
      </c>
      <c r="AD13" s="252">
        <v>0</v>
      </c>
      <c r="AE13" s="252">
        <v>1</v>
      </c>
      <c r="AF13" s="252"/>
      <c r="AG13" s="252" t="s">
        <v>578</v>
      </c>
      <c r="AH13" s="252">
        <v>0</v>
      </c>
      <c r="AI13" s="252">
        <v>0</v>
      </c>
      <c r="AJ13" s="252">
        <v>0</v>
      </c>
      <c r="AK13" s="252">
        <v>0</v>
      </c>
      <c r="AL13" s="252">
        <v>1</v>
      </c>
      <c r="AM13" s="244"/>
      <c r="AN13" s="252" t="s">
        <v>578</v>
      </c>
      <c r="AO13" s="252">
        <v>0</v>
      </c>
      <c r="AP13" s="252">
        <v>0</v>
      </c>
      <c r="AQ13" s="252">
        <v>0</v>
      </c>
      <c r="AR13" s="252">
        <v>0</v>
      </c>
      <c r="AS13" s="252">
        <v>1</v>
      </c>
      <c r="AT13" s="244"/>
      <c r="AU13" s="252" t="s">
        <v>578</v>
      </c>
      <c r="AV13" s="252">
        <v>0</v>
      </c>
      <c r="AW13" s="252">
        <v>0</v>
      </c>
      <c r="AX13" s="252">
        <v>0</v>
      </c>
      <c r="AY13" s="252">
        <v>0</v>
      </c>
      <c r="AZ13" s="252">
        <v>1</v>
      </c>
      <c r="BA13" s="244"/>
      <c r="BB13" s="252" t="s">
        <v>577</v>
      </c>
      <c r="BC13" s="252">
        <v>10029469972.35</v>
      </c>
      <c r="BD13" s="252">
        <v>32836</v>
      </c>
      <c r="BE13" s="252">
        <v>6145</v>
      </c>
      <c r="BF13" s="252">
        <v>370430</v>
      </c>
      <c r="BG13" s="252">
        <v>1</v>
      </c>
      <c r="BH13" s="246" t="s">
        <v>577</v>
      </c>
      <c r="BI13" s="252">
        <v>332178319.93000001</v>
      </c>
      <c r="BJ13" s="252">
        <v>1071</v>
      </c>
      <c r="BK13" s="252">
        <v>302</v>
      </c>
      <c r="BL13" s="252">
        <v>17206</v>
      </c>
      <c r="BM13" s="252">
        <v>1</v>
      </c>
      <c r="BN13" s="252"/>
      <c r="BO13" s="251" t="s">
        <v>484</v>
      </c>
      <c r="BP13" s="263" t="s">
        <v>564</v>
      </c>
      <c r="BQ13" s="262"/>
      <c r="BR13" s="262"/>
      <c r="BS13" s="244"/>
      <c r="BT13" s="264" t="s">
        <v>630</v>
      </c>
      <c r="BU13" s="264">
        <v>320</v>
      </c>
      <c r="BV13" s="264">
        <v>11</v>
      </c>
      <c r="BW13" s="264">
        <v>20</v>
      </c>
      <c r="BX13" s="264">
        <v>0</v>
      </c>
      <c r="BY13" s="264">
        <v>4</v>
      </c>
      <c r="BZ13" s="264">
        <v>315</v>
      </c>
      <c r="CA13" s="264">
        <v>258</v>
      </c>
      <c r="CB13" s="264">
        <v>62</v>
      </c>
      <c r="CC13" s="244"/>
      <c r="CD13" s="244"/>
      <c r="CE13" s="244"/>
      <c r="CF13" s="244"/>
      <c r="CG13" s="244"/>
      <c r="CH13" s="244"/>
      <c r="CI13" s="246"/>
      <c r="CJ13" s="246" t="s">
        <v>637</v>
      </c>
      <c r="CK13" s="246">
        <v>6516550869878.5742</v>
      </c>
      <c r="CL13" s="246"/>
      <c r="CM13" s="246" t="s">
        <v>637</v>
      </c>
      <c r="CN13" s="246">
        <v>16820531376379.492</v>
      </c>
      <c r="CO13" s="246"/>
      <c r="CP13" s="246" t="s">
        <v>637</v>
      </c>
      <c r="CQ13" s="246">
        <v>320779016910.17993</v>
      </c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</row>
    <row r="14" spans="1:118" x14ac:dyDescent="0.2">
      <c r="B14" s="189"/>
      <c r="C14" s="189"/>
      <c r="D14" s="189"/>
      <c r="E14" s="220"/>
      <c r="F14" s="220"/>
      <c r="G14" s="220"/>
      <c r="H14" s="220"/>
      <c r="J14" s="152" t="str">
        <f>K14&amp;L14</f>
        <v>ABuy</v>
      </c>
      <c r="K14" s="233" t="s">
        <v>541</v>
      </c>
      <c r="L14" s="233" t="s">
        <v>542</v>
      </c>
      <c r="M14" s="237">
        <v>199542424262.17999</v>
      </c>
      <c r="N14" s="156"/>
      <c r="O14" s="343">
        <v>784579000000</v>
      </c>
      <c r="P14" s="343">
        <v>-771216000000</v>
      </c>
      <c r="Q14" s="343">
        <v>13363000000</v>
      </c>
      <c r="S14" s="244" t="s">
        <v>448</v>
      </c>
      <c r="T14" s="244">
        <v>17511</v>
      </c>
      <c r="U14" s="244">
        <v>256705</v>
      </c>
      <c r="V14" s="244">
        <v>3149</v>
      </c>
      <c r="W14" s="244">
        <v>830042</v>
      </c>
      <c r="X14" s="244">
        <v>1</v>
      </c>
      <c r="Y14" s="244"/>
      <c r="Z14" s="252" t="s">
        <v>579</v>
      </c>
      <c r="AA14" s="252">
        <v>0</v>
      </c>
      <c r="AB14" s="252">
        <v>0</v>
      </c>
      <c r="AC14" s="252">
        <v>0</v>
      </c>
      <c r="AD14" s="252">
        <v>0</v>
      </c>
      <c r="AE14" s="252">
        <v>0</v>
      </c>
      <c r="AF14" s="252"/>
      <c r="AG14" s="252" t="s">
        <v>579</v>
      </c>
      <c r="AH14" s="252">
        <v>0</v>
      </c>
      <c r="AI14" s="252">
        <v>0</v>
      </c>
      <c r="AJ14" s="252">
        <v>0</v>
      </c>
      <c r="AK14" s="252">
        <v>0</v>
      </c>
      <c r="AL14" s="252">
        <v>0</v>
      </c>
      <c r="AM14" s="244"/>
      <c r="AN14" s="252" t="s">
        <v>579</v>
      </c>
      <c r="AO14" s="252">
        <v>0</v>
      </c>
      <c r="AP14" s="252">
        <v>0</v>
      </c>
      <c r="AQ14" s="252">
        <v>0</v>
      </c>
      <c r="AR14" s="252">
        <v>0</v>
      </c>
      <c r="AS14" s="252">
        <v>0</v>
      </c>
      <c r="AT14" s="244"/>
      <c r="AU14" s="252" t="s">
        <v>579</v>
      </c>
      <c r="AV14" s="252">
        <v>0</v>
      </c>
      <c r="AW14" s="252">
        <v>0</v>
      </c>
      <c r="AX14" s="252">
        <v>0</v>
      </c>
      <c r="AY14" s="252">
        <v>0</v>
      </c>
      <c r="AZ14" s="252">
        <v>0</v>
      </c>
      <c r="BA14" s="244"/>
      <c r="BB14" s="252" t="s">
        <v>578</v>
      </c>
      <c r="BC14" s="252">
        <v>0</v>
      </c>
      <c r="BD14" s="252">
        <v>0</v>
      </c>
      <c r="BE14" s="252">
        <v>0</v>
      </c>
      <c r="BF14" s="252">
        <v>0</v>
      </c>
      <c r="BG14" s="252">
        <v>1</v>
      </c>
      <c r="BH14" s="246" t="s">
        <v>578</v>
      </c>
      <c r="BI14" s="252">
        <v>0</v>
      </c>
      <c r="BJ14" s="252">
        <v>0</v>
      </c>
      <c r="BK14" s="252">
        <v>0</v>
      </c>
      <c r="BL14" s="252">
        <v>0</v>
      </c>
      <c r="BM14" s="252">
        <v>1</v>
      </c>
      <c r="BN14" s="252"/>
      <c r="BO14" s="246"/>
      <c r="BP14" s="262">
        <v>42202532</v>
      </c>
      <c r="BQ14" s="262"/>
      <c r="BR14" s="262"/>
      <c r="BS14" s="244"/>
      <c r="BT14" s="264" t="s">
        <v>631</v>
      </c>
      <c r="BU14" s="264">
        <v>1</v>
      </c>
      <c r="BV14" s="264">
        <v>0</v>
      </c>
      <c r="BW14" s="264">
        <v>0</v>
      </c>
      <c r="BX14" s="264">
        <v>0</v>
      </c>
      <c r="BY14" s="264">
        <v>0</v>
      </c>
      <c r="BZ14" s="264">
        <v>1</v>
      </c>
      <c r="CA14" s="264">
        <v>1</v>
      </c>
      <c r="CB14" s="264">
        <v>0</v>
      </c>
      <c r="CC14" s="266" t="s">
        <v>506</v>
      </c>
      <c r="CD14" s="272" t="s">
        <v>633</v>
      </c>
      <c r="CE14" s="272" t="s">
        <v>635</v>
      </c>
      <c r="CF14" s="244"/>
      <c r="CG14" s="244"/>
      <c r="CH14" s="244"/>
      <c r="CI14" s="246"/>
      <c r="CJ14" s="244"/>
      <c r="CK14" s="244"/>
      <c r="CL14" s="246"/>
      <c r="CM14" s="244"/>
      <c r="CN14" s="244"/>
      <c r="CO14" s="244"/>
      <c r="CP14" s="244"/>
      <c r="CQ14" s="244"/>
      <c r="CR14" s="266" t="s">
        <v>519</v>
      </c>
      <c r="CS14" s="275" t="s">
        <v>657</v>
      </c>
      <c r="CT14" s="274" t="s">
        <v>639</v>
      </c>
      <c r="CU14" s="274" t="s">
        <v>640</v>
      </c>
      <c r="CV14" s="274" t="s">
        <v>641</v>
      </c>
      <c r="CW14" s="274" t="s">
        <v>642</v>
      </c>
      <c r="CX14" s="274" t="s">
        <v>643</v>
      </c>
      <c r="CY14" s="274" t="s">
        <v>644</v>
      </c>
      <c r="CZ14" s="274" t="s">
        <v>645</v>
      </c>
      <c r="DA14" s="274" t="s">
        <v>646</v>
      </c>
      <c r="DB14" s="274" t="s">
        <v>647</v>
      </c>
      <c r="DC14" s="274" t="s">
        <v>648</v>
      </c>
      <c r="DD14" s="274" t="s">
        <v>649</v>
      </c>
    </row>
    <row r="15" spans="1:118" x14ac:dyDescent="0.2">
      <c r="B15" s="189"/>
      <c r="C15" s="189"/>
      <c r="D15" s="189"/>
      <c r="E15" s="220"/>
      <c r="F15" s="221"/>
      <c r="G15" s="221"/>
      <c r="H15" s="220"/>
      <c r="J15" s="152" t="str">
        <f t="shared" ref="J15:J17" si="2">K15&amp;L15</f>
        <v>PBuy</v>
      </c>
      <c r="K15" s="233" t="s">
        <v>543</v>
      </c>
      <c r="L15" s="233" t="s">
        <v>542</v>
      </c>
      <c r="M15" s="237">
        <v>226676858585.24997</v>
      </c>
      <c r="N15" s="156"/>
      <c r="O15" s="239"/>
      <c r="P15" s="239"/>
      <c r="Q15" s="239"/>
      <c r="R15" s="153" t="s">
        <v>453</v>
      </c>
      <c r="S15" s="253" t="s">
        <v>560</v>
      </c>
      <c r="T15" s="256" t="s">
        <v>561</v>
      </c>
      <c r="U15" s="256" t="s">
        <v>562</v>
      </c>
      <c r="V15" s="256" t="s">
        <v>563</v>
      </c>
      <c r="W15" s="256" t="s">
        <v>564</v>
      </c>
      <c r="X15" s="256" t="s">
        <v>565</v>
      </c>
      <c r="Y15" s="244"/>
      <c r="Z15" s="252" t="s">
        <v>580</v>
      </c>
      <c r="AA15" s="252">
        <v>0</v>
      </c>
      <c r="AB15" s="252">
        <v>0</v>
      </c>
      <c r="AC15" s="252">
        <v>0</v>
      </c>
      <c r="AD15" s="252">
        <v>0</v>
      </c>
      <c r="AE15" s="252">
        <v>0</v>
      </c>
      <c r="AF15" s="252"/>
      <c r="AG15" s="252" t="s">
        <v>580</v>
      </c>
      <c r="AH15" s="252">
        <v>0</v>
      </c>
      <c r="AI15" s="252">
        <v>0</v>
      </c>
      <c r="AJ15" s="252">
        <v>0</v>
      </c>
      <c r="AK15" s="252">
        <v>0</v>
      </c>
      <c r="AL15" s="252">
        <v>0</v>
      </c>
      <c r="AM15" s="244"/>
      <c r="AN15" s="252" t="s">
        <v>580</v>
      </c>
      <c r="AO15" s="252">
        <v>0</v>
      </c>
      <c r="AP15" s="252">
        <v>0</v>
      </c>
      <c r="AQ15" s="252">
        <v>0</v>
      </c>
      <c r="AR15" s="252">
        <v>0</v>
      </c>
      <c r="AS15" s="252">
        <v>0</v>
      </c>
      <c r="AT15" s="244"/>
      <c r="AU15" s="252" t="s">
        <v>580</v>
      </c>
      <c r="AV15" s="252">
        <v>0</v>
      </c>
      <c r="AW15" s="252">
        <v>0</v>
      </c>
      <c r="AX15" s="252">
        <v>0</v>
      </c>
      <c r="AY15" s="252">
        <v>0</v>
      </c>
      <c r="AZ15" s="252">
        <v>0</v>
      </c>
      <c r="BA15" s="244"/>
      <c r="BB15" s="252" t="s">
        <v>579</v>
      </c>
      <c r="BC15" s="252">
        <v>0</v>
      </c>
      <c r="BD15" s="252">
        <v>0</v>
      </c>
      <c r="BE15" s="252">
        <v>0</v>
      </c>
      <c r="BF15" s="252">
        <v>0</v>
      </c>
      <c r="BG15" s="252">
        <v>0</v>
      </c>
      <c r="BH15" s="246" t="s">
        <v>579</v>
      </c>
      <c r="BI15" s="252">
        <v>0</v>
      </c>
      <c r="BJ15" s="252">
        <v>0</v>
      </c>
      <c r="BK15" s="252">
        <v>0</v>
      </c>
      <c r="BL15" s="252">
        <v>0</v>
      </c>
      <c r="BM15" s="252">
        <v>0</v>
      </c>
      <c r="BN15" s="252"/>
      <c r="BO15" s="246"/>
      <c r="BP15" s="262"/>
      <c r="BQ15" s="262"/>
      <c r="BR15" s="262"/>
      <c r="BS15" s="246"/>
      <c r="BT15" s="264"/>
      <c r="BU15" s="264"/>
      <c r="BV15" s="264"/>
      <c r="BW15" s="264"/>
      <c r="BX15" s="264"/>
      <c r="BY15" s="264"/>
      <c r="BZ15" s="264"/>
      <c r="CA15" s="264"/>
      <c r="CB15" s="264"/>
      <c r="CC15" s="246"/>
      <c r="CD15" s="273">
        <v>3065579300728565</v>
      </c>
      <c r="CE15" s="273">
        <v>4964972775778.5898</v>
      </c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6"/>
      <c r="CS15" s="276" t="s">
        <v>658</v>
      </c>
      <c r="CT15" s="274">
        <v>18</v>
      </c>
      <c r="CU15" s="274" t="s">
        <v>650</v>
      </c>
      <c r="CV15" s="274">
        <v>0</v>
      </c>
      <c r="CW15" s="274">
        <v>2821459900</v>
      </c>
      <c r="CX15" s="274">
        <v>504</v>
      </c>
      <c r="CY15" s="274">
        <v>0</v>
      </c>
      <c r="CZ15" s="274">
        <v>33876024084</v>
      </c>
      <c r="DA15" s="274">
        <v>290</v>
      </c>
      <c r="DB15" s="274">
        <v>0</v>
      </c>
      <c r="DC15" s="274">
        <v>31054564184</v>
      </c>
      <c r="DD15" s="274">
        <v>214</v>
      </c>
    </row>
    <row r="16" spans="1:118" x14ac:dyDescent="0.2">
      <c r="A16" s="148" t="s">
        <v>215</v>
      </c>
      <c r="B16" s="189"/>
      <c r="C16" s="189"/>
      <c r="D16" s="189"/>
      <c r="E16" s="220"/>
      <c r="F16" s="221"/>
      <c r="G16" s="221"/>
      <c r="H16" s="220"/>
      <c r="J16" s="152" t="str">
        <f t="shared" si="2"/>
        <v>ASell</v>
      </c>
      <c r="K16" s="233" t="s">
        <v>541</v>
      </c>
      <c r="L16" s="233" t="s">
        <v>544</v>
      </c>
      <c r="M16" s="237">
        <v>209145386696.16998</v>
      </c>
      <c r="N16" s="162" t="s">
        <v>215</v>
      </c>
      <c r="O16" s="242" t="s">
        <v>524</v>
      </c>
      <c r="P16" s="242" t="s">
        <v>525</v>
      </c>
      <c r="Q16" s="242" t="s">
        <v>526</v>
      </c>
      <c r="S16" s="252" t="s">
        <v>449</v>
      </c>
      <c r="T16" s="257">
        <v>129632755.516</v>
      </c>
      <c r="U16" s="257">
        <v>113328</v>
      </c>
      <c r="V16" s="257">
        <v>18</v>
      </c>
      <c r="W16" s="257">
        <v>12027706</v>
      </c>
      <c r="X16" s="257">
        <v>1</v>
      </c>
      <c r="Y16" s="244"/>
      <c r="Z16" s="252" t="s">
        <v>581</v>
      </c>
      <c r="AA16" s="252">
        <v>0</v>
      </c>
      <c r="AB16" s="252">
        <v>0</v>
      </c>
      <c r="AC16" s="252">
        <v>0</v>
      </c>
      <c r="AD16" s="252">
        <v>0</v>
      </c>
      <c r="AE16" s="252">
        <v>0</v>
      </c>
      <c r="AF16" s="252"/>
      <c r="AG16" s="252" t="s">
        <v>581</v>
      </c>
      <c r="AH16" s="252">
        <v>0</v>
      </c>
      <c r="AI16" s="252">
        <v>0</v>
      </c>
      <c r="AJ16" s="252">
        <v>0</v>
      </c>
      <c r="AK16" s="252">
        <v>0</v>
      </c>
      <c r="AL16" s="252">
        <v>0</v>
      </c>
      <c r="AM16" s="244"/>
      <c r="AN16" s="252" t="s">
        <v>581</v>
      </c>
      <c r="AO16" s="252">
        <v>0</v>
      </c>
      <c r="AP16" s="252">
        <v>0</v>
      </c>
      <c r="AQ16" s="252">
        <v>0</v>
      </c>
      <c r="AR16" s="252">
        <v>0</v>
      </c>
      <c r="AS16" s="252">
        <v>0</v>
      </c>
      <c r="AT16" s="244"/>
      <c r="AU16" s="252" t="s">
        <v>581</v>
      </c>
      <c r="AV16" s="252">
        <v>0</v>
      </c>
      <c r="AW16" s="252">
        <v>0</v>
      </c>
      <c r="AX16" s="252">
        <v>0</v>
      </c>
      <c r="AY16" s="252">
        <v>0</v>
      </c>
      <c r="AZ16" s="252">
        <v>0</v>
      </c>
      <c r="BA16" s="244"/>
      <c r="BB16" s="252" t="s">
        <v>613</v>
      </c>
      <c r="BC16" s="252">
        <v>0</v>
      </c>
      <c r="BD16" s="252">
        <v>0</v>
      </c>
      <c r="BE16" s="252">
        <v>0</v>
      </c>
      <c r="BF16" s="252">
        <v>0</v>
      </c>
      <c r="BG16" s="252">
        <v>0</v>
      </c>
      <c r="BH16" s="246" t="s">
        <v>613</v>
      </c>
      <c r="BI16" s="252">
        <v>0</v>
      </c>
      <c r="BJ16" s="252">
        <v>0</v>
      </c>
      <c r="BK16" s="252">
        <v>0</v>
      </c>
      <c r="BL16" s="252">
        <v>0</v>
      </c>
      <c r="BM16" s="252">
        <v>0</v>
      </c>
      <c r="BN16" s="252"/>
      <c r="BO16" s="251" t="s">
        <v>485</v>
      </c>
      <c r="BP16" s="263" t="s">
        <v>564</v>
      </c>
      <c r="BQ16" s="262"/>
      <c r="BR16" s="262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6"/>
      <c r="CS16" s="276" t="s">
        <v>658</v>
      </c>
      <c r="CT16" s="274">
        <v>22</v>
      </c>
      <c r="CU16" s="274" t="s">
        <v>652</v>
      </c>
      <c r="CV16" s="274">
        <v>-82676031692.869919</v>
      </c>
      <c r="CW16" s="274">
        <v>-69196621000</v>
      </c>
      <c r="CX16" s="274">
        <v>1057</v>
      </c>
      <c r="CY16" s="274">
        <v>51743854268.600021</v>
      </c>
      <c r="CZ16" s="274">
        <v>56225680000</v>
      </c>
      <c r="DA16" s="274">
        <v>632</v>
      </c>
      <c r="DB16" s="274">
        <v>134419885961.46994</v>
      </c>
      <c r="DC16" s="274">
        <v>125422301000</v>
      </c>
      <c r="DD16" s="274">
        <v>425</v>
      </c>
    </row>
    <row r="17" spans="1:108" x14ac:dyDescent="0.2">
      <c r="B17" s="189"/>
      <c r="C17" s="189"/>
      <c r="D17" s="189"/>
      <c r="E17" s="220"/>
      <c r="F17" s="220"/>
      <c r="G17" s="220"/>
      <c r="H17" s="220"/>
      <c r="J17" s="152" t="str">
        <f t="shared" si="2"/>
        <v>PSell</v>
      </c>
      <c r="K17" s="233" t="s">
        <v>543</v>
      </c>
      <c r="L17" s="233" t="s">
        <v>544</v>
      </c>
      <c r="M17" s="237">
        <v>217073896151.26001</v>
      </c>
      <c r="N17" s="156"/>
      <c r="O17" s="343">
        <v>645668000000</v>
      </c>
      <c r="P17" s="343">
        <v>-645833000000</v>
      </c>
      <c r="Q17" s="343">
        <v>-165000000</v>
      </c>
      <c r="S17" s="252" t="s">
        <v>447</v>
      </c>
      <c r="T17" s="257">
        <v>183692478.03</v>
      </c>
      <c r="U17" s="257">
        <v>12850</v>
      </c>
      <c r="V17" s="257">
        <v>19</v>
      </c>
      <c r="W17" s="257">
        <v>2073130</v>
      </c>
      <c r="X17" s="257">
        <v>0</v>
      </c>
      <c r="Y17" s="244"/>
      <c r="Z17" s="252" t="s">
        <v>582</v>
      </c>
      <c r="AA17" s="252">
        <v>2726000</v>
      </c>
      <c r="AB17" s="252">
        <v>20</v>
      </c>
      <c r="AC17" s="252">
        <v>1</v>
      </c>
      <c r="AD17" s="252">
        <v>5590</v>
      </c>
      <c r="AE17" s="252">
        <v>1</v>
      </c>
      <c r="AF17" s="252"/>
      <c r="AG17" s="252" t="s">
        <v>582</v>
      </c>
      <c r="AH17" s="252">
        <v>2726000</v>
      </c>
      <c r="AI17" s="252">
        <v>20</v>
      </c>
      <c r="AJ17" s="252">
        <v>1</v>
      </c>
      <c r="AK17" s="252">
        <v>235</v>
      </c>
      <c r="AL17" s="252">
        <v>1</v>
      </c>
      <c r="AM17" s="244"/>
      <c r="AN17" s="252" t="s">
        <v>582</v>
      </c>
      <c r="AO17" s="252">
        <v>0</v>
      </c>
      <c r="AP17" s="252">
        <v>0</v>
      </c>
      <c r="AQ17" s="252">
        <v>0</v>
      </c>
      <c r="AR17" s="252">
        <v>5100</v>
      </c>
      <c r="AS17" s="252">
        <v>1</v>
      </c>
      <c r="AT17" s="244"/>
      <c r="AU17" s="252" t="s">
        <v>582</v>
      </c>
      <c r="AV17" s="252">
        <v>0</v>
      </c>
      <c r="AW17" s="252">
        <v>0</v>
      </c>
      <c r="AX17" s="252">
        <v>0</v>
      </c>
      <c r="AY17" s="252">
        <v>255</v>
      </c>
      <c r="AZ17" s="252">
        <v>1</v>
      </c>
      <c r="BA17" s="244"/>
      <c r="BB17" s="252" t="s">
        <v>580</v>
      </c>
      <c r="BC17" s="252">
        <v>0</v>
      </c>
      <c r="BD17" s="252">
        <v>0</v>
      </c>
      <c r="BE17" s="252">
        <v>0</v>
      </c>
      <c r="BF17" s="252">
        <v>0</v>
      </c>
      <c r="BG17" s="252">
        <v>0</v>
      </c>
      <c r="BH17" s="246" t="s">
        <v>580</v>
      </c>
      <c r="BI17" s="252">
        <v>0</v>
      </c>
      <c r="BJ17" s="252">
        <v>0</v>
      </c>
      <c r="BK17" s="252">
        <v>0</v>
      </c>
      <c r="BL17" s="252">
        <v>0</v>
      </c>
      <c r="BM17" s="252">
        <v>0</v>
      </c>
      <c r="BN17" s="252"/>
      <c r="BO17" s="246"/>
      <c r="BP17" s="262">
        <v>3273145</v>
      </c>
      <c r="BQ17" s="262"/>
      <c r="BR17" s="262"/>
      <c r="BS17" s="255" t="s">
        <v>500</v>
      </c>
      <c r="BT17" s="265" t="s">
        <v>619</v>
      </c>
      <c r="BU17" s="265" t="s">
        <v>620</v>
      </c>
      <c r="BV17" s="265" t="s">
        <v>621</v>
      </c>
      <c r="BW17" s="265" t="s">
        <v>622</v>
      </c>
      <c r="BX17" s="265" t="s">
        <v>623</v>
      </c>
      <c r="BY17" s="265" t="s">
        <v>624</v>
      </c>
      <c r="BZ17" s="265" t="s">
        <v>625</v>
      </c>
      <c r="CA17" s="265" t="s">
        <v>626</v>
      </c>
      <c r="CB17" s="265" t="s">
        <v>627</v>
      </c>
      <c r="CC17" s="357" t="s">
        <v>528</v>
      </c>
      <c r="CD17" s="356" t="s">
        <v>633</v>
      </c>
      <c r="CE17" s="356" t="s">
        <v>635</v>
      </c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6"/>
      <c r="CS17" s="276" t="s">
        <v>658</v>
      </c>
      <c r="CT17" s="274">
        <v>22</v>
      </c>
      <c r="CU17" s="274" t="s">
        <v>653</v>
      </c>
      <c r="CV17" s="274">
        <v>81606573173.089966</v>
      </c>
      <c r="CW17" s="274">
        <v>68292621000</v>
      </c>
      <c r="CX17" s="274">
        <v>1046</v>
      </c>
      <c r="CY17" s="274">
        <v>132930469204.30997</v>
      </c>
      <c r="CZ17" s="274">
        <v>124020301000</v>
      </c>
      <c r="DA17" s="274">
        <v>421</v>
      </c>
      <c r="DB17" s="274">
        <v>51323896031.219978</v>
      </c>
      <c r="DC17" s="274">
        <v>55727680000</v>
      </c>
      <c r="DD17" s="274">
        <v>625</v>
      </c>
    </row>
    <row r="18" spans="1:108" x14ac:dyDescent="0.2">
      <c r="B18" s="189"/>
      <c r="C18" s="189"/>
      <c r="D18" s="189"/>
      <c r="E18" s="220"/>
      <c r="F18" s="220"/>
      <c r="G18" s="220"/>
      <c r="H18" s="220"/>
      <c r="J18" s="152"/>
      <c r="K18" s="228"/>
      <c r="L18" s="228"/>
      <c r="M18" s="227"/>
      <c r="N18" s="156"/>
      <c r="O18" s="239"/>
      <c r="P18" s="239"/>
      <c r="Q18" s="239"/>
      <c r="S18" s="252" t="s">
        <v>451</v>
      </c>
      <c r="T18" s="257">
        <v>19221836.920000002</v>
      </c>
      <c r="U18" s="257">
        <v>33017</v>
      </c>
      <c r="V18" s="257">
        <v>10</v>
      </c>
      <c r="W18" s="257">
        <v>318663</v>
      </c>
      <c r="X18" s="257">
        <v>0</v>
      </c>
      <c r="Y18" s="244"/>
      <c r="Z18" s="252" t="s">
        <v>583</v>
      </c>
      <c r="AA18" s="252">
        <v>0</v>
      </c>
      <c r="AB18" s="252">
        <v>0</v>
      </c>
      <c r="AC18" s="252">
        <v>0</v>
      </c>
      <c r="AD18" s="252">
        <v>0</v>
      </c>
      <c r="AE18" s="252">
        <v>0</v>
      </c>
      <c r="AF18" s="252"/>
      <c r="AG18" s="252" t="s">
        <v>583</v>
      </c>
      <c r="AH18" s="252">
        <v>0</v>
      </c>
      <c r="AI18" s="252">
        <v>0</v>
      </c>
      <c r="AJ18" s="252">
        <v>0</v>
      </c>
      <c r="AK18" s="252">
        <v>0</v>
      </c>
      <c r="AL18" s="252">
        <v>0</v>
      </c>
      <c r="AM18" s="244"/>
      <c r="AN18" s="252" t="s">
        <v>583</v>
      </c>
      <c r="AO18" s="252">
        <v>0</v>
      </c>
      <c r="AP18" s="252">
        <v>0</v>
      </c>
      <c r="AQ18" s="252">
        <v>0</v>
      </c>
      <c r="AR18" s="252">
        <v>0</v>
      </c>
      <c r="AS18" s="252">
        <v>0</v>
      </c>
      <c r="AT18" s="244"/>
      <c r="AU18" s="252" t="s">
        <v>583</v>
      </c>
      <c r="AV18" s="252">
        <v>0</v>
      </c>
      <c r="AW18" s="252">
        <v>0</v>
      </c>
      <c r="AX18" s="252">
        <v>0</v>
      </c>
      <c r="AY18" s="252">
        <v>0</v>
      </c>
      <c r="AZ18" s="252">
        <v>0</v>
      </c>
      <c r="BA18" s="244"/>
      <c r="BB18" s="252" t="s">
        <v>581</v>
      </c>
      <c r="BC18" s="252">
        <v>0</v>
      </c>
      <c r="BD18" s="252">
        <v>0</v>
      </c>
      <c r="BE18" s="252">
        <v>0</v>
      </c>
      <c r="BF18" s="252">
        <v>0</v>
      </c>
      <c r="BG18" s="252">
        <v>0</v>
      </c>
      <c r="BH18" s="246" t="s">
        <v>581</v>
      </c>
      <c r="BI18" s="252">
        <v>0</v>
      </c>
      <c r="BJ18" s="252">
        <v>0</v>
      </c>
      <c r="BK18" s="252">
        <v>0</v>
      </c>
      <c r="BL18" s="252">
        <v>0</v>
      </c>
      <c r="BM18" s="252">
        <v>0</v>
      </c>
      <c r="BN18" s="252"/>
      <c r="BO18" s="246"/>
      <c r="BP18" s="262"/>
      <c r="BQ18" s="262"/>
      <c r="BR18" s="262"/>
      <c r="BS18" s="244"/>
      <c r="BT18" s="264" t="s">
        <v>139</v>
      </c>
      <c r="BU18" s="246">
        <v>59</v>
      </c>
      <c r="BV18" s="264">
        <v>3</v>
      </c>
      <c r="BW18" s="264">
        <v>7</v>
      </c>
      <c r="BX18" s="264">
        <v>1</v>
      </c>
      <c r="BY18" s="264">
        <v>0</v>
      </c>
      <c r="BZ18" s="264">
        <v>54</v>
      </c>
      <c r="CA18" s="264">
        <v>41</v>
      </c>
      <c r="CB18" s="264">
        <v>18</v>
      </c>
      <c r="CC18" s="354"/>
      <c r="CD18" s="358">
        <v>15984746250174.98</v>
      </c>
      <c r="CE18" s="359">
        <v>20999937671.812122</v>
      </c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6"/>
      <c r="CS18" s="276" t="s">
        <v>658</v>
      </c>
      <c r="CT18" s="274">
        <v>123</v>
      </c>
      <c r="CU18" s="274" t="s">
        <v>654</v>
      </c>
      <c r="CV18" s="274">
        <v>-2207334309.5900002</v>
      </c>
      <c r="CW18" s="274">
        <v>-2637652365</v>
      </c>
      <c r="CX18" s="274">
        <v>1517</v>
      </c>
      <c r="CY18" s="274">
        <v>17030965219.639997</v>
      </c>
      <c r="CZ18" s="274">
        <v>17296324038</v>
      </c>
      <c r="DA18" s="274">
        <v>830</v>
      </c>
      <c r="DB18" s="274">
        <v>19238299529.229996</v>
      </c>
      <c r="DC18" s="274">
        <v>19933976403</v>
      </c>
      <c r="DD18" s="274">
        <v>687</v>
      </c>
    </row>
    <row r="19" spans="1:108" x14ac:dyDescent="0.2">
      <c r="A19" s="148" t="s">
        <v>216</v>
      </c>
      <c r="B19" s="189"/>
      <c r="C19" s="189"/>
      <c r="D19" s="189"/>
      <c r="E19" s="220"/>
      <c r="F19" s="220"/>
      <c r="G19" s="220"/>
      <c r="H19" s="220"/>
      <c r="I19" s="153" t="s">
        <v>222</v>
      </c>
      <c r="J19" s="148" t="s">
        <v>220</v>
      </c>
      <c r="K19" s="234" t="s">
        <v>539</v>
      </c>
      <c r="L19" s="234" t="s">
        <v>540</v>
      </c>
      <c r="M19" s="236" t="s">
        <v>537</v>
      </c>
      <c r="N19" s="162" t="s">
        <v>216</v>
      </c>
      <c r="O19" s="242" t="s">
        <v>524</v>
      </c>
      <c r="P19" s="242" t="s">
        <v>525</v>
      </c>
      <c r="Q19" s="242" t="s">
        <v>526</v>
      </c>
      <c r="S19" s="252" t="s">
        <v>448</v>
      </c>
      <c r="T19" s="257">
        <v>0</v>
      </c>
      <c r="U19" s="257">
        <v>0</v>
      </c>
      <c r="V19" s="257">
        <v>0</v>
      </c>
      <c r="W19" s="257">
        <v>0</v>
      </c>
      <c r="X19" s="257">
        <v>0</v>
      </c>
      <c r="Y19" s="244"/>
      <c r="Z19" s="252" t="s">
        <v>584</v>
      </c>
      <c r="AA19" s="252">
        <v>0</v>
      </c>
      <c r="AB19" s="252">
        <v>0</v>
      </c>
      <c r="AC19" s="252">
        <v>0</v>
      </c>
      <c r="AD19" s="252">
        <v>0</v>
      </c>
      <c r="AE19" s="252">
        <v>0</v>
      </c>
      <c r="AF19" s="252"/>
      <c r="AG19" s="252" t="s">
        <v>584</v>
      </c>
      <c r="AH19" s="252">
        <v>0</v>
      </c>
      <c r="AI19" s="252">
        <v>0</v>
      </c>
      <c r="AJ19" s="252">
        <v>0</v>
      </c>
      <c r="AK19" s="252">
        <v>0</v>
      </c>
      <c r="AL19" s="252">
        <v>0</v>
      </c>
      <c r="AM19" s="244"/>
      <c r="AN19" s="252" t="s">
        <v>584</v>
      </c>
      <c r="AO19" s="252">
        <v>0</v>
      </c>
      <c r="AP19" s="252">
        <v>0</v>
      </c>
      <c r="AQ19" s="252">
        <v>0</v>
      </c>
      <c r="AR19" s="252">
        <v>0</v>
      </c>
      <c r="AS19" s="252">
        <v>0</v>
      </c>
      <c r="AT19" s="244"/>
      <c r="AU19" s="252" t="s">
        <v>584</v>
      </c>
      <c r="AV19" s="252">
        <v>0</v>
      </c>
      <c r="AW19" s="252">
        <v>0</v>
      </c>
      <c r="AX19" s="252">
        <v>0</v>
      </c>
      <c r="AY19" s="252">
        <v>0</v>
      </c>
      <c r="AZ19" s="252">
        <v>0</v>
      </c>
      <c r="BA19" s="244"/>
      <c r="BB19" s="252" t="s">
        <v>582</v>
      </c>
      <c r="BC19" s="252">
        <v>57973908.067000002</v>
      </c>
      <c r="BD19" s="252">
        <v>650</v>
      </c>
      <c r="BE19" s="252">
        <v>8</v>
      </c>
      <c r="BF19" s="252">
        <v>4300</v>
      </c>
      <c r="BG19" s="252">
        <v>1</v>
      </c>
      <c r="BH19" s="246" t="s">
        <v>582</v>
      </c>
      <c r="BI19" s="252">
        <v>0</v>
      </c>
      <c r="BJ19" s="252">
        <v>0</v>
      </c>
      <c r="BK19" s="252">
        <v>0</v>
      </c>
      <c r="BL19" s="252">
        <v>0</v>
      </c>
      <c r="BM19" s="252">
        <v>1</v>
      </c>
      <c r="BN19" s="252"/>
      <c r="BO19" s="255" t="s">
        <v>482</v>
      </c>
      <c r="BP19" s="263" t="s">
        <v>537</v>
      </c>
      <c r="BQ19" s="263" t="s">
        <v>562</v>
      </c>
      <c r="BR19" s="263" t="s">
        <v>563</v>
      </c>
      <c r="BS19" s="244"/>
      <c r="BT19" s="264" t="s">
        <v>628</v>
      </c>
      <c r="BU19" s="264">
        <v>3</v>
      </c>
      <c r="BV19" s="264">
        <v>1</v>
      </c>
      <c r="BW19" s="264">
        <v>0</v>
      </c>
      <c r="BX19" s="264">
        <v>0</v>
      </c>
      <c r="BY19" s="264">
        <v>0</v>
      </c>
      <c r="BZ19" s="264">
        <v>4</v>
      </c>
      <c r="CA19" s="264">
        <v>3</v>
      </c>
      <c r="CB19" s="264">
        <v>0</v>
      </c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6"/>
      <c r="CS19" s="276" t="s">
        <v>658</v>
      </c>
      <c r="CT19" s="274">
        <v>71</v>
      </c>
      <c r="CU19" s="274" t="s">
        <v>655</v>
      </c>
      <c r="CV19" s="274">
        <v>-6597698002.7700062</v>
      </c>
      <c r="CW19" s="274">
        <v>-6634871006</v>
      </c>
      <c r="CX19" s="274">
        <v>3135</v>
      </c>
      <c r="CY19" s="274">
        <v>91867965134.349991</v>
      </c>
      <c r="CZ19" s="274">
        <v>89385309635</v>
      </c>
      <c r="DA19" s="274">
        <v>1658</v>
      </c>
      <c r="DB19" s="274">
        <v>98465663137.11998</v>
      </c>
      <c r="DC19" s="274">
        <v>96020180641</v>
      </c>
      <c r="DD19" s="274">
        <v>1477</v>
      </c>
    </row>
    <row r="20" spans="1:108" x14ac:dyDescent="0.2">
      <c r="B20" s="189"/>
      <c r="C20" s="189"/>
      <c r="D20" s="189"/>
      <c r="E20" s="220"/>
      <c r="F20" s="220"/>
      <c r="G20" s="220"/>
      <c r="H20" s="220"/>
      <c r="J20" s="152" t="str">
        <f>K20&amp;L20</f>
        <v>ABuy</v>
      </c>
      <c r="K20" s="233" t="s">
        <v>541</v>
      </c>
      <c r="L20" s="233" t="s">
        <v>542</v>
      </c>
      <c r="M20" s="237">
        <v>202541039422.32498</v>
      </c>
      <c r="N20" s="156"/>
      <c r="O20" s="343">
        <v>525050000000</v>
      </c>
      <c r="P20" s="343">
        <v>-528401000000</v>
      </c>
      <c r="Q20" s="343">
        <v>-3351000000</v>
      </c>
      <c r="S20" s="252" t="s">
        <v>446</v>
      </c>
      <c r="T20" s="257">
        <v>3728663.25</v>
      </c>
      <c r="U20" s="257">
        <v>679</v>
      </c>
      <c r="V20" s="257">
        <v>3</v>
      </c>
      <c r="W20" s="257">
        <v>1076998</v>
      </c>
      <c r="X20" s="257">
        <v>0</v>
      </c>
      <c r="Y20" s="244"/>
      <c r="Z20" s="252" t="s">
        <v>585</v>
      </c>
      <c r="AA20" s="252">
        <v>0</v>
      </c>
      <c r="AB20" s="252">
        <v>0</v>
      </c>
      <c r="AC20" s="252">
        <v>0</v>
      </c>
      <c r="AD20" s="252">
        <v>0</v>
      </c>
      <c r="AE20" s="252">
        <v>0</v>
      </c>
      <c r="AF20" s="252"/>
      <c r="AG20" s="252" t="s">
        <v>585</v>
      </c>
      <c r="AH20" s="252">
        <v>0</v>
      </c>
      <c r="AI20" s="252">
        <v>0</v>
      </c>
      <c r="AJ20" s="252">
        <v>0</v>
      </c>
      <c r="AK20" s="252">
        <v>0</v>
      </c>
      <c r="AL20" s="252">
        <v>0</v>
      </c>
      <c r="AM20" s="244"/>
      <c r="AN20" s="252" t="s">
        <v>585</v>
      </c>
      <c r="AO20" s="252">
        <v>0</v>
      </c>
      <c r="AP20" s="252">
        <v>0</v>
      </c>
      <c r="AQ20" s="252">
        <v>0</v>
      </c>
      <c r="AR20" s="252">
        <v>0</v>
      </c>
      <c r="AS20" s="252">
        <v>0</v>
      </c>
      <c r="AT20" s="244"/>
      <c r="AU20" s="252" t="s">
        <v>585</v>
      </c>
      <c r="AV20" s="252">
        <v>0</v>
      </c>
      <c r="AW20" s="252">
        <v>0</v>
      </c>
      <c r="AX20" s="252">
        <v>0</v>
      </c>
      <c r="AY20" s="252">
        <v>0</v>
      </c>
      <c r="AZ20" s="252">
        <v>0</v>
      </c>
      <c r="BA20" s="244"/>
      <c r="BB20" s="252" t="s">
        <v>583</v>
      </c>
      <c r="BC20" s="252">
        <v>0</v>
      </c>
      <c r="BD20" s="252">
        <v>0</v>
      </c>
      <c r="BE20" s="252">
        <v>0</v>
      </c>
      <c r="BF20" s="252">
        <v>0</v>
      </c>
      <c r="BG20" s="252">
        <v>0</v>
      </c>
      <c r="BH20" s="246" t="s">
        <v>583</v>
      </c>
      <c r="BI20" s="252">
        <v>0</v>
      </c>
      <c r="BJ20" s="252">
        <v>0</v>
      </c>
      <c r="BK20" s="252">
        <v>0</v>
      </c>
      <c r="BL20" s="252">
        <v>0</v>
      </c>
      <c r="BM20" s="252">
        <v>0</v>
      </c>
      <c r="BN20" s="252"/>
      <c r="BO20" s="246"/>
      <c r="BP20" s="262">
        <v>218542257947.10001</v>
      </c>
      <c r="BQ20" s="262">
        <v>1954024</v>
      </c>
      <c r="BR20" s="262">
        <v>2158</v>
      </c>
      <c r="BS20" s="244"/>
      <c r="BT20" s="264" t="s">
        <v>629</v>
      </c>
      <c r="BU20" s="264">
        <v>1</v>
      </c>
      <c r="BV20" s="264">
        <v>0</v>
      </c>
      <c r="BW20" s="264">
        <v>0</v>
      </c>
      <c r="BX20" s="264">
        <v>0</v>
      </c>
      <c r="BY20" s="264">
        <v>0</v>
      </c>
      <c r="BZ20" s="264">
        <v>1</v>
      </c>
      <c r="CA20" s="264">
        <v>1</v>
      </c>
      <c r="CB20" s="264">
        <v>0</v>
      </c>
      <c r="CC20" s="357" t="s">
        <v>527</v>
      </c>
      <c r="CD20" s="356" t="s">
        <v>633</v>
      </c>
      <c r="CE20" s="356" t="s">
        <v>635</v>
      </c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6"/>
      <c r="CS20" s="276" t="s">
        <v>658</v>
      </c>
      <c r="CT20" s="274">
        <v>15</v>
      </c>
      <c r="CU20" s="274" t="s">
        <v>656</v>
      </c>
      <c r="CV20" s="274">
        <v>-3162305509.2400002</v>
      </c>
      <c r="CW20" s="274">
        <v>-2830873228</v>
      </c>
      <c r="CX20" s="274">
        <v>177</v>
      </c>
      <c r="CY20" s="274">
        <v>7558562682.0999994</v>
      </c>
      <c r="CZ20" s="274">
        <v>7718866539</v>
      </c>
      <c r="DA20" s="274">
        <v>77</v>
      </c>
      <c r="DB20" s="274">
        <v>10720868191.339996</v>
      </c>
      <c r="DC20" s="274">
        <v>10549739767</v>
      </c>
      <c r="DD20" s="274">
        <v>100</v>
      </c>
    </row>
    <row r="21" spans="1:108" x14ac:dyDescent="0.2">
      <c r="B21" s="187"/>
      <c r="C21" s="187"/>
      <c r="D21" s="187"/>
      <c r="E21" s="208"/>
      <c r="F21" s="208"/>
      <c r="G21" s="208"/>
      <c r="H21" s="208"/>
      <c r="J21" s="152" t="str">
        <f t="shared" ref="J21:J22" si="3">K21&amp;L21</f>
        <v>PBuy</v>
      </c>
      <c r="K21" s="233" t="s">
        <v>543</v>
      </c>
      <c r="L21" s="233" t="s">
        <v>542</v>
      </c>
      <c r="M21" s="237">
        <v>245787020603.92001</v>
      </c>
      <c r="O21" s="238"/>
      <c r="P21" s="238"/>
      <c r="Q21" s="238"/>
      <c r="S21" s="252" t="s">
        <v>566</v>
      </c>
      <c r="T21" s="257">
        <v>0</v>
      </c>
      <c r="U21" s="257">
        <v>0</v>
      </c>
      <c r="V21" s="257">
        <v>0</v>
      </c>
      <c r="W21" s="257">
        <v>0</v>
      </c>
      <c r="X21" s="257">
        <v>1</v>
      </c>
      <c r="Y21" s="244"/>
      <c r="Z21" s="252" t="s">
        <v>586</v>
      </c>
      <c r="AA21" s="252">
        <v>0</v>
      </c>
      <c r="AB21" s="252">
        <v>0</v>
      </c>
      <c r="AC21" s="252">
        <v>0</v>
      </c>
      <c r="AD21" s="252">
        <v>0</v>
      </c>
      <c r="AE21" s="252">
        <v>0</v>
      </c>
      <c r="AF21" s="252"/>
      <c r="AG21" s="252" t="s">
        <v>586</v>
      </c>
      <c r="AH21" s="252">
        <v>0</v>
      </c>
      <c r="AI21" s="252">
        <v>0</v>
      </c>
      <c r="AJ21" s="252">
        <v>0</v>
      </c>
      <c r="AK21" s="252">
        <v>0</v>
      </c>
      <c r="AL21" s="252">
        <v>0</v>
      </c>
      <c r="AM21" s="244"/>
      <c r="AN21" s="252" t="s">
        <v>586</v>
      </c>
      <c r="AO21" s="252">
        <v>0</v>
      </c>
      <c r="AP21" s="252">
        <v>0</v>
      </c>
      <c r="AQ21" s="252">
        <v>0</v>
      </c>
      <c r="AR21" s="252">
        <v>0</v>
      </c>
      <c r="AS21" s="252">
        <v>0</v>
      </c>
      <c r="AT21" s="244"/>
      <c r="AU21" s="252" t="s">
        <v>586</v>
      </c>
      <c r="AV21" s="252">
        <v>0</v>
      </c>
      <c r="AW21" s="252">
        <v>0</v>
      </c>
      <c r="AX21" s="252">
        <v>0</v>
      </c>
      <c r="AY21" s="252">
        <v>0</v>
      </c>
      <c r="AZ21" s="252">
        <v>0</v>
      </c>
      <c r="BA21" s="244"/>
      <c r="BB21" s="252" t="s">
        <v>584</v>
      </c>
      <c r="BC21" s="252">
        <v>0</v>
      </c>
      <c r="BD21" s="252">
        <v>0</v>
      </c>
      <c r="BE21" s="252">
        <v>0</v>
      </c>
      <c r="BF21" s="252">
        <v>0</v>
      </c>
      <c r="BG21" s="252">
        <v>0</v>
      </c>
      <c r="BH21" s="246" t="s">
        <v>584</v>
      </c>
      <c r="BI21" s="252">
        <v>0</v>
      </c>
      <c r="BJ21" s="252">
        <v>0</v>
      </c>
      <c r="BK21" s="252">
        <v>0</v>
      </c>
      <c r="BL21" s="252">
        <v>0</v>
      </c>
      <c r="BM21" s="252">
        <v>0</v>
      </c>
      <c r="BN21" s="252"/>
      <c r="BO21" s="246"/>
      <c r="BP21" s="262"/>
      <c r="BQ21" s="262"/>
      <c r="BR21" s="262"/>
      <c r="BS21" s="244"/>
      <c r="BT21" s="264" t="s">
        <v>630</v>
      </c>
      <c r="BU21" s="264">
        <v>323</v>
      </c>
      <c r="BV21" s="264">
        <v>8</v>
      </c>
      <c r="BW21" s="264">
        <v>13</v>
      </c>
      <c r="BX21" s="264">
        <v>0</v>
      </c>
      <c r="BY21" s="264">
        <v>2</v>
      </c>
      <c r="BZ21" s="264">
        <v>320</v>
      </c>
      <c r="CA21" s="264">
        <v>266</v>
      </c>
      <c r="CB21" s="264">
        <v>57</v>
      </c>
      <c r="CC21" s="354"/>
      <c r="CD21" s="358">
        <v>3493692860600264.5</v>
      </c>
      <c r="CE21" s="359">
        <v>5186456430894.7227</v>
      </c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6"/>
      <c r="CS21" s="276"/>
      <c r="CT21" s="274"/>
      <c r="CU21" s="274"/>
      <c r="CV21" s="274"/>
      <c r="CW21" s="274"/>
      <c r="CX21" s="274"/>
      <c r="CY21" s="274"/>
      <c r="CZ21" s="274"/>
      <c r="DA21" s="274"/>
      <c r="DB21" s="274"/>
      <c r="DC21" s="274"/>
      <c r="DD21" s="274"/>
    </row>
    <row r="22" spans="1:108" x14ac:dyDescent="0.2">
      <c r="B22" s="187"/>
      <c r="C22" s="187"/>
      <c r="D22" s="187"/>
      <c r="E22" s="208"/>
      <c r="F22" s="208"/>
      <c r="G22" s="208"/>
      <c r="H22" s="208"/>
      <c r="J22" s="152" t="str">
        <f t="shared" si="3"/>
        <v>ASell</v>
      </c>
      <c r="K22" s="233" t="s">
        <v>541</v>
      </c>
      <c r="L22" s="233" t="s">
        <v>544</v>
      </c>
      <c r="M22" s="237">
        <v>209457720305.435</v>
      </c>
      <c r="O22" s="238"/>
      <c r="P22" s="238"/>
      <c r="Q22" s="238"/>
      <c r="S22" s="252" t="s">
        <v>447</v>
      </c>
      <c r="T22" s="257">
        <v>1014704232.5</v>
      </c>
      <c r="U22" s="257">
        <v>14224</v>
      </c>
      <c r="V22" s="257">
        <v>132</v>
      </c>
      <c r="W22" s="257">
        <v>1211214</v>
      </c>
      <c r="X22" s="257">
        <v>1</v>
      </c>
      <c r="Y22" s="244"/>
      <c r="Z22" s="252" t="s">
        <v>587</v>
      </c>
      <c r="AA22" s="252">
        <v>28584925.140000001</v>
      </c>
      <c r="AB22" s="252">
        <v>3841</v>
      </c>
      <c r="AC22" s="252">
        <v>269</v>
      </c>
      <c r="AD22" s="252">
        <v>106074</v>
      </c>
      <c r="AE22" s="252">
        <v>0</v>
      </c>
      <c r="AF22" s="252"/>
      <c r="AG22" s="252" t="s">
        <v>587</v>
      </c>
      <c r="AH22" s="252">
        <v>161114</v>
      </c>
      <c r="AI22" s="252">
        <v>27</v>
      </c>
      <c r="AJ22" s="252">
        <v>15</v>
      </c>
      <c r="AK22" s="252">
        <v>4855</v>
      </c>
      <c r="AL22" s="252">
        <v>0</v>
      </c>
      <c r="AM22" s="244"/>
      <c r="AN22" s="252" t="s">
        <v>587</v>
      </c>
      <c r="AO22" s="252">
        <v>10746143.9</v>
      </c>
      <c r="AP22" s="252">
        <v>1174</v>
      </c>
      <c r="AQ22" s="252">
        <v>100</v>
      </c>
      <c r="AR22" s="252">
        <v>97311</v>
      </c>
      <c r="AS22" s="252">
        <v>0</v>
      </c>
      <c r="AT22" s="244"/>
      <c r="AU22" s="252" t="s">
        <v>587</v>
      </c>
      <c r="AV22" s="252">
        <v>219311</v>
      </c>
      <c r="AW22" s="252">
        <v>25</v>
      </c>
      <c r="AX22" s="252">
        <v>6</v>
      </c>
      <c r="AY22" s="252">
        <v>5055</v>
      </c>
      <c r="AZ22" s="252">
        <v>0</v>
      </c>
      <c r="BA22" s="244"/>
      <c r="BB22" s="252" t="s">
        <v>585</v>
      </c>
      <c r="BC22" s="252">
        <v>0</v>
      </c>
      <c r="BD22" s="252">
        <v>0</v>
      </c>
      <c r="BE22" s="252">
        <v>0</v>
      </c>
      <c r="BF22" s="252">
        <v>0</v>
      </c>
      <c r="BG22" s="252">
        <v>0</v>
      </c>
      <c r="BH22" s="246" t="s">
        <v>585</v>
      </c>
      <c r="BI22" s="252">
        <v>0</v>
      </c>
      <c r="BJ22" s="252">
        <v>0</v>
      </c>
      <c r="BK22" s="252">
        <v>0</v>
      </c>
      <c r="BL22" s="252">
        <v>0</v>
      </c>
      <c r="BM22" s="252">
        <v>0</v>
      </c>
      <c r="BN22" s="252"/>
      <c r="BO22" s="255" t="s">
        <v>483</v>
      </c>
      <c r="BP22" s="263" t="s">
        <v>537</v>
      </c>
      <c r="BQ22" s="263" t="s">
        <v>562</v>
      </c>
      <c r="BR22" s="263" t="s">
        <v>563</v>
      </c>
      <c r="BS22" s="244"/>
      <c r="BT22" s="244" t="s">
        <v>631</v>
      </c>
      <c r="BU22" s="264">
        <v>1</v>
      </c>
      <c r="BV22" s="244">
        <v>0</v>
      </c>
      <c r="BW22" s="244">
        <v>0</v>
      </c>
      <c r="BX22" s="244">
        <v>1</v>
      </c>
      <c r="BY22" s="244">
        <v>0</v>
      </c>
      <c r="BZ22" s="244">
        <v>0</v>
      </c>
      <c r="CA22" s="244">
        <v>1</v>
      </c>
      <c r="CB22" s="244">
        <v>0</v>
      </c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3" t="s">
        <v>559</v>
      </c>
      <c r="F23" s="226" t="s">
        <v>444</v>
      </c>
      <c r="G23" s="223" t="s">
        <v>226</v>
      </c>
      <c r="H23" s="223" t="s">
        <v>545</v>
      </c>
      <c r="I23" s="165"/>
      <c r="J23" s="152" t="str">
        <f>K23&amp;L23</f>
        <v>PSell</v>
      </c>
      <c r="K23" s="233" t="s">
        <v>543</v>
      </c>
      <c r="L23" s="233" t="s">
        <v>544</v>
      </c>
      <c r="M23" s="237">
        <v>238870339720.81</v>
      </c>
      <c r="N23" s="163" t="s">
        <v>445</v>
      </c>
      <c r="O23" s="241" t="s">
        <v>226</v>
      </c>
      <c r="P23" s="241" t="s">
        <v>545</v>
      </c>
      <c r="Q23" s="238"/>
      <c r="S23" s="252" t="s">
        <v>182</v>
      </c>
      <c r="T23" s="257">
        <v>696170.68299999996</v>
      </c>
      <c r="U23" s="257">
        <v>2133</v>
      </c>
      <c r="V23" s="257">
        <v>5</v>
      </c>
      <c r="W23" s="257">
        <v>1536119</v>
      </c>
      <c r="X23" s="257">
        <v>1</v>
      </c>
      <c r="Y23" s="244"/>
      <c r="Z23" s="252" t="s">
        <v>588</v>
      </c>
      <c r="AA23" s="252">
        <v>4249945.5</v>
      </c>
      <c r="AB23" s="252">
        <v>1286</v>
      </c>
      <c r="AC23" s="252">
        <v>85</v>
      </c>
      <c r="AD23" s="252">
        <v>93711</v>
      </c>
      <c r="AE23" s="252">
        <v>0</v>
      </c>
      <c r="AF23" s="252"/>
      <c r="AG23" s="252" t="s">
        <v>588</v>
      </c>
      <c r="AH23" s="252">
        <v>0</v>
      </c>
      <c r="AI23" s="252">
        <v>0</v>
      </c>
      <c r="AJ23" s="252">
        <v>0</v>
      </c>
      <c r="AK23" s="252">
        <v>4521</v>
      </c>
      <c r="AL23" s="252">
        <v>0</v>
      </c>
      <c r="AM23" s="244"/>
      <c r="AN23" s="252" t="s">
        <v>588</v>
      </c>
      <c r="AO23" s="252">
        <v>11745927.699999999</v>
      </c>
      <c r="AP23" s="252">
        <v>2555</v>
      </c>
      <c r="AQ23" s="252">
        <v>67</v>
      </c>
      <c r="AR23" s="252">
        <v>65070</v>
      </c>
      <c r="AS23" s="252">
        <v>0</v>
      </c>
      <c r="AT23" s="244"/>
      <c r="AU23" s="252" t="s">
        <v>588</v>
      </c>
      <c r="AV23" s="252">
        <v>1383750</v>
      </c>
      <c r="AW23" s="252">
        <v>415</v>
      </c>
      <c r="AX23" s="252">
        <v>14</v>
      </c>
      <c r="AY23" s="252">
        <v>3613</v>
      </c>
      <c r="AZ23" s="252">
        <v>0</v>
      </c>
      <c r="BA23" s="244"/>
      <c r="BB23" s="252" t="s">
        <v>586</v>
      </c>
      <c r="BC23" s="252">
        <v>0</v>
      </c>
      <c r="BD23" s="252">
        <v>0</v>
      </c>
      <c r="BE23" s="252">
        <v>0</v>
      </c>
      <c r="BF23" s="252">
        <v>0</v>
      </c>
      <c r="BG23" s="252">
        <v>0</v>
      </c>
      <c r="BH23" s="246" t="s">
        <v>586</v>
      </c>
      <c r="BI23" s="252">
        <v>0</v>
      </c>
      <c r="BJ23" s="252">
        <v>0</v>
      </c>
      <c r="BK23" s="252">
        <v>0</v>
      </c>
      <c r="BL23" s="252">
        <v>0</v>
      </c>
      <c r="BM23" s="252">
        <v>0</v>
      </c>
      <c r="BN23" s="252"/>
      <c r="BO23" s="246"/>
      <c r="BP23" s="262">
        <v>1910921811.6700001</v>
      </c>
      <c r="BQ23" s="262">
        <v>26394</v>
      </c>
      <c r="BR23" s="262">
        <v>64</v>
      </c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2">
        <v>1</v>
      </c>
      <c r="F24" s="208"/>
      <c r="G24" s="222" t="s">
        <v>271</v>
      </c>
      <c r="H24" s="222">
        <v>10845.773566059999</v>
      </c>
      <c r="I24" s="164"/>
      <c r="K24" s="230"/>
      <c r="L24" s="227"/>
      <c r="M24" s="227"/>
      <c r="O24" s="240" t="s">
        <v>271</v>
      </c>
      <c r="P24" s="240">
        <v>10237.81833025</v>
      </c>
      <c r="Q24" s="238"/>
      <c r="S24" s="252" t="s">
        <v>449</v>
      </c>
      <c r="T24" s="257">
        <v>0</v>
      </c>
      <c r="U24" s="257">
        <v>0</v>
      </c>
      <c r="V24" s="257">
        <v>0</v>
      </c>
      <c r="W24" s="257">
        <v>0</v>
      </c>
      <c r="X24" s="257">
        <v>0</v>
      </c>
      <c r="Y24" s="244"/>
      <c r="Z24" s="252" t="s">
        <v>589</v>
      </c>
      <c r="AA24" s="252">
        <v>14169646510.32</v>
      </c>
      <c r="AB24" s="252">
        <v>72180</v>
      </c>
      <c r="AC24" s="252">
        <v>12590</v>
      </c>
      <c r="AD24" s="252">
        <v>919179</v>
      </c>
      <c r="AE24" s="252">
        <v>1</v>
      </c>
      <c r="AF24" s="252"/>
      <c r="AG24" s="252" t="s">
        <v>589</v>
      </c>
      <c r="AH24" s="252">
        <v>368597091.72000003</v>
      </c>
      <c r="AI24" s="252">
        <v>1822</v>
      </c>
      <c r="AJ24" s="252">
        <v>559</v>
      </c>
      <c r="AK24" s="252">
        <v>41197</v>
      </c>
      <c r="AL24" s="252">
        <v>1</v>
      </c>
      <c r="AM24" s="244"/>
      <c r="AN24" s="252" t="s">
        <v>589</v>
      </c>
      <c r="AO24" s="252">
        <v>10114218642.27</v>
      </c>
      <c r="AP24" s="252">
        <v>52743</v>
      </c>
      <c r="AQ24" s="252">
        <v>9186</v>
      </c>
      <c r="AR24" s="252">
        <v>799221</v>
      </c>
      <c r="AS24" s="252">
        <v>1</v>
      </c>
      <c r="AT24" s="244"/>
      <c r="AU24" s="252" t="s">
        <v>589</v>
      </c>
      <c r="AV24" s="252">
        <v>424320565.88999999</v>
      </c>
      <c r="AW24" s="252">
        <v>2196</v>
      </c>
      <c r="AX24" s="252">
        <v>388</v>
      </c>
      <c r="AY24" s="252">
        <v>40048</v>
      </c>
      <c r="AZ24" s="252">
        <v>1</v>
      </c>
      <c r="BA24" s="244"/>
      <c r="BB24" s="252" t="s">
        <v>587</v>
      </c>
      <c r="BC24" s="252">
        <v>19876877.699999999</v>
      </c>
      <c r="BD24" s="252">
        <v>1325</v>
      </c>
      <c r="BE24" s="252">
        <v>51</v>
      </c>
      <c r="BF24" s="252">
        <v>67364</v>
      </c>
      <c r="BG24" s="252">
        <v>0</v>
      </c>
      <c r="BH24" s="246" t="s">
        <v>587</v>
      </c>
      <c r="BI24" s="252">
        <v>0</v>
      </c>
      <c r="BJ24" s="252">
        <v>0</v>
      </c>
      <c r="BK24" s="252">
        <v>0</v>
      </c>
      <c r="BL24" s="252">
        <v>3414</v>
      </c>
      <c r="BM24" s="252">
        <v>0</v>
      </c>
      <c r="BN24" s="252"/>
      <c r="BO24" s="246"/>
      <c r="BP24" s="262"/>
      <c r="BQ24" s="262"/>
      <c r="BR24" s="262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</row>
    <row r="25" spans="1:108" x14ac:dyDescent="0.2">
      <c r="B25" s="190" t="s">
        <v>231</v>
      </c>
      <c r="C25" s="193">
        <v>38713</v>
      </c>
      <c r="D25" s="190">
        <v>20229.37</v>
      </c>
      <c r="E25" s="222">
        <v>1</v>
      </c>
      <c r="F25" s="208"/>
      <c r="G25" s="222" t="s">
        <v>272</v>
      </c>
      <c r="H25" s="222">
        <v>11473.55175608</v>
      </c>
      <c r="I25" s="164"/>
      <c r="K25" s="230"/>
      <c r="L25" s="227"/>
      <c r="M25" s="227"/>
      <c r="O25" s="240" t="s">
        <v>272</v>
      </c>
      <c r="P25" s="240">
        <v>10699.509603099999</v>
      </c>
      <c r="Q25" s="238"/>
      <c r="S25" s="252" t="s">
        <v>446</v>
      </c>
      <c r="T25" s="257">
        <v>14896664239.100201</v>
      </c>
      <c r="U25" s="257">
        <v>47192</v>
      </c>
      <c r="V25" s="257">
        <v>9353</v>
      </c>
      <c r="W25" s="257">
        <v>671733</v>
      </c>
      <c r="X25" s="257">
        <v>1</v>
      </c>
      <c r="Y25" s="244"/>
      <c r="Z25" s="252" t="s">
        <v>590</v>
      </c>
      <c r="AA25" s="252">
        <v>0</v>
      </c>
      <c r="AB25" s="252">
        <v>0</v>
      </c>
      <c r="AC25" s="252">
        <v>0</v>
      </c>
      <c r="AD25" s="252">
        <v>0</v>
      </c>
      <c r="AE25" s="252">
        <v>0</v>
      </c>
      <c r="AF25" s="252"/>
      <c r="AG25" s="252" t="s">
        <v>590</v>
      </c>
      <c r="AH25" s="252">
        <v>0</v>
      </c>
      <c r="AI25" s="252">
        <v>0</v>
      </c>
      <c r="AJ25" s="252">
        <v>0</v>
      </c>
      <c r="AK25" s="252">
        <v>0</v>
      </c>
      <c r="AL25" s="252">
        <v>0</v>
      </c>
      <c r="AM25" s="244"/>
      <c r="AN25" s="252" t="s">
        <v>590</v>
      </c>
      <c r="AO25" s="252">
        <v>0</v>
      </c>
      <c r="AP25" s="252">
        <v>0</v>
      </c>
      <c r="AQ25" s="252">
        <v>0</v>
      </c>
      <c r="AR25" s="252">
        <v>0</v>
      </c>
      <c r="AS25" s="252">
        <v>0</v>
      </c>
      <c r="AT25" s="244"/>
      <c r="AU25" s="252" t="s">
        <v>590</v>
      </c>
      <c r="AV25" s="252">
        <v>0</v>
      </c>
      <c r="AW25" s="252">
        <v>0</v>
      </c>
      <c r="AX25" s="252">
        <v>0</v>
      </c>
      <c r="AY25" s="252">
        <v>0</v>
      </c>
      <c r="AZ25" s="252">
        <v>0</v>
      </c>
      <c r="BA25" s="244"/>
      <c r="BB25" s="252" t="s">
        <v>588</v>
      </c>
      <c r="BC25" s="252">
        <v>192550</v>
      </c>
      <c r="BD25" s="252">
        <v>60</v>
      </c>
      <c r="BE25" s="252">
        <v>11</v>
      </c>
      <c r="BF25" s="252">
        <v>82904</v>
      </c>
      <c r="BG25" s="252">
        <v>0</v>
      </c>
      <c r="BH25" s="246" t="s">
        <v>588</v>
      </c>
      <c r="BI25" s="252">
        <v>4200</v>
      </c>
      <c r="BJ25" s="252">
        <v>1</v>
      </c>
      <c r="BK25" s="252">
        <v>1</v>
      </c>
      <c r="BL25" s="252">
        <v>3949</v>
      </c>
      <c r="BM25" s="252">
        <v>0</v>
      </c>
      <c r="BN25" s="252"/>
      <c r="BO25" s="255" t="s">
        <v>486</v>
      </c>
      <c r="BP25" s="263" t="s">
        <v>564</v>
      </c>
      <c r="BQ25" s="262"/>
      <c r="BR25" s="262"/>
      <c r="BS25" s="244"/>
      <c r="BT25" s="244"/>
      <c r="BU25" s="262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</row>
    <row r="26" spans="1:108" x14ac:dyDescent="0.2">
      <c r="B26" s="190" t="s">
        <v>232</v>
      </c>
      <c r="C26" s="193">
        <v>38628</v>
      </c>
      <c r="D26" s="190">
        <v>10207.67</v>
      </c>
      <c r="E26" s="222">
        <v>1</v>
      </c>
      <c r="F26" s="208"/>
      <c r="G26" s="222" t="s">
        <v>273</v>
      </c>
      <c r="H26" s="222">
        <v>21265.76134008</v>
      </c>
      <c r="I26" s="164"/>
      <c r="J26" s="157"/>
      <c r="K26" s="231"/>
      <c r="L26" s="227"/>
      <c r="M26" s="227"/>
      <c r="O26" s="240" t="s">
        <v>273</v>
      </c>
      <c r="P26" s="240">
        <v>19189.78882012</v>
      </c>
      <c r="Q26" s="238"/>
      <c r="S26" s="252" t="s">
        <v>451</v>
      </c>
      <c r="T26" s="257">
        <v>518339222.92400002</v>
      </c>
      <c r="U26" s="257">
        <v>32746</v>
      </c>
      <c r="V26" s="257">
        <v>99</v>
      </c>
      <c r="W26" s="257">
        <v>472686</v>
      </c>
      <c r="X26" s="257">
        <v>1</v>
      </c>
      <c r="Y26" s="244"/>
      <c r="Z26" s="252" t="s">
        <v>591</v>
      </c>
      <c r="AA26" s="252">
        <v>0</v>
      </c>
      <c r="AB26" s="252">
        <v>0</v>
      </c>
      <c r="AC26" s="252">
        <v>0</v>
      </c>
      <c r="AD26" s="252">
        <v>0</v>
      </c>
      <c r="AE26" s="252">
        <v>0</v>
      </c>
      <c r="AF26" s="252"/>
      <c r="AG26" s="252" t="s">
        <v>591</v>
      </c>
      <c r="AH26" s="252">
        <v>0</v>
      </c>
      <c r="AI26" s="252">
        <v>0</v>
      </c>
      <c r="AJ26" s="252">
        <v>0</v>
      </c>
      <c r="AK26" s="252">
        <v>0</v>
      </c>
      <c r="AL26" s="252">
        <v>0</v>
      </c>
      <c r="AM26" s="244"/>
      <c r="AN26" s="252" t="s">
        <v>591</v>
      </c>
      <c r="AO26" s="252">
        <v>0</v>
      </c>
      <c r="AP26" s="252">
        <v>0</v>
      </c>
      <c r="AQ26" s="252">
        <v>0</v>
      </c>
      <c r="AR26" s="252">
        <v>0</v>
      </c>
      <c r="AS26" s="252">
        <v>0</v>
      </c>
      <c r="AT26" s="244"/>
      <c r="AU26" s="252" t="s">
        <v>591</v>
      </c>
      <c r="AV26" s="252">
        <v>0</v>
      </c>
      <c r="AW26" s="252">
        <v>0</v>
      </c>
      <c r="AX26" s="252">
        <v>0</v>
      </c>
      <c r="AY26" s="252">
        <v>0</v>
      </c>
      <c r="AZ26" s="252">
        <v>0</v>
      </c>
      <c r="BA26" s="244"/>
      <c r="BB26" s="252" t="s">
        <v>589</v>
      </c>
      <c r="BC26" s="252">
        <v>29322262909.32</v>
      </c>
      <c r="BD26" s="252">
        <v>85867</v>
      </c>
      <c r="BE26" s="252">
        <v>14792</v>
      </c>
      <c r="BF26" s="252">
        <v>503353</v>
      </c>
      <c r="BG26" s="252">
        <v>1</v>
      </c>
      <c r="BH26" s="246" t="s">
        <v>589</v>
      </c>
      <c r="BI26" s="252">
        <v>1232462871.3800001</v>
      </c>
      <c r="BJ26" s="252">
        <v>3582</v>
      </c>
      <c r="BK26" s="252">
        <v>697</v>
      </c>
      <c r="BL26" s="252">
        <v>22637</v>
      </c>
      <c r="BM26" s="252">
        <v>1</v>
      </c>
      <c r="BN26" s="252"/>
      <c r="BO26" s="246"/>
      <c r="BP26" s="262">
        <v>1389636</v>
      </c>
      <c r="BQ26" s="262"/>
      <c r="BR26" s="262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</row>
    <row r="27" spans="1:108" x14ac:dyDescent="0.2">
      <c r="B27" s="190" t="s">
        <v>233</v>
      </c>
      <c r="C27" s="193">
        <v>38713</v>
      </c>
      <c r="D27" s="190">
        <v>17257.37</v>
      </c>
      <c r="E27" s="222">
        <v>1</v>
      </c>
      <c r="F27" s="208"/>
      <c r="G27" s="222" t="s">
        <v>274</v>
      </c>
      <c r="H27" s="222">
        <v>3226.7789191400002</v>
      </c>
      <c r="I27" s="164"/>
      <c r="J27" s="157"/>
      <c r="K27" s="230"/>
      <c r="L27" s="227"/>
      <c r="M27" s="227"/>
      <c r="O27" s="240" t="s">
        <v>274</v>
      </c>
      <c r="P27" s="240">
        <v>3110.9302899300001</v>
      </c>
      <c r="Q27" s="238"/>
      <c r="S27" s="252" t="s">
        <v>450</v>
      </c>
      <c r="T27" s="257">
        <v>0</v>
      </c>
      <c r="U27" s="257">
        <v>52432</v>
      </c>
      <c r="V27" s="257">
        <v>17</v>
      </c>
      <c r="W27" s="257">
        <v>11531907</v>
      </c>
      <c r="X27" s="257">
        <v>1</v>
      </c>
      <c r="Y27" s="244"/>
      <c r="Z27" s="252" t="s">
        <v>592</v>
      </c>
      <c r="AA27" s="252">
        <v>0</v>
      </c>
      <c r="AB27" s="252">
        <v>0</v>
      </c>
      <c r="AC27" s="252">
        <v>0</v>
      </c>
      <c r="AD27" s="252">
        <v>0</v>
      </c>
      <c r="AE27" s="252">
        <v>0</v>
      </c>
      <c r="AF27" s="252"/>
      <c r="AG27" s="252" t="s">
        <v>592</v>
      </c>
      <c r="AH27" s="252">
        <v>0</v>
      </c>
      <c r="AI27" s="252">
        <v>0</v>
      </c>
      <c r="AJ27" s="252">
        <v>0</v>
      </c>
      <c r="AK27" s="252">
        <v>0</v>
      </c>
      <c r="AL27" s="252">
        <v>0</v>
      </c>
      <c r="AM27" s="244"/>
      <c r="AN27" s="252" t="s">
        <v>592</v>
      </c>
      <c r="AO27" s="252">
        <v>0</v>
      </c>
      <c r="AP27" s="252">
        <v>0</v>
      </c>
      <c r="AQ27" s="252">
        <v>0</v>
      </c>
      <c r="AR27" s="252">
        <v>0</v>
      </c>
      <c r="AS27" s="252">
        <v>0</v>
      </c>
      <c r="AT27" s="244"/>
      <c r="AU27" s="252" t="s">
        <v>592</v>
      </c>
      <c r="AV27" s="252">
        <v>0</v>
      </c>
      <c r="AW27" s="252">
        <v>0</v>
      </c>
      <c r="AX27" s="252">
        <v>0</v>
      </c>
      <c r="AY27" s="252">
        <v>0</v>
      </c>
      <c r="AZ27" s="252">
        <v>0</v>
      </c>
      <c r="BA27" s="244"/>
      <c r="BB27" s="252" t="s">
        <v>590</v>
      </c>
      <c r="BC27" s="252">
        <v>0</v>
      </c>
      <c r="BD27" s="252">
        <v>0</v>
      </c>
      <c r="BE27" s="252">
        <v>0</v>
      </c>
      <c r="BF27" s="252">
        <v>0</v>
      </c>
      <c r="BG27" s="252">
        <v>0</v>
      </c>
      <c r="BH27" s="246" t="s">
        <v>590</v>
      </c>
      <c r="BI27" s="252">
        <v>0</v>
      </c>
      <c r="BJ27" s="252">
        <v>0</v>
      </c>
      <c r="BK27" s="252">
        <v>0</v>
      </c>
      <c r="BL27" s="252">
        <v>0</v>
      </c>
      <c r="BM27" s="252">
        <v>0</v>
      </c>
      <c r="BN27" s="252"/>
      <c r="BO27" s="246"/>
      <c r="BP27" s="262"/>
      <c r="BQ27" s="262"/>
      <c r="BR27" s="262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66" t="s">
        <v>520</v>
      </c>
      <c r="CS27" s="275" t="s">
        <v>638</v>
      </c>
      <c r="CT27" s="274" t="s">
        <v>639</v>
      </c>
      <c r="CU27" s="274" t="s">
        <v>640</v>
      </c>
      <c r="CV27" s="274" t="s">
        <v>641</v>
      </c>
      <c r="CW27" s="274" t="s">
        <v>642</v>
      </c>
      <c r="CX27" s="274" t="s">
        <v>643</v>
      </c>
      <c r="CY27" s="274" t="s">
        <v>644</v>
      </c>
      <c r="CZ27" s="274" t="s">
        <v>645</v>
      </c>
      <c r="DA27" s="274" t="s">
        <v>646</v>
      </c>
      <c r="DB27" s="274" t="s">
        <v>647</v>
      </c>
      <c r="DC27" s="274" t="s">
        <v>648</v>
      </c>
      <c r="DD27" s="274" t="s">
        <v>649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2">
        <v>1</v>
      </c>
      <c r="F28" s="208"/>
      <c r="G28" s="222" t="s">
        <v>275</v>
      </c>
      <c r="H28" s="222">
        <v>3443.65253747</v>
      </c>
      <c r="I28" s="164"/>
      <c r="J28" s="157"/>
      <c r="K28" s="230"/>
      <c r="L28" s="232"/>
      <c r="M28" s="235"/>
      <c r="O28" s="240" t="s">
        <v>275</v>
      </c>
      <c r="P28" s="240">
        <v>3362.0517302100002</v>
      </c>
      <c r="Q28" s="238"/>
      <c r="S28" s="244" t="s">
        <v>448</v>
      </c>
      <c r="T28" s="244">
        <v>0</v>
      </c>
      <c r="U28" s="244">
        <v>4945</v>
      </c>
      <c r="V28" s="244">
        <v>120</v>
      </c>
      <c r="W28" s="244">
        <v>830042</v>
      </c>
      <c r="X28" s="244">
        <v>1</v>
      </c>
      <c r="Y28" s="244"/>
      <c r="Z28" s="252" t="s">
        <v>593</v>
      </c>
      <c r="AA28" s="252">
        <v>3311000</v>
      </c>
      <c r="AB28" s="252">
        <v>13</v>
      </c>
      <c r="AC28" s="252">
        <v>3</v>
      </c>
      <c r="AD28" s="252">
        <v>332</v>
      </c>
      <c r="AE28" s="252">
        <v>1</v>
      </c>
      <c r="AF28" s="252"/>
      <c r="AG28" s="252" t="s">
        <v>593</v>
      </c>
      <c r="AH28" s="252">
        <v>0</v>
      </c>
      <c r="AI28" s="252">
        <v>0</v>
      </c>
      <c r="AJ28" s="252">
        <v>0</v>
      </c>
      <c r="AK28" s="252">
        <v>22</v>
      </c>
      <c r="AL28" s="252">
        <v>1</v>
      </c>
      <c r="AM28" s="244"/>
      <c r="AN28" s="252" t="s">
        <v>593</v>
      </c>
      <c r="AO28" s="252">
        <v>1250000</v>
      </c>
      <c r="AP28" s="252">
        <v>5</v>
      </c>
      <c r="AQ28" s="252">
        <v>1</v>
      </c>
      <c r="AR28" s="252">
        <v>190</v>
      </c>
      <c r="AS28" s="252">
        <v>1</v>
      </c>
      <c r="AT28" s="244"/>
      <c r="AU28" s="252" t="s">
        <v>593</v>
      </c>
      <c r="AV28" s="252">
        <v>0</v>
      </c>
      <c r="AW28" s="252">
        <v>0</v>
      </c>
      <c r="AX28" s="252">
        <v>0</v>
      </c>
      <c r="AY28" s="252">
        <v>9</v>
      </c>
      <c r="AZ28" s="252">
        <v>1</v>
      </c>
      <c r="BA28" s="244"/>
      <c r="BB28" s="252" t="s">
        <v>591</v>
      </c>
      <c r="BC28" s="252">
        <v>0</v>
      </c>
      <c r="BD28" s="252">
        <v>0</v>
      </c>
      <c r="BE28" s="252">
        <v>0</v>
      </c>
      <c r="BF28" s="252">
        <v>0</v>
      </c>
      <c r="BG28" s="252">
        <v>0</v>
      </c>
      <c r="BH28" s="246" t="s">
        <v>591</v>
      </c>
      <c r="BI28" s="252">
        <v>0</v>
      </c>
      <c r="BJ28" s="252">
        <v>0</v>
      </c>
      <c r="BK28" s="252">
        <v>0</v>
      </c>
      <c r="BL28" s="252">
        <v>0</v>
      </c>
      <c r="BM28" s="252">
        <v>0</v>
      </c>
      <c r="BN28" s="252"/>
      <c r="BO28" s="255" t="s">
        <v>487</v>
      </c>
      <c r="BP28" s="263" t="s">
        <v>564</v>
      </c>
      <c r="BQ28" s="262"/>
      <c r="BR28" s="262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244"/>
      <c r="CL28" s="244"/>
      <c r="CM28" s="244"/>
      <c r="CN28" s="244"/>
      <c r="CO28" s="244"/>
      <c r="CP28" s="244"/>
      <c r="CQ28" s="244"/>
      <c r="CR28" s="246"/>
      <c r="CS28" s="276">
        <v>2016</v>
      </c>
      <c r="CT28" s="274">
        <v>34</v>
      </c>
      <c r="CU28" s="274" t="s">
        <v>650</v>
      </c>
      <c r="CV28" s="274">
        <v>0</v>
      </c>
      <c r="CW28" s="274">
        <v>-5162234561</v>
      </c>
      <c r="CX28" s="274">
        <v>1868</v>
      </c>
      <c r="CY28" s="274">
        <v>0</v>
      </c>
      <c r="CZ28" s="274">
        <v>92696133076</v>
      </c>
      <c r="DA28" s="274">
        <v>963</v>
      </c>
      <c r="DB28" s="274">
        <v>0</v>
      </c>
      <c r="DC28" s="274">
        <v>97858367637</v>
      </c>
      <c r="DD28" s="274">
        <v>905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2">
        <v>1</v>
      </c>
      <c r="F29" s="208"/>
      <c r="G29" s="222" t="s">
        <v>93</v>
      </c>
      <c r="H29" s="222">
        <v>3637.3370576100001</v>
      </c>
      <c r="I29" s="164"/>
      <c r="J29" s="157"/>
      <c r="K29" s="230"/>
      <c r="L29" s="227"/>
      <c r="M29" s="227"/>
      <c r="O29" s="240" t="s">
        <v>93</v>
      </c>
      <c r="P29" s="240">
        <v>3480.5164960000002</v>
      </c>
      <c r="Q29" s="238"/>
      <c r="S29" s="244"/>
      <c r="T29" s="244"/>
      <c r="U29" s="244"/>
      <c r="V29" s="244"/>
      <c r="W29" s="244"/>
      <c r="X29" s="244"/>
      <c r="Y29" s="244"/>
      <c r="Z29" s="252" t="s">
        <v>594</v>
      </c>
      <c r="AA29" s="252">
        <v>0</v>
      </c>
      <c r="AB29" s="252">
        <v>0</v>
      </c>
      <c r="AC29" s="252">
        <v>0</v>
      </c>
      <c r="AD29" s="252">
        <v>0</v>
      </c>
      <c r="AE29" s="252">
        <v>0</v>
      </c>
      <c r="AF29" s="252"/>
      <c r="AG29" s="252" t="s">
        <v>594</v>
      </c>
      <c r="AH29" s="252">
        <v>0</v>
      </c>
      <c r="AI29" s="252">
        <v>0</v>
      </c>
      <c r="AJ29" s="252">
        <v>0</v>
      </c>
      <c r="AK29" s="252">
        <v>0</v>
      </c>
      <c r="AL29" s="252">
        <v>0</v>
      </c>
      <c r="AM29" s="244"/>
      <c r="AN29" s="252" t="s">
        <v>594</v>
      </c>
      <c r="AO29" s="252">
        <v>0</v>
      </c>
      <c r="AP29" s="252">
        <v>0</v>
      </c>
      <c r="AQ29" s="252">
        <v>0</v>
      </c>
      <c r="AR29" s="252">
        <v>0</v>
      </c>
      <c r="AS29" s="252">
        <v>0</v>
      </c>
      <c r="AT29" s="244"/>
      <c r="AU29" s="252" t="s">
        <v>594</v>
      </c>
      <c r="AV29" s="252">
        <v>0</v>
      </c>
      <c r="AW29" s="252">
        <v>0</v>
      </c>
      <c r="AX29" s="252">
        <v>0</v>
      </c>
      <c r="AY29" s="252">
        <v>0</v>
      </c>
      <c r="AZ29" s="252">
        <v>0</v>
      </c>
      <c r="BA29" s="244"/>
      <c r="BB29" s="252" t="s">
        <v>592</v>
      </c>
      <c r="BC29" s="252">
        <v>0</v>
      </c>
      <c r="BD29" s="252">
        <v>0</v>
      </c>
      <c r="BE29" s="252">
        <v>0</v>
      </c>
      <c r="BF29" s="252">
        <v>0</v>
      </c>
      <c r="BG29" s="252">
        <v>0</v>
      </c>
      <c r="BH29" s="246" t="s">
        <v>592</v>
      </c>
      <c r="BI29" s="252">
        <v>0</v>
      </c>
      <c r="BJ29" s="252">
        <v>0</v>
      </c>
      <c r="BK29" s="252">
        <v>0</v>
      </c>
      <c r="BL29" s="252">
        <v>0</v>
      </c>
      <c r="BM29" s="252">
        <v>0</v>
      </c>
      <c r="BN29" s="252"/>
      <c r="BO29" s="246"/>
      <c r="BP29" s="262">
        <v>85832</v>
      </c>
      <c r="BQ29" s="262"/>
      <c r="BR29" s="262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6"/>
      <c r="CS29" s="276">
        <v>2016</v>
      </c>
      <c r="CT29" s="274">
        <v>9</v>
      </c>
      <c r="CU29" s="274" t="s">
        <v>651</v>
      </c>
      <c r="CV29" s="274">
        <v>1081151235.6900003</v>
      </c>
      <c r="CW29" s="274">
        <v>1048730000</v>
      </c>
      <c r="CX29" s="274">
        <v>12</v>
      </c>
      <c r="CY29" s="274">
        <v>1126919551.3500001</v>
      </c>
      <c r="CZ29" s="274">
        <v>1099730000</v>
      </c>
      <c r="DA29" s="274">
        <v>10</v>
      </c>
      <c r="DB29" s="274">
        <v>45768315.659999996</v>
      </c>
      <c r="DC29" s="274">
        <v>51000000</v>
      </c>
      <c r="DD29" s="274">
        <v>2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2">
        <v>1</v>
      </c>
      <c r="F30" s="208"/>
      <c r="G30" s="222" t="s">
        <v>63</v>
      </c>
      <c r="H30" s="222">
        <v>1376.9296855600001</v>
      </c>
      <c r="I30" s="164"/>
      <c r="J30" s="157"/>
      <c r="K30" s="230"/>
      <c r="L30" s="227"/>
      <c r="M30" s="227"/>
      <c r="O30" s="240" t="s">
        <v>63</v>
      </c>
      <c r="P30" s="240">
        <v>1324.6363397800001</v>
      </c>
      <c r="Q30" s="238"/>
      <c r="R30" s="153" t="s">
        <v>454</v>
      </c>
      <c r="S30" s="253" t="s">
        <v>560</v>
      </c>
      <c r="T30" s="256" t="s">
        <v>561</v>
      </c>
      <c r="U30" s="256" t="s">
        <v>562</v>
      </c>
      <c r="V30" s="256" t="s">
        <v>563</v>
      </c>
      <c r="W30" s="256" t="s">
        <v>564</v>
      </c>
      <c r="X30" s="256" t="s">
        <v>565</v>
      </c>
      <c r="Y30" s="244"/>
      <c r="Z30" s="252" t="s">
        <v>579</v>
      </c>
      <c r="AA30" s="252">
        <v>1470200.01</v>
      </c>
      <c r="AB30" s="252">
        <v>72</v>
      </c>
      <c r="AC30" s="252">
        <v>3</v>
      </c>
      <c r="AD30" s="252">
        <v>129</v>
      </c>
      <c r="AE30" s="252">
        <v>1</v>
      </c>
      <c r="AF30" s="252"/>
      <c r="AG30" s="252" t="s">
        <v>579</v>
      </c>
      <c r="AH30" s="252">
        <v>0</v>
      </c>
      <c r="AI30" s="252">
        <v>0</v>
      </c>
      <c r="AJ30" s="252">
        <v>0</v>
      </c>
      <c r="AK30" s="252">
        <v>10</v>
      </c>
      <c r="AL30" s="252">
        <v>1</v>
      </c>
      <c r="AM30" s="244"/>
      <c r="AN30" s="252" t="s">
        <v>579</v>
      </c>
      <c r="AO30" s="252">
        <v>100000</v>
      </c>
      <c r="AP30" s="252">
        <v>5</v>
      </c>
      <c r="AQ30" s="252">
        <v>1</v>
      </c>
      <c r="AR30" s="252">
        <v>1285</v>
      </c>
      <c r="AS30" s="252">
        <v>1</v>
      </c>
      <c r="AT30" s="244"/>
      <c r="AU30" s="252" t="s">
        <v>579</v>
      </c>
      <c r="AV30" s="252">
        <v>0</v>
      </c>
      <c r="AW30" s="252">
        <v>0</v>
      </c>
      <c r="AX30" s="252">
        <v>0</v>
      </c>
      <c r="AY30" s="252">
        <v>62</v>
      </c>
      <c r="AZ30" s="252">
        <v>1</v>
      </c>
      <c r="BA30" s="244"/>
      <c r="BB30" s="252" t="s">
        <v>593</v>
      </c>
      <c r="BC30" s="252">
        <v>2042780</v>
      </c>
      <c r="BD30" s="252">
        <v>6</v>
      </c>
      <c r="BE30" s="252">
        <v>3</v>
      </c>
      <c r="BF30" s="252">
        <v>74</v>
      </c>
      <c r="BG30" s="252">
        <v>1</v>
      </c>
      <c r="BH30" s="246" t="s">
        <v>593</v>
      </c>
      <c r="BI30" s="252">
        <v>0</v>
      </c>
      <c r="BJ30" s="252">
        <v>0</v>
      </c>
      <c r="BK30" s="252">
        <v>0</v>
      </c>
      <c r="BL30" s="252">
        <v>6</v>
      </c>
      <c r="BM30" s="252">
        <v>1</v>
      </c>
      <c r="BN30" s="252"/>
      <c r="BO30" s="246"/>
      <c r="BP30" s="262"/>
      <c r="BQ30" s="262"/>
      <c r="BR30" s="262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6"/>
      <c r="CS30" s="276">
        <v>2016</v>
      </c>
      <c r="CT30" s="274">
        <v>27</v>
      </c>
      <c r="CU30" s="274" t="s">
        <v>652</v>
      </c>
      <c r="CV30" s="274">
        <v>57634578719.349945</v>
      </c>
      <c r="CW30" s="274">
        <v>59488296700</v>
      </c>
      <c r="CX30" s="274">
        <v>7621</v>
      </c>
      <c r="CY30" s="274">
        <v>555496540701.31042</v>
      </c>
      <c r="CZ30" s="274">
        <v>580592942000</v>
      </c>
      <c r="DA30" s="274">
        <v>4495</v>
      </c>
      <c r="DB30" s="274">
        <v>497861961981.9599</v>
      </c>
      <c r="DC30" s="274">
        <v>521104645300</v>
      </c>
      <c r="DD30" s="274">
        <v>3126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2">
        <v>1</v>
      </c>
      <c r="F31" s="213"/>
      <c r="G31" s="222" t="s">
        <v>276</v>
      </c>
      <c r="H31" s="222">
        <v>18173.790852120001</v>
      </c>
      <c r="I31" s="164"/>
      <c r="J31" s="158"/>
      <c r="K31" s="228"/>
      <c r="L31" s="227"/>
      <c r="M31" s="227"/>
      <c r="O31" s="240" t="s">
        <v>276</v>
      </c>
      <c r="P31" s="240">
        <v>15530.399319579999</v>
      </c>
      <c r="Q31" s="238"/>
      <c r="R31" s="157"/>
      <c r="S31" s="252" t="s">
        <v>449</v>
      </c>
      <c r="T31" s="257">
        <v>4906303361.0114002</v>
      </c>
      <c r="U31" s="257">
        <v>23718040</v>
      </c>
      <c r="V31" s="257">
        <v>591</v>
      </c>
      <c r="W31" s="257">
        <v>12118562</v>
      </c>
      <c r="X31" s="257">
        <v>1</v>
      </c>
      <c r="Y31" s="244"/>
      <c r="Z31" s="252" t="s">
        <v>595</v>
      </c>
      <c r="AA31" s="252">
        <v>0</v>
      </c>
      <c r="AB31" s="252">
        <v>0</v>
      </c>
      <c r="AC31" s="252">
        <v>0</v>
      </c>
      <c r="AD31" s="252">
        <v>88</v>
      </c>
      <c r="AE31" s="252">
        <v>1</v>
      </c>
      <c r="AF31" s="252"/>
      <c r="AG31" s="252" t="s">
        <v>595</v>
      </c>
      <c r="AH31" s="252">
        <v>0</v>
      </c>
      <c r="AI31" s="252">
        <v>0</v>
      </c>
      <c r="AJ31" s="252">
        <v>0</v>
      </c>
      <c r="AK31" s="252">
        <v>4</v>
      </c>
      <c r="AL31" s="252">
        <v>1</v>
      </c>
      <c r="AM31" s="244"/>
      <c r="AN31" s="252" t="s">
        <v>595</v>
      </c>
      <c r="AO31" s="252">
        <v>0</v>
      </c>
      <c r="AP31" s="252">
        <v>0</v>
      </c>
      <c r="AQ31" s="252">
        <v>0</v>
      </c>
      <c r="AR31" s="252">
        <v>80</v>
      </c>
      <c r="AS31" s="252">
        <v>1</v>
      </c>
      <c r="AT31" s="244"/>
      <c r="AU31" s="252" t="s">
        <v>595</v>
      </c>
      <c r="AV31" s="252">
        <v>0</v>
      </c>
      <c r="AW31" s="252">
        <v>0</v>
      </c>
      <c r="AX31" s="252">
        <v>0</v>
      </c>
      <c r="AY31" s="252">
        <v>4</v>
      </c>
      <c r="AZ31" s="252">
        <v>1</v>
      </c>
      <c r="BA31" s="244"/>
      <c r="BB31" s="252" t="s">
        <v>594</v>
      </c>
      <c r="BC31" s="252">
        <v>0</v>
      </c>
      <c r="BD31" s="252">
        <v>0</v>
      </c>
      <c r="BE31" s="252">
        <v>0</v>
      </c>
      <c r="BF31" s="252">
        <v>0</v>
      </c>
      <c r="BG31" s="252">
        <v>0</v>
      </c>
      <c r="BH31" s="246" t="s">
        <v>594</v>
      </c>
      <c r="BI31" s="252">
        <v>0</v>
      </c>
      <c r="BJ31" s="252">
        <v>0</v>
      </c>
      <c r="BK31" s="252">
        <v>0</v>
      </c>
      <c r="BL31" s="252">
        <v>0</v>
      </c>
      <c r="BM31" s="252">
        <v>0</v>
      </c>
      <c r="BN31" s="252"/>
      <c r="BO31" s="255" t="s">
        <v>470</v>
      </c>
      <c r="BP31" s="263" t="s">
        <v>537</v>
      </c>
      <c r="BQ31" s="263" t="s">
        <v>562</v>
      </c>
      <c r="BR31" s="263" t="s">
        <v>563</v>
      </c>
      <c r="BS31" s="244"/>
      <c r="BT31" s="244"/>
      <c r="BU31" s="244"/>
      <c r="BV31" s="244"/>
      <c r="BW31" s="244"/>
      <c r="BX31" s="244"/>
      <c r="BY31" s="244"/>
      <c r="BZ31" s="244"/>
      <c r="CA31" s="244"/>
      <c r="CB31" s="244"/>
      <c r="CC31" s="244"/>
      <c r="CD31" s="244"/>
      <c r="CE31" s="244"/>
      <c r="CF31" s="244"/>
      <c r="CG31" s="244"/>
      <c r="CH31" s="244"/>
      <c r="CI31" s="244"/>
      <c r="CJ31" s="244"/>
      <c r="CK31" s="244"/>
      <c r="CL31" s="244"/>
      <c r="CM31" s="244"/>
      <c r="CN31" s="244"/>
      <c r="CO31" s="244"/>
      <c r="CP31" s="244"/>
      <c r="CQ31" s="244"/>
      <c r="CR31" s="246"/>
      <c r="CS31" s="276">
        <v>2016</v>
      </c>
      <c r="CT31" s="274">
        <v>27</v>
      </c>
      <c r="CU31" s="274" t="s">
        <v>653</v>
      </c>
      <c r="CV31" s="274">
        <v>-66883323752.009895</v>
      </c>
      <c r="CW31" s="274">
        <v>-68735220700</v>
      </c>
      <c r="CX31" s="274">
        <v>7521</v>
      </c>
      <c r="CY31" s="274">
        <v>483139869327.09009</v>
      </c>
      <c r="CZ31" s="274">
        <v>506132921300</v>
      </c>
      <c r="DA31" s="274">
        <v>3066</v>
      </c>
      <c r="DB31" s="274">
        <v>550023193079.10034</v>
      </c>
      <c r="DC31" s="274">
        <v>574868142000</v>
      </c>
      <c r="DD31" s="274">
        <v>4455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2">
        <v>1</v>
      </c>
      <c r="F32" s="208"/>
      <c r="G32" s="222" t="s">
        <v>106</v>
      </c>
      <c r="H32" s="222">
        <v>22.084320389999998</v>
      </c>
      <c r="I32" s="164"/>
      <c r="J32" s="157"/>
      <c r="K32" s="228"/>
      <c r="L32" s="227"/>
      <c r="M32" s="227"/>
      <c r="O32" s="240" t="s">
        <v>106</v>
      </c>
      <c r="P32" s="240">
        <v>18.475716429999999</v>
      </c>
      <c r="Q32" s="238"/>
      <c r="R32" s="157"/>
      <c r="S32" s="252" t="s">
        <v>447</v>
      </c>
      <c r="T32" s="257">
        <v>616376871.90999997</v>
      </c>
      <c r="U32" s="257">
        <v>1073368</v>
      </c>
      <c r="V32" s="257">
        <v>1480</v>
      </c>
      <c r="W32" s="257">
        <v>1733536</v>
      </c>
      <c r="X32" s="257">
        <v>0</v>
      </c>
      <c r="Y32" s="244"/>
      <c r="Z32" s="252" t="s">
        <v>596</v>
      </c>
      <c r="AA32" s="252">
        <v>0</v>
      </c>
      <c r="AB32" s="252">
        <v>0</v>
      </c>
      <c r="AC32" s="252">
        <v>0</v>
      </c>
      <c r="AD32" s="252">
        <v>0</v>
      </c>
      <c r="AE32" s="252">
        <v>0</v>
      </c>
      <c r="AF32" s="252"/>
      <c r="AG32" s="252" t="s">
        <v>596</v>
      </c>
      <c r="AH32" s="252">
        <v>0</v>
      </c>
      <c r="AI32" s="252">
        <v>0</v>
      </c>
      <c r="AJ32" s="252">
        <v>0</v>
      </c>
      <c r="AK32" s="252">
        <v>0</v>
      </c>
      <c r="AL32" s="252">
        <v>0</v>
      </c>
      <c r="AM32" s="244"/>
      <c r="AN32" s="252" t="s">
        <v>596</v>
      </c>
      <c r="AO32" s="252">
        <v>0</v>
      </c>
      <c r="AP32" s="252">
        <v>0</v>
      </c>
      <c r="AQ32" s="252">
        <v>0</v>
      </c>
      <c r="AR32" s="252">
        <v>0</v>
      </c>
      <c r="AS32" s="252">
        <v>0</v>
      </c>
      <c r="AT32" s="244"/>
      <c r="AU32" s="252" t="s">
        <v>596</v>
      </c>
      <c r="AV32" s="252">
        <v>0</v>
      </c>
      <c r="AW32" s="252">
        <v>0</v>
      </c>
      <c r="AX32" s="252">
        <v>0</v>
      </c>
      <c r="AY32" s="252">
        <v>0</v>
      </c>
      <c r="AZ32" s="252">
        <v>0</v>
      </c>
      <c r="BA32" s="244"/>
      <c r="BB32" s="252" t="s">
        <v>579</v>
      </c>
      <c r="BC32" s="252">
        <v>0</v>
      </c>
      <c r="BD32" s="252">
        <v>0</v>
      </c>
      <c r="BE32" s="252">
        <v>0</v>
      </c>
      <c r="BF32" s="252">
        <v>0</v>
      </c>
      <c r="BG32" s="252">
        <v>1</v>
      </c>
      <c r="BH32" s="246" t="s">
        <v>579</v>
      </c>
      <c r="BI32" s="252">
        <v>0</v>
      </c>
      <c r="BJ32" s="252">
        <v>0</v>
      </c>
      <c r="BK32" s="252">
        <v>0</v>
      </c>
      <c r="BL32" s="252">
        <v>0</v>
      </c>
      <c r="BM32" s="252">
        <v>1</v>
      </c>
      <c r="BN32" s="252"/>
      <c r="BO32" s="244"/>
      <c r="BP32" s="262">
        <v>1178537298887.1301</v>
      </c>
      <c r="BQ32" s="262">
        <v>10460225</v>
      </c>
      <c r="BR32" s="262">
        <v>11234</v>
      </c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6"/>
      <c r="CS32" s="276">
        <v>2016</v>
      </c>
      <c r="CT32" s="274">
        <v>584</v>
      </c>
      <c r="CU32" s="274" t="s">
        <v>654</v>
      </c>
      <c r="CV32" s="274">
        <v>-48472106681.69989</v>
      </c>
      <c r="CW32" s="274">
        <v>-46400649698</v>
      </c>
      <c r="CX32" s="274">
        <v>9370</v>
      </c>
      <c r="CY32" s="274">
        <v>104759455640.25005</v>
      </c>
      <c r="CZ32" s="274">
        <v>106099635626</v>
      </c>
      <c r="DA32" s="274">
        <v>5457</v>
      </c>
      <c r="DB32" s="274">
        <v>153231562321.9501</v>
      </c>
      <c r="DC32" s="274">
        <v>152500285324</v>
      </c>
      <c r="DD32" s="274">
        <v>3913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2">
        <v>1</v>
      </c>
      <c r="F33" s="209"/>
      <c r="G33" s="222" t="s">
        <v>108</v>
      </c>
      <c r="H33" s="222">
        <v>8530.8841339600003</v>
      </c>
      <c r="I33" s="164"/>
      <c r="J33" s="157"/>
      <c r="K33" s="227"/>
      <c r="L33" s="227"/>
      <c r="M33" s="227"/>
      <c r="O33" s="240" t="s">
        <v>108</v>
      </c>
      <c r="P33" s="240">
        <v>7891.8090986200004</v>
      </c>
      <c r="Q33" s="238"/>
      <c r="R33" s="157"/>
      <c r="S33" s="252" t="s">
        <v>451</v>
      </c>
      <c r="T33" s="257">
        <v>114596448.84999999</v>
      </c>
      <c r="U33" s="257">
        <v>184186</v>
      </c>
      <c r="V33" s="257">
        <v>191</v>
      </c>
      <c r="W33" s="257">
        <v>312255</v>
      </c>
      <c r="X33" s="257">
        <v>0</v>
      </c>
      <c r="Y33" s="244"/>
      <c r="Z33" s="252" t="s">
        <v>597</v>
      </c>
      <c r="AA33" s="252">
        <v>0</v>
      </c>
      <c r="AB33" s="252">
        <v>0</v>
      </c>
      <c r="AC33" s="252">
        <v>0</v>
      </c>
      <c r="AD33" s="252">
        <v>0</v>
      </c>
      <c r="AE33" s="252">
        <v>0</v>
      </c>
      <c r="AF33" s="252"/>
      <c r="AG33" s="252" t="s">
        <v>597</v>
      </c>
      <c r="AH33" s="252">
        <v>0</v>
      </c>
      <c r="AI33" s="252">
        <v>0</v>
      </c>
      <c r="AJ33" s="252">
        <v>0</v>
      </c>
      <c r="AK33" s="252">
        <v>0</v>
      </c>
      <c r="AL33" s="252">
        <v>0</v>
      </c>
      <c r="AM33" s="244"/>
      <c r="AN33" s="252" t="s">
        <v>597</v>
      </c>
      <c r="AO33" s="252">
        <v>0</v>
      </c>
      <c r="AP33" s="252">
        <v>0</v>
      </c>
      <c r="AQ33" s="252">
        <v>0</v>
      </c>
      <c r="AR33" s="252">
        <v>0</v>
      </c>
      <c r="AS33" s="252">
        <v>0</v>
      </c>
      <c r="AT33" s="244"/>
      <c r="AU33" s="252" t="s">
        <v>597</v>
      </c>
      <c r="AV33" s="252">
        <v>0</v>
      </c>
      <c r="AW33" s="252">
        <v>0</v>
      </c>
      <c r="AX33" s="252">
        <v>0</v>
      </c>
      <c r="AY33" s="252">
        <v>0</v>
      </c>
      <c r="AZ33" s="252">
        <v>0</v>
      </c>
      <c r="BA33" s="244"/>
      <c r="BB33" s="252" t="s">
        <v>595</v>
      </c>
      <c r="BC33" s="252">
        <v>0</v>
      </c>
      <c r="BD33" s="252">
        <v>0</v>
      </c>
      <c r="BE33" s="252">
        <v>0</v>
      </c>
      <c r="BF33" s="252">
        <v>966</v>
      </c>
      <c r="BG33" s="252">
        <v>1</v>
      </c>
      <c r="BH33" s="246" t="s">
        <v>595</v>
      </c>
      <c r="BI33" s="252">
        <v>0</v>
      </c>
      <c r="BJ33" s="252">
        <v>0</v>
      </c>
      <c r="BK33" s="252">
        <v>0</v>
      </c>
      <c r="BL33" s="252">
        <v>46</v>
      </c>
      <c r="BM33" s="252">
        <v>1</v>
      </c>
      <c r="BN33" s="252"/>
      <c r="BO33" s="244"/>
      <c r="BP33" s="244"/>
      <c r="BQ33" s="244"/>
      <c r="BR33" s="244"/>
      <c r="BS33" s="244"/>
      <c r="BT33" s="244"/>
      <c r="BU33" s="244"/>
      <c r="BV33" s="244"/>
      <c r="BW33" s="244"/>
      <c r="BX33" s="244"/>
      <c r="BY33" s="244"/>
      <c r="BZ33" s="244"/>
      <c r="CA33" s="244"/>
      <c r="CB33" s="244"/>
      <c r="CC33" s="244"/>
      <c r="CD33" s="244"/>
      <c r="CE33" s="244"/>
      <c r="CF33" s="244"/>
      <c r="CG33" s="244"/>
      <c r="CH33" s="244"/>
      <c r="CI33" s="244"/>
      <c r="CJ33" s="244"/>
      <c r="CK33" s="244"/>
      <c r="CL33" s="244"/>
      <c r="CM33" s="244"/>
      <c r="CN33" s="244"/>
      <c r="CO33" s="244"/>
      <c r="CP33" s="244"/>
      <c r="CQ33" s="244"/>
      <c r="CR33" s="246"/>
      <c r="CS33" s="276">
        <v>2016</v>
      </c>
      <c r="CT33" s="274">
        <v>165</v>
      </c>
      <c r="CU33" s="274" t="s">
        <v>655</v>
      </c>
      <c r="CV33" s="274">
        <v>98425760048.530029</v>
      </c>
      <c r="CW33" s="274">
        <v>100731627432</v>
      </c>
      <c r="CX33" s="274">
        <v>28501</v>
      </c>
      <c r="CY33" s="274">
        <v>740792868390.25134</v>
      </c>
      <c r="CZ33" s="274">
        <v>733327328869</v>
      </c>
      <c r="DA33" s="274">
        <v>15042</v>
      </c>
      <c r="DB33" s="274">
        <v>642367108341.71777</v>
      </c>
      <c r="DC33" s="274">
        <v>632595701437</v>
      </c>
      <c r="DD33" s="274">
        <v>13459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2">
        <v>1</v>
      </c>
      <c r="F34" s="209"/>
      <c r="G34" s="222" t="s">
        <v>279</v>
      </c>
      <c r="H34" s="222">
        <v>61722.790885460003</v>
      </c>
      <c r="I34" s="164"/>
      <c r="J34" s="157"/>
      <c r="K34" s="227"/>
      <c r="L34" s="227"/>
      <c r="M34" s="227"/>
      <c r="O34" s="240" t="s">
        <v>279</v>
      </c>
      <c r="P34" s="240">
        <v>64373.660499500002</v>
      </c>
      <c r="Q34" s="238"/>
      <c r="R34" s="157"/>
      <c r="S34" s="252" t="s">
        <v>446</v>
      </c>
      <c r="T34" s="257">
        <v>1652105662.97</v>
      </c>
      <c r="U34" s="257">
        <v>378323</v>
      </c>
      <c r="V34" s="257">
        <v>510</v>
      </c>
      <c r="W34" s="257">
        <v>933499</v>
      </c>
      <c r="X34" s="257">
        <v>0</v>
      </c>
      <c r="Y34" s="244"/>
      <c r="Z34" s="252" t="s">
        <v>580</v>
      </c>
      <c r="AA34" s="252">
        <v>2464557.9</v>
      </c>
      <c r="AB34" s="252">
        <v>35</v>
      </c>
      <c r="AC34" s="252">
        <v>1</v>
      </c>
      <c r="AD34" s="252">
        <v>105</v>
      </c>
      <c r="AE34" s="252">
        <v>1</v>
      </c>
      <c r="AF34" s="252"/>
      <c r="AG34" s="252" t="s">
        <v>580</v>
      </c>
      <c r="AH34" s="252">
        <v>0</v>
      </c>
      <c r="AI34" s="252">
        <v>0</v>
      </c>
      <c r="AJ34" s="252">
        <v>0</v>
      </c>
      <c r="AK34" s="252">
        <v>35</v>
      </c>
      <c r="AL34" s="252">
        <v>1</v>
      </c>
      <c r="AM34" s="244"/>
      <c r="AN34" s="252" t="s">
        <v>580</v>
      </c>
      <c r="AO34" s="252">
        <v>0</v>
      </c>
      <c r="AP34" s="252">
        <v>0</v>
      </c>
      <c r="AQ34" s="252">
        <v>0</v>
      </c>
      <c r="AR34" s="252">
        <v>0</v>
      </c>
      <c r="AS34" s="252">
        <v>1</v>
      </c>
      <c r="AT34" s="244"/>
      <c r="AU34" s="252" t="s">
        <v>580</v>
      </c>
      <c r="AV34" s="252">
        <v>0</v>
      </c>
      <c r="AW34" s="252">
        <v>0</v>
      </c>
      <c r="AX34" s="252">
        <v>0</v>
      </c>
      <c r="AY34" s="252">
        <v>0</v>
      </c>
      <c r="AZ34" s="252">
        <v>1</v>
      </c>
      <c r="BA34" s="244"/>
      <c r="BB34" s="252" t="s">
        <v>596</v>
      </c>
      <c r="BC34" s="252">
        <v>0</v>
      </c>
      <c r="BD34" s="252">
        <v>0</v>
      </c>
      <c r="BE34" s="252">
        <v>0</v>
      </c>
      <c r="BF34" s="252">
        <v>0</v>
      </c>
      <c r="BG34" s="252">
        <v>0</v>
      </c>
      <c r="BH34" s="246" t="s">
        <v>596</v>
      </c>
      <c r="BI34" s="252">
        <v>0</v>
      </c>
      <c r="BJ34" s="252">
        <v>0</v>
      </c>
      <c r="BK34" s="252">
        <v>0</v>
      </c>
      <c r="BL34" s="252">
        <v>0</v>
      </c>
      <c r="BM34" s="252">
        <v>0</v>
      </c>
      <c r="BN34" s="252"/>
      <c r="BO34" s="255" t="s">
        <v>481</v>
      </c>
      <c r="BP34" s="263" t="s">
        <v>537</v>
      </c>
      <c r="BQ34" s="263" t="s">
        <v>562</v>
      </c>
      <c r="BR34" s="263" t="s">
        <v>563</v>
      </c>
      <c r="BS34" s="244"/>
      <c r="BT34" s="244"/>
      <c r="BU34" s="244"/>
      <c r="BV34" s="244"/>
      <c r="BW34" s="244"/>
      <c r="BX34" s="244"/>
      <c r="BY34" s="244"/>
      <c r="BZ34" s="244"/>
      <c r="CA34" s="244"/>
      <c r="CB34" s="244"/>
      <c r="CC34" s="244"/>
      <c r="CD34" s="244"/>
      <c r="CE34" s="244"/>
      <c r="CF34" s="244"/>
      <c r="CG34" s="244"/>
      <c r="CH34" s="244"/>
      <c r="CI34" s="244"/>
      <c r="CJ34" s="244"/>
      <c r="CK34" s="244"/>
      <c r="CL34" s="244"/>
      <c r="CM34" s="244"/>
      <c r="CN34" s="244"/>
      <c r="CO34" s="244"/>
      <c r="CP34" s="244"/>
      <c r="CQ34" s="244"/>
      <c r="CR34" s="246"/>
      <c r="CS34" s="276">
        <v>2016</v>
      </c>
      <c r="CT34" s="274">
        <v>34</v>
      </c>
      <c r="CU34" s="274" t="s">
        <v>656</v>
      </c>
      <c r="CV34" s="274">
        <v>-42541682376.130043</v>
      </c>
      <c r="CW34" s="274">
        <v>-46059833950</v>
      </c>
      <c r="CX34" s="274">
        <v>2583</v>
      </c>
      <c r="CY34" s="274">
        <v>99982720319.000214</v>
      </c>
      <c r="CZ34" s="274">
        <v>103991211300</v>
      </c>
      <c r="DA34" s="274">
        <v>1133</v>
      </c>
      <c r="DB34" s="274">
        <v>142524402695.13007</v>
      </c>
      <c r="DC34" s="274">
        <v>150051045250</v>
      </c>
      <c r="DD34" s="274">
        <v>1450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2">
        <v>1</v>
      </c>
      <c r="F35" s="225"/>
      <c r="G35" s="222" t="s">
        <v>280</v>
      </c>
      <c r="H35" s="222">
        <v>14925.09733542</v>
      </c>
      <c r="I35" s="164"/>
      <c r="J35" s="157"/>
      <c r="K35" s="227"/>
      <c r="L35" s="227"/>
      <c r="M35" s="227"/>
      <c r="O35" s="240" t="s">
        <v>280</v>
      </c>
      <c r="P35" s="240">
        <v>11942.27765269</v>
      </c>
      <c r="Q35" s="238"/>
      <c r="R35" s="157"/>
      <c r="S35" s="252" t="s">
        <v>566</v>
      </c>
      <c r="T35" s="257">
        <v>0</v>
      </c>
      <c r="U35" s="257">
        <v>0</v>
      </c>
      <c r="V35" s="257">
        <v>0</v>
      </c>
      <c r="W35" s="257">
        <v>0</v>
      </c>
      <c r="X35" s="257">
        <v>1</v>
      </c>
      <c r="Y35" s="244"/>
      <c r="Z35" s="252" t="s">
        <v>588</v>
      </c>
      <c r="AA35" s="252">
        <v>4631026024.2200003</v>
      </c>
      <c r="AB35" s="252">
        <v>22231</v>
      </c>
      <c r="AC35" s="252">
        <v>3694</v>
      </c>
      <c r="AD35" s="252">
        <v>202891</v>
      </c>
      <c r="AE35" s="252">
        <v>1</v>
      </c>
      <c r="AF35" s="252"/>
      <c r="AG35" s="252" t="s">
        <v>588</v>
      </c>
      <c r="AH35" s="252">
        <v>214770241.22999999</v>
      </c>
      <c r="AI35" s="252">
        <v>1022</v>
      </c>
      <c r="AJ35" s="252">
        <v>131</v>
      </c>
      <c r="AK35" s="252">
        <v>9289</v>
      </c>
      <c r="AL35" s="252">
        <v>1</v>
      </c>
      <c r="AM35" s="244"/>
      <c r="AN35" s="252" t="s">
        <v>588</v>
      </c>
      <c r="AO35" s="252">
        <v>3330213398.5999999</v>
      </c>
      <c r="AP35" s="252">
        <v>16530</v>
      </c>
      <c r="AQ35" s="252">
        <v>1686</v>
      </c>
      <c r="AR35" s="252">
        <v>189342</v>
      </c>
      <c r="AS35" s="252">
        <v>1</v>
      </c>
      <c r="AT35" s="244"/>
      <c r="AU35" s="252" t="s">
        <v>588</v>
      </c>
      <c r="AV35" s="252">
        <v>195903232.33000001</v>
      </c>
      <c r="AW35" s="252">
        <v>968</v>
      </c>
      <c r="AX35" s="252">
        <v>161</v>
      </c>
      <c r="AY35" s="252">
        <v>9255</v>
      </c>
      <c r="AZ35" s="252">
        <v>1</v>
      </c>
      <c r="BA35" s="244"/>
      <c r="BB35" s="252" t="s">
        <v>597</v>
      </c>
      <c r="BC35" s="252">
        <v>0</v>
      </c>
      <c r="BD35" s="252">
        <v>0</v>
      </c>
      <c r="BE35" s="252">
        <v>0</v>
      </c>
      <c r="BF35" s="252">
        <v>0</v>
      </c>
      <c r="BG35" s="252">
        <v>0</v>
      </c>
      <c r="BH35" s="246" t="s">
        <v>597</v>
      </c>
      <c r="BI35" s="252">
        <v>0</v>
      </c>
      <c r="BJ35" s="252">
        <v>0</v>
      </c>
      <c r="BK35" s="252">
        <v>0</v>
      </c>
      <c r="BL35" s="252">
        <v>0</v>
      </c>
      <c r="BM35" s="252">
        <v>0</v>
      </c>
      <c r="BN35" s="252"/>
      <c r="BO35" s="250"/>
      <c r="BP35" s="262">
        <v>19201704760.549999</v>
      </c>
      <c r="BQ35" s="262">
        <v>209868</v>
      </c>
      <c r="BR35" s="262">
        <v>569</v>
      </c>
      <c r="BS35" s="244"/>
      <c r="BT35" s="244"/>
      <c r="BU35" s="244"/>
      <c r="BV35" s="244"/>
      <c r="BW35" s="244"/>
      <c r="BX35" s="244"/>
      <c r="BY35" s="244"/>
      <c r="BZ35" s="244"/>
      <c r="CA35" s="244"/>
      <c r="CB35" s="244"/>
      <c r="CC35" s="244"/>
      <c r="CD35" s="244"/>
      <c r="CE35" s="244"/>
      <c r="CF35" s="244"/>
      <c r="CG35" s="244"/>
      <c r="CH35" s="244"/>
      <c r="CI35" s="244"/>
      <c r="CJ35" s="244"/>
      <c r="CK35" s="244"/>
      <c r="CL35" s="244"/>
      <c r="CM35" s="244"/>
      <c r="CN35" s="244"/>
      <c r="CO35" s="244"/>
      <c r="CP35" s="244"/>
      <c r="CQ35" s="244"/>
      <c r="CR35" s="244"/>
      <c r="CS35" s="246"/>
      <c r="CT35" s="246"/>
      <c r="CU35" s="246"/>
      <c r="CV35" s="246"/>
      <c r="CW35" s="246"/>
      <c r="CX35" s="246"/>
      <c r="CY35" s="246"/>
      <c r="CZ35" s="246"/>
      <c r="DA35" s="246"/>
      <c r="DB35" s="246"/>
      <c r="DC35" s="246"/>
      <c r="DD35" s="246"/>
    </row>
    <row r="36" spans="1:108" x14ac:dyDescent="0.2">
      <c r="B36" s="190" t="s">
        <v>242</v>
      </c>
      <c r="C36" s="193">
        <v>38709</v>
      </c>
      <c r="D36" s="190">
        <v>10955.45</v>
      </c>
      <c r="E36" s="222">
        <v>1</v>
      </c>
      <c r="F36" s="209"/>
      <c r="G36" s="222" t="s">
        <v>281</v>
      </c>
      <c r="H36" s="222">
        <v>28171.432073389999</v>
      </c>
      <c r="I36" s="164"/>
      <c r="J36" s="157"/>
      <c r="K36" s="227"/>
      <c r="L36" s="227"/>
      <c r="M36" s="227"/>
      <c r="O36" s="240" t="s">
        <v>281</v>
      </c>
      <c r="P36" s="240">
        <v>25981.864597690001</v>
      </c>
      <c r="Q36" s="238"/>
      <c r="R36" s="157"/>
      <c r="S36" s="252" t="s">
        <v>447</v>
      </c>
      <c r="T36" s="257">
        <v>29475469194.820999</v>
      </c>
      <c r="U36" s="257">
        <v>2493178</v>
      </c>
      <c r="V36" s="257">
        <v>8075</v>
      </c>
      <c r="W36" s="257">
        <v>1265530</v>
      </c>
      <c r="X36" s="257">
        <v>1</v>
      </c>
      <c r="Y36" s="244"/>
      <c r="Z36" s="252" t="s">
        <v>598</v>
      </c>
      <c r="AA36" s="252">
        <v>0</v>
      </c>
      <c r="AB36" s="252">
        <v>0</v>
      </c>
      <c r="AC36" s="252">
        <v>0</v>
      </c>
      <c r="AD36" s="252">
        <v>0</v>
      </c>
      <c r="AE36" s="252">
        <v>1</v>
      </c>
      <c r="AF36" s="252"/>
      <c r="AG36" s="252" t="s">
        <v>568</v>
      </c>
      <c r="AH36" s="252">
        <v>45155559.210000001</v>
      </c>
      <c r="AI36" s="252">
        <v>217</v>
      </c>
      <c r="AJ36" s="252">
        <v>24</v>
      </c>
      <c r="AK36" s="252">
        <v>20228</v>
      </c>
      <c r="AL36" s="252">
        <v>1</v>
      </c>
      <c r="AM36" s="244"/>
      <c r="AN36" s="252" t="s">
        <v>598</v>
      </c>
      <c r="AO36" s="252">
        <v>0</v>
      </c>
      <c r="AP36" s="252">
        <v>0</v>
      </c>
      <c r="AQ36" s="252">
        <v>0</v>
      </c>
      <c r="AR36" s="252">
        <v>0</v>
      </c>
      <c r="AS36" s="252">
        <v>1</v>
      </c>
      <c r="AT36" s="244"/>
      <c r="AU36" s="252" t="s">
        <v>598</v>
      </c>
      <c r="AV36" s="252">
        <v>0</v>
      </c>
      <c r="AW36" s="252">
        <v>0</v>
      </c>
      <c r="AX36" s="252">
        <v>0</v>
      </c>
      <c r="AY36" s="252">
        <v>0</v>
      </c>
      <c r="AZ36" s="252">
        <v>1</v>
      </c>
      <c r="BA36" s="244"/>
      <c r="BB36" s="252" t="s">
        <v>580</v>
      </c>
      <c r="BC36" s="252">
        <v>186459</v>
      </c>
      <c r="BD36" s="252">
        <v>3</v>
      </c>
      <c r="BE36" s="252">
        <v>3</v>
      </c>
      <c r="BF36" s="252">
        <v>6</v>
      </c>
      <c r="BG36" s="252">
        <v>1</v>
      </c>
      <c r="BH36" s="246" t="s">
        <v>580</v>
      </c>
      <c r="BI36" s="252">
        <v>0</v>
      </c>
      <c r="BJ36" s="252">
        <v>0</v>
      </c>
      <c r="BK36" s="252">
        <v>0</v>
      </c>
      <c r="BL36" s="252">
        <v>0</v>
      </c>
      <c r="BM36" s="252">
        <v>1</v>
      </c>
      <c r="BN36" s="252"/>
      <c r="BO36" s="244"/>
      <c r="BP36" s="244"/>
      <c r="BQ36" s="244"/>
      <c r="BR36" s="244"/>
      <c r="BS36" s="244"/>
      <c r="BT36" s="244"/>
      <c r="BU36" s="244"/>
      <c r="BV36" s="244"/>
      <c r="BW36" s="244"/>
      <c r="BX36" s="244"/>
      <c r="BY36" s="244"/>
      <c r="BZ36" s="244"/>
      <c r="CA36" s="244"/>
      <c r="CB36" s="244"/>
      <c r="CC36" s="244"/>
      <c r="CD36" s="244"/>
      <c r="CE36" s="244"/>
      <c r="CF36" s="244"/>
      <c r="CG36" s="244"/>
      <c r="CH36" s="244"/>
      <c r="CI36" s="244"/>
      <c r="CJ36" s="244"/>
      <c r="CK36" s="244"/>
      <c r="CL36" s="244"/>
      <c r="CM36" s="244"/>
      <c r="CN36" s="244"/>
      <c r="CO36" s="244"/>
      <c r="CP36" s="244"/>
      <c r="CQ36" s="244"/>
      <c r="CR36" s="244"/>
      <c r="CS36" s="246"/>
      <c r="CT36" s="246"/>
      <c r="CU36" s="246"/>
      <c r="CV36" s="246"/>
      <c r="CW36" s="246"/>
      <c r="CX36" s="246"/>
      <c r="CY36" s="246"/>
      <c r="CZ36" s="246"/>
      <c r="DA36" s="246"/>
      <c r="DB36" s="246"/>
      <c r="DC36" s="246"/>
      <c r="DD36" s="246"/>
    </row>
    <row r="37" spans="1:108" x14ac:dyDescent="0.2">
      <c r="B37" s="190" t="s">
        <v>243</v>
      </c>
      <c r="C37" s="193">
        <v>38580</v>
      </c>
      <c r="D37" s="190">
        <v>2321.6</v>
      </c>
      <c r="E37" s="222">
        <v>1</v>
      </c>
      <c r="F37" s="213"/>
      <c r="G37" s="222" t="s">
        <v>56</v>
      </c>
      <c r="H37" s="222">
        <v>52570.202037770003</v>
      </c>
      <c r="I37" s="164"/>
      <c r="J37" s="157"/>
      <c r="K37" s="227"/>
      <c r="L37" s="227"/>
      <c r="M37" s="227"/>
      <c r="O37" s="240" t="s">
        <v>56</v>
      </c>
      <c r="P37" s="240">
        <v>49376.463990099997</v>
      </c>
      <c r="Q37" s="238"/>
      <c r="R37" s="157"/>
      <c r="S37" s="252" t="s">
        <v>182</v>
      </c>
      <c r="T37" s="257">
        <v>33231524.969000001</v>
      </c>
      <c r="U37" s="257">
        <v>404283</v>
      </c>
      <c r="V37" s="257">
        <v>240</v>
      </c>
      <c r="W37" s="257">
        <v>1905943</v>
      </c>
      <c r="X37" s="257">
        <v>1</v>
      </c>
      <c r="Y37" s="244"/>
      <c r="Z37" s="252" t="s">
        <v>568</v>
      </c>
      <c r="AA37" s="252">
        <v>2094453178.47</v>
      </c>
      <c r="AB37" s="252">
        <v>10163</v>
      </c>
      <c r="AC37" s="252">
        <v>748</v>
      </c>
      <c r="AD37" s="252">
        <v>433774</v>
      </c>
      <c r="AE37" s="252">
        <v>1</v>
      </c>
      <c r="AF37" s="252"/>
      <c r="AG37" s="252" t="s">
        <v>599</v>
      </c>
      <c r="AH37" s="252">
        <v>0</v>
      </c>
      <c r="AI37" s="252">
        <v>0</v>
      </c>
      <c r="AJ37" s="252">
        <v>0</v>
      </c>
      <c r="AK37" s="252">
        <v>0</v>
      </c>
      <c r="AL37" s="252">
        <v>0</v>
      </c>
      <c r="AM37" s="244"/>
      <c r="AN37" s="252" t="s">
        <v>568</v>
      </c>
      <c r="AO37" s="252">
        <v>1887316460.3099999</v>
      </c>
      <c r="AP37" s="252">
        <v>9669</v>
      </c>
      <c r="AQ37" s="252">
        <v>586</v>
      </c>
      <c r="AR37" s="252">
        <v>364047</v>
      </c>
      <c r="AS37" s="252">
        <v>1</v>
      </c>
      <c r="AT37" s="244"/>
      <c r="AU37" s="252" t="s">
        <v>568</v>
      </c>
      <c r="AV37" s="252">
        <v>69386349.629999995</v>
      </c>
      <c r="AW37" s="252">
        <v>345</v>
      </c>
      <c r="AX37" s="252">
        <v>24</v>
      </c>
      <c r="AY37" s="252">
        <v>19056</v>
      </c>
      <c r="AZ37" s="252">
        <v>1</v>
      </c>
      <c r="BA37" s="244"/>
      <c r="BB37" s="252" t="s">
        <v>588</v>
      </c>
      <c r="BC37" s="252">
        <v>3188309025.6350002</v>
      </c>
      <c r="BD37" s="252">
        <v>15443</v>
      </c>
      <c r="BE37" s="252">
        <v>1409</v>
      </c>
      <c r="BF37" s="252">
        <v>202645</v>
      </c>
      <c r="BG37" s="252">
        <v>1</v>
      </c>
      <c r="BH37" s="246" t="s">
        <v>588</v>
      </c>
      <c r="BI37" s="252">
        <v>255911390.01499999</v>
      </c>
      <c r="BJ37" s="252">
        <v>1266</v>
      </c>
      <c r="BK37" s="252">
        <v>111</v>
      </c>
      <c r="BL37" s="252">
        <v>9252</v>
      </c>
      <c r="BM37" s="252">
        <v>1</v>
      </c>
      <c r="BN37" s="252"/>
      <c r="BO37" s="255" t="s">
        <v>473</v>
      </c>
      <c r="BP37" s="263" t="s">
        <v>537</v>
      </c>
      <c r="BQ37" s="263" t="s">
        <v>562</v>
      </c>
      <c r="BR37" s="263" t="s">
        <v>563</v>
      </c>
      <c r="BS37" s="244"/>
      <c r="BT37" s="244"/>
      <c r="BU37" s="244"/>
      <c r="BV37" s="244"/>
      <c r="BW37" s="244"/>
      <c r="BX37" s="244"/>
      <c r="BY37" s="244"/>
      <c r="BZ37" s="244"/>
      <c r="CA37" s="244"/>
      <c r="CB37" s="244"/>
      <c r="CC37" s="244"/>
      <c r="CD37" s="244"/>
      <c r="CE37" s="244"/>
      <c r="CF37" s="244"/>
      <c r="CG37" s="244"/>
      <c r="CH37" s="244"/>
      <c r="CI37" s="244"/>
      <c r="CJ37" s="244"/>
      <c r="CK37" s="244"/>
      <c r="CL37" s="244"/>
      <c r="CM37" s="244"/>
      <c r="CN37" s="244"/>
      <c r="CO37" s="244"/>
      <c r="CP37" s="244"/>
      <c r="CQ37" s="244"/>
      <c r="CR37" s="244"/>
      <c r="CS37" s="246"/>
      <c r="CT37" s="246"/>
      <c r="CU37" s="246"/>
      <c r="CV37" s="246"/>
      <c r="CW37" s="246"/>
      <c r="CX37" s="246"/>
      <c r="CY37" s="246"/>
      <c r="CZ37" s="246"/>
      <c r="DA37" s="246"/>
      <c r="DB37" s="246"/>
      <c r="DC37" s="246"/>
      <c r="DD37" s="246"/>
    </row>
    <row r="38" spans="1:108" x14ac:dyDescent="0.2">
      <c r="B38" s="190" t="s">
        <v>244</v>
      </c>
      <c r="C38" s="193">
        <v>38709</v>
      </c>
      <c r="D38" s="190">
        <v>2183.41</v>
      </c>
      <c r="E38" s="222">
        <v>1</v>
      </c>
      <c r="F38" s="213"/>
      <c r="G38" s="222" t="s">
        <v>45</v>
      </c>
      <c r="H38" s="222">
        <v>75145.479720689997</v>
      </c>
      <c r="I38" s="164"/>
      <c r="J38" s="157"/>
      <c r="K38" s="227"/>
      <c r="L38" s="227"/>
      <c r="M38" s="227"/>
      <c r="O38" s="240" t="s">
        <v>45</v>
      </c>
      <c r="P38" s="240">
        <v>72251.808059770003</v>
      </c>
      <c r="Q38" s="238"/>
      <c r="R38" s="157"/>
      <c r="S38" s="252" t="s">
        <v>449</v>
      </c>
      <c r="T38" s="257">
        <v>0</v>
      </c>
      <c r="U38" s="257">
        <v>0</v>
      </c>
      <c r="V38" s="257">
        <v>0</v>
      </c>
      <c r="W38" s="257">
        <v>0</v>
      </c>
      <c r="X38" s="257">
        <v>0</v>
      </c>
      <c r="Y38" s="244"/>
      <c r="Z38" s="252" t="s">
        <v>599</v>
      </c>
      <c r="AA38" s="252">
        <v>0</v>
      </c>
      <c r="AB38" s="252">
        <v>0</v>
      </c>
      <c r="AC38" s="252">
        <v>0</v>
      </c>
      <c r="AD38" s="252">
        <v>0</v>
      </c>
      <c r="AE38" s="252">
        <v>0</v>
      </c>
      <c r="AF38" s="252"/>
      <c r="AG38" s="252" t="s">
        <v>600</v>
      </c>
      <c r="AH38" s="252">
        <v>0</v>
      </c>
      <c r="AI38" s="252">
        <v>0</v>
      </c>
      <c r="AJ38" s="252">
        <v>0</v>
      </c>
      <c r="AK38" s="252">
        <v>0</v>
      </c>
      <c r="AL38" s="252">
        <v>1</v>
      </c>
      <c r="AM38" s="244"/>
      <c r="AN38" s="252" t="s">
        <v>599</v>
      </c>
      <c r="AO38" s="252">
        <v>0</v>
      </c>
      <c r="AP38" s="252">
        <v>0</v>
      </c>
      <c r="AQ38" s="252">
        <v>0</v>
      </c>
      <c r="AR38" s="252">
        <v>0</v>
      </c>
      <c r="AS38" s="252">
        <v>0</v>
      </c>
      <c r="AT38" s="244"/>
      <c r="AU38" s="252" t="s">
        <v>599</v>
      </c>
      <c r="AV38" s="252">
        <v>0</v>
      </c>
      <c r="AW38" s="252">
        <v>0</v>
      </c>
      <c r="AX38" s="252">
        <v>0</v>
      </c>
      <c r="AY38" s="252">
        <v>0</v>
      </c>
      <c r="AZ38" s="252">
        <v>0</v>
      </c>
      <c r="BA38" s="244"/>
      <c r="BB38" s="252" t="s">
        <v>598</v>
      </c>
      <c r="BC38" s="252">
        <v>0</v>
      </c>
      <c r="BD38" s="252">
        <v>0</v>
      </c>
      <c r="BE38" s="252">
        <v>0</v>
      </c>
      <c r="BF38" s="252">
        <v>0</v>
      </c>
      <c r="BG38" s="252">
        <v>1</v>
      </c>
      <c r="BH38" s="246" t="s">
        <v>598</v>
      </c>
      <c r="BI38" s="252">
        <v>0</v>
      </c>
      <c r="BJ38" s="252">
        <v>0</v>
      </c>
      <c r="BK38" s="252">
        <v>0</v>
      </c>
      <c r="BL38" s="252">
        <v>0</v>
      </c>
      <c r="BM38" s="252">
        <v>1</v>
      </c>
      <c r="BN38" s="252"/>
      <c r="BO38" s="246"/>
      <c r="BP38" s="262">
        <v>1004956099340.6101</v>
      </c>
      <c r="BQ38" s="262">
        <v>8664340</v>
      </c>
      <c r="BR38" s="262">
        <v>13611</v>
      </c>
      <c r="BS38" s="244"/>
      <c r="BT38" s="244"/>
      <c r="BU38" s="244"/>
      <c r="BV38" s="244"/>
      <c r="BW38" s="244"/>
      <c r="BX38" s="244"/>
      <c r="BY38" s="244"/>
      <c r="BZ38" s="244"/>
      <c r="CA38" s="244"/>
      <c r="CB38" s="244"/>
      <c r="CC38" s="244"/>
      <c r="CD38" s="244"/>
      <c r="CE38" s="244"/>
      <c r="CF38" s="244"/>
      <c r="CG38" s="244"/>
      <c r="CH38" s="244"/>
      <c r="CI38" s="244"/>
      <c r="CJ38" s="244"/>
      <c r="CK38" s="244"/>
      <c r="CL38" s="244"/>
      <c r="CM38" s="244"/>
      <c r="CN38" s="244"/>
      <c r="CO38" s="244"/>
      <c r="CP38" s="244"/>
      <c r="CQ38" s="244"/>
      <c r="CR38" s="244"/>
      <c r="CS38" s="246"/>
      <c r="CT38" s="246"/>
      <c r="CU38" s="246"/>
      <c r="CV38" s="246"/>
      <c r="CW38" s="246"/>
      <c r="CX38" s="246"/>
      <c r="CY38" s="246"/>
      <c r="CZ38" s="246"/>
      <c r="DA38" s="246"/>
      <c r="DB38" s="246"/>
      <c r="DC38" s="246"/>
      <c r="DD38" s="246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2">
        <v>1</v>
      </c>
      <c r="F39" s="213"/>
      <c r="G39" s="222" t="s">
        <v>47</v>
      </c>
      <c r="H39" s="222">
        <v>61039.046541449999</v>
      </c>
      <c r="I39" s="164"/>
      <c r="J39" s="157"/>
      <c r="K39" s="227"/>
      <c r="L39" s="227"/>
      <c r="M39" s="227"/>
      <c r="O39" s="240" t="s">
        <v>47</v>
      </c>
      <c r="P39" s="240">
        <v>59709.158381419998</v>
      </c>
      <c r="Q39" s="238"/>
      <c r="R39" s="157"/>
      <c r="S39" s="252" t="s">
        <v>446</v>
      </c>
      <c r="T39" s="257">
        <v>877918281645.64673</v>
      </c>
      <c r="U39" s="257">
        <v>2969562</v>
      </c>
      <c r="V39" s="257">
        <v>289421</v>
      </c>
      <c r="W39" s="257">
        <v>624401</v>
      </c>
      <c r="X39" s="257">
        <v>1</v>
      </c>
      <c r="Y39" s="244"/>
      <c r="Z39" s="252" t="s">
        <v>600</v>
      </c>
      <c r="AA39" s="252">
        <v>0</v>
      </c>
      <c r="AB39" s="252">
        <v>0</v>
      </c>
      <c r="AC39" s="252">
        <v>0</v>
      </c>
      <c r="AD39" s="252">
        <v>0</v>
      </c>
      <c r="AE39" s="252">
        <v>1</v>
      </c>
      <c r="AF39" s="252"/>
      <c r="AG39" s="252" t="s">
        <v>601</v>
      </c>
      <c r="AH39" s="252">
        <v>0</v>
      </c>
      <c r="AI39" s="252">
        <v>0</v>
      </c>
      <c r="AJ39" s="252">
        <v>0</v>
      </c>
      <c r="AK39" s="252">
        <v>2265</v>
      </c>
      <c r="AL39" s="252">
        <v>1</v>
      </c>
      <c r="AM39" s="244"/>
      <c r="AN39" s="252" t="s">
        <v>600</v>
      </c>
      <c r="AO39" s="252">
        <v>0</v>
      </c>
      <c r="AP39" s="252">
        <v>0</v>
      </c>
      <c r="AQ39" s="252">
        <v>0</v>
      </c>
      <c r="AR39" s="252">
        <v>0</v>
      </c>
      <c r="AS39" s="252">
        <v>1</v>
      </c>
      <c r="AT39" s="244"/>
      <c r="AU39" s="252" t="s">
        <v>600</v>
      </c>
      <c r="AV39" s="252">
        <v>0</v>
      </c>
      <c r="AW39" s="252">
        <v>0</v>
      </c>
      <c r="AX39" s="252">
        <v>0</v>
      </c>
      <c r="AY39" s="252">
        <v>0</v>
      </c>
      <c r="AZ39" s="252">
        <v>1</v>
      </c>
      <c r="BA39" s="244"/>
      <c r="BB39" s="252" t="s">
        <v>568</v>
      </c>
      <c r="BC39" s="252">
        <v>1679202520.5999999</v>
      </c>
      <c r="BD39" s="252">
        <v>8466</v>
      </c>
      <c r="BE39" s="252">
        <v>839</v>
      </c>
      <c r="BF39" s="252">
        <v>42601</v>
      </c>
      <c r="BG39" s="252">
        <v>1</v>
      </c>
      <c r="BH39" s="246" t="s">
        <v>568</v>
      </c>
      <c r="BI39" s="252">
        <v>134916539.03999999</v>
      </c>
      <c r="BJ39" s="252">
        <v>689</v>
      </c>
      <c r="BK39" s="252">
        <v>81</v>
      </c>
      <c r="BL39" s="252">
        <v>2680</v>
      </c>
      <c r="BM39" s="252">
        <v>1</v>
      </c>
      <c r="BN39" s="252"/>
      <c r="BO39" s="246"/>
      <c r="BP39" s="246"/>
      <c r="BQ39" s="246"/>
      <c r="BR39" s="246"/>
      <c r="BS39" s="244"/>
      <c r="BT39" s="244"/>
      <c r="BU39" s="244"/>
      <c r="BV39" s="244"/>
      <c r="BW39" s="244"/>
      <c r="BX39" s="244"/>
      <c r="BY39" s="244"/>
      <c r="BZ39" s="244"/>
      <c r="CA39" s="244"/>
      <c r="CB39" s="244"/>
      <c r="CC39" s="244"/>
      <c r="CD39" s="244"/>
      <c r="CE39" s="244"/>
      <c r="CF39" s="244"/>
      <c r="CG39" s="244"/>
      <c r="CH39" s="244"/>
      <c r="CI39" s="244"/>
      <c r="CJ39" s="244"/>
      <c r="CK39" s="244"/>
      <c r="CL39" s="244"/>
      <c r="CM39" s="244"/>
      <c r="CN39" s="244"/>
      <c r="CO39" s="244"/>
      <c r="CP39" s="244"/>
      <c r="CQ39" s="244"/>
      <c r="CR39" s="244"/>
      <c r="CS39" s="246"/>
      <c r="CT39" s="246"/>
      <c r="CU39" s="246"/>
      <c r="CV39" s="246"/>
      <c r="CW39" s="246"/>
      <c r="CX39" s="246"/>
      <c r="CY39" s="246"/>
      <c r="CZ39" s="246"/>
      <c r="DA39" s="246"/>
      <c r="DB39" s="246"/>
      <c r="DC39" s="246"/>
      <c r="DD39" s="246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2">
        <v>1</v>
      </c>
      <c r="F40" s="213"/>
      <c r="G40" s="222" t="s">
        <v>43</v>
      </c>
      <c r="H40" s="222">
        <v>58980.107623830001</v>
      </c>
      <c r="I40" s="164"/>
      <c r="J40" s="157"/>
      <c r="K40" s="227"/>
      <c r="L40" s="227"/>
      <c r="M40" s="227"/>
      <c r="O40" s="240" t="s">
        <v>43</v>
      </c>
      <c r="P40" s="240">
        <v>55579.922932970003</v>
      </c>
      <c r="Q40" s="238"/>
      <c r="R40" s="157"/>
      <c r="S40" s="252" t="s">
        <v>451</v>
      </c>
      <c r="T40" s="257">
        <v>5674698614.6359997</v>
      </c>
      <c r="U40" s="257">
        <v>524065</v>
      </c>
      <c r="V40" s="257">
        <v>303</v>
      </c>
      <c r="W40" s="257">
        <v>480854</v>
      </c>
      <c r="X40" s="257">
        <v>1</v>
      </c>
      <c r="Y40" s="244"/>
      <c r="Z40" s="252" t="s">
        <v>601</v>
      </c>
      <c r="AA40" s="252">
        <v>31267948.850000001</v>
      </c>
      <c r="AB40" s="252">
        <v>1770</v>
      </c>
      <c r="AC40" s="252">
        <v>36</v>
      </c>
      <c r="AD40" s="252">
        <v>55179</v>
      </c>
      <c r="AE40" s="252">
        <v>1</v>
      </c>
      <c r="AF40" s="252"/>
      <c r="AG40" s="252" t="s">
        <v>602</v>
      </c>
      <c r="AH40" s="252">
        <v>0</v>
      </c>
      <c r="AI40" s="252">
        <v>0</v>
      </c>
      <c r="AJ40" s="252">
        <v>0</v>
      </c>
      <c r="AK40" s="252">
        <v>10</v>
      </c>
      <c r="AL40" s="252">
        <v>1</v>
      </c>
      <c r="AM40" s="244"/>
      <c r="AN40" s="252" t="s">
        <v>601</v>
      </c>
      <c r="AO40" s="252">
        <v>39610855.049999997</v>
      </c>
      <c r="AP40" s="252">
        <v>2216</v>
      </c>
      <c r="AQ40" s="252">
        <v>41</v>
      </c>
      <c r="AR40" s="252">
        <v>44020</v>
      </c>
      <c r="AS40" s="252">
        <v>1</v>
      </c>
      <c r="AT40" s="244"/>
      <c r="AU40" s="252" t="s">
        <v>601</v>
      </c>
      <c r="AV40" s="252">
        <v>0</v>
      </c>
      <c r="AW40" s="252">
        <v>0</v>
      </c>
      <c r="AX40" s="252">
        <v>0</v>
      </c>
      <c r="AY40" s="252">
        <v>2241</v>
      </c>
      <c r="AZ40" s="252">
        <v>1</v>
      </c>
      <c r="BA40" s="244"/>
      <c r="BB40" s="252" t="s">
        <v>599</v>
      </c>
      <c r="BC40" s="252">
        <v>0</v>
      </c>
      <c r="BD40" s="252">
        <v>0</v>
      </c>
      <c r="BE40" s="252">
        <v>0</v>
      </c>
      <c r="BF40" s="252">
        <v>0</v>
      </c>
      <c r="BG40" s="252">
        <v>0</v>
      </c>
      <c r="BH40" s="246" t="s">
        <v>599</v>
      </c>
      <c r="BI40" s="252">
        <v>0</v>
      </c>
      <c r="BJ40" s="252">
        <v>0</v>
      </c>
      <c r="BK40" s="252">
        <v>0</v>
      </c>
      <c r="BL40" s="252">
        <v>0</v>
      </c>
      <c r="BM40" s="252">
        <v>0</v>
      </c>
      <c r="BN40" s="252"/>
      <c r="BO40" s="255" t="s">
        <v>474</v>
      </c>
      <c r="BP40" s="263" t="s">
        <v>537</v>
      </c>
      <c r="BQ40" s="263" t="s">
        <v>562</v>
      </c>
      <c r="BR40" s="263" t="s">
        <v>563</v>
      </c>
      <c r="BS40" s="244"/>
      <c r="BT40" s="244"/>
      <c r="BU40" s="244"/>
      <c r="BV40" s="244"/>
      <c r="BW40" s="244"/>
      <c r="BX40" s="244"/>
      <c r="BY40" s="244"/>
      <c r="BZ40" s="244"/>
      <c r="CA40" s="244"/>
      <c r="CB40" s="244"/>
      <c r="CC40" s="244"/>
      <c r="CD40" s="244"/>
      <c r="CE40" s="244"/>
      <c r="CF40" s="244"/>
      <c r="CG40" s="244"/>
      <c r="CH40" s="244"/>
      <c r="CI40" s="244"/>
      <c r="CJ40" s="244"/>
      <c r="CK40" s="244"/>
      <c r="CL40" s="244"/>
      <c r="CM40" s="244"/>
      <c r="CN40" s="244"/>
      <c r="CO40" s="244"/>
      <c r="CP40" s="244"/>
      <c r="CQ40" s="244"/>
      <c r="CR40" s="244"/>
      <c r="CS40" s="246"/>
      <c r="CT40" s="246"/>
      <c r="CU40" s="246"/>
      <c r="CV40" s="246"/>
      <c r="CW40" s="246"/>
      <c r="CX40" s="246"/>
      <c r="CY40" s="246"/>
      <c r="CZ40" s="246"/>
      <c r="DA40" s="246"/>
      <c r="DB40" s="246"/>
      <c r="DC40" s="246"/>
      <c r="DD40" s="246"/>
    </row>
    <row r="41" spans="1:108" x14ac:dyDescent="0.2">
      <c r="B41" s="190" t="s">
        <v>247</v>
      </c>
      <c r="C41" s="193">
        <v>38715</v>
      </c>
      <c r="D41" s="190">
        <v>25723.24</v>
      </c>
      <c r="E41" s="222">
        <v>1</v>
      </c>
      <c r="F41" s="213"/>
      <c r="G41" s="222" t="s">
        <v>49</v>
      </c>
      <c r="H41" s="222">
        <v>7566.4797655599996</v>
      </c>
      <c r="I41" s="164"/>
      <c r="J41" s="157"/>
      <c r="K41" s="227"/>
      <c r="L41" s="227"/>
      <c r="M41" s="227"/>
      <c r="O41" s="240" t="s">
        <v>551</v>
      </c>
      <c r="P41" s="240">
        <v>1262.6910051699999</v>
      </c>
      <c r="Q41" s="238"/>
      <c r="R41" s="157"/>
      <c r="S41" s="252" t="s">
        <v>450</v>
      </c>
      <c r="T41" s="257">
        <v>180113.53</v>
      </c>
      <c r="U41" s="257">
        <v>22301888</v>
      </c>
      <c r="V41" s="257">
        <v>572</v>
      </c>
      <c r="W41" s="257">
        <v>11617567</v>
      </c>
      <c r="X41" s="257">
        <v>1</v>
      </c>
      <c r="Y41" s="244"/>
      <c r="Z41" s="252" t="s">
        <v>602</v>
      </c>
      <c r="AA41" s="252">
        <v>635768</v>
      </c>
      <c r="AB41" s="252">
        <v>40</v>
      </c>
      <c r="AC41" s="252">
        <v>7</v>
      </c>
      <c r="AD41" s="252">
        <v>320</v>
      </c>
      <c r="AE41" s="252">
        <v>1</v>
      </c>
      <c r="AF41" s="252"/>
      <c r="AG41" s="252" t="s">
        <v>573</v>
      </c>
      <c r="AH41" s="252">
        <v>3720000</v>
      </c>
      <c r="AI41" s="252">
        <v>29</v>
      </c>
      <c r="AJ41" s="252">
        <v>8</v>
      </c>
      <c r="AK41" s="252">
        <v>74</v>
      </c>
      <c r="AL41" s="252">
        <v>1</v>
      </c>
      <c r="AM41" s="244"/>
      <c r="AN41" s="252" t="s">
        <v>602</v>
      </c>
      <c r="AO41" s="252">
        <v>645960</v>
      </c>
      <c r="AP41" s="252">
        <v>40</v>
      </c>
      <c r="AQ41" s="252">
        <v>6</v>
      </c>
      <c r="AR41" s="252">
        <v>265</v>
      </c>
      <c r="AS41" s="252">
        <v>1</v>
      </c>
      <c r="AT41" s="244"/>
      <c r="AU41" s="252" t="s">
        <v>602</v>
      </c>
      <c r="AV41" s="252">
        <v>0</v>
      </c>
      <c r="AW41" s="252">
        <v>0</v>
      </c>
      <c r="AX41" s="252">
        <v>0</v>
      </c>
      <c r="AY41" s="252">
        <v>20</v>
      </c>
      <c r="AZ41" s="252">
        <v>1</v>
      </c>
      <c r="BA41" s="244"/>
      <c r="BB41" s="252" t="s">
        <v>600</v>
      </c>
      <c r="BC41" s="252">
        <v>0</v>
      </c>
      <c r="BD41" s="252">
        <v>0</v>
      </c>
      <c r="BE41" s="252">
        <v>0</v>
      </c>
      <c r="BF41" s="252">
        <v>0</v>
      </c>
      <c r="BG41" s="252">
        <v>1</v>
      </c>
      <c r="BH41" s="246" t="s">
        <v>600</v>
      </c>
      <c r="BI41" s="252">
        <v>0</v>
      </c>
      <c r="BJ41" s="252">
        <v>0</v>
      </c>
      <c r="BK41" s="252">
        <v>0</v>
      </c>
      <c r="BL41" s="252">
        <v>0</v>
      </c>
      <c r="BM41" s="252">
        <v>1</v>
      </c>
      <c r="BN41" s="252"/>
      <c r="BO41" s="244"/>
      <c r="BP41" s="262">
        <v>21976324651.619999</v>
      </c>
      <c r="BQ41" s="262">
        <v>205439</v>
      </c>
      <c r="BR41" s="262">
        <v>820</v>
      </c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4"/>
      <c r="CP41" s="244"/>
      <c r="CQ41" s="244"/>
      <c r="CR41" s="244"/>
      <c r="CS41" s="246"/>
      <c r="CT41" s="246"/>
      <c r="CU41" s="246"/>
      <c r="CV41" s="246"/>
      <c r="CW41" s="246"/>
      <c r="CX41" s="246"/>
      <c r="CY41" s="246"/>
      <c r="CZ41" s="246"/>
      <c r="DA41" s="246"/>
      <c r="DB41" s="246"/>
      <c r="DC41" s="246"/>
      <c r="DD41" s="246"/>
    </row>
    <row r="42" spans="1:108" x14ac:dyDescent="0.2">
      <c r="B42" s="190" t="s">
        <v>248</v>
      </c>
      <c r="C42" s="193">
        <v>38716</v>
      </c>
      <c r="D42" s="190">
        <v>18207.32</v>
      </c>
      <c r="E42" s="222">
        <v>1</v>
      </c>
      <c r="F42" s="213"/>
      <c r="G42" s="222" t="s">
        <v>546</v>
      </c>
      <c r="H42" s="222">
        <v>58274.584006370002</v>
      </c>
      <c r="I42" s="164"/>
      <c r="J42" s="157"/>
      <c r="K42" s="227"/>
      <c r="L42" s="227"/>
      <c r="M42" s="227"/>
      <c r="O42" s="240" t="s">
        <v>552</v>
      </c>
      <c r="P42" s="240">
        <v>1081.2328275499999</v>
      </c>
      <c r="Q42" s="238"/>
      <c r="R42" s="157"/>
      <c r="S42" s="252" t="s">
        <v>448</v>
      </c>
      <c r="T42" s="257">
        <v>238445.32</v>
      </c>
      <c r="U42" s="257">
        <v>1729690</v>
      </c>
      <c r="V42" s="257">
        <v>7464</v>
      </c>
      <c r="W42" s="257">
        <v>916942</v>
      </c>
      <c r="X42" s="257">
        <v>1</v>
      </c>
      <c r="Y42" s="244"/>
      <c r="Z42" s="252" t="s">
        <v>573</v>
      </c>
      <c r="AA42" s="252">
        <v>13535900</v>
      </c>
      <c r="AB42" s="252">
        <v>105</v>
      </c>
      <c r="AC42" s="252">
        <v>30</v>
      </c>
      <c r="AD42" s="252">
        <v>1213</v>
      </c>
      <c r="AE42" s="252">
        <v>1</v>
      </c>
      <c r="AF42" s="252"/>
      <c r="AG42" s="252" t="s">
        <v>574</v>
      </c>
      <c r="AH42" s="252">
        <v>0</v>
      </c>
      <c r="AI42" s="252">
        <v>0</v>
      </c>
      <c r="AJ42" s="252">
        <v>0</v>
      </c>
      <c r="AK42" s="252">
        <v>0</v>
      </c>
      <c r="AL42" s="252">
        <v>0</v>
      </c>
      <c r="AM42" s="244"/>
      <c r="AN42" s="252" t="s">
        <v>573</v>
      </c>
      <c r="AO42" s="252">
        <v>27658339.710000001</v>
      </c>
      <c r="AP42" s="252">
        <v>209</v>
      </c>
      <c r="AQ42" s="252">
        <v>33</v>
      </c>
      <c r="AR42" s="252">
        <v>1459</v>
      </c>
      <c r="AS42" s="252">
        <v>1</v>
      </c>
      <c r="AT42" s="244"/>
      <c r="AU42" s="252" t="s">
        <v>573</v>
      </c>
      <c r="AV42" s="252">
        <v>646800</v>
      </c>
      <c r="AW42" s="252">
        <v>5</v>
      </c>
      <c r="AX42" s="252">
        <v>1</v>
      </c>
      <c r="AY42" s="252">
        <v>67</v>
      </c>
      <c r="AZ42" s="252">
        <v>1</v>
      </c>
      <c r="BA42" s="244"/>
      <c r="BB42" s="252" t="s">
        <v>601</v>
      </c>
      <c r="BC42" s="252">
        <v>127843635.65000001</v>
      </c>
      <c r="BD42" s="252">
        <v>7073</v>
      </c>
      <c r="BE42" s="252">
        <v>45</v>
      </c>
      <c r="BF42" s="252">
        <v>33684</v>
      </c>
      <c r="BG42" s="252">
        <v>1</v>
      </c>
      <c r="BH42" s="246" t="s">
        <v>601</v>
      </c>
      <c r="BI42" s="252">
        <v>4098622.5</v>
      </c>
      <c r="BJ42" s="252">
        <v>230</v>
      </c>
      <c r="BK42" s="252">
        <v>6</v>
      </c>
      <c r="BL42" s="252">
        <v>1745</v>
      </c>
      <c r="BM42" s="252">
        <v>1</v>
      </c>
      <c r="BN42" s="252"/>
      <c r="BO42" s="246"/>
      <c r="BP42" s="262"/>
      <c r="BQ42" s="262"/>
      <c r="BR42" s="262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4"/>
      <c r="CE42" s="244"/>
      <c r="CF42" s="244"/>
      <c r="CG42" s="244"/>
      <c r="CH42" s="244"/>
      <c r="CI42" s="244"/>
      <c r="CJ42" s="244"/>
      <c r="CK42" s="244"/>
      <c r="CL42" s="244"/>
      <c r="CM42" s="244"/>
      <c r="CN42" s="244"/>
      <c r="CO42" s="244"/>
      <c r="CP42" s="244"/>
      <c r="CQ42" s="244"/>
      <c r="CR42" s="244"/>
      <c r="CS42" s="244"/>
      <c r="CT42" s="244"/>
      <c r="CU42" s="244"/>
      <c r="CV42" s="244"/>
      <c r="CW42" s="244"/>
      <c r="CX42" s="244"/>
      <c r="CY42" s="244"/>
      <c r="CZ42" s="244"/>
      <c r="DA42" s="244"/>
      <c r="DB42" s="244"/>
      <c r="DC42" s="244"/>
      <c r="DD42" s="244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2">
        <v>1</v>
      </c>
      <c r="F43" s="213"/>
      <c r="G43" s="222" t="s">
        <v>547</v>
      </c>
      <c r="H43" s="222">
        <v>57200.756514009998</v>
      </c>
      <c r="I43" s="164"/>
      <c r="J43" s="157"/>
      <c r="K43" s="227"/>
      <c r="L43" s="227"/>
      <c r="M43" s="227"/>
      <c r="O43" s="240" t="s">
        <v>553</v>
      </c>
      <c r="P43" s="240">
        <v>1218.5101341100001</v>
      </c>
      <c r="Q43" s="238"/>
      <c r="S43" s="244"/>
      <c r="T43" s="244"/>
      <c r="U43" s="244"/>
      <c r="V43" s="244"/>
      <c r="W43" s="244"/>
      <c r="X43" s="244"/>
      <c r="Y43" s="244"/>
      <c r="Z43" s="252" t="s">
        <v>574</v>
      </c>
      <c r="AA43" s="252">
        <v>0</v>
      </c>
      <c r="AB43" s="252">
        <v>0</v>
      </c>
      <c r="AC43" s="252">
        <v>0</v>
      </c>
      <c r="AD43" s="252">
        <v>0</v>
      </c>
      <c r="AE43" s="252">
        <v>0</v>
      </c>
      <c r="AF43" s="252"/>
      <c r="AG43" s="252" t="s">
        <v>575</v>
      </c>
      <c r="AH43" s="252">
        <v>0</v>
      </c>
      <c r="AI43" s="252">
        <v>0</v>
      </c>
      <c r="AJ43" s="252">
        <v>0</v>
      </c>
      <c r="AK43" s="252">
        <v>0</v>
      </c>
      <c r="AL43" s="252">
        <v>0</v>
      </c>
      <c r="AM43" s="244"/>
      <c r="AN43" s="252" t="s">
        <v>574</v>
      </c>
      <c r="AO43" s="252">
        <v>0</v>
      </c>
      <c r="AP43" s="252">
        <v>0</v>
      </c>
      <c r="AQ43" s="252">
        <v>0</v>
      </c>
      <c r="AR43" s="252">
        <v>0</v>
      </c>
      <c r="AS43" s="252">
        <v>0</v>
      </c>
      <c r="AT43" s="244"/>
      <c r="AU43" s="252" t="s">
        <v>574</v>
      </c>
      <c r="AV43" s="252">
        <v>0</v>
      </c>
      <c r="AW43" s="252">
        <v>0</v>
      </c>
      <c r="AX43" s="252">
        <v>0</v>
      </c>
      <c r="AY43" s="252">
        <v>0</v>
      </c>
      <c r="AZ43" s="252">
        <v>0</v>
      </c>
      <c r="BA43" s="244"/>
      <c r="BB43" s="252" t="s">
        <v>602</v>
      </c>
      <c r="BC43" s="252">
        <v>0</v>
      </c>
      <c r="BD43" s="252">
        <v>0</v>
      </c>
      <c r="BE43" s="252">
        <v>0</v>
      </c>
      <c r="BF43" s="252">
        <v>0</v>
      </c>
      <c r="BG43" s="252">
        <v>1</v>
      </c>
      <c r="BH43" s="246" t="s">
        <v>602</v>
      </c>
      <c r="BI43" s="252">
        <v>0</v>
      </c>
      <c r="BJ43" s="252">
        <v>0</v>
      </c>
      <c r="BK43" s="252">
        <v>0</v>
      </c>
      <c r="BL43" s="252">
        <v>0</v>
      </c>
      <c r="BM43" s="252">
        <v>1</v>
      </c>
      <c r="BN43" s="252"/>
      <c r="BO43" s="251" t="s">
        <v>488</v>
      </c>
      <c r="BP43" s="263" t="s">
        <v>564</v>
      </c>
      <c r="BQ43" s="262"/>
      <c r="BR43" s="262"/>
      <c r="BS43" s="244"/>
      <c r="BT43" s="244"/>
      <c r="BU43" s="244"/>
      <c r="BV43" s="244"/>
      <c r="BW43" s="244"/>
      <c r="BX43" s="244"/>
      <c r="BY43" s="244"/>
      <c r="BZ43" s="244"/>
      <c r="CA43" s="244"/>
      <c r="CB43" s="244"/>
      <c r="CC43" s="244"/>
      <c r="CD43" s="244"/>
      <c r="CE43" s="244"/>
      <c r="CF43" s="244"/>
      <c r="CG43" s="244"/>
      <c r="CH43" s="244"/>
      <c r="CI43" s="244"/>
      <c r="CJ43" s="244"/>
      <c r="CK43" s="244"/>
      <c r="CL43" s="244"/>
      <c r="CM43" s="244"/>
      <c r="CN43" s="244"/>
      <c r="CO43" s="244"/>
      <c r="CP43" s="244"/>
      <c r="CQ43" s="244"/>
      <c r="CR43" s="244"/>
      <c r="CS43" s="244"/>
      <c r="CT43" s="244"/>
      <c r="CU43" s="244"/>
      <c r="CV43" s="244"/>
      <c r="CW43" s="244"/>
      <c r="CX43" s="244"/>
      <c r="CY43" s="244"/>
      <c r="CZ43" s="244"/>
      <c r="DA43" s="244"/>
      <c r="DB43" s="244"/>
      <c r="DC43" s="244"/>
      <c r="DD43" s="244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2">
        <v>1</v>
      </c>
      <c r="F44" s="208"/>
      <c r="G44" s="222" t="s">
        <v>282</v>
      </c>
      <c r="H44" s="222">
        <v>3996.0885612400002</v>
      </c>
      <c r="I44" s="164"/>
      <c r="J44" s="157"/>
      <c r="K44" s="227"/>
      <c r="L44" s="227"/>
      <c r="M44" s="227"/>
      <c r="O44" s="240" t="s">
        <v>554</v>
      </c>
      <c r="P44" s="240">
        <v>1228.9350883899999</v>
      </c>
      <c r="Q44" s="238"/>
      <c r="S44" s="244"/>
      <c r="T44" s="244"/>
      <c r="U44" s="244"/>
      <c r="V44" s="244"/>
      <c r="W44" s="244"/>
      <c r="X44" s="244"/>
      <c r="Y44" s="244"/>
      <c r="Z44" s="252" t="s">
        <v>575</v>
      </c>
      <c r="AA44" s="252">
        <v>0</v>
      </c>
      <c r="AB44" s="252">
        <v>0</v>
      </c>
      <c r="AC44" s="252">
        <v>0</v>
      </c>
      <c r="AD44" s="252">
        <v>0</v>
      </c>
      <c r="AE44" s="252">
        <v>0</v>
      </c>
      <c r="AF44" s="252"/>
      <c r="AG44" s="252" t="s">
        <v>576</v>
      </c>
      <c r="AH44" s="252">
        <v>0</v>
      </c>
      <c r="AI44" s="252">
        <v>0</v>
      </c>
      <c r="AJ44" s="252">
        <v>0</v>
      </c>
      <c r="AK44" s="252">
        <v>264</v>
      </c>
      <c r="AL44" s="252">
        <v>1</v>
      </c>
      <c r="AM44" s="244"/>
      <c r="AN44" s="252" t="s">
        <v>575</v>
      </c>
      <c r="AO44" s="252">
        <v>0</v>
      </c>
      <c r="AP44" s="252">
        <v>0</v>
      </c>
      <c r="AQ44" s="252">
        <v>0</v>
      </c>
      <c r="AR44" s="252">
        <v>0</v>
      </c>
      <c r="AS44" s="252">
        <v>0</v>
      </c>
      <c r="AT44" s="244"/>
      <c r="AU44" s="252" t="s">
        <v>575</v>
      </c>
      <c r="AV44" s="252">
        <v>0</v>
      </c>
      <c r="AW44" s="252">
        <v>0</v>
      </c>
      <c r="AX44" s="252">
        <v>0</v>
      </c>
      <c r="AY44" s="252">
        <v>0</v>
      </c>
      <c r="AZ44" s="252">
        <v>0</v>
      </c>
      <c r="BA44" s="244"/>
      <c r="BB44" s="252" t="s">
        <v>573</v>
      </c>
      <c r="BC44" s="252">
        <v>16106080</v>
      </c>
      <c r="BD44" s="252">
        <v>126</v>
      </c>
      <c r="BE44" s="252">
        <v>44</v>
      </c>
      <c r="BF44" s="252">
        <v>2176</v>
      </c>
      <c r="BG44" s="252">
        <v>1</v>
      </c>
      <c r="BH44" s="246" t="s">
        <v>573</v>
      </c>
      <c r="BI44" s="252">
        <v>1023920</v>
      </c>
      <c r="BJ44" s="252">
        <v>8</v>
      </c>
      <c r="BK44" s="252">
        <v>3</v>
      </c>
      <c r="BL44" s="252">
        <v>110</v>
      </c>
      <c r="BM44" s="252">
        <v>1</v>
      </c>
      <c r="BN44" s="252"/>
      <c r="BO44" s="246"/>
      <c r="BP44" s="262">
        <v>1013167</v>
      </c>
      <c r="BQ44" s="262"/>
      <c r="BR44" s="262"/>
      <c r="BS44" s="244"/>
      <c r="BT44" s="244"/>
      <c r="BU44" s="244"/>
      <c r="BV44" s="244"/>
      <c r="BW44" s="244"/>
      <c r="BX44" s="244"/>
      <c r="BY44" s="244"/>
      <c r="BZ44" s="244"/>
      <c r="CA44" s="244"/>
      <c r="CB44" s="244"/>
      <c r="CC44" s="244"/>
      <c r="CD44" s="244"/>
      <c r="CE44" s="244"/>
      <c r="CF44" s="244"/>
      <c r="CG44" s="244"/>
      <c r="CH44" s="244"/>
      <c r="CI44" s="244"/>
      <c r="CJ44" s="244"/>
      <c r="CK44" s="244"/>
      <c r="CL44" s="244"/>
      <c r="CM44" s="244"/>
      <c r="CN44" s="244"/>
      <c r="CO44" s="244"/>
      <c r="CP44" s="244"/>
      <c r="CQ44" s="244"/>
      <c r="CR44" s="244"/>
      <c r="CS44" s="244"/>
      <c r="CT44" s="244"/>
      <c r="CU44" s="244"/>
      <c r="CV44" s="244"/>
      <c r="CW44" s="244"/>
      <c r="CX44" s="244"/>
      <c r="CY44" s="244"/>
      <c r="CZ44" s="244"/>
      <c r="DA44" s="244"/>
      <c r="DB44" s="244"/>
      <c r="DC44" s="244"/>
      <c r="DD44" s="244"/>
    </row>
    <row r="45" spans="1:108" x14ac:dyDescent="0.2">
      <c r="B45" s="190" t="s">
        <v>251</v>
      </c>
      <c r="C45" s="193">
        <v>38715</v>
      </c>
      <c r="D45" s="190">
        <v>24993.42</v>
      </c>
      <c r="E45" s="222">
        <v>1</v>
      </c>
      <c r="F45" s="209"/>
      <c r="G45" s="222" t="s">
        <v>61</v>
      </c>
      <c r="H45" s="222">
        <v>37247.063513059999</v>
      </c>
      <c r="I45" s="164"/>
      <c r="J45" s="157"/>
      <c r="K45" s="227"/>
      <c r="L45" s="227"/>
      <c r="M45" s="227"/>
      <c r="O45" s="240" t="s">
        <v>555</v>
      </c>
      <c r="P45" s="240">
        <v>1155.8783122699999</v>
      </c>
      <c r="Q45" s="238"/>
      <c r="R45" s="153" t="s">
        <v>455</v>
      </c>
      <c r="S45" s="253" t="s">
        <v>560</v>
      </c>
      <c r="T45" s="256" t="s">
        <v>561</v>
      </c>
      <c r="U45" s="256" t="s">
        <v>562</v>
      </c>
      <c r="V45" s="256" t="s">
        <v>563</v>
      </c>
      <c r="W45" s="256" t="s">
        <v>564</v>
      </c>
      <c r="X45" s="256" t="s">
        <v>565</v>
      </c>
      <c r="Y45" s="244"/>
      <c r="Z45" s="252" t="s">
        <v>576</v>
      </c>
      <c r="AA45" s="252">
        <v>34779569.909999996</v>
      </c>
      <c r="AB45" s="252">
        <v>318</v>
      </c>
      <c r="AC45" s="252">
        <v>23</v>
      </c>
      <c r="AD45" s="252">
        <v>4292</v>
      </c>
      <c r="AE45" s="252">
        <v>1</v>
      </c>
      <c r="AF45" s="252"/>
      <c r="AG45" s="252" t="s">
        <v>578</v>
      </c>
      <c r="AH45" s="252">
        <v>0</v>
      </c>
      <c r="AI45" s="252">
        <v>0</v>
      </c>
      <c r="AJ45" s="252">
        <v>0</v>
      </c>
      <c r="AK45" s="252">
        <v>0</v>
      </c>
      <c r="AL45" s="252">
        <v>0</v>
      </c>
      <c r="AM45" s="244"/>
      <c r="AN45" s="252" t="s">
        <v>576</v>
      </c>
      <c r="AO45" s="252">
        <v>36313165.060000002</v>
      </c>
      <c r="AP45" s="252">
        <v>348</v>
      </c>
      <c r="AQ45" s="252">
        <v>33</v>
      </c>
      <c r="AR45" s="252">
        <v>1638</v>
      </c>
      <c r="AS45" s="252">
        <v>1</v>
      </c>
      <c r="AT45" s="244"/>
      <c r="AU45" s="252" t="s">
        <v>576</v>
      </c>
      <c r="AV45" s="252">
        <v>0</v>
      </c>
      <c r="AW45" s="252">
        <v>0</v>
      </c>
      <c r="AX45" s="252">
        <v>0</v>
      </c>
      <c r="AY45" s="252">
        <v>18</v>
      </c>
      <c r="AZ45" s="252">
        <v>1</v>
      </c>
      <c r="BA45" s="244"/>
      <c r="BB45" s="252" t="s">
        <v>574</v>
      </c>
      <c r="BC45" s="252">
        <v>0</v>
      </c>
      <c r="BD45" s="252">
        <v>0</v>
      </c>
      <c r="BE45" s="252">
        <v>0</v>
      </c>
      <c r="BF45" s="252">
        <v>0</v>
      </c>
      <c r="BG45" s="252">
        <v>0</v>
      </c>
      <c r="BH45" s="246" t="s">
        <v>574</v>
      </c>
      <c r="BI45" s="252">
        <v>0</v>
      </c>
      <c r="BJ45" s="252">
        <v>0</v>
      </c>
      <c r="BK45" s="252">
        <v>0</v>
      </c>
      <c r="BL45" s="252">
        <v>0</v>
      </c>
      <c r="BM45" s="252">
        <v>0</v>
      </c>
      <c r="BN45" s="252"/>
      <c r="BO45" s="246"/>
      <c r="BP45" s="262"/>
      <c r="BQ45" s="262"/>
      <c r="BR45" s="262"/>
      <c r="BS45" s="244"/>
      <c r="BT45" s="244"/>
      <c r="BU45" s="244"/>
      <c r="BV45" s="244"/>
      <c r="BW45" s="244"/>
      <c r="BX45" s="244"/>
      <c r="BY45" s="244"/>
      <c r="BZ45" s="244"/>
      <c r="CA45" s="244"/>
      <c r="CB45" s="244"/>
      <c r="CC45" s="244"/>
      <c r="CD45" s="244"/>
      <c r="CE45" s="244"/>
      <c r="CF45" s="244"/>
      <c r="CG45" s="244"/>
      <c r="CH45" s="244"/>
      <c r="CI45" s="244"/>
      <c r="CJ45" s="244"/>
      <c r="CK45" s="244"/>
      <c r="CL45" s="244"/>
      <c r="CM45" s="244"/>
      <c r="CN45" s="244"/>
      <c r="CO45" s="244"/>
      <c r="CP45" s="244"/>
      <c r="CQ45" s="244"/>
      <c r="CR45" s="244"/>
      <c r="CS45" s="244"/>
      <c r="CT45" s="244"/>
      <c r="CU45" s="244"/>
      <c r="CV45" s="244"/>
      <c r="CW45" s="244"/>
      <c r="CX45" s="244"/>
      <c r="CY45" s="244"/>
      <c r="CZ45" s="244"/>
      <c r="DA45" s="244"/>
      <c r="DB45" s="244"/>
      <c r="DC45" s="244"/>
      <c r="DD45" s="244"/>
    </row>
    <row r="46" spans="1:108" x14ac:dyDescent="0.2">
      <c r="B46" s="190" t="s">
        <v>252</v>
      </c>
      <c r="C46" s="193">
        <v>38716</v>
      </c>
      <c r="D46" s="190">
        <v>2895.12</v>
      </c>
      <c r="E46" s="222">
        <v>1</v>
      </c>
      <c r="F46" s="215"/>
      <c r="G46" s="222" t="s">
        <v>65</v>
      </c>
      <c r="H46" s="222">
        <v>81849.656670650002</v>
      </c>
      <c r="I46" s="164"/>
      <c r="J46" s="157"/>
      <c r="K46" s="227"/>
      <c r="L46" s="227"/>
      <c r="M46" s="227"/>
      <c r="O46" s="240" t="s">
        <v>556</v>
      </c>
      <c r="P46" s="240">
        <v>1192.2495230500001</v>
      </c>
      <c r="Q46" s="238"/>
      <c r="S46" s="252" t="s">
        <v>449</v>
      </c>
      <c r="T46" s="257">
        <v>2145247.216</v>
      </c>
      <c r="U46" s="257">
        <v>4382</v>
      </c>
      <c r="V46" s="257">
        <v>6</v>
      </c>
      <c r="W46" s="257">
        <v>12118562</v>
      </c>
      <c r="X46" s="257">
        <v>1</v>
      </c>
      <c r="Y46" s="244"/>
      <c r="Z46" s="252" t="s">
        <v>578</v>
      </c>
      <c r="AA46" s="252">
        <v>0</v>
      </c>
      <c r="AB46" s="252">
        <v>0</v>
      </c>
      <c r="AC46" s="252">
        <v>0</v>
      </c>
      <c r="AD46" s="252">
        <v>0</v>
      </c>
      <c r="AE46" s="252">
        <v>0</v>
      </c>
      <c r="AF46" s="252"/>
      <c r="AG46" s="252" t="s">
        <v>577</v>
      </c>
      <c r="AH46" s="252">
        <v>0</v>
      </c>
      <c r="AI46" s="252">
        <v>0</v>
      </c>
      <c r="AJ46" s="252">
        <v>0</v>
      </c>
      <c r="AK46" s="252">
        <v>10871</v>
      </c>
      <c r="AL46" s="252">
        <v>0</v>
      </c>
      <c r="AM46" s="244"/>
      <c r="AN46" s="252" t="s">
        <v>578</v>
      </c>
      <c r="AO46" s="252">
        <v>0</v>
      </c>
      <c r="AP46" s="252">
        <v>0</v>
      </c>
      <c r="AQ46" s="252">
        <v>0</v>
      </c>
      <c r="AR46" s="252">
        <v>0</v>
      </c>
      <c r="AS46" s="252">
        <v>0</v>
      </c>
      <c r="AT46" s="244"/>
      <c r="AU46" s="252" t="s">
        <v>578</v>
      </c>
      <c r="AV46" s="252">
        <v>0</v>
      </c>
      <c r="AW46" s="252">
        <v>0</v>
      </c>
      <c r="AX46" s="252">
        <v>0</v>
      </c>
      <c r="AY46" s="252">
        <v>0</v>
      </c>
      <c r="AZ46" s="252">
        <v>0</v>
      </c>
      <c r="BA46" s="244"/>
      <c r="BB46" s="252" t="s">
        <v>575</v>
      </c>
      <c r="BC46" s="252">
        <v>0</v>
      </c>
      <c r="BD46" s="252">
        <v>0</v>
      </c>
      <c r="BE46" s="252">
        <v>0</v>
      </c>
      <c r="BF46" s="252">
        <v>0</v>
      </c>
      <c r="BG46" s="252">
        <v>0</v>
      </c>
      <c r="BH46" s="246" t="s">
        <v>575</v>
      </c>
      <c r="BI46" s="252">
        <v>0</v>
      </c>
      <c r="BJ46" s="252">
        <v>0</v>
      </c>
      <c r="BK46" s="252">
        <v>0</v>
      </c>
      <c r="BL46" s="252">
        <v>0</v>
      </c>
      <c r="BM46" s="252">
        <v>0</v>
      </c>
      <c r="BN46" s="252"/>
      <c r="BO46" s="259" t="s">
        <v>489</v>
      </c>
      <c r="BP46" s="263" t="s">
        <v>564</v>
      </c>
      <c r="BQ46" s="262"/>
      <c r="BR46" s="262"/>
      <c r="BS46" s="244"/>
      <c r="BT46" s="244"/>
      <c r="BU46" s="244"/>
      <c r="BV46" s="244"/>
      <c r="BW46" s="244"/>
      <c r="BX46" s="244"/>
      <c r="BY46" s="244"/>
      <c r="BZ46" s="244"/>
      <c r="CA46" s="244"/>
      <c r="CB46" s="244"/>
      <c r="CC46" s="244"/>
      <c r="CD46" s="244"/>
      <c r="CE46" s="244"/>
      <c r="CF46" s="244"/>
      <c r="CG46" s="244"/>
      <c r="CH46" s="244"/>
      <c r="CI46" s="244"/>
      <c r="CJ46" s="244"/>
      <c r="CK46" s="244"/>
      <c r="CL46" s="244"/>
      <c r="CM46" s="244"/>
      <c r="CN46" s="244"/>
      <c r="CO46" s="244"/>
      <c r="CP46" s="244"/>
      <c r="CQ46" s="244"/>
      <c r="CR46" s="244"/>
      <c r="CS46" s="244"/>
      <c r="CT46" s="244"/>
      <c r="CU46" s="244"/>
      <c r="CV46" s="244"/>
      <c r="CW46" s="244"/>
      <c r="CX46" s="244"/>
      <c r="CY46" s="244"/>
      <c r="CZ46" s="244"/>
      <c r="DA46" s="244"/>
      <c r="DB46" s="244"/>
      <c r="DC46" s="244"/>
      <c r="DD46" s="244"/>
    </row>
    <row r="47" spans="1:108" x14ac:dyDescent="0.2">
      <c r="B47" s="190" t="s">
        <v>253</v>
      </c>
      <c r="C47" s="193">
        <v>38699</v>
      </c>
      <c r="D47" s="190">
        <v>28328.49</v>
      </c>
      <c r="E47" s="222">
        <v>1</v>
      </c>
      <c r="F47" s="216"/>
      <c r="G47" s="222" t="s">
        <v>67</v>
      </c>
      <c r="H47" s="222">
        <v>15423.4513668</v>
      </c>
      <c r="I47" s="164"/>
      <c r="J47" s="159"/>
      <c r="K47" s="227"/>
      <c r="L47" s="227"/>
      <c r="M47" s="227"/>
      <c r="O47" s="240" t="s">
        <v>557</v>
      </c>
      <c r="P47" s="240">
        <v>1141.2323060599999</v>
      </c>
      <c r="Q47" s="238"/>
      <c r="S47" s="252" t="s">
        <v>447</v>
      </c>
      <c r="T47" s="257">
        <v>8015491.9699999997</v>
      </c>
      <c r="U47" s="257">
        <v>42573</v>
      </c>
      <c r="V47" s="257">
        <v>13</v>
      </c>
      <c r="W47" s="257">
        <v>1733536</v>
      </c>
      <c r="X47" s="257">
        <v>0</v>
      </c>
      <c r="Y47" s="244"/>
      <c r="Z47" s="252" t="s">
        <v>577</v>
      </c>
      <c r="AA47" s="252">
        <v>42128549.649999999</v>
      </c>
      <c r="AB47" s="252">
        <v>4523</v>
      </c>
      <c r="AC47" s="252">
        <v>467</v>
      </c>
      <c r="AD47" s="252">
        <v>220119</v>
      </c>
      <c r="AE47" s="252">
        <v>0</v>
      </c>
      <c r="AF47" s="252"/>
      <c r="AG47" s="252" t="s">
        <v>603</v>
      </c>
      <c r="AH47" s="252">
        <v>0</v>
      </c>
      <c r="AI47" s="252">
        <v>0</v>
      </c>
      <c r="AJ47" s="252">
        <v>0</v>
      </c>
      <c r="AK47" s="252">
        <v>240</v>
      </c>
      <c r="AL47" s="252">
        <v>0</v>
      </c>
      <c r="AM47" s="244"/>
      <c r="AN47" s="252" t="s">
        <v>577</v>
      </c>
      <c r="AO47" s="252">
        <v>25507781.780000001</v>
      </c>
      <c r="AP47" s="252">
        <v>2798</v>
      </c>
      <c r="AQ47" s="252">
        <v>226</v>
      </c>
      <c r="AR47" s="252">
        <v>174295</v>
      </c>
      <c r="AS47" s="252">
        <v>0</v>
      </c>
      <c r="AT47" s="244"/>
      <c r="AU47" s="252" t="s">
        <v>577</v>
      </c>
      <c r="AV47" s="252">
        <v>957070.99</v>
      </c>
      <c r="AW47" s="252">
        <v>76</v>
      </c>
      <c r="AX47" s="252">
        <v>22</v>
      </c>
      <c r="AY47" s="252">
        <v>9533</v>
      </c>
      <c r="AZ47" s="252">
        <v>0</v>
      </c>
      <c r="BA47" s="244"/>
      <c r="BB47" s="252" t="s">
        <v>576</v>
      </c>
      <c r="BC47" s="252">
        <v>3556290</v>
      </c>
      <c r="BD47" s="252">
        <v>33</v>
      </c>
      <c r="BE47" s="252">
        <v>9</v>
      </c>
      <c r="BF47" s="252">
        <v>998</v>
      </c>
      <c r="BG47" s="252">
        <v>1</v>
      </c>
      <c r="BH47" s="246" t="s">
        <v>576</v>
      </c>
      <c r="BI47" s="252">
        <v>0</v>
      </c>
      <c r="BJ47" s="252">
        <v>0</v>
      </c>
      <c r="BK47" s="252">
        <v>0</v>
      </c>
      <c r="BL47" s="252">
        <v>52</v>
      </c>
      <c r="BM47" s="252">
        <v>1</v>
      </c>
      <c r="BN47" s="252"/>
      <c r="BO47" s="246"/>
      <c r="BP47" s="262">
        <v>47360</v>
      </c>
      <c r="BQ47" s="262"/>
      <c r="BR47" s="262"/>
      <c r="BS47" s="244"/>
      <c r="BT47" s="244"/>
      <c r="BU47" s="244"/>
      <c r="BV47" s="244"/>
      <c r="BW47" s="244"/>
      <c r="BX47" s="244"/>
      <c r="BY47" s="244"/>
      <c r="BZ47" s="244"/>
      <c r="CA47" s="244"/>
      <c r="CB47" s="244"/>
      <c r="CC47" s="244"/>
      <c r="CD47" s="244"/>
      <c r="CE47" s="244"/>
      <c r="CF47" s="244"/>
      <c r="CG47" s="244"/>
      <c r="CH47" s="244"/>
      <c r="CI47" s="244"/>
      <c r="CJ47" s="244"/>
      <c r="CK47" s="244"/>
      <c r="CL47" s="244"/>
      <c r="CM47" s="244"/>
      <c r="CN47" s="244"/>
      <c r="CO47" s="244"/>
      <c r="CP47" s="244"/>
      <c r="CQ47" s="244"/>
      <c r="CR47" s="244"/>
      <c r="CS47" s="244"/>
      <c r="CT47" s="244"/>
      <c r="CU47" s="244"/>
      <c r="CV47" s="244"/>
      <c r="CW47" s="244"/>
      <c r="CX47" s="244"/>
      <c r="CY47" s="244"/>
      <c r="CZ47" s="244"/>
      <c r="DA47" s="244"/>
      <c r="DB47" s="244"/>
      <c r="DC47" s="244"/>
      <c r="DD47" s="244"/>
    </row>
    <row r="48" spans="1:108" x14ac:dyDescent="0.2">
      <c r="B48" s="190" t="s">
        <v>254</v>
      </c>
      <c r="C48" s="193">
        <v>42195</v>
      </c>
      <c r="D48" s="190">
        <v>67821.078360950007</v>
      </c>
      <c r="E48" s="222">
        <v>1</v>
      </c>
      <c r="F48" s="216"/>
      <c r="G48" s="222" t="s">
        <v>69</v>
      </c>
      <c r="H48" s="222">
        <v>83437.390650419999</v>
      </c>
      <c r="I48" s="164"/>
      <c r="J48" s="159"/>
      <c r="K48" s="227"/>
      <c r="L48" s="227"/>
      <c r="M48" s="227"/>
      <c r="O48" s="240" t="s">
        <v>558</v>
      </c>
      <c r="P48" s="240">
        <v>1233.88775586</v>
      </c>
      <c r="Q48" s="238"/>
      <c r="S48" s="252" t="s">
        <v>451</v>
      </c>
      <c r="T48" s="257">
        <v>5593322.6799999997</v>
      </c>
      <c r="U48" s="257">
        <v>19386</v>
      </c>
      <c r="V48" s="257">
        <v>22</v>
      </c>
      <c r="W48" s="257">
        <v>312255</v>
      </c>
      <c r="X48" s="257">
        <v>0</v>
      </c>
      <c r="Y48" s="244"/>
      <c r="Z48" s="252" t="s">
        <v>603</v>
      </c>
      <c r="AA48" s="252">
        <v>0</v>
      </c>
      <c r="AB48" s="252">
        <v>0</v>
      </c>
      <c r="AC48" s="252">
        <v>0</v>
      </c>
      <c r="AD48" s="252">
        <v>5280</v>
      </c>
      <c r="AE48" s="252">
        <v>0</v>
      </c>
      <c r="AF48" s="252"/>
      <c r="AG48" s="252" t="s">
        <v>599</v>
      </c>
      <c r="AH48" s="252">
        <v>0</v>
      </c>
      <c r="AI48" s="252">
        <v>0</v>
      </c>
      <c r="AJ48" s="252">
        <v>0</v>
      </c>
      <c r="AK48" s="252">
        <v>28</v>
      </c>
      <c r="AL48" s="252">
        <v>1</v>
      </c>
      <c r="AM48" s="244"/>
      <c r="AN48" s="252" t="s">
        <v>603</v>
      </c>
      <c r="AO48" s="252">
        <v>394400</v>
      </c>
      <c r="AP48" s="252">
        <v>240</v>
      </c>
      <c r="AQ48" s="252">
        <v>3</v>
      </c>
      <c r="AR48" s="252">
        <v>2880</v>
      </c>
      <c r="AS48" s="252">
        <v>0</v>
      </c>
      <c r="AT48" s="244"/>
      <c r="AU48" s="252" t="s">
        <v>603</v>
      </c>
      <c r="AV48" s="252">
        <v>0</v>
      </c>
      <c r="AW48" s="252">
        <v>0</v>
      </c>
      <c r="AX48" s="252">
        <v>0</v>
      </c>
      <c r="AY48" s="252">
        <v>240</v>
      </c>
      <c r="AZ48" s="252">
        <v>0</v>
      </c>
      <c r="BA48" s="244"/>
      <c r="BB48" s="252" t="s">
        <v>578</v>
      </c>
      <c r="BC48" s="252">
        <v>0</v>
      </c>
      <c r="BD48" s="252">
        <v>0</v>
      </c>
      <c r="BE48" s="252">
        <v>0</v>
      </c>
      <c r="BF48" s="252">
        <v>0</v>
      </c>
      <c r="BG48" s="252">
        <v>0</v>
      </c>
      <c r="BH48" s="246" t="s">
        <v>578</v>
      </c>
      <c r="BI48" s="252">
        <v>0</v>
      </c>
      <c r="BJ48" s="252">
        <v>0</v>
      </c>
      <c r="BK48" s="252">
        <v>0</v>
      </c>
      <c r="BL48" s="252">
        <v>0</v>
      </c>
      <c r="BM48" s="252">
        <v>0</v>
      </c>
      <c r="BN48" s="252"/>
      <c r="BO48" s="244"/>
      <c r="BP48" s="244"/>
      <c r="BQ48" s="244"/>
      <c r="BR48" s="244"/>
      <c r="BS48" s="244"/>
      <c r="BT48" s="244"/>
      <c r="BU48" s="244"/>
      <c r="BV48" s="244"/>
      <c r="BW48" s="244"/>
      <c r="BX48" s="244"/>
      <c r="BY48" s="244"/>
      <c r="BZ48" s="244"/>
      <c r="CA48" s="244"/>
      <c r="CB48" s="244"/>
      <c r="CC48" s="244"/>
      <c r="CD48" s="244"/>
      <c r="CE48" s="244"/>
      <c r="CF48" s="244"/>
      <c r="CG48" s="244"/>
      <c r="CH48" s="244"/>
      <c r="CI48" s="244"/>
      <c r="CJ48" s="244"/>
      <c r="CK48" s="244"/>
      <c r="CL48" s="244"/>
      <c r="CM48" s="244"/>
      <c r="CN48" s="244"/>
      <c r="CO48" s="244"/>
      <c r="CP48" s="244"/>
      <c r="CQ48" s="244"/>
      <c r="CR48" s="244"/>
      <c r="CS48" s="244"/>
      <c r="CT48" s="244"/>
      <c r="CU48" s="244"/>
      <c r="CV48" s="244"/>
      <c r="CW48" s="244"/>
      <c r="CX48" s="244"/>
      <c r="CY48" s="244"/>
      <c r="CZ48" s="244"/>
      <c r="DA48" s="244"/>
      <c r="DB48" s="244"/>
      <c r="DC48" s="244"/>
      <c r="DD48" s="244"/>
    </row>
    <row r="49" spans="1:70" x14ac:dyDescent="0.2">
      <c r="B49" s="190" t="s">
        <v>255</v>
      </c>
      <c r="C49" s="193">
        <v>38709</v>
      </c>
      <c r="D49" s="190">
        <v>1445.21</v>
      </c>
      <c r="E49" s="222">
        <v>1</v>
      </c>
      <c r="F49" s="216"/>
      <c r="G49" s="222" t="s">
        <v>115</v>
      </c>
      <c r="H49" s="222">
        <v>1182.6942294600001</v>
      </c>
      <c r="I49" s="164"/>
      <c r="J49" s="159"/>
      <c r="K49" s="227"/>
      <c r="L49" s="227"/>
      <c r="M49" s="227"/>
      <c r="O49" s="240" t="s">
        <v>49</v>
      </c>
      <c r="P49" s="240">
        <v>7489.5620405999998</v>
      </c>
      <c r="Q49" s="238"/>
      <c r="S49" s="252" t="s">
        <v>446</v>
      </c>
      <c r="T49" s="257">
        <v>321240233</v>
      </c>
      <c r="U49" s="257">
        <v>83035</v>
      </c>
      <c r="V49" s="257">
        <v>19</v>
      </c>
      <c r="W49" s="257">
        <v>933499</v>
      </c>
      <c r="X49" s="257">
        <v>0</v>
      </c>
      <c r="Y49" s="244"/>
      <c r="Z49" s="252" t="s">
        <v>599</v>
      </c>
      <c r="AA49" s="252">
        <v>2035750</v>
      </c>
      <c r="AB49" s="252">
        <v>35</v>
      </c>
      <c r="AC49" s="252">
        <v>3</v>
      </c>
      <c r="AD49" s="252">
        <v>586</v>
      </c>
      <c r="AE49" s="252">
        <v>1</v>
      </c>
      <c r="AF49" s="252"/>
      <c r="AG49" s="252" t="s">
        <v>604</v>
      </c>
      <c r="AH49" s="252">
        <v>0</v>
      </c>
      <c r="AI49" s="252">
        <v>0</v>
      </c>
      <c r="AJ49" s="252">
        <v>0</v>
      </c>
      <c r="AK49" s="252">
        <v>4</v>
      </c>
      <c r="AL49" s="252">
        <v>1</v>
      </c>
      <c r="AM49" s="244"/>
      <c r="AN49" s="252" t="s">
        <v>599</v>
      </c>
      <c r="AO49" s="252">
        <v>917489.9</v>
      </c>
      <c r="AP49" s="252">
        <v>17</v>
      </c>
      <c r="AQ49" s="252">
        <v>6</v>
      </c>
      <c r="AR49" s="252">
        <v>699</v>
      </c>
      <c r="AS49" s="252">
        <v>1</v>
      </c>
      <c r="AT49" s="244"/>
      <c r="AU49" s="252" t="s">
        <v>599</v>
      </c>
      <c r="AV49" s="252">
        <v>0</v>
      </c>
      <c r="AW49" s="252">
        <v>0</v>
      </c>
      <c r="AX49" s="252">
        <v>0</v>
      </c>
      <c r="AY49" s="252">
        <v>33</v>
      </c>
      <c r="AZ49" s="252">
        <v>1</v>
      </c>
      <c r="BA49" s="244"/>
      <c r="BB49" s="252" t="s">
        <v>614</v>
      </c>
      <c r="BC49" s="252">
        <v>0</v>
      </c>
      <c r="BD49" s="252">
        <v>0</v>
      </c>
      <c r="BE49" s="252">
        <v>0</v>
      </c>
      <c r="BF49" s="252">
        <v>0</v>
      </c>
      <c r="BG49" s="252">
        <v>1</v>
      </c>
      <c r="BH49" s="246" t="s">
        <v>577</v>
      </c>
      <c r="BI49" s="252">
        <v>4170127.3</v>
      </c>
      <c r="BJ49" s="252">
        <v>176</v>
      </c>
      <c r="BK49" s="252">
        <v>10</v>
      </c>
      <c r="BL49" s="252">
        <v>15426</v>
      </c>
      <c r="BM49" s="252">
        <v>0</v>
      </c>
      <c r="BN49" s="252"/>
      <c r="BO49" s="255" t="s">
        <v>491</v>
      </c>
      <c r="BP49" s="263" t="s">
        <v>537</v>
      </c>
      <c r="BQ49" s="263" t="s">
        <v>562</v>
      </c>
      <c r="BR49" s="263" t="s">
        <v>563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2">
        <v>1</v>
      </c>
      <c r="F50" s="216"/>
      <c r="G50" s="222" t="s">
        <v>283</v>
      </c>
      <c r="H50" s="222">
        <v>391.22878906</v>
      </c>
      <c r="I50" s="164"/>
      <c r="J50" s="159"/>
      <c r="K50" s="227"/>
      <c r="L50" s="227"/>
      <c r="M50" s="227"/>
      <c r="O50" s="240" t="s">
        <v>546</v>
      </c>
      <c r="P50" s="240">
        <v>54682.103105690003</v>
      </c>
      <c r="Q50" s="238"/>
      <c r="S50" s="252" t="s">
        <v>566</v>
      </c>
      <c r="T50" s="257">
        <v>0</v>
      </c>
      <c r="U50" s="257">
        <v>0</v>
      </c>
      <c r="V50" s="257">
        <v>0</v>
      </c>
      <c r="W50" s="257">
        <v>0</v>
      </c>
      <c r="X50" s="257">
        <v>1</v>
      </c>
      <c r="Y50" s="244"/>
      <c r="Z50" s="252" t="s">
        <v>604</v>
      </c>
      <c r="AA50" s="252">
        <v>0</v>
      </c>
      <c r="AB50" s="252">
        <v>0</v>
      </c>
      <c r="AC50" s="252">
        <v>0</v>
      </c>
      <c r="AD50" s="252">
        <v>88</v>
      </c>
      <c r="AE50" s="252">
        <v>1</v>
      </c>
      <c r="AF50" s="252"/>
      <c r="AG50" s="252" t="s">
        <v>583</v>
      </c>
      <c r="AH50" s="252">
        <v>0</v>
      </c>
      <c r="AI50" s="252">
        <v>0</v>
      </c>
      <c r="AJ50" s="252">
        <v>0</v>
      </c>
      <c r="AK50" s="252">
        <v>73</v>
      </c>
      <c r="AL50" s="252">
        <v>1</v>
      </c>
      <c r="AM50" s="244"/>
      <c r="AN50" s="252" t="s">
        <v>604</v>
      </c>
      <c r="AO50" s="252">
        <v>157080</v>
      </c>
      <c r="AP50" s="252">
        <v>4</v>
      </c>
      <c r="AQ50" s="252">
        <v>1</v>
      </c>
      <c r="AR50" s="252">
        <v>80</v>
      </c>
      <c r="AS50" s="252">
        <v>1</v>
      </c>
      <c r="AT50" s="244"/>
      <c r="AU50" s="252" t="s">
        <v>604</v>
      </c>
      <c r="AV50" s="252">
        <v>0</v>
      </c>
      <c r="AW50" s="252">
        <v>0</v>
      </c>
      <c r="AX50" s="252">
        <v>0</v>
      </c>
      <c r="AY50" s="252">
        <v>4</v>
      </c>
      <c r="AZ50" s="252">
        <v>1</v>
      </c>
      <c r="BA50" s="244"/>
      <c r="BB50" s="252" t="s">
        <v>577</v>
      </c>
      <c r="BC50" s="252">
        <v>39138767.240000002</v>
      </c>
      <c r="BD50" s="252">
        <v>3573</v>
      </c>
      <c r="BE50" s="252">
        <v>341</v>
      </c>
      <c r="BF50" s="252">
        <v>322144</v>
      </c>
      <c r="BG50" s="252">
        <v>0</v>
      </c>
      <c r="BH50" s="246" t="s">
        <v>599</v>
      </c>
      <c r="BI50" s="252">
        <v>926660</v>
      </c>
      <c r="BJ50" s="252">
        <v>18</v>
      </c>
      <c r="BK50" s="252">
        <v>4</v>
      </c>
      <c r="BL50" s="252">
        <v>154</v>
      </c>
      <c r="BM50" s="252">
        <v>1</v>
      </c>
      <c r="BN50" s="252"/>
      <c r="BO50" s="246"/>
      <c r="BP50" s="262">
        <v>40133481785</v>
      </c>
      <c r="BQ50" s="262">
        <v>2903202</v>
      </c>
      <c r="BR50" s="262">
        <v>5324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2">
        <v>1</v>
      </c>
      <c r="F51" s="213"/>
      <c r="G51" s="222" t="s">
        <v>284</v>
      </c>
      <c r="H51" s="222">
        <v>22.546053560000001</v>
      </c>
      <c r="I51" s="164"/>
      <c r="J51" s="157"/>
      <c r="K51" s="227"/>
      <c r="L51" s="227"/>
      <c r="M51" s="227"/>
      <c r="O51" s="240" t="s">
        <v>547</v>
      </c>
      <c r="P51" s="240">
        <v>53838.344519760001</v>
      </c>
      <c r="Q51" s="238"/>
      <c r="S51" s="252" t="s">
        <v>447</v>
      </c>
      <c r="T51" s="257">
        <v>352024711.5</v>
      </c>
      <c r="U51" s="257">
        <v>23395</v>
      </c>
      <c r="V51" s="257">
        <v>157</v>
      </c>
      <c r="W51" s="257">
        <v>1265530</v>
      </c>
      <c r="X51" s="257">
        <v>1</v>
      </c>
      <c r="Y51" s="244"/>
      <c r="Z51" s="252" t="s">
        <v>583</v>
      </c>
      <c r="AA51" s="252">
        <v>2147325</v>
      </c>
      <c r="AB51" s="252">
        <v>45</v>
      </c>
      <c r="AC51" s="252">
        <v>8</v>
      </c>
      <c r="AD51" s="252">
        <v>1721</v>
      </c>
      <c r="AE51" s="252">
        <v>1</v>
      </c>
      <c r="AF51" s="252"/>
      <c r="AG51" s="252" t="s">
        <v>584</v>
      </c>
      <c r="AH51" s="252">
        <v>0</v>
      </c>
      <c r="AI51" s="252">
        <v>0</v>
      </c>
      <c r="AJ51" s="252">
        <v>0</v>
      </c>
      <c r="AK51" s="252">
        <v>0</v>
      </c>
      <c r="AL51" s="252">
        <v>1</v>
      </c>
      <c r="AM51" s="244"/>
      <c r="AN51" s="252" t="s">
        <v>583</v>
      </c>
      <c r="AO51" s="252">
        <v>5572762.5</v>
      </c>
      <c r="AP51" s="252">
        <v>109</v>
      </c>
      <c r="AQ51" s="252">
        <v>34</v>
      </c>
      <c r="AR51" s="252">
        <v>1100</v>
      </c>
      <c r="AS51" s="252">
        <v>1</v>
      </c>
      <c r="AT51" s="244"/>
      <c r="AU51" s="252" t="s">
        <v>583</v>
      </c>
      <c r="AV51" s="252">
        <v>0</v>
      </c>
      <c r="AW51" s="252">
        <v>0</v>
      </c>
      <c r="AX51" s="252">
        <v>0</v>
      </c>
      <c r="AY51" s="252">
        <v>82</v>
      </c>
      <c r="AZ51" s="252">
        <v>1</v>
      </c>
      <c r="BA51" s="244"/>
      <c r="BB51" s="252" t="s">
        <v>599</v>
      </c>
      <c r="BC51" s="252">
        <v>25960230.800000001</v>
      </c>
      <c r="BD51" s="252">
        <v>491</v>
      </c>
      <c r="BE51" s="252">
        <v>35</v>
      </c>
      <c r="BF51" s="252">
        <v>3056</v>
      </c>
      <c r="BG51" s="252">
        <v>1</v>
      </c>
      <c r="BH51" s="246" t="s">
        <v>613</v>
      </c>
      <c r="BI51" s="252">
        <v>0</v>
      </c>
      <c r="BJ51" s="252">
        <v>0</v>
      </c>
      <c r="BK51" s="252">
        <v>0</v>
      </c>
      <c r="BL51" s="252">
        <v>0</v>
      </c>
      <c r="BM51" s="252">
        <v>1</v>
      </c>
      <c r="BN51" s="252"/>
      <c r="BO51" s="246"/>
      <c r="BP51" s="246"/>
      <c r="BQ51" s="246"/>
      <c r="BR51" s="246"/>
    </row>
    <row r="52" spans="1:70" x14ac:dyDescent="0.2">
      <c r="B52" s="190" t="s">
        <v>258</v>
      </c>
      <c r="C52" s="193">
        <v>38716</v>
      </c>
      <c r="D52" s="190">
        <v>14859.1</v>
      </c>
      <c r="E52" s="222">
        <v>1</v>
      </c>
      <c r="F52" s="208"/>
      <c r="G52" s="222" t="s">
        <v>285</v>
      </c>
      <c r="H52" s="222">
        <v>366.75347362999997</v>
      </c>
      <c r="I52" s="164"/>
      <c r="J52" s="157"/>
      <c r="K52" s="227"/>
      <c r="L52" s="227"/>
      <c r="M52" s="227"/>
      <c r="O52" s="240" t="s">
        <v>282</v>
      </c>
      <c r="P52" s="240">
        <v>3930.8734101700002</v>
      </c>
      <c r="Q52" s="238"/>
      <c r="S52" s="252" t="s">
        <v>182</v>
      </c>
      <c r="T52" s="257">
        <v>2403.8449999999998</v>
      </c>
      <c r="U52" s="257">
        <v>89</v>
      </c>
      <c r="V52" s="257">
        <v>3</v>
      </c>
      <c r="W52" s="257">
        <v>1905943</v>
      </c>
      <c r="X52" s="257">
        <v>1</v>
      </c>
      <c r="Y52" s="244"/>
      <c r="Z52" s="252" t="s">
        <v>584</v>
      </c>
      <c r="AA52" s="252">
        <v>0</v>
      </c>
      <c r="AB52" s="252">
        <v>0</v>
      </c>
      <c r="AC52" s="252">
        <v>0</v>
      </c>
      <c r="AD52" s="252">
        <v>0</v>
      </c>
      <c r="AE52" s="252">
        <v>1</v>
      </c>
      <c r="AF52" s="252"/>
      <c r="AG52" s="252" t="s">
        <v>605</v>
      </c>
      <c r="AH52" s="252">
        <v>0</v>
      </c>
      <c r="AI52" s="252">
        <v>0</v>
      </c>
      <c r="AJ52" s="252">
        <v>0</v>
      </c>
      <c r="AK52" s="252">
        <v>0</v>
      </c>
      <c r="AL52" s="252">
        <v>1</v>
      </c>
      <c r="AM52" s="244"/>
      <c r="AN52" s="252" t="s">
        <v>584</v>
      </c>
      <c r="AO52" s="252">
        <v>0</v>
      </c>
      <c r="AP52" s="252">
        <v>0</v>
      </c>
      <c r="AQ52" s="252">
        <v>0</v>
      </c>
      <c r="AR52" s="252">
        <v>0</v>
      </c>
      <c r="AS52" s="252">
        <v>1</v>
      </c>
      <c r="AT52" s="244"/>
      <c r="AU52" s="252" t="s">
        <v>584</v>
      </c>
      <c r="AV52" s="252">
        <v>0</v>
      </c>
      <c r="AW52" s="252">
        <v>0</v>
      </c>
      <c r="AX52" s="252">
        <v>0</v>
      </c>
      <c r="AY52" s="252">
        <v>0</v>
      </c>
      <c r="AZ52" s="252">
        <v>1</v>
      </c>
      <c r="BA52" s="244"/>
      <c r="BB52" s="252" t="s">
        <v>613</v>
      </c>
      <c r="BC52" s="252">
        <v>0</v>
      </c>
      <c r="BD52" s="252">
        <v>0</v>
      </c>
      <c r="BE52" s="252">
        <v>0</v>
      </c>
      <c r="BF52" s="252">
        <v>0</v>
      </c>
      <c r="BG52" s="252">
        <v>1</v>
      </c>
      <c r="BH52" s="246" t="s">
        <v>583</v>
      </c>
      <c r="BI52" s="252">
        <v>0</v>
      </c>
      <c r="BJ52" s="252">
        <v>0</v>
      </c>
      <c r="BK52" s="252">
        <v>0</v>
      </c>
      <c r="BL52" s="252">
        <v>20</v>
      </c>
      <c r="BM52" s="252">
        <v>1</v>
      </c>
      <c r="BN52" s="252"/>
      <c r="BO52" s="258" t="s">
        <v>492</v>
      </c>
      <c r="BP52" s="263" t="s">
        <v>537</v>
      </c>
      <c r="BQ52" s="263" t="s">
        <v>562</v>
      </c>
      <c r="BR52" s="263" t="s">
        <v>563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2">
        <v>1</v>
      </c>
      <c r="F53" s="209"/>
      <c r="G53" s="222" t="s">
        <v>286</v>
      </c>
      <c r="H53" s="222">
        <v>270.89462634</v>
      </c>
      <c r="I53" s="164"/>
      <c r="J53" s="157"/>
      <c r="K53" s="227"/>
      <c r="L53" s="227"/>
      <c r="M53" s="227"/>
      <c r="O53" s="240" t="s">
        <v>61</v>
      </c>
      <c r="P53" s="240">
        <v>35015.426659179997</v>
      </c>
      <c r="Q53" s="238"/>
      <c r="S53" s="252" t="s">
        <v>449</v>
      </c>
      <c r="T53" s="257">
        <v>0</v>
      </c>
      <c r="U53" s="257">
        <v>0</v>
      </c>
      <c r="V53" s="257">
        <v>0</v>
      </c>
      <c r="W53" s="257">
        <v>0</v>
      </c>
      <c r="X53" s="257">
        <v>0</v>
      </c>
      <c r="Y53" s="244"/>
      <c r="Z53" s="252" t="s">
        <v>605</v>
      </c>
      <c r="AA53" s="252">
        <v>0</v>
      </c>
      <c r="AB53" s="252">
        <v>0</v>
      </c>
      <c r="AC53" s="252">
        <v>0</v>
      </c>
      <c r="AD53" s="252">
        <v>0</v>
      </c>
      <c r="AE53" s="252">
        <v>1</v>
      </c>
      <c r="AF53" s="252"/>
      <c r="AG53" s="252" t="s">
        <v>586</v>
      </c>
      <c r="AH53" s="252">
        <v>0</v>
      </c>
      <c r="AI53" s="252">
        <v>0</v>
      </c>
      <c r="AJ53" s="252">
        <v>0</v>
      </c>
      <c r="AK53" s="252">
        <v>104</v>
      </c>
      <c r="AL53" s="252">
        <v>1</v>
      </c>
      <c r="AM53" s="244"/>
      <c r="AN53" s="252" t="s">
        <v>605</v>
      </c>
      <c r="AO53" s="252">
        <v>0</v>
      </c>
      <c r="AP53" s="252">
        <v>0</v>
      </c>
      <c r="AQ53" s="252">
        <v>0</v>
      </c>
      <c r="AR53" s="252">
        <v>0</v>
      </c>
      <c r="AS53" s="252">
        <v>1</v>
      </c>
      <c r="AT53" s="244"/>
      <c r="AU53" s="252" t="s">
        <v>605</v>
      </c>
      <c r="AV53" s="252">
        <v>0</v>
      </c>
      <c r="AW53" s="252">
        <v>0</v>
      </c>
      <c r="AX53" s="252">
        <v>0</v>
      </c>
      <c r="AY53" s="252">
        <v>0</v>
      </c>
      <c r="AZ53" s="252">
        <v>1</v>
      </c>
      <c r="BA53" s="244"/>
      <c r="BB53" s="252" t="s">
        <v>583</v>
      </c>
      <c r="BC53" s="252">
        <v>1326227.25</v>
      </c>
      <c r="BD53" s="252">
        <v>22</v>
      </c>
      <c r="BE53" s="252">
        <v>4</v>
      </c>
      <c r="BF53" s="252">
        <v>751</v>
      </c>
      <c r="BG53" s="252">
        <v>1</v>
      </c>
      <c r="BH53" s="246" t="s">
        <v>584</v>
      </c>
      <c r="BI53" s="252">
        <v>0</v>
      </c>
      <c r="BJ53" s="252">
        <v>0</v>
      </c>
      <c r="BK53" s="252">
        <v>0</v>
      </c>
      <c r="BL53" s="252">
        <v>0</v>
      </c>
      <c r="BM53" s="252">
        <v>1</v>
      </c>
      <c r="BN53" s="252"/>
      <c r="BO53" s="250"/>
      <c r="BP53" s="262">
        <v>16893150102.5</v>
      </c>
      <c r="BQ53" s="262">
        <v>1203533</v>
      </c>
      <c r="BR53" s="262">
        <v>221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2">
        <v>1</v>
      </c>
      <c r="F54" s="214"/>
      <c r="G54" s="222" t="s">
        <v>287</v>
      </c>
      <c r="H54" s="222">
        <v>213.80273879999999</v>
      </c>
      <c r="I54" s="164"/>
      <c r="J54" s="157"/>
      <c r="K54" s="227"/>
      <c r="L54" s="227"/>
      <c r="M54" s="227"/>
      <c r="O54" s="240" t="s">
        <v>65</v>
      </c>
      <c r="P54" s="240">
        <v>75728.592672319995</v>
      </c>
      <c r="Q54" s="238"/>
      <c r="S54" s="252" t="s">
        <v>446</v>
      </c>
      <c r="T54" s="257">
        <v>17951922667.676601</v>
      </c>
      <c r="U54" s="257">
        <v>82339</v>
      </c>
      <c r="V54" s="257">
        <v>12674</v>
      </c>
      <c r="W54" s="257">
        <v>624401</v>
      </c>
      <c r="X54" s="257">
        <v>1</v>
      </c>
      <c r="Y54" s="244"/>
      <c r="Z54" s="252" t="s">
        <v>586</v>
      </c>
      <c r="AA54" s="252">
        <v>17775149.98</v>
      </c>
      <c r="AB54" s="252">
        <v>37</v>
      </c>
      <c r="AC54" s="252">
        <v>8</v>
      </c>
      <c r="AD54" s="252">
        <v>2688</v>
      </c>
      <c r="AE54" s="252">
        <v>1</v>
      </c>
      <c r="AF54" s="252"/>
      <c r="AG54" s="252" t="s">
        <v>585</v>
      </c>
      <c r="AH54" s="252">
        <v>4537500</v>
      </c>
      <c r="AI54" s="252">
        <v>25</v>
      </c>
      <c r="AJ54" s="252">
        <v>1</v>
      </c>
      <c r="AK54" s="252">
        <v>1308</v>
      </c>
      <c r="AL54" s="252">
        <v>1</v>
      </c>
      <c r="AM54" s="244"/>
      <c r="AN54" s="252" t="s">
        <v>586</v>
      </c>
      <c r="AO54" s="252">
        <v>882000</v>
      </c>
      <c r="AP54" s="252">
        <v>2</v>
      </c>
      <c r="AQ54" s="252">
        <v>1</v>
      </c>
      <c r="AR54" s="252">
        <v>2520</v>
      </c>
      <c r="AS54" s="252">
        <v>1</v>
      </c>
      <c r="AT54" s="244"/>
      <c r="AU54" s="252" t="s">
        <v>586</v>
      </c>
      <c r="AV54" s="252">
        <v>0</v>
      </c>
      <c r="AW54" s="252">
        <v>0</v>
      </c>
      <c r="AX54" s="252">
        <v>0</v>
      </c>
      <c r="AY54" s="252">
        <v>126</v>
      </c>
      <c r="AZ54" s="252">
        <v>1</v>
      </c>
      <c r="BA54" s="244"/>
      <c r="BB54" s="252" t="s">
        <v>584</v>
      </c>
      <c r="BC54" s="252">
        <v>0</v>
      </c>
      <c r="BD54" s="252">
        <v>0</v>
      </c>
      <c r="BE54" s="252">
        <v>0</v>
      </c>
      <c r="BF54" s="252">
        <v>0</v>
      </c>
      <c r="BG54" s="252">
        <v>1</v>
      </c>
      <c r="BH54" s="246" t="s">
        <v>586</v>
      </c>
      <c r="BI54" s="252">
        <v>0</v>
      </c>
      <c r="BJ54" s="252">
        <v>0</v>
      </c>
      <c r="BK54" s="252">
        <v>0</v>
      </c>
      <c r="BL54" s="252">
        <v>0</v>
      </c>
      <c r="BM54" s="252">
        <v>1</v>
      </c>
      <c r="BN54" s="252"/>
      <c r="BO54" s="250"/>
      <c r="BP54" s="262"/>
      <c r="BQ54" s="262"/>
      <c r="BR54" s="262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2">
        <v>1</v>
      </c>
      <c r="F55" s="217"/>
      <c r="G55" s="222" t="s">
        <v>288</v>
      </c>
      <c r="H55" s="222">
        <v>472.29321517</v>
      </c>
      <c r="I55" s="164"/>
      <c r="J55" s="157"/>
      <c r="K55" s="227"/>
      <c r="L55" s="227"/>
      <c r="M55" s="227"/>
      <c r="O55" s="240" t="s">
        <v>67</v>
      </c>
      <c r="P55" s="240">
        <v>15108.12248589</v>
      </c>
      <c r="Q55" s="238"/>
      <c r="S55" s="252" t="s">
        <v>451</v>
      </c>
      <c r="T55" s="257">
        <v>0</v>
      </c>
      <c r="U55" s="257">
        <v>0</v>
      </c>
      <c r="V55" s="257">
        <v>0</v>
      </c>
      <c r="W55" s="257">
        <v>480854</v>
      </c>
      <c r="X55" s="257">
        <v>1</v>
      </c>
      <c r="Y55" s="244"/>
      <c r="Z55" s="252" t="s">
        <v>585</v>
      </c>
      <c r="AA55" s="252">
        <v>16739540</v>
      </c>
      <c r="AB55" s="252">
        <v>94</v>
      </c>
      <c r="AC55" s="252">
        <v>14</v>
      </c>
      <c r="AD55" s="252">
        <v>29062</v>
      </c>
      <c r="AE55" s="252">
        <v>1</v>
      </c>
      <c r="AF55" s="252"/>
      <c r="AG55" s="252" t="s">
        <v>581</v>
      </c>
      <c r="AH55" s="252">
        <v>0</v>
      </c>
      <c r="AI55" s="252">
        <v>0</v>
      </c>
      <c r="AJ55" s="252">
        <v>0</v>
      </c>
      <c r="AK55" s="252">
        <v>16</v>
      </c>
      <c r="AL55" s="252">
        <v>1</v>
      </c>
      <c r="AM55" s="244"/>
      <c r="AN55" s="252" t="s">
        <v>585</v>
      </c>
      <c r="AO55" s="252">
        <v>25013350.899999999</v>
      </c>
      <c r="AP55" s="252">
        <v>142</v>
      </c>
      <c r="AQ55" s="252">
        <v>25</v>
      </c>
      <c r="AR55" s="252">
        <v>26113</v>
      </c>
      <c r="AS55" s="252">
        <v>1</v>
      </c>
      <c r="AT55" s="244"/>
      <c r="AU55" s="252" t="s">
        <v>585</v>
      </c>
      <c r="AV55" s="252">
        <v>176530</v>
      </c>
      <c r="AW55" s="252">
        <v>1</v>
      </c>
      <c r="AX55" s="252">
        <v>1</v>
      </c>
      <c r="AY55" s="252">
        <v>1310</v>
      </c>
      <c r="AZ55" s="252">
        <v>1</v>
      </c>
      <c r="BA55" s="244"/>
      <c r="BB55" s="252" t="s">
        <v>586</v>
      </c>
      <c r="BC55" s="252">
        <v>949135</v>
      </c>
      <c r="BD55" s="252">
        <v>2</v>
      </c>
      <c r="BE55" s="252">
        <v>2</v>
      </c>
      <c r="BF55" s="252">
        <v>11</v>
      </c>
      <c r="BG55" s="252">
        <v>1</v>
      </c>
      <c r="BH55" s="246" t="s">
        <v>585</v>
      </c>
      <c r="BI55" s="252">
        <v>528850</v>
      </c>
      <c r="BJ55" s="252">
        <v>3</v>
      </c>
      <c r="BK55" s="252">
        <v>2</v>
      </c>
      <c r="BL55" s="252">
        <v>37</v>
      </c>
      <c r="BM55" s="252">
        <v>1</v>
      </c>
      <c r="BN55" s="252"/>
      <c r="BO55" s="255" t="s">
        <v>493</v>
      </c>
      <c r="BP55" s="263" t="s">
        <v>616</v>
      </c>
      <c r="BQ55" s="263" t="s">
        <v>564</v>
      </c>
      <c r="BR55" s="262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2">
        <v>1</v>
      </c>
      <c r="F56" s="217"/>
      <c r="G56" s="222" t="s">
        <v>289</v>
      </c>
      <c r="H56" s="222">
        <v>8591.8043031699999</v>
      </c>
      <c r="I56" s="164"/>
      <c r="J56" s="157"/>
      <c r="K56" s="227"/>
      <c r="L56" s="227"/>
      <c r="M56" s="227"/>
      <c r="O56" s="240" t="s">
        <v>69</v>
      </c>
      <c r="P56" s="240">
        <v>78153.621633329996</v>
      </c>
      <c r="Q56" s="238"/>
      <c r="S56" s="252" t="s">
        <v>450</v>
      </c>
      <c r="T56" s="257">
        <v>0</v>
      </c>
      <c r="U56" s="257">
        <v>1974</v>
      </c>
      <c r="V56" s="257">
        <v>3</v>
      </c>
      <c r="W56" s="257">
        <v>11617567</v>
      </c>
      <c r="X56" s="257">
        <v>1</v>
      </c>
      <c r="Y56" s="244"/>
      <c r="Z56" s="252" t="s">
        <v>581</v>
      </c>
      <c r="AA56" s="252">
        <v>0</v>
      </c>
      <c r="AB56" s="252">
        <v>0</v>
      </c>
      <c r="AC56" s="252">
        <v>0</v>
      </c>
      <c r="AD56" s="252">
        <v>352</v>
      </c>
      <c r="AE56" s="252">
        <v>1</v>
      </c>
      <c r="AF56" s="252"/>
      <c r="AG56" s="252" t="s">
        <v>606</v>
      </c>
      <c r="AH56" s="252">
        <v>0</v>
      </c>
      <c r="AI56" s="252">
        <v>0</v>
      </c>
      <c r="AJ56" s="252">
        <v>0</v>
      </c>
      <c r="AK56" s="252">
        <v>136</v>
      </c>
      <c r="AL56" s="252">
        <v>1</v>
      </c>
      <c r="AM56" s="244"/>
      <c r="AN56" s="252" t="s">
        <v>581</v>
      </c>
      <c r="AO56" s="252">
        <v>1441825</v>
      </c>
      <c r="AP56" s="252">
        <v>16</v>
      </c>
      <c r="AQ56" s="252">
        <v>5</v>
      </c>
      <c r="AR56" s="252">
        <v>361</v>
      </c>
      <c r="AS56" s="252">
        <v>1</v>
      </c>
      <c r="AT56" s="244"/>
      <c r="AU56" s="252" t="s">
        <v>581</v>
      </c>
      <c r="AV56" s="252">
        <v>0</v>
      </c>
      <c r="AW56" s="252">
        <v>0</v>
      </c>
      <c r="AX56" s="252">
        <v>0</v>
      </c>
      <c r="AY56" s="252">
        <v>16</v>
      </c>
      <c r="AZ56" s="252">
        <v>1</v>
      </c>
      <c r="BA56" s="244"/>
      <c r="BB56" s="252" t="s">
        <v>585</v>
      </c>
      <c r="BC56" s="252">
        <v>154992280.90000001</v>
      </c>
      <c r="BD56" s="252">
        <v>860</v>
      </c>
      <c r="BE56" s="252">
        <v>25</v>
      </c>
      <c r="BF56" s="252">
        <v>3784</v>
      </c>
      <c r="BG56" s="252">
        <v>1</v>
      </c>
      <c r="BH56" s="246" t="s">
        <v>581</v>
      </c>
      <c r="BI56" s="252">
        <v>0</v>
      </c>
      <c r="BJ56" s="252">
        <v>0</v>
      </c>
      <c r="BK56" s="252">
        <v>0</v>
      </c>
      <c r="BL56" s="252">
        <v>145</v>
      </c>
      <c r="BM56" s="252">
        <v>1</v>
      </c>
      <c r="BN56" s="252"/>
      <c r="BO56" s="246"/>
      <c r="BP56" s="262" t="s">
        <v>617</v>
      </c>
      <c r="BQ56" s="262">
        <v>3816827</v>
      </c>
      <c r="BR56" s="262"/>
    </row>
    <row r="57" spans="1:70" x14ac:dyDescent="0.2">
      <c r="B57" s="190" t="s">
        <v>263</v>
      </c>
      <c r="C57" s="193">
        <v>38713</v>
      </c>
      <c r="D57" s="190">
        <v>14630.23</v>
      </c>
      <c r="E57" s="222">
        <v>1</v>
      </c>
      <c r="F57" s="217"/>
      <c r="G57" s="222" t="s">
        <v>290</v>
      </c>
      <c r="H57" s="222">
        <v>850.48650082999995</v>
      </c>
      <c r="I57" s="164"/>
      <c r="J57" s="157"/>
      <c r="K57" s="227"/>
      <c r="L57" s="227"/>
      <c r="M57" s="227"/>
      <c r="O57" s="240" t="s">
        <v>115</v>
      </c>
      <c r="P57" s="240">
        <v>1168.9173940600001</v>
      </c>
      <c r="Q57" s="238"/>
      <c r="S57" s="252" t="s">
        <v>448</v>
      </c>
      <c r="T57" s="257">
        <v>41120</v>
      </c>
      <c r="U57" s="257">
        <v>10949</v>
      </c>
      <c r="V57" s="257">
        <v>144</v>
      </c>
      <c r="W57" s="257">
        <v>916942</v>
      </c>
      <c r="X57" s="257">
        <v>1</v>
      </c>
      <c r="Y57" s="244"/>
      <c r="Z57" s="252" t="s">
        <v>606</v>
      </c>
      <c r="AA57" s="252">
        <v>10018569.91</v>
      </c>
      <c r="AB57" s="252">
        <v>108</v>
      </c>
      <c r="AC57" s="252">
        <v>39</v>
      </c>
      <c r="AD57" s="252">
        <v>2250</v>
      </c>
      <c r="AE57" s="252">
        <v>1</v>
      </c>
      <c r="AF57" s="252"/>
      <c r="AG57" s="252" t="s">
        <v>590</v>
      </c>
      <c r="AH57" s="252">
        <v>0</v>
      </c>
      <c r="AI57" s="252">
        <v>0</v>
      </c>
      <c r="AJ57" s="252">
        <v>0</v>
      </c>
      <c r="AK57" s="252">
        <v>84</v>
      </c>
      <c r="AL57" s="252">
        <v>1</v>
      </c>
      <c r="AM57" s="244"/>
      <c r="AN57" s="252" t="s">
        <v>606</v>
      </c>
      <c r="AO57" s="252">
        <v>6496969.9199999999</v>
      </c>
      <c r="AP57" s="252">
        <v>66</v>
      </c>
      <c r="AQ57" s="252">
        <v>27</v>
      </c>
      <c r="AR57" s="252">
        <v>921</v>
      </c>
      <c r="AS57" s="252">
        <v>1</v>
      </c>
      <c r="AT57" s="244"/>
      <c r="AU57" s="252" t="s">
        <v>606</v>
      </c>
      <c r="AV57" s="252">
        <v>0</v>
      </c>
      <c r="AW57" s="252">
        <v>0</v>
      </c>
      <c r="AX57" s="252">
        <v>0</v>
      </c>
      <c r="AY57" s="252">
        <v>55</v>
      </c>
      <c r="AZ57" s="252">
        <v>1</v>
      </c>
      <c r="BA57" s="244"/>
      <c r="BB57" s="252" t="s">
        <v>581</v>
      </c>
      <c r="BC57" s="252">
        <v>8919054</v>
      </c>
      <c r="BD57" s="252">
        <v>99</v>
      </c>
      <c r="BE57" s="252">
        <v>11</v>
      </c>
      <c r="BF57" s="252">
        <v>2056</v>
      </c>
      <c r="BG57" s="252">
        <v>1</v>
      </c>
      <c r="BH57" s="246" t="s">
        <v>606</v>
      </c>
      <c r="BI57" s="252">
        <v>98070</v>
      </c>
      <c r="BJ57" s="252">
        <v>1</v>
      </c>
      <c r="BK57" s="252">
        <v>1</v>
      </c>
      <c r="BL57" s="252">
        <v>24</v>
      </c>
      <c r="BM57" s="252">
        <v>1</v>
      </c>
      <c r="BN57" s="252"/>
      <c r="BO57" s="246"/>
      <c r="BP57" s="262" t="s">
        <v>618</v>
      </c>
      <c r="BQ57" s="262">
        <v>2101899</v>
      </c>
      <c r="BR57" s="262"/>
    </row>
    <row r="58" spans="1:70" x14ac:dyDescent="0.2">
      <c r="B58" s="190" t="s">
        <v>264</v>
      </c>
      <c r="C58" s="193">
        <v>38713</v>
      </c>
      <c r="D58" s="190">
        <v>1547.81</v>
      </c>
      <c r="E58" s="222">
        <v>1</v>
      </c>
      <c r="F58" s="217"/>
      <c r="G58" s="222" t="s">
        <v>95</v>
      </c>
      <c r="H58" s="222">
        <v>661.35102070000005</v>
      </c>
      <c r="I58" s="164"/>
      <c r="J58" s="157"/>
      <c r="K58" s="227"/>
      <c r="L58" s="227"/>
      <c r="M58" s="227"/>
      <c r="O58" s="240" t="s">
        <v>283</v>
      </c>
      <c r="P58" s="240">
        <v>403.83125308000001</v>
      </c>
      <c r="Q58" s="238"/>
      <c r="S58" s="244"/>
      <c r="T58" s="244"/>
      <c r="U58" s="244"/>
      <c r="V58" s="244"/>
      <c r="W58" s="244"/>
      <c r="X58" s="244"/>
      <c r="Y58" s="244"/>
      <c r="Z58" s="252" t="s">
        <v>590</v>
      </c>
      <c r="AA58" s="252">
        <v>11955124.99</v>
      </c>
      <c r="AB58" s="252">
        <v>47</v>
      </c>
      <c r="AC58" s="252">
        <v>5</v>
      </c>
      <c r="AD58" s="252">
        <v>1914</v>
      </c>
      <c r="AE58" s="252">
        <v>1</v>
      </c>
      <c r="AF58" s="252"/>
      <c r="AG58" s="252" t="s">
        <v>591</v>
      </c>
      <c r="AH58" s="252">
        <v>0</v>
      </c>
      <c r="AI58" s="252">
        <v>0</v>
      </c>
      <c r="AJ58" s="252">
        <v>0</v>
      </c>
      <c r="AK58" s="252">
        <v>1</v>
      </c>
      <c r="AL58" s="252">
        <v>1</v>
      </c>
      <c r="AM58" s="244"/>
      <c r="AN58" s="252" t="s">
        <v>590</v>
      </c>
      <c r="AO58" s="252">
        <v>0</v>
      </c>
      <c r="AP58" s="252">
        <v>0</v>
      </c>
      <c r="AQ58" s="252">
        <v>0</v>
      </c>
      <c r="AR58" s="252">
        <v>1800</v>
      </c>
      <c r="AS58" s="252">
        <v>1</v>
      </c>
      <c r="AT58" s="244"/>
      <c r="AU58" s="252" t="s">
        <v>590</v>
      </c>
      <c r="AV58" s="252">
        <v>0</v>
      </c>
      <c r="AW58" s="252">
        <v>0</v>
      </c>
      <c r="AX58" s="252">
        <v>0</v>
      </c>
      <c r="AY58" s="252">
        <v>90</v>
      </c>
      <c r="AZ58" s="252">
        <v>1</v>
      </c>
      <c r="BA58" s="244"/>
      <c r="BB58" s="252" t="s">
        <v>606</v>
      </c>
      <c r="BC58" s="252">
        <v>2665940</v>
      </c>
      <c r="BD58" s="252">
        <v>27</v>
      </c>
      <c r="BE58" s="252">
        <v>11</v>
      </c>
      <c r="BF58" s="252">
        <v>506</v>
      </c>
      <c r="BG58" s="252">
        <v>1</v>
      </c>
      <c r="BH58" s="246" t="s">
        <v>590</v>
      </c>
      <c r="BI58" s="252">
        <v>0</v>
      </c>
      <c r="BJ58" s="252">
        <v>0</v>
      </c>
      <c r="BK58" s="252">
        <v>0</v>
      </c>
      <c r="BL58" s="252">
        <v>0</v>
      </c>
      <c r="BM58" s="252">
        <v>1</v>
      </c>
      <c r="BN58" s="252"/>
      <c r="BO58" s="246"/>
      <c r="BP58" s="262"/>
      <c r="BQ58" s="262"/>
      <c r="BR58" s="262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2">
        <v>1</v>
      </c>
      <c r="F59" s="208"/>
      <c r="G59" s="222" t="s">
        <v>97</v>
      </c>
      <c r="H59" s="222">
        <v>533.61438437000004</v>
      </c>
      <c r="I59" s="164"/>
      <c r="J59" s="157"/>
      <c r="K59" s="227"/>
      <c r="L59" s="227"/>
      <c r="M59" s="227"/>
      <c r="O59" s="240" t="s">
        <v>284</v>
      </c>
      <c r="P59" s="240">
        <v>20.822979520000001</v>
      </c>
      <c r="Q59" s="238"/>
      <c r="S59" s="244"/>
      <c r="T59" s="244"/>
      <c r="U59" s="244"/>
      <c r="V59" s="244"/>
      <c r="W59" s="244"/>
      <c r="X59" s="244"/>
      <c r="Y59" s="244"/>
      <c r="Z59" s="252" t="s">
        <v>591</v>
      </c>
      <c r="AA59" s="252">
        <v>0</v>
      </c>
      <c r="AB59" s="252">
        <v>0</v>
      </c>
      <c r="AC59" s="252">
        <v>0</v>
      </c>
      <c r="AD59" s="252">
        <v>22</v>
      </c>
      <c r="AE59" s="252">
        <v>1</v>
      </c>
      <c r="AF59" s="252"/>
      <c r="AG59" s="252" t="s">
        <v>567</v>
      </c>
      <c r="AH59" s="252">
        <v>0</v>
      </c>
      <c r="AI59" s="252">
        <v>0</v>
      </c>
      <c r="AJ59" s="252">
        <v>0</v>
      </c>
      <c r="AK59" s="252">
        <v>6</v>
      </c>
      <c r="AL59" s="252">
        <v>1</v>
      </c>
      <c r="AM59" s="244"/>
      <c r="AN59" s="252" t="s">
        <v>591</v>
      </c>
      <c r="AO59" s="252">
        <v>7295112.5</v>
      </c>
      <c r="AP59" s="252">
        <v>151</v>
      </c>
      <c r="AQ59" s="252">
        <v>3</v>
      </c>
      <c r="AR59" s="252">
        <v>442</v>
      </c>
      <c r="AS59" s="252">
        <v>1</v>
      </c>
      <c r="AT59" s="244"/>
      <c r="AU59" s="252" t="s">
        <v>591</v>
      </c>
      <c r="AV59" s="252">
        <v>0</v>
      </c>
      <c r="AW59" s="252">
        <v>0</v>
      </c>
      <c r="AX59" s="252">
        <v>0</v>
      </c>
      <c r="AY59" s="252">
        <v>1</v>
      </c>
      <c r="AZ59" s="252">
        <v>1</v>
      </c>
      <c r="BA59" s="244"/>
      <c r="BB59" s="252" t="s">
        <v>590</v>
      </c>
      <c r="BC59" s="252">
        <v>1663905</v>
      </c>
      <c r="BD59" s="252">
        <v>6</v>
      </c>
      <c r="BE59" s="252">
        <v>2</v>
      </c>
      <c r="BF59" s="252">
        <v>33</v>
      </c>
      <c r="BG59" s="252">
        <v>1</v>
      </c>
      <c r="BH59" s="246" t="s">
        <v>591</v>
      </c>
      <c r="BI59" s="252">
        <v>0</v>
      </c>
      <c r="BJ59" s="252">
        <v>0</v>
      </c>
      <c r="BK59" s="252">
        <v>0</v>
      </c>
      <c r="BL59" s="252">
        <v>0</v>
      </c>
      <c r="BM59" s="252">
        <v>1</v>
      </c>
      <c r="BN59" s="252"/>
      <c r="BO59" s="255" t="s">
        <v>475</v>
      </c>
      <c r="BP59" s="263" t="s">
        <v>537</v>
      </c>
      <c r="BQ59" s="263" t="s">
        <v>562</v>
      </c>
      <c r="BR59" s="263" t="s">
        <v>563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2">
        <v>1</v>
      </c>
      <c r="F60" s="208"/>
      <c r="G60" s="222" t="s">
        <v>293</v>
      </c>
      <c r="H60" s="222">
        <v>89715.106960820005</v>
      </c>
      <c r="I60" s="164"/>
      <c r="J60" s="157"/>
      <c r="K60" s="227"/>
      <c r="L60" s="227"/>
      <c r="M60" s="227"/>
      <c r="O60" s="240" t="s">
        <v>285</v>
      </c>
      <c r="P60" s="240">
        <v>343.42188779000003</v>
      </c>
      <c r="Q60" s="238"/>
      <c r="R60" s="153" t="s">
        <v>456</v>
      </c>
      <c r="S60" s="253" t="s">
        <v>560</v>
      </c>
      <c r="T60" s="256" t="s">
        <v>561</v>
      </c>
      <c r="U60" s="256" t="s">
        <v>562</v>
      </c>
      <c r="V60" s="256" t="s">
        <v>563</v>
      </c>
      <c r="W60" s="256" t="s">
        <v>564</v>
      </c>
      <c r="X60" s="256" t="s">
        <v>565</v>
      </c>
      <c r="Y60" s="244"/>
      <c r="Z60" s="252" t="s">
        <v>567</v>
      </c>
      <c r="AA60" s="252">
        <v>471675</v>
      </c>
      <c r="AB60" s="252">
        <v>6</v>
      </c>
      <c r="AC60" s="252">
        <v>1</v>
      </c>
      <c r="AD60" s="252">
        <v>84</v>
      </c>
      <c r="AE60" s="252">
        <v>1</v>
      </c>
      <c r="AF60" s="252"/>
      <c r="AG60" s="252" t="s">
        <v>582</v>
      </c>
      <c r="AH60" s="252">
        <v>0</v>
      </c>
      <c r="AI60" s="252">
        <v>0</v>
      </c>
      <c r="AJ60" s="252">
        <v>0</v>
      </c>
      <c r="AK60" s="252">
        <v>0</v>
      </c>
      <c r="AL60" s="252">
        <v>0</v>
      </c>
      <c r="AM60" s="244"/>
      <c r="AN60" s="252" t="s">
        <v>567</v>
      </c>
      <c r="AO60" s="252">
        <v>746187.5</v>
      </c>
      <c r="AP60" s="252">
        <v>10</v>
      </c>
      <c r="AQ60" s="252">
        <v>2</v>
      </c>
      <c r="AR60" s="252">
        <v>25</v>
      </c>
      <c r="AS60" s="252">
        <v>1</v>
      </c>
      <c r="AT60" s="244"/>
      <c r="AU60" s="252" t="s">
        <v>567</v>
      </c>
      <c r="AV60" s="252">
        <v>0</v>
      </c>
      <c r="AW60" s="252">
        <v>0</v>
      </c>
      <c r="AX60" s="252">
        <v>0</v>
      </c>
      <c r="AY60" s="252">
        <v>0</v>
      </c>
      <c r="AZ60" s="252">
        <v>1</v>
      </c>
      <c r="BA60" s="244"/>
      <c r="BB60" s="252" t="s">
        <v>591</v>
      </c>
      <c r="BC60" s="252">
        <v>149543500</v>
      </c>
      <c r="BD60" s="252">
        <v>3000</v>
      </c>
      <c r="BE60" s="252">
        <v>4</v>
      </c>
      <c r="BF60" s="252">
        <v>1007</v>
      </c>
      <c r="BG60" s="252">
        <v>1</v>
      </c>
      <c r="BH60" s="246" t="s">
        <v>567</v>
      </c>
      <c r="BI60" s="252">
        <v>0</v>
      </c>
      <c r="BJ60" s="252">
        <v>0</v>
      </c>
      <c r="BK60" s="252">
        <v>0</v>
      </c>
      <c r="BL60" s="252">
        <v>0</v>
      </c>
      <c r="BM60" s="252">
        <v>1</v>
      </c>
      <c r="BN60" s="252"/>
      <c r="BO60" s="246"/>
      <c r="BP60" s="262">
        <v>527783981334.40002</v>
      </c>
      <c r="BQ60" s="262">
        <v>38745700</v>
      </c>
      <c r="BR60" s="262">
        <v>53282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2">
        <v>1</v>
      </c>
      <c r="F61" s="211"/>
      <c r="G61" s="222" t="s">
        <v>99</v>
      </c>
      <c r="H61" s="222">
        <v>21127.838248880002</v>
      </c>
      <c r="I61" s="164"/>
      <c r="J61" s="157"/>
      <c r="K61" s="227"/>
      <c r="L61" s="227"/>
      <c r="M61" s="227"/>
      <c r="O61" s="240" t="s">
        <v>286</v>
      </c>
      <c r="P61" s="240">
        <v>254.7706944</v>
      </c>
      <c r="Q61" s="238"/>
      <c r="R61" s="157"/>
      <c r="S61" s="252" t="s">
        <v>449</v>
      </c>
      <c r="T61" s="257">
        <v>1016590773.9836</v>
      </c>
      <c r="U61" s="257">
        <v>2117266</v>
      </c>
      <c r="V61" s="257">
        <v>217</v>
      </c>
      <c r="W61" s="257">
        <v>19109498</v>
      </c>
      <c r="X61" s="257">
        <v>1</v>
      </c>
      <c r="Y61" s="244"/>
      <c r="Z61" s="252" t="s">
        <v>582</v>
      </c>
      <c r="AA61" s="252">
        <v>0</v>
      </c>
      <c r="AB61" s="252">
        <v>0</v>
      </c>
      <c r="AC61" s="252">
        <v>0</v>
      </c>
      <c r="AD61" s="252">
        <v>0</v>
      </c>
      <c r="AE61" s="252">
        <v>0</v>
      </c>
      <c r="AF61" s="252"/>
      <c r="AG61" s="252" t="s">
        <v>570</v>
      </c>
      <c r="AH61" s="252">
        <v>0</v>
      </c>
      <c r="AI61" s="252">
        <v>0</v>
      </c>
      <c r="AJ61" s="252">
        <v>0</v>
      </c>
      <c r="AK61" s="252">
        <v>0</v>
      </c>
      <c r="AL61" s="252">
        <v>0</v>
      </c>
      <c r="AM61" s="244"/>
      <c r="AN61" s="252" t="s">
        <v>582</v>
      </c>
      <c r="AO61" s="252">
        <v>0</v>
      </c>
      <c r="AP61" s="252">
        <v>0</v>
      </c>
      <c r="AQ61" s="252">
        <v>0</v>
      </c>
      <c r="AR61" s="252">
        <v>0</v>
      </c>
      <c r="AS61" s="252">
        <v>0</v>
      </c>
      <c r="AT61" s="244"/>
      <c r="AU61" s="252" t="s">
        <v>582</v>
      </c>
      <c r="AV61" s="252">
        <v>0</v>
      </c>
      <c r="AW61" s="252">
        <v>0</v>
      </c>
      <c r="AX61" s="252">
        <v>0</v>
      </c>
      <c r="AY61" s="252">
        <v>0</v>
      </c>
      <c r="AZ61" s="252">
        <v>0</v>
      </c>
      <c r="BA61" s="244"/>
      <c r="BB61" s="252" t="s">
        <v>567</v>
      </c>
      <c r="BC61" s="252">
        <v>791550</v>
      </c>
      <c r="BD61" s="252">
        <v>15</v>
      </c>
      <c r="BE61" s="252">
        <v>1</v>
      </c>
      <c r="BF61" s="252">
        <v>135</v>
      </c>
      <c r="BG61" s="252">
        <v>1</v>
      </c>
      <c r="BH61" s="246" t="s">
        <v>582</v>
      </c>
      <c r="BI61" s="252">
        <v>0</v>
      </c>
      <c r="BJ61" s="252">
        <v>0</v>
      </c>
      <c r="BK61" s="252">
        <v>0</v>
      </c>
      <c r="BL61" s="252">
        <v>0</v>
      </c>
      <c r="BM61" s="252">
        <v>0</v>
      </c>
      <c r="BN61" s="252"/>
      <c r="BO61" s="246"/>
      <c r="BP61" s="246"/>
      <c r="BQ61" s="246"/>
      <c r="BR61" s="246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2">
        <v>1</v>
      </c>
      <c r="F62" s="211"/>
      <c r="G62" s="222" t="s">
        <v>294</v>
      </c>
      <c r="H62" s="222">
        <v>222.04568696999999</v>
      </c>
      <c r="I62" s="164"/>
      <c r="J62" s="157"/>
      <c r="K62" s="227"/>
      <c r="L62" s="227"/>
      <c r="M62" s="227"/>
      <c r="O62" s="240" t="s">
        <v>287</v>
      </c>
      <c r="P62" s="240">
        <v>201.32410985999999</v>
      </c>
      <c r="Q62" s="238"/>
      <c r="R62" s="157"/>
      <c r="S62" s="252" t="s">
        <v>447</v>
      </c>
      <c r="T62" s="257">
        <v>353181552.54000002</v>
      </c>
      <c r="U62" s="257">
        <v>905572</v>
      </c>
      <c r="V62" s="257">
        <v>621</v>
      </c>
      <c r="W62" s="257">
        <v>1767545</v>
      </c>
      <c r="X62" s="257">
        <v>0</v>
      </c>
      <c r="Y62" s="244"/>
      <c r="Z62" s="252" t="s">
        <v>570</v>
      </c>
      <c r="AA62" s="252">
        <v>0</v>
      </c>
      <c r="AB62" s="252">
        <v>0</v>
      </c>
      <c r="AC62" s="252">
        <v>0</v>
      </c>
      <c r="AD62" s="252">
        <v>0</v>
      </c>
      <c r="AE62" s="252">
        <v>0</v>
      </c>
      <c r="AF62" s="252"/>
      <c r="AG62" s="252" t="s">
        <v>607</v>
      </c>
      <c r="AH62" s="252">
        <v>0</v>
      </c>
      <c r="AI62" s="252">
        <v>0</v>
      </c>
      <c r="AJ62" s="252">
        <v>0</v>
      </c>
      <c r="AK62" s="252">
        <v>60</v>
      </c>
      <c r="AL62" s="252">
        <v>0</v>
      </c>
      <c r="AM62" s="244"/>
      <c r="AN62" s="252" t="s">
        <v>570</v>
      </c>
      <c r="AO62" s="252">
        <v>0</v>
      </c>
      <c r="AP62" s="252">
        <v>0</v>
      </c>
      <c r="AQ62" s="252">
        <v>0</v>
      </c>
      <c r="AR62" s="252">
        <v>0</v>
      </c>
      <c r="AS62" s="252">
        <v>0</v>
      </c>
      <c r="AT62" s="244"/>
      <c r="AU62" s="252" t="s">
        <v>570</v>
      </c>
      <c r="AV62" s="252">
        <v>0</v>
      </c>
      <c r="AW62" s="252">
        <v>0</v>
      </c>
      <c r="AX62" s="252">
        <v>0</v>
      </c>
      <c r="AY62" s="252">
        <v>0</v>
      </c>
      <c r="AZ62" s="252">
        <v>0</v>
      </c>
      <c r="BA62" s="244"/>
      <c r="BB62" s="252" t="s">
        <v>582</v>
      </c>
      <c r="BC62" s="252">
        <v>0</v>
      </c>
      <c r="BD62" s="252">
        <v>0</v>
      </c>
      <c r="BE62" s="252">
        <v>0</v>
      </c>
      <c r="BF62" s="252">
        <v>0</v>
      </c>
      <c r="BG62" s="252">
        <v>0</v>
      </c>
      <c r="BH62" s="246" t="s">
        <v>570</v>
      </c>
      <c r="BI62" s="252">
        <v>0</v>
      </c>
      <c r="BJ62" s="252">
        <v>0</v>
      </c>
      <c r="BK62" s="252">
        <v>0</v>
      </c>
      <c r="BL62" s="252">
        <v>0</v>
      </c>
      <c r="BM62" s="252">
        <v>0</v>
      </c>
      <c r="BN62" s="252"/>
      <c r="BO62" s="255" t="s">
        <v>490</v>
      </c>
      <c r="BP62" s="263" t="s">
        <v>537</v>
      </c>
      <c r="BQ62" s="263" t="s">
        <v>562</v>
      </c>
      <c r="BR62" s="263" t="s">
        <v>563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2">
        <v>1</v>
      </c>
      <c r="F63" s="211"/>
      <c r="G63" s="222" t="s">
        <v>295</v>
      </c>
      <c r="H63" s="222">
        <v>10815.769217429999</v>
      </c>
      <c r="I63" s="164"/>
      <c r="J63" s="157"/>
      <c r="K63" s="227"/>
      <c r="L63" s="227"/>
      <c r="M63" s="227"/>
      <c r="O63" s="240" t="s">
        <v>288</v>
      </c>
      <c r="P63" s="240">
        <v>441.13609058999998</v>
      </c>
      <c r="Q63" s="238"/>
      <c r="R63" s="157"/>
      <c r="S63" s="252" t="s">
        <v>451</v>
      </c>
      <c r="T63" s="257">
        <v>100564988.88</v>
      </c>
      <c r="U63" s="257">
        <v>128734</v>
      </c>
      <c r="V63" s="257">
        <v>49</v>
      </c>
      <c r="W63" s="257">
        <v>559605</v>
      </c>
      <c r="X63" s="257">
        <v>0</v>
      </c>
      <c r="Y63" s="244"/>
      <c r="Z63" s="252" t="s">
        <v>607</v>
      </c>
      <c r="AA63" s="252">
        <v>31760.2</v>
      </c>
      <c r="AB63" s="252">
        <v>20</v>
      </c>
      <c r="AC63" s="252">
        <v>2</v>
      </c>
      <c r="AD63" s="252">
        <v>1060</v>
      </c>
      <c r="AE63" s="252">
        <v>0</v>
      </c>
      <c r="AF63" s="252"/>
      <c r="AG63" s="252" t="s">
        <v>608</v>
      </c>
      <c r="AH63" s="252">
        <v>0</v>
      </c>
      <c r="AI63" s="252">
        <v>0</v>
      </c>
      <c r="AJ63" s="252">
        <v>0</v>
      </c>
      <c r="AK63" s="252">
        <v>0</v>
      </c>
      <c r="AL63" s="252">
        <v>0</v>
      </c>
      <c r="AM63" s="244"/>
      <c r="AN63" s="252" t="s">
        <v>607</v>
      </c>
      <c r="AO63" s="252">
        <v>221288</v>
      </c>
      <c r="AP63" s="252">
        <v>50</v>
      </c>
      <c r="AQ63" s="252">
        <v>4</v>
      </c>
      <c r="AR63" s="252">
        <v>630</v>
      </c>
      <c r="AS63" s="252">
        <v>0</v>
      </c>
      <c r="AT63" s="244"/>
      <c r="AU63" s="252" t="s">
        <v>607</v>
      </c>
      <c r="AV63" s="252">
        <v>0</v>
      </c>
      <c r="AW63" s="252">
        <v>0</v>
      </c>
      <c r="AX63" s="252">
        <v>0</v>
      </c>
      <c r="AY63" s="252">
        <v>40</v>
      </c>
      <c r="AZ63" s="252">
        <v>0</v>
      </c>
      <c r="BA63" s="244"/>
      <c r="BB63" s="252" t="s">
        <v>570</v>
      </c>
      <c r="BC63" s="252">
        <v>0</v>
      </c>
      <c r="BD63" s="252">
        <v>0</v>
      </c>
      <c r="BE63" s="252">
        <v>0</v>
      </c>
      <c r="BF63" s="252">
        <v>0</v>
      </c>
      <c r="BG63" s="252">
        <v>0</v>
      </c>
      <c r="BH63" s="246" t="s">
        <v>607</v>
      </c>
      <c r="BI63" s="252">
        <v>0</v>
      </c>
      <c r="BJ63" s="252">
        <v>0</v>
      </c>
      <c r="BK63" s="252">
        <v>0</v>
      </c>
      <c r="BL63" s="252">
        <v>40</v>
      </c>
      <c r="BM63" s="252">
        <v>0</v>
      </c>
      <c r="BN63" s="252"/>
      <c r="BO63" s="250"/>
      <c r="BP63" s="262">
        <v>179069694427.10001</v>
      </c>
      <c r="BQ63" s="262">
        <v>12856007</v>
      </c>
      <c r="BR63" s="262">
        <v>2743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2">
        <v>1</v>
      </c>
      <c r="F64" s="211"/>
      <c r="G64" s="222" t="s">
        <v>296</v>
      </c>
      <c r="H64" s="222">
        <v>10183.398783279999</v>
      </c>
      <c r="I64" s="164"/>
      <c r="J64" s="3"/>
      <c r="K64" s="227"/>
      <c r="L64" s="227"/>
      <c r="M64" s="227"/>
      <c r="O64" s="240" t="s">
        <v>289</v>
      </c>
      <c r="P64" s="240">
        <v>8115.6106448500004</v>
      </c>
      <c r="Q64" s="238"/>
      <c r="R64" s="157"/>
      <c r="S64" s="252" t="s">
        <v>446</v>
      </c>
      <c r="T64" s="257">
        <v>3085755039.8000002</v>
      </c>
      <c r="U64" s="257">
        <v>403296</v>
      </c>
      <c r="V64" s="257">
        <v>1000</v>
      </c>
      <c r="W64" s="257">
        <v>945995</v>
      </c>
      <c r="X64" s="257">
        <v>0</v>
      </c>
      <c r="Y64" s="244"/>
      <c r="Z64" s="252" t="s">
        <v>608</v>
      </c>
      <c r="AA64" s="252">
        <v>0</v>
      </c>
      <c r="AB64" s="252">
        <v>0</v>
      </c>
      <c r="AC64" s="252">
        <v>0</v>
      </c>
      <c r="AD64" s="252">
        <v>0</v>
      </c>
      <c r="AE64" s="252">
        <v>0</v>
      </c>
      <c r="AF64" s="252"/>
      <c r="AG64" s="252" t="s">
        <v>571</v>
      </c>
      <c r="AH64" s="252">
        <v>0</v>
      </c>
      <c r="AI64" s="252">
        <v>0</v>
      </c>
      <c r="AJ64" s="252">
        <v>0</v>
      </c>
      <c r="AK64" s="252">
        <v>0</v>
      </c>
      <c r="AL64" s="252">
        <v>0</v>
      </c>
      <c r="AM64" s="244"/>
      <c r="AN64" s="252" t="s">
        <v>608</v>
      </c>
      <c r="AO64" s="252">
        <v>0</v>
      </c>
      <c r="AP64" s="252">
        <v>0</v>
      </c>
      <c r="AQ64" s="252">
        <v>0</v>
      </c>
      <c r="AR64" s="252">
        <v>0</v>
      </c>
      <c r="AS64" s="252">
        <v>0</v>
      </c>
      <c r="AT64" s="244"/>
      <c r="AU64" s="252" t="s">
        <v>608</v>
      </c>
      <c r="AV64" s="252">
        <v>0</v>
      </c>
      <c r="AW64" s="252">
        <v>0</v>
      </c>
      <c r="AX64" s="252">
        <v>0</v>
      </c>
      <c r="AY64" s="252">
        <v>0</v>
      </c>
      <c r="AZ64" s="252">
        <v>0</v>
      </c>
      <c r="BA64" s="244"/>
      <c r="BB64" s="252" t="s">
        <v>607</v>
      </c>
      <c r="BC64" s="252">
        <v>0</v>
      </c>
      <c r="BD64" s="252">
        <v>0</v>
      </c>
      <c r="BE64" s="252">
        <v>0</v>
      </c>
      <c r="BF64" s="252">
        <v>840</v>
      </c>
      <c r="BG64" s="252">
        <v>0</v>
      </c>
      <c r="BH64" s="246" t="s">
        <v>608</v>
      </c>
      <c r="BI64" s="252">
        <v>0</v>
      </c>
      <c r="BJ64" s="252">
        <v>0</v>
      </c>
      <c r="BK64" s="252">
        <v>0</v>
      </c>
      <c r="BL64" s="252">
        <v>0</v>
      </c>
      <c r="BM64" s="252">
        <v>0</v>
      </c>
      <c r="BN64" s="252"/>
      <c r="BO64" s="246"/>
      <c r="BP64" s="246"/>
      <c r="BQ64" s="246"/>
      <c r="BR64" s="246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2">
        <v>1</v>
      </c>
      <c r="F65" s="211"/>
      <c r="G65" s="222" t="s">
        <v>297</v>
      </c>
      <c r="H65" s="222">
        <v>180.94251070999999</v>
      </c>
      <c r="I65" s="164"/>
      <c r="J65" s="3"/>
      <c r="K65" s="227"/>
      <c r="L65" s="227"/>
      <c r="M65" s="227"/>
      <c r="O65" s="240" t="s">
        <v>290</v>
      </c>
      <c r="P65" s="240">
        <v>866.15373050000005</v>
      </c>
      <c r="Q65" s="238"/>
      <c r="R65" s="157"/>
      <c r="S65" s="252" t="s">
        <v>566</v>
      </c>
      <c r="T65" s="257">
        <v>0</v>
      </c>
      <c r="U65" s="257">
        <v>0</v>
      </c>
      <c r="V65" s="257">
        <v>0</v>
      </c>
      <c r="W65" s="257">
        <v>0</v>
      </c>
      <c r="X65" s="257">
        <v>1</v>
      </c>
      <c r="Y65" s="244"/>
      <c r="Z65" s="252" t="s">
        <v>571</v>
      </c>
      <c r="AA65" s="252">
        <v>0</v>
      </c>
      <c r="AB65" s="252">
        <v>0</v>
      </c>
      <c r="AC65" s="252">
        <v>0</v>
      </c>
      <c r="AD65" s="252">
        <v>0</v>
      </c>
      <c r="AE65" s="252">
        <v>0</v>
      </c>
      <c r="AF65" s="252"/>
      <c r="AG65" s="252" t="s">
        <v>609</v>
      </c>
      <c r="AH65" s="252">
        <v>0</v>
      </c>
      <c r="AI65" s="252">
        <v>0</v>
      </c>
      <c r="AJ65" s="252">
        <v>0</v>
      </c>
      <c r="AK65" s="252">
        <v>0</v>
      </c>
      <c r="AL65" s="252">
        <v>0</v>
      </c>
      <c r="AM65" s="244"/>
      <c r="AN65" s="252" t="s">
        <v>571</v>
      </c>
      <c r="AO65" s="252">
        <v>0</v>
      </c>
      <c r="AP65" s="252">
        <v>0</v>
      </c>
      <c r="AQ65" s="252">
        <v>0</v>
      </c>
      <c r="AR65" s="252">
        <v>0</v>
      </c>
      <c r="AS65" s="252">
        <v>0</v>
      </c>
      <c r="AT65" s="244"/>
      <c r="AU65" s="252" t="s">
        <v>571</v>
      </c>
      <c r="AV65" s="252">
        <v>0</v>
      </c>
      <c r="AW65" s="252">
        <v>0</v>
      </c>
      <c r="AX65" s="252">
        <v>0</v>
      </c>
      <c r="AY65" s="252">
        <v>0</v>
      </c>
      <c r="AZ65" s="252">
        <v>0</v>
      </c>
      <c r="BA65" s="244"/>
      <c r="BB65" s="252" t="s">
        <v>608</v>
      </c>
      <c r="BC65" s="252">
        <v>0</v>
      </c>
      <c r="BD65" s="252">
        <v>0</v>
      </c>
      <c r="BE65" s="252">
        <v>0</v>
      </c>
      <c r="BF65" s="252">
        <v>0</v>
      </c>
      <c r="BG65" s="252">
        <v>0</v>
      </c>
      <c r="BH65" s="246" t="s">
        <v>571</v>
      </c>
      <c r="BI65" s="252">
        <v>0</v>
      </c>
      <c r="BJ65" s="252">
        <v>0</v>
      </c>
      <c r="BK65" s="252">
        <v>0</v>
      </c>
      <c r="BL65" s="252">
        <v>0</v>
      </c>
      <c r="BM65" s="252">
        <v>0</v>
      </c>
      <c r="BN65" s="252"/>
      <c r="BO65" s="255" t="s">
        <v>476</v>
      </c>
      <c r="BP65" s="263" t="s">
        <v>537</v>
      </c>
      <c r="BQ65" s="263" t="s">
        <v>562</v>
      </c>
      <c r="BR65" s="263" t="s">
        <v>563</v>
      </c>
    </row>
    <row r="66" spans="1:70" x14ac:dyDescent="0.2">
      <c r="A66" s="83"/>
      <c r="B66" s="190" t="s">
        <v>271</v>
      </c>
      <c r="C66" s="193">
        <v>42761</v>
      </c>
      <c r="D66" s="190">
        <v>10880.162418039999</v>
      </c>
      <c r="E66" s="222">
        <v>1</v>
      </c>
      <c r="F66" s="219"/>
      <c r="G66" s="222" t="s">
        <v>298</v>
      </c>
      <c r="H66" s="222">
        <v>13032.42337099</v>
      </c>
      <c r="I66" s="164"/>
      <c r="J66" s="3"/>
      <c r="K66" s="227"/>
      <c r="L66" s="227"/>
      <c r="M66" s="227"/>
      <c r="O66" s="240" t="s">
        <v>95</v>
      </c>
      <c r="P66" s="240">
        <v>648.65662951000002</v>
      </c>
      <c r="Q66" s="238"/>
      <c r="R66" s="157"/>
      <c r="S66" s="252" t="s">
        <v>447</v>
      </c>
      <c r="T66" s="257">
        <v>14916004690.653</v>
      </c>
      <c r="U66" s="257">
        <v>623462</v>
      </c>
      <c r="V66" s="257">
        <v>4335</v>
      </c>
      <c r="W66" s="257">
        <v>852940</v>
      </c>
      <c r="X66" s="257">
        <v>1</v>
      </c>
      <c r="Y66" s="244"/>
      <c r="Z66" s="252" t="s">
        <v>609</v>
      </c>
      <c r="AA66" s="252">
        <v>0</v>
      </c>
      <c r="AB66" s="252">
        <v>0</v>
      </c>
      <c r="AC66" s="252">
        <v>0</v>
      </c>
      <c r="AD66" s="252">
        <v>0</v>
      </c>
      <c r="AE66" s="252">
        <v>0</v>
      </c>
      <c r="AF66" s="252"/>
      <c r="AG66" s="252" t="s">
        <v>572</v>
      </c>
      <c r="AH66" s="252">
        <v>0</v>
      </c>
      <c r="AI66" s="252">
        <v>0</v>
      </c>
      <c r="AJ66" s="252">
        <v>0</v>
      </c>
      <c r="AK66" s="252">
        <v>0</v>
      </c>
      <c r="AL66" s="252">
        <v>0</v>
      </c>
      <c r="AM66" s="244"/>
      <c r="AN66" s="252" t="s">
        <v>609</v>
      </c>
      <c r="AO66" s="252">
        <v>0</v>
      </c>
      <c r="AP66" s="252">
        <v>0</v>
      </c>
      <c r="AQ66" s="252">
        <v>0</v>
      </c>
      <c r="AR66" s="252">
        <v>0</v>
      </c>
      <c r="AS66" s="252">
        <v>0</v>
      </c>
      <c r="AT66" s="244"/>
      <c r="AU66" s="252" t="s">
        <v>609</v>
      </c>
      <c r="AV66" s="252">
        <v>0</v>
      </c>
      <c r="AW66" s="252">
        <v>0</v>
      </c>
      <c r="AX66" s="252">
        <v>0</v>
      </c>
      <c r="AY66" s="252">
        <v>0</v>
      </c>
      <c r="AZ66" s="252">
        <v>0</v>
      </c>
      <c r="BA66" s="244"/>
      <c r="BB66" s="252" t="s">
        <v>571</v>
      </c>
      <c r="BC66" s="252">
        <v>0</v>
      </c>
      <c r="BD66" s="252">
        <v>0</v>
      </c>
      <c r="BE66" s="252">
        <v>0</v>
      </c>
      <c r="BF66" s="252">
        <v>0</v>
      </c>
      <c r="BG66" s="252">
        <v>0</v>
      </c>
      <c r="BH66" s="246" t="s">
        <v>609</v>
      </c>
      <c r="BI66" s="252">
        <v>0</v>
      </c>
      <c r="BJ66" s="252">
        <v>0</v>
      </c>
      <c r="BK66" s="252">
        <v>0</v>
      </c>
      <c r="BL66" s="252">
        <v>0</v>
      </c>
      <c r="BM66" s="252">
        <v>0</v>
      </c>
      <c r="BN66" s="252"/>
      <c r="BO66" s="246"/>
      <c r="BP66" s="262">
        <v>452471498366.49994</v>
      </c>
      <c r="BQ66" s="262">
        <v>29373632</v>
      </c>
      <c r="BR66" s="262">
        <v>57570</v>
      </c>
    </row>
    <row r="67" spans="1:70" x14ac:dyDescent="0.2">
      <c r="A67" s="83"/>
      <c r="B67" s="190" t="s">
        <v>272</v>
      </c>
      <c r="C67" s="193">
        <v>43039</v>
      </c>
      <c r="D67" s="190">
        <v>11473.55175608</v>
      </c>
      <c r="E67" s="222">
        <v>1</v>
      </c>
      <c r="F67" s="212"/>
      <c r="G67" s="222" t="s">
        <v>299</v>
      </c>
      <c r="H67" s="222">
        <v>6619.9861922600003</v>
      </c>
      <c r="I67" s="164"/>
      <c r="J67" s="3"/>
      <c r="K67" s="227"/>
      <c r="L67" s="227"/>
      <c r="M67" s="227"/>
      <c r="O67" s="240" t="s">
        <v>97</v>
      </c>
      <c r="P67" s="240">
        <v>524.0559164</v>
      </c>
      <c r="Q67" s="238"/>
      <c r="R67" s="157"/>
      <c r="S67" s="252" t="s">
        <v>182</v>
      </c>
      <c r="T67" s="257">
        <v>40896115.947999999</v>
      </c>
      <c r="U67" s="257">
        <v>419550</v>
      </c>
      <c r="V67" s="257">
        <v>265</v>
      </c>
      <c r="W67" s="257">
        <v>1346774</v>
      </c>
      <c r="X67" s="257">
        <v>1</v>
      </c>
      <c r="Y67" s="244"/>
      <c r="Z67" s="252" t="s">
        <v>572</v>
      </c>
      <c r="AA67" s="252">
        <v>0</v>
      </c>
      <c r="AB67" s="252">
        <v>0</v>
      </c>
      <c r="AC67" s="252">
        <v>0</v>
      </c>
      <c r="AD67" s="252">
        <v>0</v>
      </c>
      <c r="AE67" s="252">
        <v>0</v>
      </c>
      <c r="AF67" s="252"/>
      <c r="AG67" s="252" t="s">
        <v>610</v>
      </c>
      <c r="AH67" s="252">
        <v>0</v>
      </c>
      <c r="AI67" s="252">
        <v>0</v>
      </c>
      <c r="AJ67" s="252">
        <v>0</v>
      </c>
      <c r="AK67" s="252">
        <v>0</v>
      </c>
      <c r="AL67" s="252">
        <v>1</v>
      </c>
      <c r="AM67" s="244"/>
      <c r="AN67" s="252" t="s">
        <v>572</v>
      </c>
      <c r="AO67" s="252">
        <v>0</v>
      </c>
      <c r="AP67" s="252">
        <v>0</v>
      </c>
      <c r="AQ67" s="252">
        <v>0</v>
      </c>
      <c r="AR67" s="252">
        <v>0</v>
      </c>
      <c r="AS67" s="252">
        <v>0</v>
      </c>
      <c r="AT67" s="244"/>
      <c r="AU67" s="252" t="s">
        <v>572</v>
      </c>
      <c r="AV67" s="252">
        <v>0</v>
      </c>
      <c r="AW67" s="252">
        <v>0</v>
      </c>
      <c r="AX67" s="252">
        <v>0</v>
      </c>
      <c r="AY67" s="252">
        <v>0</v>
      </c>
      <c r="AZ67" s="252">
        <v>0</v>
      </c>
      <c r="BA67" s="244"/>
      <c r="BB67" s="252" t="s">
        <v>609</v>
      </c>
      <c r="BC67" s="252">
        <v>0</v>
      </c>
      <c r="BD67" s="252">
        <v>0</v>
      </c>
      <c r="BE67" s="252">
        <v>0</v>
      </c>
      <c r="BF67" s="252">
        <v>0</v>
      </c>
      <c r="BG67" s="252">
        <v>0</v>
      </c>
      <c r="BH67" s="246" t="s">
        <v>572</v>
      </c>
      <c r="BI67" s="252">
        <v>0</v>
      </c>
      <c r="BJ67" s="252">
        <v>0</v>
      </c>
      <c r="BK67" s="252">
        <v>0</v>
      </c>
      <c r="BL67" s="252">
        <v>0</v>
      </c>
      <c r="BM67" s="252">
        <v>0</v>
      </c>
      <c r="BN67" s="252"/>
      <c r="BO67" s="246"/>
      <c r="BP67" s="246"/>
      <c r="BQ67" s="246"/>
      <c r="BR67" s="246"/>
    </row>
    <row r="68" spans="1:70" x14ac:dyDescent="0.2">
      <c r="A68" s="83"/>
      <c r="B68" s="190" t="s">
        <v>273</v>
      </c>
      <c r="C68" s="193">
        <v>41967</v>
      </c>
      <c r="D68" s="190">
        <v>25297.640064309999</v>
      </c>
      <c r="E68" s="222">
        <v>1</v>
      </c>
      <c r="F68" s="212"/>
      <c r="G68" s="222" t="s">
        <v>300</v>
      </c>
      <c r="H68" s="222">
        <v>184.15571331999999</v>
      </c>
      <c r="I68" s="164"/>
      <c r="J68" s="3"/>
      <c r="K68" s="227"/>
      <c r="L68" s="227"/>
      <c r="M68" s="227"/>
      <c r="O68" s="240" t="s">
        <v>293</v>
      </c>
      <c r="P68" s="240">
        <v>83416.333804590002</v>
      </c>
      <c r="Q68" s="238"/>
      <c r="R68" s="157"/>
      <c r="S68" s="252" t="s">
        <v>449</v>
      </c>
      <c r="T68" s="257">
        <v>0</v>
      </c>
      <c r="U68" s="257">
        <v>0</v>
      </c>
      <c r="V68" s="257">
        <v>0</v>
      </c>
      <c r="W68" s="257">
        <v>0</v>
      </c>
      <c r="X68" s="257">
        <v>0</v>
      </c>
      <c r="Y68" s="244"/>
      <c r="Z68" s="252" t="s">
        <v>610</v>
      </c>
      <c r="AA68" s="252">
        <v>0</v>
      </c>
      <c r="AB68" s="252">
        <v>0</v>
      </c>
      <c r="AC68" s="252">
        <v>0</v>
      </c>
      <c r="AD68" s="252">
        <v>0</v>
      </c>
      <c r="AE68" s="252">
        <v>1</v>
      </c>
      <c r="AF68" s="252"/>
      <c r="AG68" s="252" t="s">
        <v>608</v>
      </c>
      <c r="AH68" s="252">
        <v>598000</v>
      </c>
      <c r="AI68" s="252">
        <v>5</v>
      </c>
      <c r="AJ68" s="252">
        <v>1</v>
      </c>
      <c r="AK68" s="252">
        <v>560</v>
      </c>
      <c r="AL68" s="252">
        <v>1</v>
      </c>
      <c r="AM68" s="244"/>
      <c r="AN68" s="252" t="s">
        <v>610</v>
      </c>
      <c r="AO68" s="252">
        <v>0</v>
      </c>
      <c r="AP68" s="252">
        <v>0</v>
      </c>
      <c r="AQ68" s="252">
        <v>0</v>
      </c>
      <c r="AR68" s="252">
        <v>0</v>
      </c>
      <c r="AS68" s="252">
        <v>1</v>
      </c>
      <c r="AT68" s="244"/>
      <c r="AU68" s="252" t="s">
        <v>610</v>
      </c>
      <c r="AV68" s="252">
        <v>0</v>
      </c>
      <c r="AW68" s="252">
        <v>0</v>
      </c>
      <c r="AX68" s="252">
        <v>0</v>
      </c>
      <c r="AY68" s="252">
        <v>0</v>
      </c>
      <c r="AZ68" s="252">
        <v>1</v>
      </c>
      <c r="BA68" s="244"/>
      <c r="BB68" s="252" t="s">
        <v>572</v>
      </c>
      <c r="BC68" s="252">
        <v>0</v>
      </c>
      <c r="BD68" s="252">
        <v>0</v>
      </c>
      <c r="BE68" s="252">
        <v>0</v>
      </c>
      <c r="BF68" s="252">
        <v>0</v>
      </c>
      <c r="BG68" s="252">
        <v>0</v>
      </c>
      <c r="BH68" s="246" t="s">
        <v>608</v>
      </c>
      <c r="BI68" s="252">
        <v>0</v>
      </c>
      <c r="BJ68" s="252">
        <v>0</v>
      </c>
      <c r="BK68" s="252">
        <v>0</v>
      </c>
      <c r="BL68" s="252">
        <v>20</v>
      </c>
      <c r="BM68" s="252">
        <v>1</v>
      </c>
      <c r="BN68" s="252"/>
      <c r="BO68" s="255" t="s">
        <v>477</v>
      </c>
      <c r="BP68" s="263" t="s">
        <v>537</v>
      </c>
      <c r="BQ68" s="263" t="s">
        <v>562</v>
      </c>
      <c r="BR68" s="263" t="s">
        <v>563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2">
        <v>1</v>
      </c>
      <c r="F69" s="212"/>
      <c r="G69" s="222" t="s">
        <v>301</v>
      </c>
      <c r="H69" s="222">
        <v>1969.3837946000001</v>
      </c>
      <c r="I69" s="164"/>
      <c r="J69" s="3"/>
      <c r="K69" s="227"/>
      <c r="L69" s="227"/>
      <c r="M69" s="227"/>
      <c r="O69" s="240" t="s">
        <v>99</v>
      </c>
      <c r="P69" s="240">
        <v>19737.327620659999</v>
      </c>
      <c r="Q69" s="238"/>
      <c r="R69" s="157"/>
      <c r="S69" s="252" t="s">
        <v>446</v>
      </c>
      <c r="T69" s="257">
        <v>327620521065.01129</v>
      </c>
      <c r="U69" s="257">
        <v>1024095</v>
      </c>
      <c r="V69" s="257">
        <v>243383</v>
      </c>
      <c r="W69" s="257">
        <v>863338</v>
      </c>
      <c r="X69" s="257">
        <v>1</v>
      </c>
      <c r="Y69" s="244"/>
      <c r="Z69" s="252" t="s">
        <v>608</v>
      </c>
      <c r="AA69" s="252">
        <v>3323500</v>
      </c>
      <c r="AB69" s="252">
        <v>28</v>
      </c>
      <c r="AC69" s="252">
        <v>2</v>
      </c>
      <c r="AD69" s="252">
        <v>12195</v>
      </c>
      <c r="AE69" s="252">
        <v>1</v>
      </c>
      <c r="AF69" s="252"/>
      <c r="AG69" s="252" t="s">
        <v>607</v>
      </c>
      <c r="AH69" s="252">
        <v>19761380.050000001</v>
      </c>
      <c r="AI69" s="252">
        <v>151</v>
      </c>
      <c r="AJ69" s="252">
        <v>2</v>
      </c>
      <c r="AK69" s="252">
        <v>368</v>
      </c>
      <c r="AL69" s="252">
        <v>1</v>
      </c>
      <c r="AM69" s="244"/>
      <c r="AN69" s="252" t="s">
        <v>608</v>
      </c>
      <c r="AO69" s="252">
        <v>24982600.350000001</v>
      </c>
      <c r="AP69" s="252">
        <v>209</v>
      </c>
      <c r="AQ69" s="252">
        <v>10</v>
      </c>
      <c r="AR69" s="252">
        <v>9561</v>
      </c>
      <c r="AS69" s="252">
        <v>1</v>
      </c>
      <c r="AT69" s="244"/>
      <c r="AU69" s="252" t="s">
        <v>608</v>
      </c>
      <c r="AV69" s="252">
        <v>0</v>
      </c>
      <c r="AW69" s="252">
        <v>0</v>
      </c>
      <c r="AX69" s="252">
        <v>0</v>
      </c>
      <c r="AY69" s="252">
        <v>542</v>
      </c>
      <c r="AZ69" s="252">
        <v>1</v>
      </c>
      <c r="BA69" s="244"/>
      <c r="BB69" s="252" t="s">
        <v>608</v>
      </c>
      <c r="BC69" s="252">
        <v>79222119.700000003</v>
      </c>
      <c r="BD69" s="252">
        <v>629</v>
      </c>
      <c r="BE69" s="252">
        <v>14</v>
      </c>
      <c r="BF69" s="252">
        <v>3141</v>
      </c>
      <c r="BG69" s="252">
        <v>1</v>
      </c>
      <c r="BH69" s="246" t="s">
        <v>607</v>
      </c>
      <c r="BI69" s="252">
        <v>538780</v>
      </c>
      <c r="BJ69" s="252">
        <v>4</v>
      </c>
      <c r="BK69" s="252">
        <v>4</v>
      </c>
      <c r="BL69" s="252">
        <v>31</v>
      </c>
      <c r="BM69" s="252">
        <v>1</v>
      </c>
      <c r="BN69" s="252"/>
      <c r="BO69" s="246"/>
      <c r="BP69" s="262">
        <v>188898349564.70001</v>
      </c>
      <c r="BQ69" s="262">
        <v>12406183</v>
      </c>
      <c r="BR69" s="262">
        <v>2895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2">
        <v>1</v>
      </c>
      <c r="F70" s="211"/>
      <c r="G70" s="222" t="s">
        <v>302</v>
      </c>
      <c r="H70" s="222">
        <v>10630.16340935</v>
      </c>
      <c r="I70" s="164"/>
      <c r="J70" s="3"/>
      <c r="K70" s="227"/>
      <c r="L70" s="227"/>
      <c r="M70" s="227"/>
      <c r="O70" s="240" t="s">
        <v>294</v>
      </c>
      <c r="P70" s="240">
        <v>212.83505775</v>
      </c>
      <c r="Q70" s="238"/>
      <c r="R70" s="157"/>
      <c r="S70" s="252" t="s">
        <v>451</v>
      </c>
      <c r="T70" s="257">
        <v>379872164.25</v>
      </c>
      <c r="U70" s="257">
        <v>43893</v>
      </c>
      <c r="V70" s="257">
        <v>114</v>
      </c>
      <c r="W70" s="257">
        <v>808696</v>
      </c>
      <c r="X70" s="257">
        <v>1</v>
      </c>
      <c r="Y70" s="244"/>
      <c r="Z70" s="252" t="s">
        <v>607</v>
      </c>
      <c r="AA70" s="252">
        <v>40253525.100000001</v>
      </c>
      <c r="AB70" s="252">
        <v>311</v>
      </c>
      <c r="AC70" s="252">
        <v>11</v>
      </c>
      <c r="AD70" s="252">
        <v>12287</v>
      </c>
      <c r="AE70" s="252">
        <v>1</v>
      </c>
      <c r="AF70" s="252"/>
      <c r="AG70" s="252" t="s">
        <v>601</v>
      </c>
      <c r="AH70" s="252">
        <v>0</v>
      </c>
      <c r="AI70" s="252">
        <v>0</v>
      </c>
      <c r="AJ70" s="252">
        <v>0</v>
      </c>
      <c r="AK70" s="252">
        <v>0</v>
      </c>
      <c r="AL70" s="252">
        <v>0</v>
      </c>
      <c r="AM70" s="244"/>
      <c r="AN70" s="252" t="s">
        <v>607</v>
      </c>
      <c r="AO70" s="252">
        <v>29245016.956</v>
      </c>
      <c r="AP70" s="252">
        <v>223</v>
      </c>
      <c r="AQ70" s="252">
        <v>21</v>
      </c>
      <c r="AR70" s="252">
        <v>12098</v>
      </c>
      <c r="AS70" s="252">
        <v>1</v>
      </c>
      <c r="AT70" s="244"/>
      <c r="AU70" s="252" t="s">
        <v>607</v>
      </c>
      <c r="AV70" s="252">
        <v>0</v>
      </c>
      <c r="AW70" s="252">
        <v>0</v>
      </c>
      <c r="AX70" s="252">
        <v>0</v>
      </c>
      <c r="AY70" s="252">
        <v>666</v>
      </c>
      <c r="AZ70" s="252">
        <v>1</v>
      </c>
      <c r="BA70" s="244"/>
      <c r="BB70" s="252" t="s">
        <v>607</v>
      </c>
      <c r="BC70" s="252">
        <v>5836480</v>
      </c>
      <c r="BD70" s="252">
        <v>43</v>
      </c>
      <c r="BE70" s="252">
        <v>25</v>
      </c>
      <c r="BF70" s="252">
        <v>645</v>
      </c>
      <c r="BG70" s="252">
        <v>1</v>
      </c>
      <c r="BH70" s="246" t="s">
        <v>601</v>
      </c>
      <c r="BI70" s="252">
        <v>0</v>
      </c>
      <c r="BJ70" s="252">
        <v>0</v>
      </c>
      <c r="BK70" s="252">
        <v>0</v>
      </c>
      <c r="BL70" s="252">
        <v>0</v>
      </c>
      <c r="BM70" s="252">
        <v>0</v>
      </c>
      <c r="BN70" s="252"/>
      <c r="BO70" s="244"/>
      <c r="BP70" s="244"/>
      <c r="BQ70" s="244"/>
      <c r="BR70" s="244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2">
        <v>1</v>
      </c>
      <c r="F71" s="211"/>
      <c r="G71" s="222" t="s">
        <v>303</v>
      </c>
      <c r="H71" s="222">
        <v>12194.408100000001</v>
      </c>
      <c r="I71" s="164"/>
      <c r="J71" s="3"/>
      <c r="K71" s="227"/>
      <c r="L71" s="227"/>
      <c r="M71" s="227"/>
      <c r="O71" s="240" t="s">
        <v>295</v>
      </c>
      <c r="P71" s="240">
        <v>10326.952565220001</v>
      </c>
      <c r="Q71" s="238"/>
      <c r="R71" s="157"/>
      <c r="S71" s="252" t="s">
        <v>450</v>
      </c>
      <c r="T71" s="257">
        <v>1403888.14</v>
      </c>
      <c r="U71" s="257">
        <v>1648740</v>
      </c>
      <c r="V71" s="257">
        <v>195</v>
      </c>
      <c r="W71" s="257">
        <v>18624765</v>
      </c>
      <c r="X71" s="257">
        <v>1</v>
      </c>
      <c r="Y71" s="244"/>
      <c r="Z71" s="252" t="s">
        <v>601</v>
      </c>
      <c r="AA71" s="252">
        <v>0</v>
      </c>
      <c r="AB71" s="252">
        <v>0</v>
      </c>
      <c r="AC71" s="252">
        <v>0</v>
      </c>
      <c r="AD71" s="252">
        <v>0</v>
      </c>
      <c r="AE71" s="252">
        <v>0</v>
      </c>
      <c r="AF71" s="252"/>
      <c r="AG71" s="252" t="s">
        <v>600</v>
      </c>
      <c r="AH71" s="252">
        <v>0</v>
      </c>
      <c r="AI71" s="252">
        <v>0</v>
      </c>
      <c r="AJ71" s="252">
        <v>0</v>
      </c>
      <c r="AK71" s="252">
        <v>700</v>
      </c>
      <c r="AL71" s="252">
        <v>0</v>
      </c>
      <c r="AM71" s="244"/>
      <c r="AN71" s="252" t="s">
        <v>601</v>
      </c>
      <c r="AO71" s="252">
        <v>0</v>
      </c>
      <c r="AP71" s="252">
        <v>0</v>
      </c>
      <c r="AQ71" s="252">
        <v>0</v>
      </c>
      <c r="AR71" s="252">
        <v>0</v>
      </c>
      <c r="AS71" s="252">
        <v>0</v>
      </c>
      <c r="AT71" s="244"/>
      <c r="AU71" s="252" t="s">
        <v>601</v>
      </c>
      <c r="AV71" s="252">
        <v>0</v>
      </c>
      <c r="AW71" s="252">
        <v>0</v>
      </c>
      <c r="AX71" s="252">
        <v>0</v>
      </c>
      <c r="AY71" s="252">
        <v>0</v>
      </c>
      <c r="AZ71" s="252">
        <v>0</v>
      </c>
      <c r="BA71" s="244"/>
      <c r="BB71" s="252" t="s">
        <v>601</v>
      </c>
      <c r="BC71" s="252">
        <v>0</v>
      </c>
      <c r="BD71" s="252">
        <v>0</v>
      </c>
      <c r="BE71" s="252">
        <v>0</v>
      </c>
      <c r="BF71" s="252">
        <v>0</v>
      </c>
      <c r="BG71" s="252">
        <v>0</v>
      </c>
      <c r="BH71" s="246" t="s">
        <v>600</v>
      </c>
      <c r="BI71" s="252">
        <v>0</v>
      </c>
      <c r="BJ71" s="252">
        <v>0</v>
      </c>
      <c r="BK71" s="252">
        <v>0</v>
      </c>
      <c r="BL71" s="252">
        <v>720</v>
      </c>
      <c r="BM71" s="252">
        <v>0</v>
      </c>
      <c r="BN71" s="252"/>
      <c r="BO71" s="255" t="s">
        <v>494</v>
      </c>
      <c r="BP71" s="263" t="s">
        <v>616</v>
      </c>
      <c r="BQ71" s="263" t="s">
        <v>564</v>
      </c>
      <c r="BR71" s="246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2">
        <v>1</v>
      </c>
      <c r="F72" s="212"/>
      <c r="G72" s="222" t="s">
        <v>304</v>
      </c>
      <c r="H72" s="222">
        <v>24876.591253930001</v>
      </c>
      <c r="I72" s="164"/>
      <c r="J72" s="3"/>
      <c r="K72" s="227"/>
      <c r="L72" s="227"/>
      <c r="M72" s="227"/>
      <c r="O72" s="240" t="s">
        <v>296</v>
      </c>
      <c r="P72" s="240">
        <v>9719.7569603299999</v>
      </c>
      <c r="Q72" s="238"/>
      <c r="R72" s="157"/>
      <c r="S72" s="252" t="s">
        <v>448</v>
      </c>
      <c r="T72" s="257">
        <v>297335</v>
      </c>
      <c r="U72" s="257">
        <v>264909</v>
      </c>
      <c r="V72" s="257">
        <v>4127</v>
      </c>
      <c r="W72" s="257">
        <v>596521</v>
      </c>
      <c r="X72" s="257">
        <v>1</v>
      </c>
      <c r="Y72" s="244"/>
      <c r="Z72" s="252" t="s">
        <v>600</v>
      </c>
      <c r="AA72" s="252">
        <v>0</v>
      </c>
      <c r="AB72" s="252">
        <v>0</v>
      </c>
      <c r="AC72" s="252">
        <v>0</v>
      </c>
      <c r="AD72" s="252">
        <v>15400</v>
      </c>
      <c r="AE72" s="252">
        <v>0</v>
      </c>
      <c r="AF72" s="252"/>
      <c r="AG72" s="252" t="s">
        <v>602</v>
      </c>
      <c r="AH72" s="252">
        <v>0</v>
      </c>
      <c r="AI72" s="252">
        <v>0</v>
      </c>
      <c r="AJ72" s="252">
        <v>0</v>
      </c>
      <c r="AK72" s="252">
        <v>0</v>
      </c>
      <c r="AL72" s="252">
        <v>0</v>
      </c>
      <c r="AM72" s="244"/>
      <c r="AN72" s="252" t="s">
        <v>600</v>
      </c>
      <c r="AO72" s="252">
        <v>970000</v>
      </c>
      <c r="AP72" s="252">
        <v>700</v>
      </c>
      <c r="AQ72" s="252">
        <v>4</v>
      </c>
      <c r="AR72" s="252">
        <v>4900</v>
      </c>
      <c r="AS72" s="252">
        <v>0</v>
      </c>
      <c r="AT72" s="244"/>
      <c r="AU72" s="252" t="s">
        <v>600</v>
      </c>
      <c r="AV72" s="252">
        <v>0</v>
      </c>
      <c r="AW72" s="252">
        <v>0</v>
      </c>
      <c r="AX72" s="252">
        <v>0</v>
      </c>
      <c r="AY72" s="252">
        <v>700</v>
      </c>
      <c r="AZ72" s="252">
        <v>0</v>
      </c>
      <c r="BA72" s="244"/>
      <c r="BB72" s="252" t="s">
        <v>600</v>
      </c>
      <c r="BC72" s="252">
        <v>1973600</v>
      </c>
      <c r="BD72" s="252">
        <v>920</v>
      </c>
      <c r="BE72" s="252">
        <v>7</v>
      </c>
      <c r="BF72" s="252">
        <v>11520</v>
      </c>
      <c r="BG72" s="252">
        <v>0</v>
      </c>
      <c r="BH72" s="246" t="s">
        <v>602</v>
      </c>
      <c r="BI72" s="252">
        <v>0</v>
      </c>
      <c r="BJ72" s="252">
        <v>0</v>
      </c>
      <c r="BK72" s="252">
        <v>0</v>
      </c>
      <c r="BL72" s="252">
        <v>0</v>
      </c>
      <c r="BM72" s="252">
        <v>0</v>
      </c>
      <c r="BN72" s="252"/>
      <c r="BO72" s="246"/>
      <c r="BP72" s="262" t="s">
        <v>617</v>
      </c>
      <c r="BQ72" s="262">
        <v>2457620</v>
      </c>
      <c r="BR72" s="246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2">
        <v>1</v>
      </c>
      <c r="F73" s="212"/>
      <c r="G73" s="222" t="s">
        <v>58</v>
      </c>
      <c r="H73" s="222">
        <v>27094.229882489999</v>
      </c>
      <c r="I73" s="164"/>
      <c r="J73" s="3"/>
      <c r="K73" s="227"/>
      <c r="L73" s="227"/>
      <c r="M73" s="227"/>
      <c r="O73" s="240" t="s">
        <v>297</v>
      </c>
      <c r="P73" s="240">
        <v>175.72523823</v>
      </c>
      <c r="Q73" s="238"/>
      <c r="R73" s="157"/>
      <c r="S73" s="246"/>
      <c r="T73" s="246"/>
      <c r="U73" s="246"/>
      <c r="V73" s="246"/>
      <c r="W73" s="246"/>
      <c r="X73" s="246"/>
      <c r="Y73" s="244"/>
      <c r="Z73" s="252" t="s">
        <v>602</v>
      </c>
      <c r="AA73" s="252">
        <v>0</v>
      </c>
      <c r="AB73" s="252">
        <v>0</v>
      </c>
      <c r="AC73" s="252">
        <v>0</v>
      </c>
      <c r="AD73" s="252">
        <v>0</v>
      </c>
      <c r="AE73" s="252">
        <v>0</v>
      </c>
      <c r="AF73" s="252"/>
      <c r="AG73" s="252" t="s">
        <v>587</v>
      </c>
      <c r="AH73" s="252">
        <v>533155962.17500001</v>
      </c>
      <c r="AI73" s="252">
        <v>2363</v>
      </c>
      <c r="AJ73" s="252">
        <v>190</v>
      </c>
      <c r="AK73" s="252">
        <v>11271</v>
      </c>
      <c r="AL73" s="252">
        <v>1</v>
      </c>
      <c r="AM73" s="244"/>
      <c r="AN73" s="252" t="s">
        <v>602</v>
      </c>
      <c r="AO73" s="252">
        <v>0</v>
      </c>
      <c r="AP73" s="252">
        <v>0</v>
      </c>
      <c r="AQ73" s="252">
        <v>0</v>
      </c>
      <c r="AR73" s="252">
        <v>0</v>
      </c>
      <c r="AS73" s="252">
        <v>0</v>
      </c>
      <c r="AT73" s="244"/>
      <c r="AU73" s="252" t="s">
        <v>602</v>
      </c>
      <c r="AV73" s="252">
        <v>0</v>
      </c>
      <c r="AW73" s="252">
        <v>0</v>
      </c>
      <c r="AX73" s="252">
        <v>0</v>
      </c>
      <c r="AY73" s="252">
        <v>0</v>
      </c>
      <c r="AZ73" s="252">
        <v>0</v>
      </c>
      <c r="BA73" s="244"/>
      <c r="BB73" s="252" t="s">
        <v>602</v>
      </c>
      <c r="BC73" s="252">
        <v>0</v>
      </c>
      <c r="BD73" s="252">
        <v>0</v>
      </c>
      <c r="BE73" s="252">
        <v>0</v>
      </c>
      <c r="BF73" s="252">
        <v>0</v>
      </c>
      <c r="BG73" s="252">
        <v>0</v>
      </c>
      <c r="BH73" s="246" t="s">
        <v>587</v>
      </c>
      <c r="BI73" s="252">
        <v>252536807.535</v>
      </c>
      <c r="BJ73" s="252">
        <v>817</v>
      </c>
      <c r="BK73" s="252">
        <v>59</v>
      </c>
      <c r="BL73" s="252">
        <v>5476</v>
      </c>
      <c r="BM73" s="252">
        <v>1</v>
      </c>
      <c r="BN73" s="252"/>
      <c r="BO73" s="246"/>
      <c r="BP73" s="262" t="s">
        <v>618</v>
      </c>
      <c r="BQ73" s="262">
        <v>1054536</v>
      </c>
      <c r="BR73" s="246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2">
        <v>1</v>
      </c>
      <c r="F74" s="212"/>
      <c r="G74" s="222" t="s">
        <v>51</v>
      </c>
      <c r="H74" s="222">
        <v>29476.61313052</v>
      </c>
      <c r="I74" s="164"/>
      <c r="J74" s="3"/>
      <c r="K74" s="227"/>
      <c r="L74" s="227"/>
      <c r="M74" s="227"/>
      <c r="O74" s="240" t="s">
        <v>298</v>
      </c>
      <c r="P74" s="240">
        <v>12893.91651866</v>
      </c>
      <c r="Q74" s="238"/>
      <c r="R74" s="157"/>
      <c r="S74" s="246"/>
      <c r="T74" s="246"/>
      <c r="U74" s="246"/>
      <c r="V74" s="246"/>
      <c r="W74" s="246"/>
      <c r="X74" s="246"/>
      <c r="Y74" s="244"/>
      <c r="Z74" s="252" t="s">
        <v>587</v>
      </c>
      <c r="AA74" s="252">
        <v>5960042647.6549997</v>
      </c>
      <c r="AB74" s="252">
        <v>25790</v>
      </c>
      <c r="AC74" s="252">
        <v>2798</v>
      </c>
      <c r="AD74" s="252">
        <v>275826</v>
      </c>
      <c r="AE74" s="252">
        <v>1</v>
      </c>
      <c r="AF74" s="252"/>
      <c r="AG74" s="252" t="s">
        <v>609</v>
      </c>
      <c r="AH74" s="252">
        <v>0</v>
      </c>
      <c r="AI74" s="252">
        <v>0</v>
      </c>
      <c r="AJ74" s="252">
        <v>0</v>
      </c>
      <c r="AK74" s="252">
        <v>4</v>
      </c>
      <c r="AL74" s="252">
        <v>1</v>
      </c>
      <c r="AM74" s="244"/>
      <c r="AN74" s="252" t="s">
        <v>587</v>
      </c>
      <c r="AO74" s="252">
        <v>2844437416.5549998</v>
      </c>
      <c r="AP74" s="252">
        <v>11702</v>
      </c>
      <c r="AQ74" s="252">
        <v>1430</v>
      </c>
      <c r="AR74" s="252">
        <v>239334</v>
      </c>
      <c r="AS74" s="252">
        <v>1</v>
      </c>
      <c r="AT74" s="244"/>
      <c r="AU74" s="252" t="s">
        <v>587</v>
      </c>
      <c r="AV74" s="252">
        <v>132708550.03</v>
      </c>
      <c r="AW74" s="252">
        <v>546</v>
      </c>
      <c r="AX74" s="252">
        <v>64</v>
      </c>
      <c r="AY74" s="252">
        <v>12148</v>
      </c>
      <c r="AZ74" s="252">
        <v>1</v>
      </c>
      <c r="BA74" s="244"/>
      <c r="BB74" s="252" t="s">
        <v>587</v>
      </c>
      <c r="BC74" s="252">
        <v>3661139575.9549999</v>
      </c>
      <c r="BD74" s="252">
        <v>11506</v>
      </c>
      <c r="BE74" s="252">
        <v>1527</v>
      </c>
      <c r="BF74" s="252">
        <v>114480</v>
      </c>
      <c r="BG74" s="252">
        <v>1</v>
      </c>
      <c r="BH74" s="246" t="s">
        <v>609</v>
      </c>
      <c r="BI74" s="252">
        <v>203340</v>
      </c>
      <c r="BJ74" s="252">
        <v>3</v>
      </c>
      <c r="BK74" s="252">
        <v>1</v>
      </c>
      <c r="BL74" s="252">
        <v>28</v>
      </c>
      <c r="BM74" s="252">
        <v>1</v>
      </c>
      <c r="BN74" s="252"/>
      <c r="BO74" s="246"/>
      <c r="BP74" s="262"/>
      <c r="BQ74" s="246"/>
      <c r="BR74" s="246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2">
        <v>1</v>
      </c>
      <c r="F75" s="218"/>
      <c r="G75" s="222" t="s">
        <v>305</v>
      </c>
      <c r="H75" s="222">
        <v>13719.97</v>
      </c>
      <c r="I75" s="164"/>
      <c r="J75" s="3"/>
      <c r="K75" s="227"/>
      <c r="L75" s="227"/>
      <c r="M75" s="227"/>
      <c r="O75" s="240" t="s">
        <v>299</v>
      </c>
      <c r="P75" s="240">
        <v>6041.2358023899997</v>
      </c>
      <c r="Q75" s="238"/>
      <c r="R75" s="153" t="s">
        <v>457</v>
      </c>
      <c r="S75" s="253" t="s">
        <v>560</v>
      </c>
      <c r="T75" s="256" t="s">
        <v>561</v>
      </c>
      <c r="U75" s="256" t="s">
        <v>562</v>
      </c>
      <c r="V75" s="256" t="s">
        <v>563</v>
      </c>
      <c r="W75" s="256" t="s">
        <v>564</v>
      </c>
      <c r="X75" s="256" t="s">
        <v>565</v>
      </c>
      <c r="Y75" s="244"/>
      <c r="Z75" s="252" t="s">
        <v>609</v>
      </c>
      <c r="AA75" s="252">
        <v>573000</v>
      </c>
      <c r="AB75" s="252">
        <v>8</v>
      </c>
      <c r="AC75" s="252">
        <v>3</v>
      </c>
      <c r="AD75" s="252">
        <v>112</v>
      </c>
      <c r="AE75" s="252">
        <v>1</v>
      </c>
      <c r="AF75" s="252"/>
      <c r="AG75" s="252" t="s">
        <v>592</v>
      </c>
      <c r="AH75" s="252">
        <v>0</v>
      </c>
      <c r="AI75" s="252">
        <v>0</v>
      </c>
      <c r="AJ75" s="252">
        <v>0</v>
      </c>
      <c r="AK75" s="252">
        <v>0</v>
      </c>
      <c r="AL75" s="252">
        <v>1</v>
      </c>
      <c r="AM75" s="244"/>
      <c r="AN75" s="252" t="s">
        <v>609</v>
      </c>
      <c r="AO75" s="252">
        <v>144818846.41999999</v>
      </c>
      <c r="AP75" s="252">
        <v>2183</v>
      </c>
      <c r="AQ75" s="252">
        <v>31</v>
      </c>
      <c r="AR75" s="252">
        <v>10614</v>
      </c>
      <c r="AS75" s="252">
        <v>1</v>
      </c>
      <c r="AT75" s="244"/>
      <c r="AU75" s="252" t="s">
        <v>609</v>
      </c>
      <c r="AV75" s="252">
        <v>0</v>
      </c>
      <c r="AW75" s="252">
        <v>0</v>
      </c>
      <c r="AX75" s="252">
        <v>0</v>
      </c>
      <c r="AY75" s="252">
        <v>6</v>
      </c>
      <c r="AZ75" s="252">
        <v>1</v>
      </c>
      <c r="BA75" s="244"/>
      <c r="BB75" s="252" t="s">
        <v>609</v>
      </c>
      <c r="BC75" s="252">
        <v>2242860</v>
      </c>
      <c r="BD75" s="252">
        <v>31</v>
      </c>
      <c r="BE75" s="252">
        <v>15</v>
      </c>
      <c r="BF75" s="252">
        <v>641</v>
      </c>
      <c r="BG75" s="252">
        <v>1</v>
      </c>
      <c r="BH75" s="246" t="s">
        <v>592</v>
      </c>
      <c r="BI75" s="252">
        <v>0</v>
      </c>
      <c r="BJ75" s="252">
        <v>0</v>
      </c>
      <c r="BK75" s="252">
        <v>0</v>
      </c>
      <c r="BL75" s="252">
        <v>7</v>
      </c>
      <c r="BM75" s="252">
        <v>1</v>
      </c>
      <c r="BN75" s="252"/>
      <c r="BO75" s="255" t="s">
        <v>478</v>
      </c>
      <c r="BP75" s="263" t="s">
        <v>561</v>
      </c>
      <c r="BQ75" s="263" t="s">
        <v>562</v>
      </c>
      <c r="BR75" s="263" t="s">
        <v>563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2">
        <v>1</v>
      </c>
      <c r="F76" s="208"/>
      <c r="G76" s="222" t="s">
        <v>548</v>
      </c>
      <c r="H76" s="222">
        <v>80949.805875420003</v>
      </c>
      <c r="I76" s="164"/>
      <c r="J76" s="3"/>
      <c r="K76" s="227"/>
      <c r="L76" s="227"/>
      <c r="M76" s="227"/>
      <c r="O76" s="240" t="s">
        <v>300</v>
      </c>
      <c r="P76" s="240">
        <v>176.35203340000001</v>
      </c>
      <c r="Q76" s="238"/>
      <c r="R76" s="157"/>
      <c r="S76" s="252" t="s">
        <v>449</v>
      </c>
      <c r="T76" s="257">
        <v>8794598.5319999997</v>
      </c>
      <c r="U76" s="257">
        <v>19111</v>
      </c>
      <c r="V76" s="257">
        <v>8</v>
      </c>
      <c r="W76" s="257">
        <v>19109498</v>
      </c>
      <c r="X76" s="257">
        <v>1</v>
      </c>
      <c r="Y76" s="244"/>
      <c r="Z76" s="252" t="s">
        <v>592</v>
      </c>
      <c r="AA76" s="252">
        <v>0</v>
      </c>
      <c r="AB76" s="252">
        <v>0</v>
      </c>
      <c r="AC76" s="252">
        <v>0</v>
      </c>
      <c r="AD76" s="252">
        <v>0</v>
      </c>
      <c r="AE76" s="252">
        <v>1</v>
      </c>
      <c r="AF76" s="252"/>
      <c r="AG76" s="252" t="s">
        <v>589</v>
      </c>
      <c r="AH76" s="252">
        <v>2781212</v>
      </c>
      <c r="AI76" s="252">
        <v>284</v>
      </c>
      <c r="AJ76" s="252">
        <v>73</v>
      </c>
      <c r="AK76" s="252">
        <v>37354</v>
      </c>
      <c r="AL76" s="252">
        <v>0</v>
      </c>
      <c r="AM76" s="244"/>
      <c r="AN76" s="252" t="s">
        <v>592</v>
      </c>
      <c r="AO76" s="252">
        <v>0</v>
      </c>
      <c r="AP76" s="252">
        <v>0</v>
      </c>
      <c r="AQ76" s="252">
        <v>0</v>
      </c>
      <c r="AR76" s="252">
        <v>0</v>
      </c>
      <c r="AS76" s="252">
        <v>1</v>
      </c>
      <c r="AT76" s="244"/>
      <c r="AU76" s="252" t="s">
        <v>592</v>
      </c>
      <c r="AV76" s="252">
        <v>0</v>
      </c>
      <c r="AW76" s="252">
        <v>0</v>
      </c>
      <c r="AX76" s="252">
        <v>0</v>
      </c>
      <c r="AY76" s="252">
        <v>0</v>
      </c>
      <c r="AZ76" s="252">
        <v>1</v>
      </c>
      <c r="BA76" s="244"/>
      <c r="BB76" s="252" t="s">
        <v>592</v>
      </c>
      <c r="BC76" s="252">
        <v>446510</v>
      </c>
      <c r="BD76" s="252">
        <v>7</v>
      </c>
      <c r="BE76" s="252">
        <v>2</v>
      </c>
      <c r="BF76" s="252">
        <v>57</v>
      </c>
      <c r="BG76" s="252">
        <v>1</v>
      </c>
      <c r="BH76" s="244" t="s">
        <v>589</v>
      </c>
      <c r="BI76" s="252">
        <v>28451981.079999998</v>
      </c>
      <c r="BJ76" s="252">
        <v>1265</v>
      </c>
      <c r="BK76" s="252">
        <v>181</v>
      </c>
      <c r="BL76" s="252">
        <v>41863</v>
      </c>
      <c r="BM76" s="252">
        <v>0</v>
      </c>
      <c r="BN76" s="252"/>
      <c r="BO76" s="246"/>
      <c r="BP76" s="262">
        <v>465168223597.06995</v>
      </c>
      <c r="BQ76" s="262">
        <v>2232385</v>
      </c>
      <c r="BR76" s="262">
        <v>283859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2">
        <v>1</v>
      </c>
      <c r="F77" s="208"/>
      <c r="G77" s="222" t="s">
        <v>101</v>
      </c>
      <c r="H77" s="222">
        <v>378.60535348000002</v>
      </c>
      <c r="I77" s="164"/>
      <c r="J77" s="3"/>
      <c r="K77" s="227"/>
      <c r="L77" s="227"/>
      <c r="M77" s="227"/>
      <c r="O77" s="240" t="s">
        <v>301</v>
      </c>
      <c r="P77" s="240">
        <v>1959.4222658799999</v>
      </c>
      <c r="Q77" s="238"/>
      <c r="R77" s="157"/>
      <c r="S77" s="252" t="s">
        <v>447</v>
      </c>
      <c r="T77" s="257">
        <v>37763044.009999998</v>
      </c>
      <c r="U77" s="257">
        <v>156765</v>
      </c>
      <c r="V77" s="257">
        <v>34</v>
      </c>
      <c r="W77" s="257">
        <v>1767545</v>
      </c>
      <c r="X77" s="257">
        <v>0</v>
      </c>
      <c r="Y77" s="244"/>
      <c r="Z77" s="252" t="s">
        <v>589</v>
      </c>
      <c r="AA77" s="252">
        <v>130398430.17</v>
      </c>
      <c r="AB77" s="252">
        <v>13472</v>
      </c>
      <c r="AC77" s="252">
        <v>1776</v>
      </c>
      <c r="AD77" s="252">
        <v>763235</v>
      </c>
      <c r="AE77" s="252">
        <v>0</v>
      </c>
      <c r="AF77" s="252"/>
      <c r="AG77" s="252" t="s">
        <v>593</v>
      </c>
      <c r="AH77" s="252">
        <v>0</v>
      </c>
      <c r="AI77" s="252">
        <v>0</v>
      </c>
      <c r="AJ77" s="252">
        <v>0</v>
      </c>
      <c r="AK77" s="252">
        <v>0</v>
      </c>
      <c r="AL77" s="252">
        <v>0</v>
      </c>
      <c r="AM77" s="244"/>
      <c r="AN77" s="252" t="s">
        <v>589</v>
      </c>
      <c r="AO77" s="252">
        <v>111176631.41</v>
      </c>
      <c r="AP77" s="252">
        <v>13690</v>
      </c>
      <c r="AQ77" s="252">
        <v>1306</v>
      </c>
      <c r="AR77" s="252">
        <v>612836</v>
      </c>
      <c r="AS77" s="252">
        <v>0</v>
      </c>
      <c r="AT77" s="244"/>
      <c r="AU77" s="252" t="s">
        <v>589</v>
      </c>
      <c r="AV77" s="252">
        <v>7319088</v>
      </c>
      <c r="AW77" s="252">
        <v>725</v>
      </c>
      <c r="AX77" s="252">
        <v>39</v>
      </c>
      <c r="AY77" s="252">
        <v>33210</v>
      </c>
      <c r="AZ77" s="252">
        <v>0</v>
      </c>
      <c r="BA77" s="244"/>
      <c r="BB77" s="252" t="s">
        <v>589</v>
      </c>
      <c r="BC77" s="252">
        <v>864384056.61000001</v>
      </c>
      <c r="BD77" s="252">
        <v>22808</v>
      </c>
      <c r="BE77" s="252">
        <v>2931</v>
      </c>
      <c r="BF77" s="252">
        <v>836609</v>
      </c>
      <c r="BG77" s="252">
        <v>0</v>
      </c>
      <c r="BH77" s="244" t="s">
        <v>615</v>
      </c>
      <c r="BI77" s="252">
        <v>0</v>
      </c>
      <c r="BJ77" s="252">
        <v>0</v>
      </c>
      <c r="BK77" s="252">
        <v>0</v>
      </c>
      <c r="BL77" s="252">
        <v>0</v>
      </c>
      <c r="BM77" s="252">
        <v>1</v>
      </c>
      <c r="BN77" s="252"/>
      <c r="BO77" s="246"/>
      <c r="BP77" s="246"/>
      <c r="BQ77" s="246"/>
      <c r="BR77" s="246"/>
    </row>
    <row r="78" spans="1:70" x14ac:dyDescent="0.2">
      <c r="A78" s="149"/>
      <c r="B78" s="190" t="s">
        <v>279</v>
      </c>
      <c r="C78" s="193">
        <v>43012</v>
      </c>
      <c r="D78" s="190">
        <v>67708.833138410002</v>
      </c>
      <c r="E78" s="222">
        <v>1</v>
      </c>
      <c r="F78" s="208"/>
      <c r="G78" s="222" t="s">
        <v>103</v>
      </c>
      <c r="H78" s="222">
        <v>701.13539513000001</v>
      </c>
      <c r="I78" s="164"/>
      <c r="J78" s="63"/>
      <c r="K78" s="227"/>
      <c r="L78" s="227"/>
      <c r="M78" s="227"/>
      <c r="O78" s="240" t="s">
        <v>302</v>
      </c>
      <c r="P78" s="240">
        <v>10152.07498084</v>
      </c>
      <c r="Q78" s="238"/>
      <c r="R78" s="157"/>
      <c r="S78" s="252" t="s">
        <v>451</v>
      </c>
      <c r="T78" s="257">
        <v>14585557.199999999</v>
      </c>
      <c r="U78" s="257">
        <v>25860</v>
      </c>
      <c r="V78" s="257">
        <v>4</v>
      </c>
      <c r="W78" s="257">
        <v>559605</v>
      </c>
      <c r="X78" s="257">
        <v>0</v>
      </c>
      <c r="Y78" s="244"/>
      <c r="Z78" s="252" t="s">
        <v>593</v>
      </c>
      <c r="AA78" s="252">
        <v>0</v>
      </c>
      <c r="AB78" s="252">
        <v>0</v>
      </c>
      <c r="AC78" s="252">
        <v>0</v>
      </c>
      <c r="AD78" s="252">
        <v>0</v>
      </c>
      <c r="AE78" s="252">
        <v>0</v>
      </c>
      <c r="AF78" s="252"/>
      <c r="AG78" s="252" t="s">
        <v>611</v>
      </c>
      <c r="AH78" s="252">
        <v>0</v>
      </c>
      <c r="AI78" s="252">
        <v>0</v>
      </c>
      <c r="AJ78" s="252">
        <v>0</v>
      </c>
      <c r="AK78" s="252">
        <v>0</v>
      </c>
      <c r="AL78" s="252">
        <v>1</v>
      </c>
      <c r="AM78" s="244"/>
      <c r="AN78" s="252" t="s">
        <v>593</v>
      </c>
      <c r="AO78" s="252">
        <v>0</v>
      </c>
      <c r="AP78" s="252">
        <v>0</v>
      </c>
      <c r="AQ78" s="252">
        <v>0</v>
      </c>
      <c r="AR78" s="252">
        <v>0</v>
      </c>
      <c r="AS78" s="252">
        <v>0</v>
      </c>
      <c r="AT78" s="244"/>
      <c r="AU78" s="252" t="s">
        <v>593</v>
      </c>
      <c r="AV78" s="252">
        <v>0</v>
      </c>
      <c r="AW78" s="252">
        <v>0</v>
      </c>
      <c r="AX78" s="252">
        <v>0</v>
      </c>
      <c r="AY78" s="252">
        <v>0</v>
      </c>
      <c r="AZ78" s="252">
        <v>0</v>
      </c>
      <c r="BA78" s="244"/>
      <c r="BB78" s="252" t="s">
        <v>615</v>
      </c>
      <c r="BC78" s="252">
        <v>0</v>
      </c>
      <c r="BD78" s="252">
        <v>0</v>
      </c>
      <c r="BE78" s="252">
        <v>0</v>
      </c>
      <c r="BF78" s="252">
        <v>0</v>
      </c>
      <c r="BG78" s="252">
        <v>1</v>
      </c>
      <c r="BH78" s="244" t="s">
        <v>593</v>
      </c>
      <c r="BI78" s="252">
        <v>0</v>
      </c>
      <c r="BJ78" s="252">
        <v>0</v>
      </c>
      <c r="BK78" s="252">
        <v>0</v>
      </c>
      <c r="BL78" s="252">
        <v>0</v>
      </c>
      <c r="BM78" s="252">
        <v>0</v>
      </c>
      <c r="BN78" s="252"/>
      <c r="BO78" s="255" t="s">
        <v>497</v>
      </c>
      <c r="BP78" s="263" t="s">
        <v>561</v>
      </c>
      <c r="BQ78" s="263" t="s">
        <v>562</v>
      </c>
      <c r="BR78" s="263" t="s">
        <v>563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2">
        <v>1</v>
      </c>
      <c r="F79" s="208"/>
      <c r="G79" s="222" t="s">
        <v>306</v>
      </c>
      <c r="H79" s="222">
        <v>4300.2067336099999</v>
      </c>
      <c r="I79" s="164"/>
      <c r="J79" s="63"/>
      <c r="K79" s="227"/>
      <c r="L79" s="227"/>
      <c r="M79" s="227"/>
      <c r="O79" s="240" t="s">
        <v>303</v>
      </c>
      <c r="P79" s="240">
        <v>12130.459699999999</v>
      </c>
      <c r="Q79" s="238"/>
      <c r="R79" s="157"/>
      <c r="S79" s="252" t="s">
        <v>446</v>
      </c>
      <c r="T79" s="257">
        <v>163695408</v>
      </c>
      <c r="U79" s="257">
        <v>11741</v>
      </c>
      <c r="V79" s="257">
        <v>162</v>
      </c>
      <c r="W79" s="257">
        <v>945995</v>
      </c>
      <c r="X79" s="257">
        <v>0</v>
      </c>
      <c r="Y79" s="244"/>
      <c r="Z79" s="252" t="s">
        <v>611</v>
      </c>
      <c r="AA79" s="252">
        <v>0</v>
      </c>
      <c r="AB79" s="252">
        <v>0</v>
      </c>
      <c r="AC79" s="252">
        <v>0</v>
      </c>
      <c r="AD79" s="252">
        <v>0</v>
      </c>
      <c r="AE79" s="252">
        <v>1</v>
      </c>
      <c r="AF79" s="252"/>
      <c r="AG79" s="252" t="s">
        <v>603</v>
      </c>
      <c r="AH79" s="252">
        <v>0</v>
      </c>
      <c r="AI79" s="252">
        <v>0</v>
      </c>
      <c r="AJ79" s="252">
        <v>0</v>
      </c>
      <c r="AK79" s="252">
        <v>0</v>
      </c>
      <c r="AL79" s="252">
        <v>1</v>
      </c>
      <c r="AM79" s="244"/>
      <c r="AN79" s="252" t="s">
        <v>611</v>
      </c>
      <c r="AO79" s="252">
        <v>0</v>
      </c>
      <c r="AP79" s="252">
        <v>0</v>
      </c>
      <c r="AQ79" s="252">
        <v>0</v>
      </c>
      <c r="AR79" s="252">
        <v>0</v>
      </c>
      <c r="AS79" s="252">
        <v>1</v>
      </c>
      <c r="AT79" s="244"/>
      <c r="AU79" s="252" t="s">
        <v>611</v>
      </c>
      <c r="AV79" s="252">
        <v>0</v>
      </c>
      <c r="AW79" s="252">
        <v>0</v>
      </c>
      <c r="AX79" s="252">
        <v>0</v>
      </c>
      <c r="AY79" s="252">
        <v>0</v>
      </c>
      <c r="AZ79" s="252">
        <v>1</v>
      </c>
      <c r="BA79" s="244"/>
      <c r="BB79" s="252" t="s">
        <v>593</v>
      </c>
      <c r="BC79" s="252">
        <v>0</v>
      </c>
      <c r="BD79" s="252">
        <v>0</v>
      </c>
      <c r="BE79" s="252">
        <v>0</v>
      </c>
      <c r="BF79" s="252">
        <v>0</v>
      </c>
      <c r="BG79" s="252">
        <v>0</v>
      </c>
      <c r="BH79" s="244" t="s">
        <v>569</v>
      </c>
      <c r="BI79" s="252">
        <v>120603592.8</v>
      </c>
      <c r="BJ79" s="252">
        <v>384</v>
      </c>
      <c r="BK79" s="252">
        <v>36</v>
      </c>
      <c r="BL79" s="252">
        <v>6919</v>
      </c>
      <c r="BM79" s="252">
        <v>1</v>
      </c>
      <c r="BN79" s="252"/>
      <c r="BO79" s="250"/>
      <c r="BP79" s="262">
        <v>2732188292.8599901</v>
      </c>
      <c r="BQ79" s="262">
        <v>242963</v>
      </c>
      <c r="BR79" s="262">
        <v>24025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2">
        <v>1</v>
      </c>
      <c r="F80" s="208"/>
      <c r="G80" s="222" t="s">
        <v>307</v>
      </c>
      <c r="H80" s="222">
        <v>213.49580293</v>
      </c>
      <c r="I80" s="164"/>
      <c r="J80" s="3"/>
      <c r="K80" s="227"/>
      <c r="L80" s="227"/>
      <c r="M80" s="227"/>
      <c r="O80" s="240" t="s">
        <v>304</v>
      </c>
      <c r="P80" s="240">
        <v>24299.819814869999</v>
      </c>
      <c r="Q80" s="238"/>
      <c r="R80" s="157"/>
      <c r="S80" s="252" t="s">
        <v>566</v>
      </c>
      <c r="T80" s="257">
        <v>0</v>
      </c>
      <c r="U80" s="257">
        <v>0</v>
      </c>
      <c r="V80" s="257">
        <v>0</v>
      </c>
      <c r="W80" s="257">
        <v>0</v>
      </c>
      <c r="X80" s="257">
        <v>1</v>
      </c>
      <c r="Y80" s="244"/>
      <c r="Z80" s="244" t="s">
        <v>603</v>
      </c>
      <c r="AA80" s="244">
        <v>0</v>
      </c>
      <c r="AB80" s="244">
        <v>0</v>
      </c>
      <c r="AC80" s="244">
        <v>0</v>
      </c>
      <c r="AD80" s="244">
        <v>0</v>
      </c>
      <c r="AE80" s="244">
        <v>1</v>
      </c>
      <c r="AF80" s="244"/>
      <c r="AG80" s="244" t="s">
        <v>569</v>
      </c>
      <c r="AH80" s="244">
        <v>369225021.22000003</v>
      </c>
      <c r="AI80" s="244">
        <v>1507</v>
      </c>
      <c r="AJ80" s="244">
        <v>123</v>
      </c>
      <c r="AK80" s="244">
        <v>18296</v>
      </c>
      <c r="AL80" s="244">
        <v>1</v>
      </c>
      <c r="AM80" s="244"/>
      <c r="AN80" s="244" t="s">
        <v>603</v>
      </c>
      <c r="AO80" s="244">
        <v>0</v>
      </c>
      <c r="AP80" s="244">
        <v>0</v>
      </c>
      <c r="AQ80" s="244">
        <v>0</v>
      </c>
      <c r="AR80" s="244">
        <v>0</v>
      </c>
      <c r="AS80" s="244">
        <v>1</v>
      </c>
      <c r="AT80" s="244"/>
      <c r="AU80" s="244" t="s">
        <v>603</v>
      </c>
      <c r="AV80" s="244">
        <v>0</v>
      </c>
      <c r="AW80" s="244">
        <v>0</v>
      </c>
      <c r="AX80" s="244">
        <v>0</v>
      </c>
      <c r="AY80" s="244">
        <v>0</v>
      </c>
      <c r="AZ80" s="244">
        <v>1</v>
      </c>
      <c r="BA80" s="244"/>
      <c r="BB80" s="244" t="s">
        <v>569</v>
      </c>
      <c r="BC80" s="244">
        <v>2191733367.8400002</v>
      </c>
      <c r="BD80" s="244">
        <v>6901</v>
      </c>
      <c r="BE80" s="244">
        <v>1094</v>
      </c>
      <c r="BF80" s="244">
        <v>146131</v>
      </c>
      <c r="BG80" s="244">
        <v>1</v>
      </c>
      <c r="BH80" s="244" t="s">
        <v>594</v>
      </c>
      <c r="BI80" s="244">
        <v>0</v>
      </c>
      <c r="BJ80" s="244">
        <v>0</v>
      </c>
      <c r="BK80" s="244">
        <v>0</v>
      </c>
      <c r="BL80" s="244">
        <v>59</v>
      </c>
      <c r="BM80" s="244">
        <v>1</v>
      </c>
      <c r="BN80" s="244"/>
      <c r="BO80" s="246"/>
      <c r="BP80" s="246"/>
      <c r="BQ80" s="246"/>
      <c r="BR80" s="246"/>
    </row>
    <row r="81" spans="1:70" x14ac:dyDescent="0.2">
      <c r="A81" s="149"/>
      <c r="B81" s="190" t="s">
        <v>56</v>
      </c>
      <c r="C81" s="193">
        <v>43039</v>
      </c>
      <c r="D81" s="190">
        <v>52570.202037770003</v>
      </c>
      <c r="E81" s="222">
        <v>1</v>
      </c>
      <c r="F81" s="208"/>
      <c r="G81" s="222" t="s">
        <v>308</v>
      </c>
      <c r="H81" s="222">
        <v>9405.8387017299992</v>
      </c>
      <c r="I81" s="164"/>
      <c r="J81" s="3"/>
      <c r="K81" s="227"/>
      <c r="L81" s="227"/>
      <c r="M81" s="227"/>
      <c r="O81" s="240" t="s">
        <v>58</v>
      </c>
      <c r="P81" s="240">
        <v>25838.937696969999</v>
      </c>
      <c r="Q81" s="238"/>
      <c r="R81" s="157"/>
      <c r="S81" s="252" t="s">
        <v>447</v>
      </c>
      <c r="T81" s="257">
        <v>1077793032.125</v>
      </c>
      <c r="U81" s="257">
        <v>80822</v>
      </c>
      <c r="V81" s="257">
        <v>267</v>
      </c>
      <c r="W81" s="257">
        <v>852940</v>
      </c>
      <c r="X81" s="257">
        <v>1</v>
      </c>
      <c r="Y81" s="244"/>
      <c r="Z81" s="244" t="s">
        <v>569</v>
      </c>
      <c r="AA81" s="244">
        <v>5756310838.0799999</v>
      </c>
      <c r="AB81" s="244">
        <v>23629</v>
      </c>
      <c r="AC81" s="244">
        <v>2943</v>
      </c>
      <c r="AD81" s="244">
        <v>388981</v>
      </c>
      <c r="AE81" s="244">
        <v>1</v>
      </c>
      <c r="AF81" s="244"/>
      <c r="AG81" s="244" t="s">
        <v>594</v>
      </c>
      <c r="AH81" s="244">
        <v>0</v>
      </c>
      <c r="AI81" s="244">
        <v>0</v>
      </c>
      <c r="AJ81" s="244">
        <v>0</v>
      </c>
      <c r="AK81" s="244">
        <v>0</v>
      </c>
      <c r="AL81" s="244">
        <v>1</v>
      </c>
      <c r="AM81" s="244"/>
      <c r="AN81" s="244" t="s">
        <v>569</v>
      </c>
      <c r="AO81" s="244">
        <v>4333807393.2399998</v>
      </c>
      <c r="AP81" s="244">
        <v>18010</v>
      </c>
      <c r="AQ81" s="244">
        <v>1853</v>
      </c>
      <c r="AR81" s="244">
        <v>308842</v>
      </c>
      <c r="AS81" s="244">
        <v>1</v>
      </c>
      <c r="AT81" s="244"/>
      <c r="AU81" s="244" t="s">
        <v>569</v>
      </c>
      <c r="AV81" s="244">
        <v>116885103.245</v>
      </c>
      <c r="AW81" s="244">
        <v>487</v>
      </c>
      <c r="AX81" s="244">
        <v>66</v>
      </c>
      <c r="AY81" s="244">
        <v>16426</v>
      </c>
      <c r="AZ81" s="244">
        <v>1</v>
      </c>
      <c r="BA81" s="244"/>
      <c r="BB81" s="244" t="s">
        <v>594</v>
      </c>
      <c r="BC81" s="244">
        <v>5090265</v>
      </c>
      <c r="BD81" s="244">
        <v>143</v>
      </c>
      <c r="BE81" s="244">
        <v>5</v>
      </c>
      <c r="BF81" s="244">
        <v>680</v>
      </c>
      <c r="BG81" s="244">
        <v>1</v>
      </c>
      <c r="BH81" s="244" t="s">
        <v>597</v>
      </c>
      <c r="BI81" s="244">
        <v>0</v>
      </c>
      <c r="BJ81" s="244">
        <v>0</v>
      </c>
      <c r="BK81" s="244">
        <v>0</v>
      </c>
      <c r="BL81" s="244">
        <v>0</v>
      </c>
      <c r="BM81" s="244">
        <v>1</v>
      </c>
      <c r="BN81" s="244"/>
      <c r="BO81" s="255" t="s">
        <v>479</v>
      </c>
      <c r="BP81" s="263" t="s">
        <v>561</v>
      </c>
      <c r="BQ81" s="263" t="s">
        <v>562</v>
      </c>
      <c r="BR81" s="263" t="s">
        <v>563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2">
        <v>1</v>
      </c>
      <c r="F82" s="208"/>
      <c r="G82" s="222" t="s">
        <v>309</v>
      </c>
      <c r="H82" s="222">
        <v>421.44393538000003</v>
      </c>
      <c r="I82" s="164"/>
      <c r="J82" s="157"/>
      <c r="K82" s="227"/>
      <c r="L82" s="227"/>
      <c r="M82" s="227"/>
      <c r="O82" s="240" t="s">
        <v>51</v>
      </c>
      <c r="P82" s="240">
        <v>28052.083734930002</v>
      </c>
      <c r="Q82" s="238"/>
      <c r="R82" s="157"/>
      <c r="S82" s="252" t="s">
        <v>182</v>
      </c>
      <c r="T82" s="257">
        <v>482932.49</v>
      </c>
      <c r="U82" s="257">
        <v>19485</v>
      </c>
      <c r="V82" s="257">
        <v>6</v>
      </c>
      <c r="W82" s="257">
        <v>1346774</v>
      </c>
      <c r="X82" s="257">
        <v>1</v>
      </c>
      <c r="Y82" s="244"/>
      <c r="Z82" s="244" t="s">
        <v>594</v>
      </c>
      <c r="AA82" s="244">
        <v>340000</v>
      </c>
      <c r="AB82" s="244">
        <v>10</v>
      </c>
      <c r="AC82" s="244">
        <v>1</v>
      </c>
      <c r="AD82" s="244">
        <v>90</v>
      </c>
      <c r="AE82" s="244">
        <v>1</v>
      </c>
      <c r="AF82" s="244"/>
      <c r="AG82" s="244" t="s">
        <v>597</v>
      </c>
      <c r="AH82" s="244">
        <v>0</v>
      </c>
      <c r="AI82" s="244">
        <v>0</v>
      </c>
      <c r="AJ82" s="244">
        <v>0</v>
      </c>
      <c r="AK82" s="244">
        <v>0</v>
      </c>
      <c r="AL82" s="244">
        <v>1</v>
      </c>
      <c r="AM82" s="244"/>
      <c r="AN82" s="244" t="s">
        <v>594</v>
      </c>
      <c r="AO82" s="244">
        <v>1082250</v>
      </c>
      <c r="AP82" s="244">
        <v>30</v>
      </c>
      <c r="AQ82" s="244">
        <v>2</v>
      </c>
      <c r="AR82" s="244">
        <v>270</v>
      </c>
      <c r="AS82" s="244">
        <v>1</v>
      </c>
      <c r="AT82" s="244"/>
      <c r="AU82" s="244" t="s">
        <v>594</v>
      </c>
      <c r="AV82" s="244">
        <v>0</v>
      </c>
      <c r="AW82" s="244">
        <v>0</v>
      </c>
      <c r="AX82" s="244">
        <v>0</v>
      </c>
      <c r="AY82" s="244">
        <v>10</v>
      </c>
      <c r="AZ82" s="244">
        <v>1</v>
      </c>
      <c r="BA82" s="244"/>
      <c r="BB82" s="244" t="s">
        <v>597</v>
      </c>
      <c r="BC82" s="244">
        <v>0</v>
      </c>
      <c r="BD82" s="244">
        <v>0</v>
      </c>
      <c r="BE82" s="244">
        <v>0</v>
      </c>
      <c r="BF82" s="244">
        <v>0</v>
      </c>
      <c r="BG82" s="244">
        <v>1</v>
      </c>
      <c r="BH82" s="244" t="s">
        <v>596</v>
      </c>
      <c r="BI82" s="244">
        <v>0</v>
      </c>
      <c r="BJ82" s="244">
        <v>0</v>
      </c>
      <c r="BK82" s="244">
        <v>0</v>
      </c>
      <c r="BL82" s="244">
        <v>0</v>
      </c>
      <c r="BM82" s="244">
        <v>1</v>
      </c>
      <c r="BN82" s="244"/>
      <c r="BO82" s="246"/>
      <c r="BP82" s="262">
        <v>813769189353.58997</v>
      </c>
      <c r="BQ82" s="262">
        <v>2499531</v>
      </c>
      <c r="BR82" s="262">
        <v>287271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2">
        <v>1</v>
      </c>
      <c r="F83" s="211"/>
      <c r="G83" s="222" t="s">
        <v>311</v>
      </c>
      <c r="H83" s="222">
        <v>1301.7878091600001</v>
      </c>
      <c r="I83" s="164"/>
      <c r="J83" s="157"/>
      <c r="K83" s="227"/>
      <c r="L83" s="227"/>
      <c r="M83" s="227"/>
      <c r="O83" s="240" t="s">
        <v>305</v>
      </c>
      <c r="P83" s="240">
        <v>12904.94</v>
      </c>
      <c r="Q83" s="238"/>
      <c r="R83" s="157"/>
      <c r="S83" s="252" t="s">
        <v>449</v>
      </c>
      <c r="T83" s="257">
        <v>0</v>
      </c>
      <c r="U83" s="257">
        <v>0</v>
      </c>
      <c r="V83" s="257">
        <v>0</v>
      </c>
      <c r="W83" s="257">
        <v>0</v>
      </c>
      <c r="X83" s="257">
        <v>0</v>
      </c>
      <c r="Y83" s="244"/>
      <c r="Z83" s="244" t="s">
        <v>597</v>
      </c>
      <c r="AA83" s="244">
        <v>0</v>
      </c>
      <c r="AB83" s="244">
        <v>0</v>
      </c>
      <c r="AC83" s="244">
        <v>0</v>
      </c>
      <c r="AD83" s="244">
        <v>0</v>
      </c>
      <c r="AE83" s="244">
        <v>1</v>
      </c>
      <c r="AF83" s="244"/>
      <c r="AG83" s="244" t="s">
        <v>596</v>
      </c>
      <c r="AH83" s="244">
        <v>0</v>
      </c>
      <c r="AI83" s="244">
        <v>0</v>
      </c>
      <c r="AJ83" s="244">
        <v>0</v>
      </c>
      <c r="AK83" s="244">
        <v>61</v>
      </c>
      <c r="AL83" s="244">
        <v>1</v>
      </c>
      <c r="AM83" s="244"/>
      <c r="AN83" s="244" t="s">
        <v>597</v>
      </c>
      <c r="AO83" s="244">
        <v>0</v>
      </c>
      <c r="AP83" s="244">
        <v>0</v>
      </c>
      <c r="AQ83" s="244">
        <v>0</v>
      </c>
      <c r="AR83" s="244">
        <v>0</v>
      </c>
      <c r="AS83" s="244">
        <v>1</v>
      </c>
      <c r="AT83" s="244"/>
      <c r="AU83" s="244" t="s">
        <v>597</v>
      </c>
      <c r="AV83" s="244">
        <v>0</v>
      </c>
      <c r="AW83" s="244">
        <v>0</v>
      </c>
      <c r="AX83" s="244">
        <v>0</v>
      </c>
      <c r="AY83" s="244">
        <v>0</v>
      </c>
      <c r="AZ83" s="244">
        <v>1</v>
      </c>
      <c r="BA83" s="244"/>
      <c r="BB83" s="244" t="s">
        <v>596</v>
      </c>
      <c r="BC83" s="244">
        <v>0</v>
      </c>
      <c r="BD83" s="244">
        <v>0</v>
      </c>
      <c r="BE83" s="244">
        <v>0</v>
      </c>
      <c r="BF83" s="244">
        <v>0</v>
      </c>
      <c r="BG83" s="244">
        <v>1</v>
      </c>
      <c r="BH83" s="244" t="s">
        <v>606</v>
      </c>
      <c r="BI83" s="244">
        <v>0</v>
      </c>
      <c r="BJ83" s="244">
        <v>0</v>
      </c>
      <c r="BK83" s="244">
        <v>0</v>
      </c>
      <c r="BL83" s="244">
        <v>0</v>
      </c>
      <c r="BM83" s="244">
        <v>0</v>
      </c>
      <c r="BN83" s="244"/>
      <c r="BO83" s="246"/>
      <c r="BP83" s="246"/>
      <c r="BQ83" s="246"/>
      <c r="BR83" s="246"/>
    </row>
    <row r="84" spans="1:70" x14ac:dyDescent="0.2">
      <c r="A84" s="149"/>
      <c r="B84" s="190" t="s">
        <v>43</v>
      </c>
      <c r="C84" s="193">
        <v>43039</v>
      </c>
      <c r="D84" s="190">
        <v>58980.107623830001</v>
      </c>
      <c r="E84" s="222">
        <v>1</v>
      </c>
      <c r="F84" s="212"/>
      <c r="G84" s="222" t="s">
        <v>312</v>
      </c>
      <c r="H84" s="222">
        <v>11628.201701739999</v>
      </c>
      <c r="I84" s="164"/>
      <c r="J84" s="157"/>
      <c r="K84" s="227"/>
      <c r="L84" s="227"/>
      <c r="M84" s="227"/>
      <c r="O84" s="240" t="s">
        <v>548</v>
      </c>
      <c r="P84" s="240">
        <v>75374.287673590006</v>
      </c>
      <c r="Q84" s="238"/>
      <c r="R84" s="157"/>
      <c r="S84" s="252" t="s">
        <v>446</v>
      </c>
      <c r="T84" s="257">
        <v>20232195071.188702</v>
      </c>
      <c r="U84" s="257">
        <v>85230</v>
      </c>
      <c r="V84" s="257">
        <v>11604</v>
      </c>
      <c r="W84" s="257">
        <v>863338</v>
      </c>
      <c r="X84" s="257">
        <v>1</v>
      </c>
      <c r="Y84" s="244"/>
      <c r="Z84" s="244" t="s">
        <v>596</v>
      </c>
      <c r="AA84" s="244">
        <v>0</v>
      </c>
      <c r="AB84" s="244">
        <v>0</v>
      </c>
      <c r="AC84" s="244">
        <v>0</v>
      </c>
      <c r="AD84" s="244">
        <v>1342</v>
      </c>
      <c r="AE84" s="244">
        <v>1</v>
      </c>
      <c r="AF84" s="244"/>
      <c r="AG84" s="244" t="s">
        <v>606</v>
      </c>
      <c r="AH84" s="244">
        <v>0</v>
      </c>
      <c r="AI84" s="244">
        <v>0</v>
      </c>
      <c r="AJ84" s="244">
        <v>0</v>
      </c>
      <c r="AK84" s="244">
        <v>0</v>
      </c>
      <c r="AL84" s="244">
        <v>0</v>
      </c>
      <c r="AM84" s="244"/>
      <c r="AN84" s="244" t="s">
        <v>596</v>
      </c>
      <c r="AO84" s="244">
        <v>3327813</v>
      </c>
      <c r="AP84" s="244">
        <v>9</v>
      </c>
      <c r="AQ84" s="244">
        <v>2</v>
      </c>
      <c r="AR84" s="244">
        <v>1253</v>
      </c>
      <c r="AS84" s="244">
        <v>1</v>
      </c>
      <c r="AT84" s="244"/>
      <c r="AU84" s="244" t="s">
        <v>596</v>
      </c>
      <c r="AV84" s="244">
        <v>0</v>
      </c>
      <c r="AW84" s="244">
        <v>0</v>
      </c>
      <c r="AX84" s="244">
        <v>0</v>
      </c>
      <c r="AY84" s="244">
        <v>61</v>
      </c>
      <c r="AZ84" s="244">
        <v>1</v>
      </c>
      <c r="BA84" s="244"/>
      <c r="BB84" s="244" t="s">
        <v>606</v>
      </c>
      <c r="BC84" s="244">
        <v>0</v>
      </c>
      <c r="BD84" s="244">
        <v>0</v>
      </c>
      <c r="BE84" s="244">
        <v>0</v>
      </c>
      <c r="BF84" s="244">
        <v>0</v>
      </c>
      <c r="BG84" s="244">
        <v>0</v>
      </c>
      <c r="BH84" s="244"/>
      <c r="BI84" s="244"/>
      <c r="BJ84" s="244"/>
      <c r="BK84" s="244"/>
      <c r="BL84" s="244"/>
      <c r="BM84" s="244"/>
      <c r="BN84" s="244"/>
      <c r="BO84" s="255" t="s">
        <v>480</v>
      </c>
      <c r="BP84" s="263" t="s">
        <v>561</v>
      </c>
      <c r="BQ84" s="263" t="s">
        <v>562</v>
      </c>
      <c r="BR84" s="263" t="s">
        <v>563</v>
      </c>
    </row>
    <row r="85" spans="1:70" x14ac:dyDescent="0.2">
      <c r="A85" s="149"/>
      <c r="B85" s="190" t="s">
        <v>551</v>
      </c>
      <c r="C85" s="193">
        <v>42115</v>
      </c>
      <c r="D85" s="190">
        <v>1374.4866460000001</v>
      </c>
      <c r="E85" s="222">
        <v>1</v>
      </c>
      <c r="F85" s="212"/>
      <c r="G85" s="222" t="s">
        <v>313</v>
      </c>
      <c r="H85" s="222">
        <v>1182.00672964</v>
      </c>
      <c r="I85" s="164"/>
      <c r="J85" s="157"/>
      <c r="K85" s="227"/>
      <c r="L85" s="227"/>
      <c r="M85" s="227"/>
      <c r="O85" s="240" t="s">
        <v>101</v>
      </c>
      <c r="P85" s="240">
        <v>362.87571001999999</v>
      </c>
      <c r="Q85" s="238"/>
      <c r="R85" s="157"/>
      <c r="S85" s="252" t="s">
        <v>451</v>
      </c>
      <c r="T85" s="257">
        <v>134377202</v>
      </c>
      <c r="U85" s="257">
        <v>14161</v>
      </c>
      <c r="V85" s="257">
        <v>5</v>
      </c>
      <c r="W85" s="257">
        <v>808696</v>
      </c>
      <c r="X85" s="257">
        <v>1</v>
      </c>
      <c r="Y85" s="244"/>
      <c r="Z85" s="244" t="s">
        <v>606</v>
      </c>
      <c r="AA85" s="244">
        <v>0</v>
      </c>
      <c r="AB85" s="244">
        <v>0</v>
      </c>
      <c r="AC85" s="244">
        <v>0</v>
      </c>
      <c r="AD85" s="244">
        <v>0</v>
      </c>
      <c r="AE85" s="244">
        <v>0</v>
      </c>
      <c r="AF85" s="244"/>
      <c r="AG85" s="244"/>
      <c r="AH85" s="244"/>
      <c r="AI85" s="244"/>
      <c r="AJ85" s="244"/>
      <c r="AK85" s="244"/>
      <c r="AL85" s="244"/>
      <c r="AM85" s="244"/>
      <c r="AN85" s="244" t="s">
        <v>606</v>
      </c>
      <c r="AO85" s="244">
        <v>0</v>
      </c>
      <c r="AP85" s="244">
        <v>0</v>
      </c>
      <c r="AQ85" s="244">
        <v>0</v>
      </c>
      <c r="AR85" s="244">
        <v>0</v>
      </c>
      <c r="AS85" s="244">
        <v>0</v>
      </c>
      <c r="AT85" s="244"/>
      <c r="AU85" s="244" t="s">
        <v>606</v>
      </c>
      <c r="AV85" s="244">
        <v>0</v>
      </c>
      <c r="AW85" s="244">
        <v>0</v>
      </c>
      <c r="AX85" s="244">
        <v>0</v>
      </c>
      <c r="AY85" s="244">
        <v>0</v>
      </c>
      <c r="AZ85" s="244">
        <v>0</v>
      </c>
      <c r="BA85" s="244"/>
      <c r="BB85" s="244"/>
      <c r="BC85" s="244"/>
      <c r="BD85" s="244"/>
      <c r="BE85" s="244"/>
      <c r="BF85" s="244"/>
      <c r="BG85" s="244"/>
      <c r="BH85" s="244"/>
      <c r="BI85" s="244"/>
      <c r="BJ85" s="244"/>
      <c r="BK85" s="244"/>
      <c r="BL85" s="244"/>
      <c r="BM85" s="244"/>
      <c r="BN85" s="244"/>
      <c r="BO85" s="246"/>
      <c r="BP85" s="262">
        <v>13278433227.389999</v>
      </c>
      <c r="BQ85" s="262">
        <v>421291</v>
      </c>
      <c r="BR85" s="262">
        <v>37741</v>
      </c>
    </row>
    <row r="86" spans="1:70" x14ac:dyDescent="0.2">
      <c r="A86" s="149"/>
      <c r="B86" s="190" t="s">
        <v>552</v>
      </c>
      <c r="C86" s="193">
        <v>42118</v>
      </c>
      <c r="D86" s="190">
        <v>1225.1600000000001</v>
      </c>
      <c r="E86" s="222">
        <v>1</v>
      </c>
      <c r="F86" s="212"/>
      <c r="G86" s="222" t="s">
        <v>60</v>
      </c>
      <c r="H86" s="222">
        <v>11717.33356284</v>
      </c>
      <c r="I86" s="164"/>
      <c r="J86" s="157"/>
      <c r="K86" s="227"/>
      <c r="L86" s="227"/>
      <c r="M86" s="227"/>
      <c r="O86" s="240" t="s">
        <v>103</v>
      </c>
      <c r="P86" s="240">
        <v>655.73607408999999</v>
      </c>
      <c r="Q86" s="238"/>
      <c r="R86" s="157"/>
      <c r="S86" s="252" t="s">
        <v>450</v>
      </c>
      <c r="T86" s="257">
        <v>0</v>
      </c>
      <c r="U86" s="257">
        <v>18897</v>
      </c>
      <c r="V86" s="257">
        <v>7</v>
      </c>
      <c r="W86" s="257">
        <v>18624765</v>
      </c>
      <c r="X86" s="257">
        <v>1</v>
      </c>
      <c r="Y86" s="244"/>
      <c r="Z86" s="244"/>
      <c r="AA86" s="244"/>
      <c r="AB86" s="244"/>
      <c r="AC86" s="244"/>
      <c r="AD86" s="244"/>
      <c r="AE86" s="244"/>
      <c r="AF86" s="244"/>
      <c r="AG86" s="244"/>
      <c r="AH86" s="244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  <c r="AS86" s="244"/>
      <c r="AT86" s="244"/>
      <c r="AU86" s="244"/>
      <c r="AV86" s="244"/>
      <c r="AW86" s="244"/>
      <c r="AX86" s="244"/>
      <c r="AY86" s="244"/>
      <c r="AZ86" s="244"/>
      <c r="BA86" s="244"/>
      <c r="BB86" s="244"/>
      <c r="BC86" s="244"/>
      <c r="BD86" s="244"/>
      <c r="BE86" s="244"/>
      <c r="BF86" s="244"/>
      <c r="BG86" s="244"/>
      <c r="BH86" s="244"/>
      <c r="BI86" s="244"/>
      <c r="BJ86" s="244"/>
      <c r="BK86" s="244"/>
      <c r="BL86" s="244"/>
      <c r="BM86" s="244"/>
      <c r="BN86" s="244"/>
      <c r="BO86" s="244"/>
      <c r="BP86" s="244"/>
      <c r="BQ86" s="244"/>
      <c r="BR86" s="244"/>
    </row>
    <row r="87" spans="1:70" x14ac:dyDescent="0.2">
      <c r="A87" s="151"/>
      <c r="B87" s="190" t="s">
        <v>553</v>
      </c>
      <c r="C87" s="193">
        <v>42143</v>
      </c>
      <c r="D87" s="190">
        <v>1310.1099999999999</v>
      </c>
      <c r="E87" s="222">
        <v>1</v>
      </c>
      <c r="F87" s="212"/>
      <c r="G87" s="222" t="s">
        <v>53</v>
      </c>
      <c r="H87" s="222">
        <v>12946.927274510001</v>
      </c>
      <c r="I87" s="164"/>
      <c r="J87" s="157"/>
      <c r="K87" s="227"/>
      <c r="L87" s="227"/>
      <c r="M87" s="227"/>
      <c r="O87" s="240" t="s">
        <v>306</v>
      </c>
      <c r="P87" s="240">
        <v>4119.0500518400004</v>
      </c>
      <c r="Q87" s="238"/>
      <c r="R87" s="157"/>
      <c r="S87" s="252" t="s">
        <v>448</v>
      </c>
      <c r="T87" s="257">
        <v>0</v>
      </c>
      <c r="U87" s="257">
        <v>43816</v>
      </c>
      <c r="V87" s="257">
        <v>261</v>
      </c>
      <c r="W87" s="257">
        <v>596521</v>
      </c>
      <c r="X87" s="257">
        <v>1</v>
      </c>
      <c r="Y87" s="244"/>
      <c r="Z87" s="244"/>
      <c r="AA87" s="244"/>
      <c r="AB87" s="244"/>
      <c r="AC87" s="244"/>
      <c r="AD87" s="244"/>
      <c r="AE87" s="244"/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  <c r="AS87" s="244"/>
      <c r="AT87" s="244"/>
      <c r="AU87" s="244"/>
      <c r="AV87" s="244"/>
      <c r="AW87" s="244"/>
      <c r="AX87" s="244"/>
      <c r="AY87" s="244"/>
      <c r="AZ87" s="244"/>
      <c r="BA87" s="244"/>
      <c r="BB87" s="244"/>
      <c r="BC87" s="244"/>
      <c r="BD87" s="244"/>
      <c r="BE87" s="244"/>
      <c r="BF87" s="244"/>
      <c r="BG87" s="244"/>
      <c r="BH87" s="244"/>
      <c r="BI87" s="244"/>
      <c r="BJ87" s="244"/>
      <c r="BK87" s="244"/>
      <c r="BL87" s="244"/>
      <c r="BM87" s="244"/>
      <c r="BN87" s="244"/>
      <c r="BO87" s="255" t="s">
        <v>495</v>
      </c>
      <c r="BP87" s="263" t="s">
        <v>564</v>
      </c>
      <c r="BQ87" s="244"/>
      <c r="BR87" s="244"/>
    </row>
    <row r="88" spans="1:70" x14ac:dyDescent="0.2">
      <c r="A88" s="151"/>
      <c r="B88" s="190" t="s">
        <v>554</v>
      </c>
      <c r="C88" s="193">
        <v>42312</v>
      </c>
      <c r="D88" s="190">
        <v>1315.4607390000001</v>
      </c>
      <c r="E88" s="222">
        <v>1</v>
      </c>
      <c r="F88" s="208"/>
      <c r="G88" s="222" t="s">
        <v>549</v>
      </c>
      <c r="H88" s="222">
        <v>18319.751832829999</v>
      </c>
      <c r="I88" s="164"/>
      <c r="J88" s="157"/>
      <c r="K88" s="227"/>
      <c r="L88" s="227"/>
      <c r="M88" s="227"/>
      <c r="O88" s="240" t="s">
        <v>307</v>
      </c>
      <c r="P88" s="240">
        <v>211.34615049000001</v>
      </c>
      <c r="Q88" s="238"/>
      <c r="R88" s="157"/>
      <c r="S88" s="246"/>
      <c r="T88" s="246"/>
      <c r="U88" s="246"/>
      <c r="V88" s="246"/>
      <c r="W88" s="246"/>
      <c r="X88" s="246"/>
      <c r="Y88" s="244"/>
      <c r="Z88" s="244"/>
      <c r="AA88" s="244"/>
      <c r="AB88" s="244"/>
      <c r="AC88" s="244"/>
      <c r="AD88" s="244"/>
      <c r="AE88" s="244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  <c r="AS88" s="244"/>
      <c r="AT88" s="244"/>
      <c r="AU88" s="244"/>
      <c r="AV88" s="244"/>
      <c r="AW88" s="244"/>
      <c r="AX88" s="244"/>
      <c r="AY88" s="244"/>
      <c r="AZ88" s="244"/>
      <c r="BA88" s="244"/>
      <c r="BB88" s="244"/>
      <c r="BC88" s="244"/>
      <c r="BD88" s="244"/>
      <c r="BE88" s="244"/>
      <c r="BF88" s="244"/>
      <c r="BG88" s="244"/>
      <c r="BH88" s="244"/>
      <c r="BI88" s="244"/>
      <c r="BJ88" s="244"/>
      <c r="BK88" s="244"/>
      <c r="BL88" s="244"/>
      <c r="BM88" s="244"/>
      <c r="BN88" s="244"/>
      <c r="BO88" s="246"/>
      <c r="BP88" s="262">
        <v>69305</v>
      </c>
      <c r="BQ88" s="244"/>
      <c r="BR88" s="244"/>
    </row>
    <row r="89" spans="1:70" x14ac:dyDescent="0.2">
      <c r="A89" s="14"/>
      <c r="B89" s="190" t="s">
        <v>555</v>
      </c>
      <c r="C89" s="193">
        <v>42312</v>
      </c>
      <c r="D89" s="190">
        <v>1209.71</v>
      </c>
      <c r="E89" s="222">
        <v>1</v>
      </c>
      <c r="F89" s="208"/>
      <c r="G89" s="222" t="s">
        <v>550</v>
      </c>
      <c r="H89" s="222">
        <v>19060.730076150001</v>
      </c>
      <c r="I89" s="164"/>
      <c r="J89" s="157"/>
      <c r="K89" s="227"/>
      <c r="L89" s="227"/>
      <c r="M89" s="227"/>
      <c r="O89" s="240" t="s">
        <v>308</v>
      </c>
      <c r="P89" s="240">
        <v>9141.79632528</v>
      </c>
      <c r="Q89" s="238"/>
      <c r="S89" s="244"/>
      <c r="T89" s="244"/>
      <c r="U89" s="244"/>
      <c r="V89" s="244"/>
      <c r="W89" s="244"/>
      <c r="X89" s="244"/>
      <c r="Y89" s="244"/>
      <c r="Z89" s="244"/>
      <c r="AA89" s="244"/>
      <c r="AB89" s="244"/>
      <c r="AC89" s="244"/>
      <c r="AD89" s="244"/>
      <c r="AE89" s="244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  <c r="AS89" s="244"/>
      <c r="AT89" s="244"/>
      <c r="AU89" s="244"/>
      <c r="AV89" s="244"/>
      <c r="AW89" s="244"/>
      <c r="AX89" s="244"/>
      <c r="AY89" s="244"/>
      <c r="AZ89" s="244"/>
      <c r="BA89" s="244"/>
      <c r="BB89" s="244"/>
      <c r="BC89" s="244"/>
      <c r="BD89" s="244"/>
      <c r="BE89" s="244"/>
      <c r="BF89" s="244"/>
      <c r="BG89" s="244"/>
      <c r="BH89" s="244"/>
      <c r="BI89" s="244"/>
      <c r="BJ89" s="244"/>
      <c r="BK89" s="244"/>
      <c r="BL89" s="244"/>
      <c r="BM89" s="244"/>
      <c r="BN89" s="244"/>
      <c r="BO89" s="246"/>
      <c r="BP89" s="262"/>
      <c r="BQ89" s="244"/>
      <c r="BR89" s="244"/>
    </row>
    <row r="90" spans="1:70" x14ac:dyDescent="0.2">
      <c r="A90" s="149"/>
      <c r="B90" s="190" t="s">
        <v>556</v>
      </c>
      <c r="C90" s="193">
        <v>42594</v>
      </c>
      <c r="D90" s="190">
        <v>1327.18</v>
      </c>
      <c r="E90" s="222">
        <v>1</v>
      </c>
      <c r="F90" s="212"/>
      <c r="G90" s="222" t="s">
        <v>314</v>
      </c>
      <c r="H90" s="222">
        <v>7576.5495361000003</v>
      </c>
      <c r="I90" s="164"/>
      <c r="J90" s="157"/>
      <c r="K90" s="227"/>
      <c r="L90" s="227"/>
      <c r="M90" s="227"/>
      <c r="O90" s="240" t="s">
        <v>309</v>
      </c>
      <c r="P90" s="240">
        <v>411.97328514999998</v>
      </c>
      <c r="Q90" s="238"/>
      <c r="S90" s="244"/>
      <c r="T90" s="244"/>
      <c r="U90" s="244"/>
      <c r="V90" s="244"/>
      <c r="W90" s="244"/>
      <c r="X90" s="244"/>
      <c r="Y90" s="244"/>
      <c r="Z90" s="244"/>
      <c r="AA90" s="244"/>
      <c r="AB90" s="244"/>
      <c r="AC90" s="244"/>
      <c r="AD90" s="244"/>
      <c r="AE90" s="244"/>
      <c r="AF90" s="244"/>
      <c r="AG90" s="244"/>
      <c r="AH90" s="244"/>
      <c r="AI90" s="244"/>
      <c r="AJ90" s="244"/>
      <c r="AK90" s="244"/>
      <c r="AL90" s="244"/>
      <c r="AM90" s="244"/>
      <c r="AN90" s="244"/>
      <c r="AO90" s="244"/>
      <c r="AP90" s="244"/>
      <c r="AQ90" s="244"/>
      <c r="AR90" s="244"/>
      <c r="AS90" s="244"/>
      <c r="AT90" s="244"/>
      <c r="AU90" s="244"/>
      <c r="AV90" s="244"/>
      <c r="AW90" s="244"/>
      <c r="AX90" s="244"/>
      <c r="AY90" s="244"/>
      <c r="AZ90" s="244"/>
      <c r="BA90" s="244"/>
      <c r="BB90" s="244"/>
      <c r="BC90" s="244"/>
      <c r="BD90" s="244"/>
      <c r="BE90" s="244"/>
      <c r="BF90" s="244"/>
      <c r="BG90" s="244"/>
      <c r="BH90" s="244"/>
      <c r="BI90" s="244"/>
      <c r="BJ90" s="244"/>
      <c r="BK90" s="244"/>
      <c r="BL90" s="244"/>
      <c r="BM90" s="244"/>
      <c r="BN90" s="244"/>
      <c r="BO90" s="255" t="s">
        <v>496</v>
      </c>
      <c r="BP90" s="263" t="s">
        <v>564</v>
      </c>
      <c r="BQ90" s="244"/>
      <c r="BR90" s="244"/>
    </row>
    <row r="91" spans="1:70" x14ac:dyDescent="0.2">
      <c r="A91" s="149"/>
      <c r="B91" s="190" t="s">
        <v>557</v>
      </c>
      <c r="C91" s="193">
        <v>42118</v>
      </c>
      <c r="D91" s="190">
        <v>1238.74</v>
      </c>
      <c r="E91" s="222">
        <v>1</v>
      </c>
      <c r="F91" s="212"/>
      <c r="G91" s="222" t="s">
        <v>315</v>
      </c>
      <c r="H91" s="222">
        <v>31654.9029667</v>
      </c>
      <c r="I91" s="164"/>
      <c r="J91" s="157"/>
      <c r="K91" s="227"/>
      <c r="L91" s="227"/>
      <c r="M91" s="227"/>
      <c r="O91" s="240" t="s">
        <v>311</v>
      </c>
      <c r="P91" s="240">
        <v>1227.4798354</v>
      </c>
      <c r="Q91" s="238"/>
      <c r="S91" s="244"/>
      <c r="T91" s="244"/>
      <c r="U91" s="244"/>
      <c r="V91" s="244"/>
      <c r="W91" s="244"/>
      <c r="X91" s="244"/>
      <c r="Y91" s="244"/>
      <c r="Z91" s="244"/>
      <c r="AA91" s="244"/>
      <c r="AB91" s="244"/>
      <c r="AC91" s="244"/>
      <c r="AD91" s="244"/>
      <c r="AE91" s="244"/>
      <c r="AF91" s="244"/>
      <c r="AG91" s="244"/>
      <c r="AH91" s="244"/>
      <c r="AI91" s="244"/>
      <c r="AJ91" s="244"/>
      <c r="AK91" s="244"/>
      <c r="AL91" s="244"/>
      <c r="AM91" s="244"/>
      <c r="AN91" s="244"/>
      <c r="AO91" s="244"/>
      <c r="AP91" s="244"/>
      <c r="AQ91" s="244"/>
      <c r="AR91" s="244"/>
      <c r="AS91" s="244"/>
      <c r="AT91" s="244"/>
      <c r="AU91" s="244"/>
      <c r="AV91" s="244"/>
      <c r="AW91" s="244"/>
      <c r="AX91" s="244"/>
      <c r="AY91" s="244"/>
      <c r="AZ91" s="244"/>
      <c r="BA91" s="244"/>
      <c r="BB91" s="244"/>
      <c r="BC91" s="244"/>
      <c r="BD91" s="244"/>
      <c r="BE91" s="244"/>
      <c r="BF91" s="244"/>
      <c r="BG91" s="244"/>
      <c r="BH91" s="244"/>
      <c r="BI91" s="244"/>
      <c r="BJ91" s="244"/>
      <c r="BK91" s="244"/>
      <c r="BL91" s="244"/>
      <c r="BM91" s="244"/>
      <c r="BN91" s="244"/>
      <c r="BO91" s="246"/>
      <c r="BP91" s="262">
        <v>68394</v>
      </c>
      <c r="BQ91" s="244"/>
      <c r="BR91" s="244"/>
    </row>
    <row r="92" spans="1:70" x14ac:dyDescent="0.2">
      <c r="A92" s="149"/>
      <c r="B92" s="190" t="s">
        <v>558</v>
      </c>
      <c r="C92" s="193">
        <v>42118</v>
      </c>
      <c r="D92" s="190">
        <v>1315.36</v>
      </c>
      <c r="E92" s="222">
        <v>1</v>
      </c>
      <c r="F92" s="212"/>
      <c r="G92" s="222" t="s">
        <v>316</v>
      </c>
      <c r="H92" s="222">
        <v>5210.3087568000001</v>
      </c>
      <c r="I92" s="164"/>
      <c r="J92" s="157"/>
      <c r="K92" s="227"/>
      <c r="L92" s="227"/>
      <c r="M92" s="227"/>
      <c r="O92" s="240" t="s">
        <v>312</v>
      </c>
      <c r="P92" s="240">
        <v>10815.760971850001</v>
      </c>
      <c r="Q92" s="238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  <c r="AC92" s="244"/>
      <c r="AD92" s="244"/>
      <c r="AE92" s="244"/>
      <c r="AF92" s="244"/>
      <c r="AG92" s="244"/>
      <c r="AH92" s="244"/>
      <c r="AI92" s="244"/>
      <c r="AJ92" s="244"/>
      <c r="AK92" s="244"/>
      <c r="AL92" s="244"/>
      <c r="AM92" s="244"/>
      <c r="AN92" s="244"/>
      <c r="AO92" s="244"/>
      <c r="AP92" s="244"/>
      <c r="AQ92" s="244"/>
      <c r="AR92" s="244"/>
      <c r="AS92" s="244"/>
      <c r="AT92" s="244"/>
      <c r="AU92" s="244"/>
      <c r="AV92" s="244"/>
      <c r="AW92" s="244"/>
      <c r="AX92" s="244"/>
      <c r="AY92" s="244"/>
      <c r="AZ92" s="244"/>
      <c r="BA92" s="244"/>
      <c r="BB92" s="244"/>
      <c r="BC92" s="244"/>
      <c r="BD92" s="244"/>
      <c r="BE92" s="244"/>
      <c r="BF92" s="244"/>
      <c r="BG92" s="244"/>
      <c r="BH92" s="244"/>
      <c r="BI92" s="244"/>
      <c r="BJ92" s="244"/>
      <c r="BK92" s="244"/>
      <c r="BL92" s="244"/>
      <c r="BM92" s="244"/>
      <c r="BN92" s="244"/>
      <c r="BO92" s="244"/>
      <c r="BP92" s="244"/>
      <c r="BQ92" s="244"/>
      <c r="BR92" s="244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2">
        <v>1</v>
      </c>
      <c r="F93" s="212"/>
      <c r="G93" s="222" t="s">
        <v>74</v>
      </c>
      <c r="H93" s="222">
        <v>26479.361679900001</v>
      </c>
      <c r="I93" s="164"/>
      <c r="J93" s="157"/>
      <c r="K93" s="227"/>
      <c r="L93" s="227"/>
      <c r="M93" s="227"/>
      <c r="O93" s="240" t="s">
        <v>313</v>
      </c>
      <c r="P93" s="240">
        <v>1101.30419867</v>
      </c>
      <c r="Q93" s="238"/>
      <c r="S93" s="244"/>
      <c r="T93" s="244"/>
      <c r="U93" s="244"/>
      <c r="V93" s="244"/>
      <c r="W93" s="244"/>
      <c r="X93" s="244"/>
      <c r="Y93" s="244"/>
      <c r="Z93" s="244"/>
      <c r="AA93" s="244"/>
      <c r="AB93" s="244"/>
      <c r="AC93" s="244"/>
      <c r="AD93" s="244"/>
      <c r="AE93" s="244"/>
      <c r="AF93" s="244"/>
      <c r="AG93" s="244"/>
      <c r="AH93" s="244"/>
      <c r="AI93" s="244"/>
      <c r="AJ93" s="244"/>
      <c r="AK93" s="244"/>
      <c r="AL93" s="244"/>
      <c r="AM93" s="244"/>
      <c r="AN93" s="244"/>
      <c r="AO93" s="244"/>
      <c r="AP93" s="244"/>
      <c r="AQ93" s="244"/>
      <c r="AR93" s="244"/>
      <c r="AS93" s="244"/>
      <c r="AT93" s="244"/>
      <c r="AU93" s="244"/>
      <c r="AV93" s="244"/>
      <c r="AW93" s="244"/>
      <c r="AX93" s="244"/>
      <c r="AY93" s="244"/>
      <c r="AZ93" s="244"/>
      <c r="BA93" s="244"/>
      <c r="BB93" s="244"/>
      <c r="BC93" s="244"/>
      <c r="BD93" s="244"/>
      <c r="BE93" s="244"/>
      <c r="BF93" s="244"/>
      <c r="BG93" s="244"/>
      <c r="BH93" s="244"/>
      <c r="BI93" s="244"/>
      <c r="BJ93" s="244"/>
      <c r="BK93" s="244"/>
      <c r="BL93" s="244"/>
      <c r="BM93" s="244"/>
      <c r="BN93" s="244"/>
      <c r="BO93" s="244"/>
      <c r="BP93" s="244"/>
      <c r="BQ93" s="244"/>
      <c r="BR93" s="244"/>
    </row>
    <row r="94" spans="1:70" x14ac:dyDescent="0.2">
      <c r="B94" s="190" t="s">
        <v>546</v>
      </c>
      <c r="C94" s="193">
        <v>43039</v>
      </c>
      <c r="D94" s="190">
        <v>58274.584006370002</v>
      </c>
      <c r="E94" s="222">
        <v>1</v>
      </c>
      <c r="F94" s="208"/>
      <c r="G94" s="222" t="s">
        <v>76</v>
      </c>
      <c r="H94" s="222">
        <v>48646.015366580003</v>
      </c>
      <c r="I94" s="164"/>
      <c r="J94" s="157"/>
      <c r="K94" s="227"/>
      <c r="L94" s="227"/>
      <c r="M94" s="227"/>
      <c r="O94" s="240" t="s">
        <v>60</v>
      </c>
      <c r="P94" s="240">
        <v>10965.332266089999</v>
      </c>
      <c r="Q94" s="238"/>
      <c r="S94" s="244"/>
      <c r="T94" s="244"/>
      <c r="U94" s="244"/>
      <c r="V94" s="244"/>
      <c r="W94" s="244"/>
      <c r="X94" s="244"/>
      <c r="Y94" s="244"/>
      <c r="Z94" s="244"/>
      <c r="AA94" s="244"/>
      <c r="AB94" s="244"/>
      <c r="AC94" s="244"/>
      <c r="AD94" s="244"/>
      <c r="AE94" s="244"/>
      <c r="AF94" s="244"/>
      <c r="AG94" s="244"/>
      <c r="AH94" s="244"/>
      <c r="AI94" s="244"/>
      <c r="AJ94" s="244"/>
      <c r="AK94" s="244"/>
      <c r="AL94" s="244"/>
      <c r="AM94" s="244"/>
      <c r="AN94" s="244"/>
      <c r="AO94" s="244"/>
      <c r="AP94" s="244"/>
      <c r="AQ94" s="244"/>
      <c r="AR94" s="244"/>
      <c r="AS94" s="244"/>
      <c r="AT94" s="244"/>
      <c r="AU94" s="244"/>
      <c r="AV94" s="244"/>
      <c r="AW94" s="244"/>
      <c r="AX94" s="244"/>
      <c r="AY94" s="244"/>
      <c r="AZ94" s="244"/>
      <c r="BA94" s="244"/>
      <c r="BB94" s="244"/>
      <c r="BC94" s="244"/>
      <c r="BD94" s="244"/>
      <c r="BE94" s="244"/>
      <c r="BF94" s="244"/>
      <c r="BG94" s="244"/>
      <c r="BH94" s="244"/>
      <c r="BI94" s="244"/>
      <c r="BJ94" s="244"/>
      <c r="BK94" s="244"/>
      <c r="BL94" s="244"/>
      <c r="BM94" s="244"/>
      <c r="BN94" s="244"/>
      <c r="BO94" s="244"/>
      <c r="BP94" s="244"/>
      <c r="BQ94" s="244"/>
      <c r="BR94" s="244"/>
    </row>
    <row r="95" spans="1:70" x14ac:dyDescent="0.2">
      <c r="A95" s="14"/>
      <c r="B95" s="190" t="s">
        <v>547</v>
      </c>
      <c r="C95" s="193">
        <v>43039</v>
      </c>
      <c r="D95" s="190">
        <v>57200.756514009998</v>
      </c>
      <c r="E95" s="222">
        <v>1</v>
      </c>
      <c r="F95" s="208"/>
      <c r="G95" s="222" t="s">
        <v>78</v>
      </c>
      <c r="H95" s="222">
        <v>83717.139951110003</v>
      </c>
      <c r="I95" s="164"/>
      <c r="J95" s="157"/>
      <c r="K95" s="227"/>
      <c r="L95" s="227"/>
      <c r="M95" s="227"/>
      <c r="O95" s="240" t="s">
        <v>53</v>
      </c>
      <c r="P95" s="240">
        <v>12175.01257721</v>
      </c>
      <c r="Q95" s="238"/>
      <c r="S95" s="244"/>
      <c r="T95" s="244"/>
      <c r="U95" s="244"/>
      <c r="V95" s="244"/>
      <c r="W95" s="244"/>
      <c r="X95" s="244"/>
      <c r="Y95" s="244"/>
      <c r="Z95" s="244"/>
      <c r="AA95" s="244"/>
      <c r="AB95" s="244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4"/>
      <c r="AW95" s="244"/>
      <c r="AX95" s="244"/>
      <c r="AY95" s="244"/>
      <c r="AZ95" s="244"/>
      <c r="BA95" s="244"/>
      <c r="BB95" s="244"/>
      <c r="BC95" s="244"/>
      <c r="BD95" s="244"/>
      <c r="BE95" s="244"/>
      <c r="BF95" s="244"/>
      <c r="BG95" s="244"/>
      <c r="BH95" s="244"/>
      <c r="BI95" s="244"/>
      <c r="BJ95" s="244"/>
      <c r="BK95" s="244"/>
      <c r="BL95" s="244"/>
      <c r="BM95" s="244"/>
      <c r="BN95" s="244"/>
      <c r="BO95" s="244"/>
      <c r="BP95" s="244"/>
      <c r="BQ95" s="244"/>
      <c r="BR95" s="244"/>
    </row>
    <row r="96" spans="1:70" x14ac:dyDescent="0.2">
      <c r="A96" s="149"/>
      <c r="B96" s="190" t="s">
        <v>282</v>
      </c>
      <c r="C96" s="193">
        <v>40662</v>
      </c>
      <c r="D96" s="190">
        <v>4825.42</v>
      </c>
      <c r="E96" s="222">
        <v>1</v>
      </c>
      <c r="F96" s="212"/>
      <c r="G96" s="222" t="s">
        <v>317</v>
      </c>
      <c r="H96" s="222">
        <v>11481.96890199</v>
      </c>
      <c r="I96" s="164"/>
      <c r="J96" s="157"/>
      <c r="K96" s="227"/>
      <c r="L96" s="227"/>
      <c r="M96" s="227"/>
      <c r="O96" s="240" t="s">
        <v>549</v>
      </c>
      <c r="P96" s="240">
        <v>17556.007237189999</v>
      </c>
      <c r="Q96" s="238"/>
      <c r="S96" s="244"/>
      <c r="T96" s="244"/>
      <c r="U96" s="244"/>
      <c r="V96" s="244"/>
      <c r="W96" s="244"/>
      <c r="X96" s="244"/>
      <c r="Y96" s="244"/>
      <c r="Z96" s="244"/>
      <c r="AA96" s="244"/>
      <c r="AB96" s="244"/>
      <c r="AC96" s="244"/>
      <c r="AD96" s="244"/>
      <c r="AE96" s="244"/>
      <c r="AF96" s="244"/>
      <c r="AG96" s="244"/>
      <c r="AH96" s="244"/>
      <c r="AI96" s="244"/>
      <c r="AJ96" s="244"/>
      <c r="AK96" s="244"/>
      <c r="AL96" s="244"/>
      <c r="AM96" s="244"/>
      <c r="AN96" s="244"/>
      <c r="AO96" s="244"/>
      <c r="AP96" s="244"/>
      <c r="AQ96" s="244"/>
      <c r="AR96" s="244"/>
      <c r="AS96" s="244"/>
      <c r="AT96" s="244"/>
      <c r="AU96" s="244"/>
      <c r="AV96" s="244"/>
      <c r="AW96" s="244"/>
      <c r="AX96" s="244"/>
      <c r="AY96" s="244"/>
      <c r="AZ96" s="244"/>
      <c r="BA96" s="244"/>
      <c r="BB96" s="244"/>
      <c r="BC96" s="244"/>
      <c r="BD96" s="244"/>
      <c r="BE96" s="244"/>
      <c r="BF96" s="244"/>
      <c r="BG96" s="244"/>
      <c r="BH96" s="244"/>
      <c r="BI96" s="244"/>
      <c r="BJ96" s="244"/>
      <c r="BK96" s="244"/>
      <c r="BL96" s="244"/>
      <c r="BM96" s="244"/>
      <c r="BN96" s="244"/>
      <c r="BO96" s="244"/>
      <c r="BP96" s="244"/>
      <c r="BQ96" s="244"/>
      <c r="BR96" s="244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2">
        <v>1</v>
      </c>
      <c r="F97" s="212"/>
      <c r="G97" s="222" t="s">
        <v>318</v>
      </c>
      <c r="H97" s="222">
        <v>6398.3000686200003</v>
      </c>
      <c r="I97" s="164"/>
      <c r="K97" s="227"/>
      <c r="L97" s="227"/>
      <c r="M97" s="227"/>
      <c r="O97" s="240" t="s">
        <v>550</v>
      </c>
      <c r="P97" s="240">
        <v>18207.432689379999</v>
      </c>
    </row>
    <row r="98" spans="1:16" x14ac:dyDescent="0.2">
      <c r="A98" s="149"/>
      <c r="B98" s="190" t="s">
        <v>65</v>
      </c>
      <c r="C98" s="193">
        <v>43038</v>
      </c>
      <c r="D98" s="190">
        <v>81947.366235759997</v>
      </c>
      <c r="E98" s="222">
        <v>1</v>
      </c>
      <c r="F98" s="212"/>
      <c r="G98" s="222" t="s">
        <v>88</v>
      </c>
      <c r="H98" s="222">
        <v>7640.7974108300004</v>
      </c>
      <c r="I98" s="164"/>
      <c r="K98" s="227"/>
      <c r="L98" s="227"/>
      <c r="M98" s="227"/>
      <c r="O98" s="240" t="s">
        <v>314</v>
      </c>
      <c r="P98" s="240">
        <v>7454.0824510900002</v>
      </c>
    </row>
    <row r="99" spans="1:16" x14ac:dyDescent="0.2">
      <c r="A99" s="149"/>
      <c r="B99" s="190" t="s">
        <v>67</v>
      </c>
      <c r="C99" s="193">
        <v>42118</v>
      </c>
      <c r="D99" s="190">
        <v>17911.36431723</v>
      </c>
      <c r="E99" s="222">
        <v>1</v>
      </c>
      <c r="F99" s="212"/>
      <c r="G99" s="222" t="s">
        <v>80</v>
      </c>
      <c r="H99" s="222">
        <v>24511.453546370001</v>
      </c>
      <c r="I99" s="164"/>
      <c r="K99" s="227"/>
      <c r="L99" s="227"/>
      <c r="M99" s="227"/>
      <c r="O99" s="240" t="s">
        <v>315</v>
      </c>
      <c r="P99" s="240">
        <v>30411.538803430001</v>
      </c>
    </row>
    <row r="100" spans="1:16" x14ac:dyDescent="0.2">
      <c r="B100" s="190" t="s">
        <v>69</v>
      </c>
      <c r="C100" s="193">
        <v>43038</v>
      </c>
      <c r="D100" s="190">
        <v>83465.516337509995</v>
      </c>
      <c r="E100" s="222">
        <v>1</v>
      </c>
      <c r="F100" s="208"/>
      <c r="G100" s="222" t="s">
        <v>319</v>
      </c>
      <c r="H100" s="222">
        <v>749.31359893000001</v>
      </c>
      <c r="I100" s="164"/>
      <c r="K100" s="227"/>
      <c r="L100" s="227"/>
      <c r="M100" s="227"/>
      <c r="O100" s="240" t="s">
        <v>316</v>
      </c>
      <c r="P100" s="240">
        <v>5086.73646792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2">
        <v>1</v>
      </c>
      <c r="F101" s="212"/>
      <c r="G101" s="222" t="s">
        <v>86</v>
      </c>
      <c r="H101" s="222">
        <v>6798.3794076800004</v>
      </c>
      <c r="I101" s="164"/>
      <c r="K101" s="227"/>
      <c r="L101" s="227"/>
      <c r="M101" s="227"/>
      <c r="O101" s="240" t="s">
        <v>74</v>
      </c>
      <c r="P101" s="240">
        <v>24736.645108019999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2">
        <v>1</v>
      </c>
      <c r="F102" s="208"/>
      <c r="G102" s="222" t="s">
        <v>320</v>
      </c>
      <c r="H102" s="222">
        <v>4447.5571100799998</v>
      </c>
      <c r="I102" s="164"/>
      <c r="K102" s="227"/>
      <c r="L102" s="227"/>
      <c r="M102" s="227"/>
      <c r="O102" s="240" t="s">
        <v>76</v>
      </c>
      <c r="P102" s="240">
        <v>46998.616028880002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2">
        <v>1</v>
      </c>
      <c r="F103" s="212"/>
      <c r="G103" s="222" t="s">
        <v>82</v>
      </c>
      <c r="H103" s="222">
        <v>42102.197569540003</v>
      </c>
      <c r="I103" s="164"/>
      <c r="K103" s="227"/>
      <c r="L103" s="227"/>
      <c r="M103" s="227"/>
      <c r="O103" s="240" t="s">
        <v>78</v>
      </c>
      <c r="P103" s="240">
        <v>79411.713355169995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2">
        <v>1</v>
      </c>
      <c r="F104" s="212"/>
      <c r="G104" s="222" t="s">
        <v>84</v>
      </c>
      <c r="H104" s="222">
        <v>48436.714270420001</v>
      </c>
      <c r="I104" s="164"/>
      <c r="K104" s="227"/>
      <c r="L104" s="227"/>
      <c r="M104" s="227"/>
      <c r="O104" s="240" t="s">
        <v>317</v>
      </c>
      <c r="P104" s="240">
        <v>11399.84682182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2">
        <v>1</v>
      </c>
      <c r="F105" s="212"/>
      <c r="G105" s="222" t="s">
        <v>321</v>
      </c>
      <c r="H105" s="222">
        <v>8977.3827696200005</v>
      </c>
      <c r="I105" s="164"/>
      <c r="K105" s="227"/>
      <c r="L105" s="227"/>
      <c r="M105" s="227"/>
      <c r="O105" s="240" t="s">
        <v>318</v>
      </c>
      <c r="P105" s="240">
        <v>6556.4088469500002</v>
      </c>
    </row>
    <row r="106" spans="1:16" x14ac:dyDescent="0.2">
      <c r="B106" s="190" t="s">
        <v>285</v>
      </c>
      <c r="C106" s="193">
        <v>43035</v>
      </c>
      <c r="D106" s="190">
        <v>367.00785201999997</v>
      </c>
      <c r="E106" s="222">
        <v>1</v>
      </c>
      <c r="F106" s="212"/>
      <c r="G106" s="222" t="s">
        <v>322</v>
      </c>
      <c r="H106" s="222">
        <v>1699.92832529</v>
      </c>
      <c r="I106" s="164"/>
      <c r="K106" s="227"/>
      <c r="L106" s="227"/>
      <c r="M106" s="227"/>
      <c r="O106" s="240" t="s">
        <v>88</v>
      </c>
      <c r="P106" s="240">
        <v>7427.0579468699998</v>
      </c>
    </row>
    <row r="107" spans="1:16" x14ac:dyDescent="0.2">
      <c r="B107" s="190" t="s">
        <v>286</v>
      </c>
      <c r="C107" s="193">
        <v>43039</v>
      </c>
      <c r="D107" s="190">
        <v>270.89462634</v>
      </c>
      <c r="E107" s="222">
        <v>1</v>
      </c>
      <c r="F107" s="212"/>
      <c r="G107" s="222" t="s">
        <v>323</v>
      </c>
      <c r="H107" s="222">
        <v>224.21259785000001</v>
      </c>
      <c r="I107" s="164"/>
      <c r="K107" s="227"/>
      <c r="L107" s="227"/>
      <c r="M107" s="227"/>
      <c r="O107" s="240" t="s">
        <v>80</v>
      </c>
      <c r="P107" s="240">
        <v>21819.449389879999</v>
      </c>
    </row>
    <row r="108" spans="1:16" x14ac:dyDescent="0.2">
      <c r="B108" s="190" t="s">
        <v>287</v>
      </c>
      <c r="C108" s="193">
        <v>43034</v>
      </c>
      <c r="D108" s="190">
        <v>215.2422996</v>
      </c>
      <c r="E108" s="222">
        <v>1</v>
      </c>
      <c r="F108" s="208"/>
      <c r="G108" s="222" t="s">
        <v>324</v>
      </c>
      <c r="H108" s="222">
        <v>7707.7742410800001</v>
      </c>
      <c r="I108" s="164"/>
      <c r="K108" s="227"/>
      <c r="L108" s="227"/>
      <c r="M108" s="227"/>
      <c r="O108" s="240" t="s">
        <v>319</v>
      </c>
      <c r="P108" s="240">
        <v>635.36492878000001</v>
      </c>
    </row>
    <row r="109" spans="1:16" x14ac:dyDescent="0.2">
      <c r="B109" s="190" t="s">
        <v>288</v>
      </c>
      <c r="C109" s="193">
        <v>43035</v>
      </c>
      <c r="D109" s="190">
        <v>472.52757986</v>
      </c>
      <c r="E109" s="222">
        <v>1</v>
      </c>
      <c r="F109" s="208"/>
      <c r="G109" s="222" t="s">
        <v>325</v>
      </c>
      <c r="H109" s="222">
        <v>66554.982836990006</v>
      </c>
      <c r="I109" s="164"/>
      <c r="K109" s="227"/>
      <c r="L109" s="227"/>
      <c r="M109" s="227"/>
      <c r="O109" s="240" t="s">
        <v>86</v>
      </c>
      <c r="P109" s="240">
        <v>6989.1840483899996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2">
        <v>1</v>
      </c>
      <c r="F110" s="208"/>
      <c r="G110" s="222" t="s">
        <v>326</v>
      </c>
      <c r="H110" s="222">
        <v>38273.291624639998</v>
      </c>
      <c r="I110" s="164"/>
      <c r="K110" s="227"/>
      <c r="L110" s="227"/>
      <c r="M110" s="227"/>
      <c r="O110" s="240" t="s">
        <v>320</v>
      </c>
      <c r="P110" s="240">
        <v>4697.5644931799998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2">
        <v>1</v>
      </c>
      <c r="F111" s="208"/>
      <c r="G111" s="222" t="s">
        <v>327</v>
      </c>
      <c r="H111" s="222">
        <v>1606.8170928100001</v>
      </c>
      <c r="I111" s="164"/>
      <c r="K111" s="227"/>
      <c r="L111" s="227"/>
      <c r="M111" s="227"/>
      <c r="O111" s="240" t="s">
        <v>82</v>
      </c>
      <c r="P111" s="240">
        <v>41263.498441479998</v>
      </c>
    </row>
    <row r="112" spans="1:16" x14ac:dyDescent="0.2">
      <c r="B112" s="190" t="s">
        <v>95</v>
      </c>
      <c r="C112" s="193">
        <v>42578</v>
      </c>
      <c r="D112" s="190">
        <v>678.08424324999999</v>
      </c>
      <c r="E112" s="222">
        <v>1</v>
      </c>
      <c r="F112" s="208"/>
      <c r="G112" s="222" t="s">
        <v>190</v>
      </c>
      <c r="H112" s="222">
        <v>896.66783926999994</v>
      </c>
      <c r="I112" s="164"/>
      <c r="K112" s="227"/>
      <c r="L112" s="227"/>
      <c r="M112" s="227"/>
      <c r="O112" s="240" t="s">
        <v>84</v>
      </c>
      <c r="P112" s="240">
        <v>45466.831736380002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2">
        <v>1</v>
      </c>
      <c r="F113" s="208"/>
      <c r="G113" s="222" t="s">
        <v>329</v>
      </c>
      <c r="H113" s="222">
        <v>3807.9464629499998</v>
      </c>
      <c r="I113" s="164"/>
      <c r="K113" s="227"/>
      <c r="L113" s="227"/>
      <c r="M113" s="227"/>
      <c r="O113" s="240" t="s">
        <v>321</v>
      </c>
      <c r="P113" s="240">
        <v>8795.5805765700006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2">
        <v>1</v>
      </c>
      <c r="F114" s="208"/>
      <c r="G114" s="222" t="s">
        <v>330</v>
      </c>
      <c r="H114" s="222">
        <v>5000.6896731799998</v>
      </c>
      <c r="I114" s="164"/>
      <c r="K114" s="227"/>
      <c r="L114" s="227"/>
      <c r="M114" s="227"/>
      <c r="O114" s="240" t="s">
        <v>322</v>
      </c>
      <c r="P114" s="240">
        <v>1903.1108460400001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2">
        <v>1</v>
      </c>
      <c r="F115" s="208"/>
      <c r="G115" s="222" t="s">
        <v>331</v>
      </c>
      <c r="H115" s="222">
        <v>1038.3953444599999</v>
      </c>
      <c r="I115" s="164"/>
      <c r="K115" s="227"/>
      <c r="L115" s="227"/>
      <c r="M115" s="227"/>
      <c r="O115" s="240" t="s">
        <v>323</v>
      </c>
      <c r="P115" s="240">
        <v>229.46861612999999</v>
      </c>
    </row>
    <row r="116" spans="2:16" x14ac:dyDescent="0.2">
      <c r="B116" s="190" t="s">
        <v>293</v>
      </c>
      <c r="C116" s="193">
        <v>43038</v>
      </c>
      <c r="D116" s="190">
        <v>89831.862289869998</v>
      </c>
      <c r="E116" s="222">
        <v>1</v>
      </c>
      <c r="F116" s="208"/>
      <c r="G116" s="222" t="s">
        <v>333</v>
      </c>
      <c r="H116" s="222">
        <v>71.864702230000006</v>
      </c>
      <c r="I116" s="164"/>
      <c r="K116" s="227"/>
      <c r="L116" s="227"/>
      <c r="M116" s="227"/>
      <c r="O116" s="240" t="s">
        <v>324</v>
      </c>
      <c r="P116" s="240">
        <v>7569.8981077199996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2">
        <v>1</v>
      </c>
      <c r="F117" s="208"/>
      <c r="G117" s="222" t="s">
        <v>334</v>
      </c>
      <c r="H117" s="222">
        <v>131.65940959</v>
      </c>
      <c r="I117" s="164"/>
      <c r="K117" s="227"/>
      <c r="L117" s="227"/>
      <c r="M117" s="227"/>
      <c r="O117" s="240" t="s">
        <v>325</v>
      </c>
      <c r="P117" s="240">
        <v>67929.430457130002</v>
      </c>
    </row>
    <row r="118" spans="2:16" x14ac:dyDescent="0.2">
      <c r="B118" s="190" t="s">
        <v>294</v>
      </c>
      <c r="C118" s="193">
        <v>42048</v>
      </c>
      <c r="D118" s="190">
        <v>246.82307969999999</v>
      </c>
      <c r="E118" s="222">
        <v>1</v>
      </c>
      <c r="F118" s="208"/>
      <c r="G118" s="222" t="s">
        <v>335</v>
      </c>
      <c r="H118" s="222">
        <v>52.4816687</v>
      </c>
      <c r="I118" s="164"/>
      <c r="K118" s="227"/>
      <c r="L118" s="227"/>
      <c r="M118" s="227"/>
      <c r="O118" s="240" t="s">
        <v>326</v>
      </c>
      <c r="P118" s="240">
        <v>37028.675279470001</v>
      </c>
    </row>
    <row r="119" spans="2:16" x14ac:dyDescent="0.2">
      <c r="B119" s="190" t="s">
        <v>295</v>
      </c>
      <c r="C119" s="193">
        <v>43039</v>
      </c>
      <c r="D119" s="190">
        <v>10815.769217429999</v>
      </c>
      <c r="E119" s="222">
        <v>1</v>
      </c>
      <c r="F119" s="208"/>
      <c r="G119" s="222" t="s">
        <v>336</v>
      </c>
      <c r="H119" s="222">
        <v>92.143265389999996</v>
      </c>
      <c r="I119" s="164"/>
      <c r="K119" s="227"/>
      <c r="L119" s="227"/>
      <c r="M119" s="227"/>
      <c r="O119" s="240" t="s">
        <v>327</v>
      </c>
      <c r="P119" s="240">
        <v>1528.9718585999999</v>
      </c>
    </row>
    <row r="120" spans="2:16" x14ac:dyDescent="0.2">
      <c r="B120" s="190" t="s">
        <v>296</v>
      </c>
      <c r="C120" s="193">
        <v>43039</v>
      </c>
      <c r="D120" s="190">
        <v>10183.398783279999</v>
      </c>
      <c r="E120" s="222">
        <v>1</v>
      </c>
      <c r="F120" s="208"/>
      <c r="G120" s="222" t="s">
        <v>337</v>
      </c>
      <c r="H120" s="222">
        <v>52570.202037770003</v>
      </c>
      <c r="I120" s="164"/>
      <c r="K120" s="227"/>
      <c r="L120" s="227"/>
      <c r="M120" s="227"/>
      <c r="O120" s="240" t="s">
        <v>190</v>
      </c>
      <c r="P120" s="240">
        <v>891.94522357000005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2">
        <v>1</v>
      </c>
      <c r="F121" s="208"/>
      <c r="G121" s="222" t="s">
        <v>338</v>
      </c>
      <c r="H121" s="222">
        <v>3996.0885612400002</v>
      </c>
      <c r="I121" s="164"/>
      <c r="K121" s="227"/>
      <c r="L121" s="227"/>
      <c r="M121" s="227"/>
      <c r="O121" s="240" t="s">
        <v>329</v>
      </c>
      <c r="P121" s="240">
        <v>3775.7140104499999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2">
        <v>1</v>
      </c>
      <c r="F122" s="208"/>
      <c r="G122" s="222" t="s">
        <v>339</v>
      </c>
      <c r="H122" s="222">
        <v>58980.107623830001</v>
      </c>
      <c r="I122" s="164"/>
      <c r="K122" s="227"/>
      <c r="L122" s="227"/>
      <c r="M122" s="227"/>
      <c r="O122" s="240" t="s">
        <v>330</v>
      </c>
      <c r="P122" s="240">
        <v>4780.86812078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2">
        <v>1</v>
      </c>
      <c r="F123" s="208"/>
      <c r="G123" s="222" t="s">
        <v>340</v>
      </c>
      <c r="H123" s="222">
        <v>12946.927274510001</v>
      </c>
      <c r="I123" s="164"/>
      <c r="K123" s="227"/>
      <c r="L123" s="227"/>
      <c r="M123" s="227"/>
      <c r="O123" s="240" t="s">
        <v>331</v>
      </c>
      <c r="P123" s="240">
        <v>974.72644694999997</v>
      </c>
    </row>
    <row r="124" spans="2:16" x14ac:dyDescent="0.2">
      <c r="B124" s="190" t="s">
        <v>300</v>
      </c>
      <c r="C124" s="193">
        <v>41800</v>
      </c>
      <c r="D124" s="190">
        <v>210.35973263</v>
      </c>
      <c r="E124" s="222">
        <v>1</v>
      </c>
      <c r="F124" s="208"/>
      <c r="G124" s="222" t="s">
        <v>341</v>
      </c>
      <c r="H124" s="222">
        <v>850.48650082999995</v>
      </c>
      <c r="I124" s="164"/>
      <c r="K124" s="227"/>
      <c r="L124" s="227"/>
      <c r="M124" s="227"/>
      <c r="O124" s="240" t="s">
        <v>333</v>
      </c>
      <c r="P124" s="240">
        <v>70.413948379999994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2">
        <v>1</v>
      </c>
      <c r="F125" s="208"/>
      <c r="G125" s="222" t="s">
        <v>342</v>
      </c>
      <c r="H125" s="222">
        <v>10815.769217429999</v>
      </c>
      <c r="I125" s="164"/>
      <c r="K125" s="227"/>
      <c r="L125" s="227"/>
      <c r="M125" s="227"/>
      <c r="O125" s="240" t="s">
        <v>334</v>
      </c>
      <c r="P125" s="240">
        <v>123.17465547</v>
      </c>
    </row>
    <row r="126" spans="2:16" x14ac:dyDescent="0.2">
      <c r="B126" s="190" t="s">
        <v>302</v>
      </c>
      <c r="C126" s="193">
        <v>43039</v>
      </c>
      <c r="D126" s="190">
        <v>10630.16340935</v>
      </c>
      <c r="E126" s="222">
        <v>1</v>
      </c>
      <c r="F126" s="208"/>
      <c r="G126" s="222" t="s">
        <v>343</v>
      </c>
      <c r="H126" s="222">
        <v>3226.7789191400002</v>
      </c>
      <c r="I126" s="164"/>
      <c r="K126" s="227"/>
      <c r="L126" s="227"/>
      <c r="M126" s="227"/>
      <c r="O126" s="240" t="s">
        <v>335</v>
      </c>
      <c r="P126" s="240">
        <v>52.43043145</v>
      </c>
    </row>
    <row r="127" spans="2:16" x14ac:dyDescent="0.2">
      <c r="B127" s="190" t="s">
        <v>303</v>
      </c>
      <c r="C127" s="193">
        <v>43026</v>
      </c>
      <c r="D127" s="190">
        <v>12194.408100000001</v>
      </c>
      <c r="E127" s="222">
        <v>1</v>
      </c>
      <c r="F127" s="208"/>
      <c r="G127" s="222" t="s">
        <v>344</v>
      </c>
      <c r="H127" s="222">
        <v>11717.33356284</v>
      </c>
      <c r="I127" s="164"/>
      <c r="K127" s="227"/>
      <c r="L127" s="227"/>
      <c r="M127" s="227"/>
      <c r="O127" s="240" t="s">
        <v>336</v>
      </c>
      <c r="P127" s="240">
        <v>87.895325920000005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2">
        <v>1</v>
      </c>
      <c r="F128" s="208"/>
      <c r="G128" s="222" t="s">
        <v>346</v>
      </c>
      <c r="H128" s="222">
        <v>8170.52</v>
      </c>
      <c r="I128" s="164"/>
      <c r="K128" s="227"/>
      <c r="L128" s="227"/>
      <c r="M128" s="227"/>
      <c r="O128" s="240" t="s">
        <v>337</v>
      </c>
      <c r="P128" s="240">
        <v>49376.463990099997</v>
      </c>
    </row>
    <row r="129" spans="2:16" x14ac:dyDescent="0.2">
      <c r="B129" s="190" t="s">
        <v>58</v>
      </c>
      <c r="C129" s="193">
        <v>43039</v>
      </c>
      <c r="D129" s="190">
        <v>27094.229882489999</v>
      </c>
      <c r="E129" s="222">
        <v>1</v>
      </c>
      <c r="F129" s="208"/>
      <c r="G129" s="222" t="s">
        <v>347</v>
      </c>
      <c r="H129" s="222">
        <v>15824.01</v>
      </c>
      <c r="I129" s="164"/>
      <c r="K129" s="227"/>
      <c r="L129" s="227"/>
      <c r="M129" s="227"/>
      <c r="O129" s="240" t="s">
        <v>338</v>
      </c>
      <c r="P129" s="240">
        <v>3930.8734101700002</v>
      </c>
    </row>
    <row r="130" spans="2:16" x14ac:dyDescent="0.2">
      <c r="B130" s="190" t="s">
        <v>51</v>
      </c>
      <c r="C130" s="193">
        <v>43039</v>
      </c>
      <c r="D130" s="190">
        <v>29476.61313052</v>
      </c>
      <c r="E130" s="222">
        <v>1</v>
      </c>
      <c r="F130" s="208"/>
      <c r="G130" s="222" t="s">
        <v>348</v>
      </c>
      <c r="H130" s="222">
        <v>4131.6899999999996</v>
      </c>
      <c r="I130" s="164"/>
      <c r="K130" s="227"/>
      <c r="L130" s="227"/>
      <c r="M130" s="227"/>
      <c r="O130" s="240" t="s">
        <v>339</v>
      </c>
      <c r="P130" s="240">
        <v>55579.922932970003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2">
        <v>1</v>
      </c>
      <c r="F131" s="208"/>
      <c r="G131" s="222" t="s">
        <v>349</v>
      </c>
      <c r="H131" s="222">
        <v>4611.25</v>
      </c>
      <c r="I131" s="164"/>
      <c r="K131" s="227"/>
      <c r="L131" s="227"/>
      <c r="M131" s="227"/>
      <c r="O131" s="240" t="s">
        <v>340</v>
      </c>
      <c r="P131" s="240">
        <v>12175.01257721</v>
      </c>
    </row>
    <row r="132" spans="2:16" x14ac:dyDescent="0.2">
      <c r="B132" s="190" t="s">
        <v>548</v>
      </c>
      <c r="C132" s="193">
        <v>43038</v>
      </c>
      <c r="D132" s="190">
        <v>81043.065048639997</v>
      </c>
      <c r="E132" s="222">
        <v>1</v>
      </c>
      <c r="F132" s="208"/>
      <c r="G132" s="222" t="s">
        <v>350</v>
      </c>
      <c r="H132" s="222">
        <v>3064.79</v>
      </c>
      <c r="I132" s="164"/>
      <c r="K132" s="227"/>
      <c r="L132" s="227"/>
      <c r="M132" s="227"/>
      <c r="O132" s="240" t="s">
        <v>341</v>
      </c>
      <c r="P132" s="240">
        <v>866.15373050000005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2">
        <v>1</v>
      </c>
      <c r="F133" s="208"/>
      <c r="G133" s="222" t="s">
        <v>351</v>
      </c>
      <c r="H133" s="222">
        <v>21064.720000000001</v>
      </c>
      <c r="I133" s="164"/>
      <c r="K133" s="227"/>
      <c r="L133" s="227"/>
      <c r="M133" s="227"/>
      <c r="O133" s="240" t="s">
        <v>342</v>
      </c>
      <c r="P133" s="240">
        <v>10326.952565220001</v>
      </c>
    </row>
    <row r="134" spans="2:16" x14ac:dyDescent="0.2">
      <c r="B134" s="190" t="s">
        <v>103</v>
      </c>
      <c r="C134" s="193">
        <v>43039</v>
      </c>
      <c r="D134" s="190">
        <v>701.13539513000001</v>
      </c>
      <c r="E134" s="222">
        <v>1</v>
      </c>
      <c r="F134" s="208"/>
      <c r="G134" s="222" t="s">
        <v>352</v>
      </c>
      <c r="H134" s="222">
        <v>2819.25</v>
      </c>
      <c r="I134" s="164"/>
      <c r="K134" s="227"/>
      <c r="L134" s="227"/>
      <c r="M134" s="227"/>
      <c r="O134" s="240" t="s">
        <v>343</v>
      </c>
      <c r="P134" s="240">
        <v>3110.9302899300001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2">
        <v>1</v>
      </c>
      <c r="F135" s="208"/>
      <c r="G135" s="222" t="s">
        <v>353</v>
      </c>
      <c r="H135" s="222">
        <v>9518.61</v>
      </c>
      <c r="I135" s="164"/>
      <c r="K135" s="227"/>
      <c r="L135" s="227"/>
      <c r="M135" s="227"/>
      <c r="O135" s="240" t="s">
        <v>344</v>
      </c>
      <c r="P135" s="240">
        <v>10965.332266089999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2">
        <v>1</v>
      </c>
      <c r="F136" s="208"/>
      <c r="G136" s="222" t="s">
        <v>354</v>
      </c>
      <c r="H136" s="222">
        <v>6634.17</v>
      </c>
      <c r="I136" s="164"/>
      <c r="K136" s="227"/>
      <c r="L136" s="227"/>
      <c r="M136" s="227"/>
      <c r="O136" s="240" t="s">
        <v>346</v>
      </c>
      <c r="P136" s="240">
        <v>7372.04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2">
        <v>1</v>
      </c>
      <c r="F137" s="208"/>
      <c r="G137" s="222" t="s">
        <v>355</v>
      </c>
      <c r="H137" s="222">
        <v>5313.19</v>
      </c>
      <c r="I137" s="164"/>
      <c r="K137" s="227"/>
      <c r="L137" s="227"/>
      <c r="M137" s="227"/>
      <c r="O137" s="240" t="s">
        <v>347</v>
      </c>
      <c r="P137" s="240">
        <v>16247.89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2">
        <v>1</v>
      </c>
      <c r="F138" s="208"/>
      <c r="G138" s="222" t="s">
        <v>356</v>
      </c>
      <c r="H138" s="222">
        <v>7636.16</v>
      </c>
      <c r="I138" s="164"/>
      <c r="K138" s="227"/>
      <c r="L138" s="227"/>
      <c r="M138" s="227"/>
      <c r="O138" s="240" t="s">
        <v>348</v>
      </c>
      <c r="P138" s="240">
        <v>3305.96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2">
        <v>1</v>
      </c>
      <c r="F139" s="208"/>
      <c r="G139" s="222" t="s">
        <v>357</v>
      </c>
      <c r="H139" s="222">
        <v>20412.189999999999</v>
      </c>
      <c r="I139" s="164"/>
      <c r="K139" s="227"/>
      <c r="L139" s="227"/>
      <c r="M139" s="227"/>
      <c r="O139" s="240" t="s">
        <v>349</v>
      </c>
      <c r="P139" s="240">
        <v>4187.43</v>
      </c>
    </row>
    <row r="140" spans="2:16" x14ac:dyDescent="0.2">
      <c r="B140" s="190" t="s">
        <v>311</v>
      </c>
      <c r="C140" s="193">
        <v>43039</v>
      </c>
      <c r="D140" s="190">
        <v>1301.7878091600001</v>
      </c>
      <c r="E140" s="222">
        <v>1</v>
      </c>
      <c r="F140" s="208"/>
      <c r="G140" s="222" t="s">
        <v>358</v>
      </c>
      <c r="H140" s="222">
        <v>14131.9</v>
      </c>
      <c r="I140" s="164"/>
      <c r="K140" s="227"/>
      <c r="L140" s="227"/>
      <c r="M140" s="227"/>
      <c r="O140" s="240" t="s">
        <v>350</v>
      </c>
      <c r="P140" s="240">
        <v>2830.56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2">
        <v>1</v>
      </c>
      <c r="F141" s="208"/>
      <c r="G141" s="222" t="s">
        <v>359</v>
      </c>
      <c r="H141" s="222">
        <v>16285.11</v>
      </c>
      <c r="I141" s="164"/>
      <c r="K141" s="227"/>
      <c r="L141" s="227"/>
      <c r="M141" s="227"/>
      <c r="O141" s="240" t="s">
        <v>351</v>
      </c>
      <c r="P141" s="240">
        <v>20457.349999999999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2">
        <v>1</v>
      </c>
      <c r="F142" s="208"/>
      <c r="G142" s="222" t="s">
        <v>360</v>
      </c>
      <c r="H142" s="222">
        <v>50302.68</v>
      </c>
      <c r="I142" s="164"/>
      <c r="K142" s="227"/>
      <c r="L142" s="227"/>
      <c r="M142" s="227"/>
      <c r="O142" s="240" t="s">
        <v>352</v>
      </c>
      <c r="P142" s="240">
        <v>2789.29</v>
      </c>
    </row>
    <row r="143" spans="2:16" x14ac:dyDescent="0.2">
      <c r="B143" s="190" t="s">
        <v>60</v>
      </c>
      <c r="C143" s="193">
        <v>43038</v>
      </c>
      <c r="D143" s="190">
        <v>11718.04179748</v>
      </c>
      <c r="E143" s="222">
        <v>1</v>
      </c>
      <c r="F143" s="208"/>
      <c r="G143" s="222" t="s">
        <v>361</v>
      </c>
      <c r="H143" s="222">
        <v>11417.39</v>
      </c>
      <c r="I143" s="164"/>
      <c r="K143" s="227"/>
      <c r="L143" s="227"/>
      <c r="M143" s="227"/>
      <c r="O143" s="240" t="s">
        <v>353</v>
      </c>
      <c r="P143" s="240">
        <v>8686.4500000000007</v>
      </c>
    </row>
    <row r="144" spans="2:16" x14ac:dyDescent="0.2">
      <c r="B144" s="190" t="s">
        <v>53</v>
      </c>
      <c r="C144" s="193">
        <v>43039</v>
      </c>
      <c r="D144" s="190">
        <v>12946.927274510001</v>
      </c>
      <c r="E144" s="222">
        <v>1</v>
      </c>
      <c r="F144" s="208"/>
      <c r="G144" s="222" t="s">
        <v>362</v>
      </c>
      <c r="H144" s="222">
        <v>16079.64</v>
      </c>
      <c r="I144" s="164"/>
      <c r="K144" s="227"/>
      <c r="L144" s="227"/>
      <c r="M144" s="227"/>
      <c r="O144" s="240" t="s">
        <v>354</v>
      </c>
      <c r="P144" s="240">
        <v>6353.06</v>
      </c>
    </row>
    <row r="145" spans="2:16" x14ac:dyDescent="0.2">
      <c r="B145" s="190" t="s">
        <v>549</v>
      </c>
      <c r="C145" s="193">
        <v>42118</v>
      </c>
      <c r="D145" s="190">
        <v>19023.287199980001</v>
      </c>
      <c r="E145" s="222">
        <v>1</v>
      </c>
      <c r="F145" s="208"/>
      <c r="G145" s="222" t="s">
        <v>363</v>
      </c>
      <c r="H145" s="222">
        <v>27222.42</v>
      </c>
      <c r="I145" s="164"/>
      <c r="K145" s="227"/>
      <c r="L145" s="227"/>
      <c r="M145" s="227"/>
      <c r="O145" s="240" t="s">
        <v>355</v>
      </c>
      <c r="P145" s="240">
        <v>5286.31</v>
      </c>
    </row>
    <row r="146" spans="2:16" x14ac:dyDescent="0.2">
      <c r="B146" s="190" t="s">
        <v>550</v>
      </c>
      <c r="C146" s="193">
        <v>42118</v>
      </c>
      <c r="D146" s="190">
        <v>19104.233152519999</v>
      </c>
      <c r="E146" s="222">
        <v>1</v>
      </c>
      <c r="F146" s="208"/>
      <c r="G146" s="222" t="s">
        <v>364</v>
      </c>
      <c r="H146" s="222">
        <v>29858.92</v>
      </c>
      <c r="I146" s="164"/>
      <c r="K146" s="227"/>
      <c r="L146" s="227"/>
      <c r="M146" s="227"/>
      <c r="O146" s="240" t="s">
        <v>356</v>
      </c>
      <c r="P146" s="240">
        <v>7314.47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2">
        <v>1</v>
      </c>
      <c r="F147" s="208"/>
      <c r="G147" s="222" t="s">
        <v>365</v>
      </c>
      <c r="H147" s="222">
        <v>10938.54</v>
      </c>
      <c r="I147" s="164"/>
      <c r="K147" s="227"/>
      <c r="L147" s="227"/>
      <c r="M147" s="227"/>
      <c r="O147" s="240" t="s">
        <v>357</v>
      </c>
      <c r="P147" s="240">
        <v>20206.66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2">
        <v>1</v>
      </c>
      <c r="F148" s="208"/>
      <c r="G148" s="222" t="s">
        <v>366</v>
      </c>
      <c r="H148" s="222">
        <v>103112.79</v>
      </c>
      <c r="I148" s="164"/>
      <c r="K148" s="227"/>
      <c r="L148" s="227"/>
      <c r="M148" s="227"/>
      <c r="O148" s="240" t="s">
        <v>358</v>
      </c>
      <c r="P148" s="240">
        <v>13735.18</v>
      </c>
    </row>
    <row r="149" spans="2:16" x14ac:dyDescent="0.2">
      <c r="B149" s="190" t="s">
        <v>316</v>
      </c>
      <c r="C149" s="193">
        <v>42221</v>
      </c>
      <c r="D149" s="190">
        <v>5959.86148727</v>
      </c>
      <c r="E149" s="222">
        <v>1</v>
      </c>
      <c r="F149" s="208"/>
      <c r="G149" s="222" t="s">
        <v>367</v>
      </c>
      <c r="H149" s="222">
        <v>5936.78</v>
      </c>
      <c r="I149" s="164"/>
      <c r="K149" s="227"/>
      <c r="L149" s="227"/>
      <c r="M149" s="227"/>
      <c r="O149" s="240" t="s">
        <v>359</v>
      </c>
      <c r="P149" s="240">
        <v>15919.15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2">
        <v>1</v>
      </c>
      <c r="F150" s="208"/>
      <c r="G150" s="222" t="s">
        <v>368</v>
      </c>
      <c r="H150" s="222">
        <v>4977.75</v>
      </c>
      <c r="I150" s="164"/>
      <c r="K150" s="227"/>
      <c r="L150" s="227"/>
      <c r="M150" s="227"/>
      <c r="O150" s="240" t="s">
        <v>360</v>
      </c>
      <c r="P150" s="240">
        <v>47431.33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2">
        <v>1</v>
      </c>
      <c r="F151" s="208"/>
      <c r="G151" s="222" t="s">
        <v>369</v>
      </c>
      <c r="H151" s="222">
        <v>8663.85</v>
      </c>
      <c r="I151" s="164"/>
      <c r="K151" s="227"/>
      <c r="L151" s="227"/>
      <c r="M151" s="227"/>
      <c r="O151" s="240" t="s">
        <v>361</v>
      </c>
      <c r="P151" s="240">
        <v>10619.68</v>
      </c>
    </row>
    <row r="152" spans="2:16" x14ac:dyDescent="0.2">
      <c r="B152" s="190" t="s">
        <v>76</v>
      </c>
      <c r="C152" s="193">
        <v>43024</v>
      </c>
      <c r="D152" s="190">
        <v>50086.07815999</v>
      </c>
      <c r="E152" s="222">
        <v>1</v>
      </c>
      <c r="F152" s="208"/>
      <c r="G152" s="222" t="s">
        <v>370</v>
      </c>
      <c r="H152" s="222">
        <v>10417.030000000001</v>
      </c>
      <c r="I152" s="164"/>
      <c r="K152" s="227"/>
      <c r="L152" s="227"/>
      <c r="M152" s="227"/>
      <c r="O152" s="240" t="s">
        <v>362</v>
      </c>
      <c r="P152" s="240">
        <v>15819.73</v>
      </c>
    </row>
    <row r="153" spans="2:16" x14ac:dyDescent="0.2">
      <c r="B153" s="190" t="s">
        <v>78</v>
      </c>
      <c r="C153" s="193">
        <v>43035</v>
      </c>
      <c r="D153" s="190">
        <v>84154.806576119998</v>
      </c>
      <c r="E153" s="222">
        <v>1</v>
      </c>
      <c r="F153" s="208"/>
      <c r="G153" s="222" t="s">
        <v>371</v>
      </c>
      <c r="H153" s="222">
        <v>15725.23</v>
      </c>
      <c r="I153" s="164"/>
      <c r="K153" s="227"/>
      <c r="L153" s="227"/>
      <c r="M153" s="227"/>
      <c r="O153" s="240" t="s">
        <v>363</v>
      </c>
      <c r="P153" s="240">
        <v>26153.16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2">
        <v>1</v>
      </c>
      <c r="F154" s="208"/>
      <c r="G154" s="222" t="s">
        <v>372</v>
      </c>
      <c r="H154" s="222">
        <v>12044.86</v>
      </c>
      <c r="I154" s="164"/>
      <c r="K154" s="227"/>
      <c r="L154" s="227"/>
      <c r="M154" s="227"/>
      <c r="O154" s="240" t="s">
        <v>364</v>
      </c>
      <c r="P154" s="240">
        <v>29645.34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2">
        <v>1</v>
      </c>
      <c r="F155" s="208"/>
      <c r="G155" s="222" t="s">
        <v>373</v>
      </c>
      <c r="H155" s="222">
        <v>12060.5</v>
      </c>
      <c r="I155" s="164"/>
      <c r="K155" s="227"/>
      <c r="L155" s="227"/>
      <c r="M155" s="227"/>
      <c r="O155" s="240" t="s">
        <v>365</v>
      </c>
      <c r="P155" s="240">
        <v>11208.84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2">
        <v>1</v>
      </c>
      <c r="F156" s="208"/>
      <c r="G156" s="222" t="s">
        <v>374</v>
      </c>
      <c r="H156" s="222">
        <v>7112.54</v>
      </c>
      <c r="I156" s="164"/>
      <c r="K156" s="227"/>
      <c r="L156" s="227"/>
      <c r="M156" s="227"/>
      <c r="O156" s="240" t="s">
        <v>366</v>
      </c>
      <c r="P156" s="240">
        <v>87431.13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2">
        <v>1</v>
      </c>
      <c r="F157" s="208"/>
      <c r="G157" s="222" t="s">
        <v>375</v>
      </c>
      <c r="H157" s="222">
        <v>8446.6200000000008</v>
      </c>
      <c r="I157" s="164"/>
      <c r="K157" s="227"/>
      <c r="L157" s="227"/>
      <c r="M157" s="227"/>
      <c r="O157" s="240" t="s">
        <v>367</v>
      </c>
      <c r="P157" s="240">
        <v>6270.51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2">
        <v>1</v>
      </c>
      <c r="F158" s="208"/>
      <c r="G158" s="222" t="s">
        <v>376</v>
      </c>
      <c r="H158" s="222">
        <v>11349.88</v>
      </c>
      <c r="I158" s="164"/>
      <c r="K158" s="227"/>
      <c r="L158" s="227"/>
      <c r="M158" s="227"/>
      <c r="O158" s="240" t="s">
        <v>368</v>
      </c>
      <c r="P158" s="240">
        <v>5572.72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2">
        <v>1</v>
      </c>
      <c r="F159" s="208"/>
      <c r="G159" s="222" t="s">
        <v>377</v>
      </c>
      <c r="H159" s="222">
        <v>19135.23</v>
      </c>
      <c r="I159" s="164"/>
      <c r="K159" s="227"/>
      <c r="L159" s="227"/>
      <c r="M159" s="227"/>
      <c r="O159" s="240" t="s">
        <v>369</v>
      </c>
      <c r="P159" s="240">
        <v>8866.9500000000007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2">
        <v>1</v>
      </c>
      <c r="F160" s="208"/>
      <c r="G160" s="222" t="s">
        <v>380</v>
      </c>
      <c r="H160" s="222">
        <v>5337.19</v>
      </c>
      <c r="I160" s="164"/>
      <c r="K160" s="227"/>
      <c r="L160" s="227"/>
      <c r="M160" s="227"/>
      <c r="O160" s="240" t="s">
        <v>370</v>
      </c>
      <c r="P160" s="240">
        <v>10230.69</v>
      </c>
    </row>
    <row r="161" spans="2:16" x14ac:dyDescent="0.2">
      <c r="B161" s="190" t="s">
        <v>82</v>
      </c>
      <c r="C161" s="193">
        <v>42117</v>
      </c>
      <c r="D161" s="190">
        <v>46982.462386940002</v>
      </c>
      <c r="E161" s="222">
        <v>1</v>
      </c>
      <c r="F161" s="208"/>
      <c r="G161" s="222" t="s">
        <v>381</v>
      </c>
      <c r="H161" s="222">
        <v>10866.98</v>
      </c>
      <c r="I161" s="164"/>
      <c r="K161" s="227"/>
      <c r="L161" s="227"/>
      <c r="M161" s="227"/>
      <c r="O161" s="240" t="s">
        <v>371</v>
      </c>
      <c r="P161" s="240">
        <v>16049.97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2">
        <v>1</v>
      </c>
      <c r="F162" s="208"/>
      <c r="G162" s="222" t="s">
        <v>382</v>
      </c>
      <c r="H162" s="222">
        <v>23370.83</v>
      </c>
      <c r="I162" s="164"/>
      <c r="K162" s="227"/>
      <c r="L162" s="227"/>
      <c r="M162" s="227"/>
      <c r="O162" s="240" t="s">
        <v>372</v>
      </c>
      <c r="P162" s="240">
        <v>11611.6</v>
      </c>
    </row>
    <row r="163" spans="2:16" x14ac:dyDescent="0.2">
      <c r="B163" s="190" t="s">
        <v>321</v>
      </c>
      <c r="C163" s="193">
        <v>42577</v>
      </c>
      <c r="D163" s="190">
        <v>9766.8870944299997</v>
      </c>
      <c r="E163" s="222">
        <v>1</v>
      </c>
      <c r="F163" s="208"/>
      <c r="G163" s="222" t="s">
        <v>383</v>
      </c>
      <c r="H163" s="222">
        <v>21094.9</v>
      </c>
      <c r="I163" s="164"/>
      <c r="K163" s="227"/>
      <c r="L163" s="227"/>
      <c r="M163" s="227"/>
      <c r="O163" s="240" t="s">
        <v>373</v>
      </c>
      <c r="P163" s="240">
        <v>11476.21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2">
        <v>1</v>
      </c>
      <c r="F164" s="208"/>
      <c r="G164" s="222" t="s">
        <v>384</v>
      </c>
      <c r="H164" s="222">
        <v>41375.699999999997</v>
      </c>
      <c r="I164" s="164"/>
      <c r="K164" s="227"/>
      <c r="L164" s="227"/>
      <c r="M164" s="227"/>
      <c r="O164" s="240" t="s">
        <v>374</v>
      </c>
      <c r="P164" s="240">
        <v>7063.61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2">
        <v>1</v>
      </c>
      <c r="F165" s="208"/>
      <c r="G165" s="222" t="s">
        <v>385</v>
      </c>
      <c r="H165" s="222">
        <v>7819.75</v>
      </c>
      <c r="I165" s="164"/>
      <c r="K165" s="227"/>
      <c r="L165" s="227"/>
      <c r="M165" s="227"/>
      <c r="O165" s="240" t="s">
        <v>375</v>
      </c>
      <c r="P165" s="240">
        <v>8344.74</v>
      </c>
    </row>
    <row r="166" spans="2:16" x14ac:dyDescent="0.2">
      <c r="B166" s="190" t="s">
        <v>324</v>
      </c>
      <c r="C166" s="193">
        <v>39381</v>
      </c>
      <c r="D166" s="190">
        <v>42355.94</v>
      </c>
      <c r="E166" s="222">
        <v>1</v>
      </c>
      <c r="F166" s="208"/>
      <c r="G166" s="222" t="s">
        <v>386</v>
      </c>
      <c r="H166" s="222">
        <v>10146.93</v>
      </c>
      <c r="I166" s="164"/>
      <c r="K166" s="227"/>
      <c r="L166" s="227"/>
      <c r="M166" s="227"/>
      <c r="O166" s="240" t="s">
        <v>376</v>
      </c>
      <c r="P166" s="240">
        <v>10850.96</v>
      </c>
    </row>
    <row r="167" spans="2:16" x14ac:dyDescent="0.2">
      <c r="B167" s="190" t="s">
        <v>325</v>
      </c>
      <c r="C167" s="193">
        <v>42983</v>
      </c>
      <c r="D167" s="190">
        <v>70308.282107380001</v>
      </c>
      <c r="E167" s="222">
        <v>1</v>
      </c>
      <c r="F167" s="208"/>
      <c r="G167" s="222" t="s">
        <v>387</v>
      </c>
      <c r="H167" s="222">
        <v>17795.34</v>
      </c>
      <c r="I167" s="164"/>
      <c r="K167" s="227"/>
      <c r="L167" s="227"/>
      <c r="M167" s="227"/>
      <c r="O167" s="240" t="s">
        <v>377</v>
      </c>
      <c r="P167" s="240">
        <v>17961.96</v>
      </c>
    </row>
    <row r="168" spans="2:16" x14ac:dyDescent="0.2">
      <c r="B168" s="190" t="s">
        <v>326</v>
      </c>
      <c r="C168" s="193">
        <v>42110</v>
      </c>
      <c r="D168" s="190">
        <v>45023.057854029998</v>
      </c>
      <c r="E168" s="222">
        <v>1</v>
      </c>
      <c r="F168" s="208"/>
      <c r="G168" s="222" t="s">
        <v>388</v>
      </c>
      <c r="H168" s="222">
        <v>3836.65</v>
      </c>
      <c r="I168" s="164"/>
      <c r="K168" s="227"/>
      <c r="L168" s="227"/>
      <c r="M168" s="227"/>
      <c r="O168" s="240" t="s">
        <v>380</v>
      </c>
      <c r="P168" s="240">
        <v>4917.3900000000003</v>
      </c>
    </row>
    <row r="169" spans="2:16" x14ac:dyDescent="0.2">
      <c r="B169" s="190" t="s">
        <v>327</v>
      </c>
      <c r="C169" s="193">
        <v>42374</v>
      </c>
      <c r="D169" s="190">
        <v>1792.3439825099999</v>
      </c>
      <c r="E169" s="222">
        <v>1</v>
      </c>
      <c r="F169" s="208"/>
      <c r="G169" s="222" t="s">
        <v>389</v>
      </c>
      <c r="H169" s="222">
        <v>22052.74</v>
      </c>
      <c r="I169" s="164"/>
      <c r="K169" s="227"/>
      <c r="L169" s="227"/>
      <c r="M169" s="227"/>
      <c r="O169" s="240" t="s">
        <v>381</v>
      </c>
      <c r="P169" s="240">
        <v>10498.97</v>
      </c>
    </row>
    <row r="170" spans="2:16" x14ac:dyDescent="0.2">
      <c r="B170" s="190" t="s">
        <v>190</v>
      </c>
      <c r="C170" s="193">
        <v>42303</v>
      </c>
      <c r="D170" s="190">
        <v>1035.8389392900001</v>
      </c>
      <c r="E170" s="222">
        <v>1</v>
      </c>
      <c r="F170" s="208"/>
      <c r="G170" s="222" t="s">
        <v>390</v>
      </c>
      <c r="H170" s="222">
        <v>12819.29</v>
      </c>
      <c r="I170" s="164"/>
      <c r="K170" s="227"/>
      <c r="L170" s="227"/>
      <c r="M170" s="227"/>
      <c r="O170" s="240" t="s">
        <v>382</v>
      </c>
      <c r="P170" s="240">
        <v>22271.759999999998</v>
      </c>
    </row>
    <row r="171" spans="2:16" x14ac:dyDescent="0.2">
      <c r="B171" s="190" t="s">
        <v>328</v>
      </c>
      <c r="C171" s="193">
        <v>39209</v>
      </c>
      <c r="D171" s="190">
        <v>910.48</v>
      </c>
      <c r="E171" s="222">
        <v>1</v>
      </c>
      <c r="F171" s="208"/>
      <c r="G171" s="222" t="s">
        <v>391</v>
      </c>
      <c r="H171" s="222">
        <v>19146.939999999999</v>
      </c>
      <c r="I171" s="164"/>
      <c r="K171" s="227"/>
      <c r="L171" s="227"/>
      <c r="M171" s="227"/>
      <c r="O171" s="240" t="s">
        <v>383</v>
      </c>
      <c r="P171" s="240">
        <v>20504.8</v>
      </c>
    </row>
    <row r="172" spans="2:16" x14ac:dyDescent="0.2">
      <c r="B172" s="190" t="s">
        <v>329</v>
      </c>
      <c r="C172" s="193">
        <v>42334</v>
      </c>
      <c r="D172" s="190">
        <v>5012.4318484900004</v>
      </c>
      <c r="E172" s="222">
        <v>1</v>
      </c>
      <c r="F172" s="208"/>
      <c r="G172" s="222" t="s">
        <v>392</v>
      </c>
      <c r="H172" s="222">
        <v>4220.7700000000004</v>
      </c>
      <c r="I172" s="164"/>
      <c r="K172" s="227"/>
      <c r="L172" s="227"/>
      <c r="M172" s="227"/>
      <c r="O172" s="240" t="s">
        <v>384</v>
      </c>
      <c r="P172" s="240">
        <v>36831.24</v>
      </c>
    </row>
    <row r="173" spans="2:16" x14ac:dyDescent="0.2">
      <c r="B173" s="190" t="s">
        <v>330</v>
      </c>
      <c r="C173" s="193">
        <v>42877</v>
      </c>
      <c r="D173" s="190">
        <v>5389.3519094800004</v>
      </c>
      <c r="E173" s="222">
        <v>1</v>
      </c>
      <c r="F173" s="208"/>
      <c r="G173" s="222" t="s">
        <v>393</v>
      </c>
      <c r="H173" s="222">
        <v>19970.43</v>
      </c>
      <c r="I173" s="164"/>
      <c r="K173" s="227"/>
      <c r="L173" s="227"/>
      <c r="M173" s="227"/>
      <c r="O173" s="240" t="s">
        <v>385</v>
      </c>
      <c r="P173" s="240">
        <v>8039.22</v>
      </c>
    </row>
    <row r="174" spans="2:16" x14ac:dyDescent="0.2">
      <c r="B174" s="190" t="s">
        <v>331</v>
      </c>
      <c r="C174" s="193">
        <v>42222</v>
      </c>
      <c r="D174" s="190">
        <v>1524.0086971600001</v>
      </c>
      <c r="E174" s="222">
        <v>1</v>
      </c>
      <c r="F174" s="208"/>
      <c r="G174" s="222" t="s">
        <v>394</v>
      </c>
      <c r="H174" s="222">
        <v>13265.85</v>
      </c>
      <c r="I174" s="164"/>
      <c r="K174" s="227"/>
      <c r="L174" s="227"/>
      <c r="M174" s="227"/>
      <c r="O174" s="240" t="s">
        <v>386</v>
      </c>
      <c r="P174" s="240">
        <v>9931.98</v>
      </c>
    </row>
    <row r="175" spans="2:16" x14ac:dyDescent="0.2">
      <c r="B175" s="190" t="s">
        <v>332</v>
      </c>
      <c r="C175" s="193">
        <v>41492</v>
      </c>
      <c r="D175" s="190">
        <v>4293.55</v>
      </c>
      <c r="E175" s="222">
        <v>1</v>
      </c>
      <c r="F175" s="208"/>
      <c r="G175" s="222" t="s">
        <v>395</v>
      </c>
      <c r="H175" s="222">
        <v>17506.82</v>
      </c>
      <c r="I175" s="164"/>
      <c r="K175" s="227"/>
      <c r="L175" s="227"/>
      <c r="M175" s="227"/>
      <c r="O175" s="240" t="s">
        <v>387</v>
      </c>
      <c r="P175" s="240">
        <v>16704.23</v>
      </c>
    </row>
    <row r="176" spans="2:16" x14ac:dyDescent="0.2">
      <c r="B176" s="190" t="s">
        <v>333</v>
      </c>
      <c r="C176" s="193">
        <v>41849</v>
      </c>
      <c r="D176" s="190">
        <v>92.959638409999997</v>
      </c>
      <c r="E176" s="222">
        <v>1</v>
      </c>
      <c r="F176" s="208"/>
      <c r="G176" s="222" t="s">
        <v>396</v>
      </c>
      <c r="H176" s="222">
        <v>44922.071325099998</v>
      </c>
      <c r="I176" s="164"/>
      <c r="K176" s="227"/>
      <c r="L176" s="227"/>
      <c r="M176" s="227"/>
      <c r="O176" s="240" t="s">
        <v>388</v>
      </c>
      <c r="P176" s="240">
        <v>3565.99</v>
      </c>
    </row>
    <row r="177" spans="2:16" x14ac:dyDescent="0.2">
      <c r="B177" s="190" t="s">
        <v>334</v>
      </c>
      <c r="C177" s="193">
        <v>41901</v>
      </c>
      <c r="D177" s="190">
        <v>131.8028965</v>
      </c>
      <c r="E177" s="222">
        <v>1</v>
      </c>
      <c r="F177" s="208"/>
      <c r="G177" s="222"/>
      <c r="H177" s="222"/>
      <c r="I177" s="164"/>
      <c r="K177" s="227"/>
      <c r="L177" s="227"/>
      <c r="M177" s="227"/>
      <c r="O177" s="240" t="s">
        <v>389</v>
      </c>
      <c r="P177" s="240">
        <v>20338.009999999998</v>
      </c>
    </row>
    <row r="178" spans="2:16" x14ac:dyDescent="0.2">
      <c r="B178" s="190" t="s">
        <v>335</v>
      </c>
      <c r="C178" s="193">
        <v>41901</v>
      </c>
      <c r="D178" s="190">
        <v>76.32416241</v>
      </c>
      <c r="E178" s="222">
        <v>1</v>
      </c>
      <c r="F178" s="208"/>
      <c r="G178" s="222"/>
      <c r="H178" s="222"/>
      <c r="I178" s="164"/>
      <c r="K178" s="227"/>
      <c r="L178" s="227"/>
      <c r="M178" s="227"/>
      <c r="O178" s="240" t="s">
        <v>390</v>
      </c>
      <c r="P178" s="240">
        <v>12543.46</v>
      </c>
    </row>
    <row r="179" spans="2:16" x14ac:dyDescent="0.2">
      <c r="B179" s="190" t="s">
        <v>336</v>
      </c>
      <c r="C179" s="193">
        <v>41912</v>
      </c>
      <c r="D179" s="190">
        <v>106.4349371</v>
      </c>
      <c r="E179" s="222">
        <v>1</v>
      </c>
      <c r="F179" s="208"/>
      <c r="G179" s="222"/>
      <c r="H179" s="222"/>
      <c r="I179" s="164"/>
      <c r="K179" s="227"/>
      <c r="L179" s="227"/>
      <c r="M179" s="227"/>
      <c r="O179" s="240" t="s">
        <v>391</v>
      </c>
      <c r="P179" s="240">
        <v>17894.18</v>
      </c>
    </row>
    <row r="180" spans="2:16" x14ac:dyDescent="0.2">
      <c r="B180" s="190" t="s">
        <v>337</v>
      </c>
      <c r="C180" s="193">
        <v>43039</v>
      </c>
      <c r="D180" s="190">
        <v>52570.202037770003</v>
      </c>
      <c r="E180" s="222">
        <v>1</v>
      </c>
      <c r="F180" s="208"/>
      <c r="G180" s="222"/>
      <c r="H180" s="222"/>
      <c r="I180" s="164"/>
      <c r="K180" s="227"/>
      <c r="L180" s="227"/>
      <c r="M180" s="227"/>
      <c r="O180" s="240" t="s">
        <v>392</v>
      </c>
      <c r="P180" s="240">
        <v>3888.77</v>
      </c>
    </row>
    <row r="181" spans="2:16" x14ac:dyDescent="0.2">
      <c r="B181" s="190" t="s">
        <v>338</v>
      </c>
      <c r="C181" s="193">
        <v>41849</v>
      </c>
      <c r="D181" s="190">
        <v>4781.8624027899996</v>
      </c>
      <c r="E181" s="222">
        <v>1</v>
      </c>
      <c r="F181" s="208"/>
      <c r="G181" s="222"/>
      <c r="H181" s="222"/>
      <c r="I181" s="164"/>
      <c r="K181" s="227"/>
      <c r="L181" s="227"/>
      <c r="M181" s="227"/>
      <c r="O181" s="240" t="s">
        <v>393</v>
      </c>
      <c r="P181" s="240">
        <v>18528.37</v>
      </c>
    </row>
    <row r="182" spans="2:16" x14ac:dyDescent="0.2">
      <c r="B182" s="190" t="s">
        <v>339</v>
      </c>
      <c r="C182" s="193">
        <v>43039</v>
      </c>
      <c r="D182" s="190">
        <v>58980.107623830001</v>
      </c>
      <c r="E182" s="222">
        <v>1</v>
      </c>
      <c r="F182" s="208"/>
      <c r="G182" s="222"/>
      <c r="H182" s="222"/>
      <c r="I182" s="164"/>
      <c r="K182" s="227"/>
      <c r="L182" s="227"/>
      <c r="M182" s="227"/>
      <c r="O182" s="240" t="s">
        <v>394</v>
      </c>
      <c r="P182" s="240">
        <v>12984.84</v>
      </c>
    </row>
    <row r="183" spans="2:16" x14ac:dyDescent="0.2">
      <c r="B183" s="190" t="s">
        <v>340</v>
      </c>
      <c r="C183" s="193">
        <v>43039</v>
      </c>
      <c r="D183" s="190">
        <v>12946.927274510001</v>
      </c>
      <c r="E183" s="222">
        <v>1</v>
      </c>
      <c r="F183" s="208"/>
      <c r="G183" s="222"/>
      <c r="H183" s="222"/>
      <c r="I183" s="164"/>
      <c r="K183" s="227"/>
      <c r="L183" s="227"/>
      <c r="M183" s="227"/>
      <c r="O183" s="240" t="s">
        <v>395</v>
      </c>
      <c r="P183" s="240">
        <v>16519.439999999999</v>
      </c>
    </row>
    <row r="184" spans="2:16" x14ac:dyDescent="0.2">
      <c r="B184" s="190" t="s">
        <v>341</v>
      </c>
      <c r="C184" s="193">
        <v>41065</v>
      </c>
      <c r="D184" s="190">
        <v>1120.92</v>
      </c>
      <c r="E184" s="222">
        <v>1</v>
      </c>
      <c r="F184" s="208"/>
      <c r="G184" s="222"/>
      <c r="H184" s="222"/>
      <c r="I184" s="164"/>
      <c r="K184" s="227"/>
      <c r="L184" s="227"/>
      <c r="M184" s="227"/>
      <c r="O184" s="240" t="s">
        <v>396</v>
      </c>
      <c r="P184" s="240">
        <v>45232.143969470002</v>
      </c>
    </row>
    <row r="185" spans="2:16" x14ac:dyDescent="0.2">
      <c r="B185" s="190" t="s">
        <v>342</v>
      </c>
      <c r="C185" s="193">
        <v>43039</v>
      </c>
      <c r="D185" s="190">
        <v>10815.769217429999</v>
      </c>
      <c r="E185" s="222">
        <v>1</v>
      </c>
      <c r="F185" s="208"/>
      <c r="G185" s="222"/>
      <c r="H185" s="222"/>
      <c r="I185" s="164"/>
      <c r="K185" s="227"/>
      <c r="L185" s="227"/>
      <c r="M185" s="227"/>
      <c r="O185" s="240"/>
      <c r="P185" s="240"/>
    </row>
    <row r="186" spans="2:16" x14ac:dyDescent="0.2">
      <c r="B186" s="190" t="s">
        <v>343</v>
      </c>
      <c r="C186" s="193">
        <v>41849</v>
      </c>
      <c r="D186" s="190">
        <v>4482.8823280400002</v>
      </c>
      <c r="E186" s="222">
        <v>1</v>
      </c>
      <c r="F186" s="208"/>
      <c r="G186" s="222"/>
      <c r="H186" s="222"/>
      <c r="I186" s="164"/>
      <c r="K186" s="227"/>
      <c r="L186" s="227"/>
      <c r="M186" s="227"/>
      <c r="O186" s="240"/>
      <c r="P186" s="240"/>
    </row>
    <row r="187" spans="2:16" x14ac:dyDescent="0.2">
      <c r="B187" s="190" t="s">
        <v>344</v>
      </c>
      <c r="C187" s="193">
        <v>43038</v>
      </c>
      <c r="D187" s="190">
        <v>11718.04179748</v>
      </c>
      <c r="E187" s="222">
        <v>1</v>
      </c>
      <c r="F187" s="208"/>
      <c r="G187" s="222"/>
      <c r="H187" s="222"/>
      <c r="I187" s="164"/>
      <c r="K187" s="227"/>
      <c r="L187" s="227"/>
      <c r="M187" s="227"/>
      <c r="O187" s="240"/>
      <c r="P187" s="240"/>
    </row>
    <row r="188" spans="2:16" x14ac:dyDescent="0.2">
      <c r="B188" s="190" t="s">
        <v>345</v>
      </c>
      <c r="C188" s="193">
        <v>42195</v>
      </c>
      <c r="D188" s="190">
        <v>28365.040000000001</v>
      </c>
      <c r="E188" s="222">
        <v>1</v>
      </c>
      <c r="F188" s="208"/>
      <c r="G188" s="222"/>
      <c r="H188" s="222"/>
      <c r="I188" s="164"/>
      <c r="K188" s="227"/>
      <c r="L188" s="227"/>
      <c r="M188" s="227"/>
      <c r="O188" s="240"/>
      <c r="P188" s="240"/>
    </row>
    <row r="189" spans="2:16" x14ac:dyDescent="0.2">
      <c r="B189" s="190" t="s">
        <v>346</v>
      </c>
      <c r="C189" s="193">
        <v>41967</v>
      </c>
      <c r="D189" s="190">
        <v>9721.7199999999993</v>
      </c>
      <c r="E189" s="222">
        <v>1</v>
      </c>
      <c r="F189" s="208"/>
      <c r="G189" s="222"/>
      <c r="H189" s="222"/>
      <c r="I189" s="164"/>
      <c r="K189" s="227"/>
      <c r="L189" s="227"/>
      <c r="M189" s="227"/>
      <c r="O189" s="240"/>
      <c r="P189" s="240"/>
    </row>
    <row r="190" spans="2:16" x14ac:dyDescent="0.2">
      <c r="B190" s="190" t="s">
        <v>347</v>
      </c>
      <c r="C190" s="193">
        <v>43012</v>
      </c>
      <c r="D190" s="190">
        <v>17055.98</v>
      </c>
      <c r="E190" s="222">
        <v>1</v>
      </c>
      <c r="F190" s="208"/>
      <c r="G190" s="222"/>
      <c r="H190" s="222"/>
      <c r="I190" s="164"/>
      <c r="K190" s="227"/>
      <c r="L190" s="227"/>
      <c r="M190" s="227"/>
      <c r="O190" s="240"/>
      <c r="P190" s="240"/>
    </row>
    <row r="191" spans="2:16" x14ac:dyDescent="0.2">
      <c r="B191" s="190" t="s">
        <v>348</v>
      </c>
      <c r="C191" s="193">
        <v>41929</v>
      </c>
      <c r="D191" s="190">
        <v>4841.3999999999996</v>
      </c>
      <c r="E191" s="222">
        <v>1</v>
      </c>
      <c r="F191" s="208"/>
      <c r="G191" s="222"/>
      <c r="H191" s="222"/>
      <c r="I191" s="164"/>
      <c r="K191" s="227"/>
      <c r="L191" s="227"/>
      <c r="M191" s="227"/>
      <c r="O191" s="240"/>
      <c r="P191" s="240"/>
    </row>
    <row r="192" spans="2:16" x14ac:dyDescent="0.2">
      <c r="B192" s="190" t="s">
        <v>349</v>
      </c>
      <c r="C192" s="193">
        <v>41904</v>
      </c>
      <c r="D192" s="190">
        <v>4959.92</v>
      </c>
      <c r="E192" s="222">
        <v>1</v>
      </c>
      <c r="F192" s="208"/>
      <c r="G192" s="222"/>
      <c r="H192" s="222"/>
      <c r="I192" s="164"/>
      <c r="K192" s="227"/>
      <c r="L192" s="227"/>
      <c r="M192" s="227"/>
      <c r="O192" s="240"/>
      <c r="P192" s="240"/>
    </row>
    <row r="193" spans="2:16" x14ac:dyDescent="0.2">
      <c r="B193" s="190" t="s">
        <v>350</v>
      </c>
      <c r="C193" s="193">
        <v>41904</v>
      </c>
      <c r="D193" s="190">
        <v>5684.71</v>
      </c>
      <c r="E193" s="222">
        <v>1</v>
      </c>
      <c r="F193" s="208"/>
      <c r="G193" s="222"/>
      <c r="H193" s="222"/>
      <c r="I193" s="164"/>
      <c r="K193" s="227"/>
      <c r="L193" s="227"/>
      <c r="M193" s="227"/>
      <c r="O193" s="240"/>
      <c r="P193" s="240"/>
    </row>
    <row r="194" spans="2:16" x14ac:dyDescent="0.2">
      <c r="B194" s="190" t="s">
        <v>351</v>
      </c>
      <c r="C194" s="193">
        <v>42594</v>
      </c>
      <c r="D194" s="190">
        <v>22629.39</v>
      </c>
      <c r="E194" s="222">
        <v>1</v>
      </c>
      <c r="F194" s="208"/>
      <c r="G194" s="222"/>
      <c r="H194" s="222"/>
      <c r="I194" s="164"/>
      <c r="K194" s="227"/>
      <c r="L194" s="227"/>
      <c r="M194" s="227"/>
      <c r="O194" s="240"/>
      <c r="P194" s="240"/>
    </row>
    <row r="195" spans="2:16" x14ac:dyDescent="0.2">
      <c r="B195" s="190" t="s">
        <v>352</v>
      </c>
      <c r="C195" s="193">
        <v>41904</v>
      </c>
      <c r="D195" s="190">
        <v>4598.12</v>
      </c>
      <c r="E195" s="222">
        <v>1</v>
      </c>
      <c r="F195" s="208"/>
      <c r="G195" s="222"/>
      <c r="H195" s="222"/>
      <c r="I195" s="164"/>
      <c r="K195" s="227"/>
      <c r="L195" s="227"/>
      <c r="M195" s="227"/>
      <c r="O195" s="240"/>
      <c r="P195" s="240"/>
    </row>
    <row r="196" spans="2:16" x14ac:dyDescent="0.2">
      <c r="B196" s="190" t="s">
        <v>353</v>
      </c>
      <c r="C196" s="193">
        <v>42146</v>
      </c>
      <c r="D196" s="190">
        <v>12996.36</v>
      </c>
      <c r="E196" s="222">
        <v>1</v>
      </c>
      <c r="F196" s="208"/>
      <c r="G196" s="222"/>
      <c r="H196" s="222"/>
      <c r="I196" s="164"/>
      <c r="K196" s="227"/>
      <c r="L196" s="227"/>
      <c r="M196" s="227"/>
      <c r="O196" s="240"/>
      <c r="P196" s="240"/>
    </row>
    <row r="197" spans="2:16" x14ac:dyDescent="0.2">
      <c r="B197" s="190" t="s">
        <v>354</v>
      </c>
      <c r="C197" s="193">
        <v>41964</v>
      </c>
      <c r="D197" s="190">
        <v>7319.54</v>
      </c>
      <c r="E197" s="222">
        <v>1</v>
      </c>
      <c r="F197" s="208"/>
      <c r="G197" s="208"/>
      <c r="H197" s="208"/>
      <c r="K197" s="227"/>
      <c r="L197" s="227"/>
      <c r="M197" s="227"/>
      <c r="O197" s="238"/>
      <c r="P197" s="238"/>
    </row>
    <row r="198" spans="2:16" x14ac:dyDescent="0.2">
      <c r="B198" s="190" t="s">
        <v>355</v>
      </c>
      <c r="C198" s="193">
        <v>42193</v>
      </c>
      <c r="D198" s="190">
        <v>9363.98</v>
      </c>
      <c r="E198" s="222">
        <v>1</v>
      </c>
      <c r="F198" s="208"/>
      <c r="G198" s="208"/>
      <c r="H198" s="208"/>
      <c r="K198" s="227"/>
      <c r="L198" s="227"/>
      <c r="M198" s="227"/>
      <c r="O198" s="238"/>
      <c r="P198" s="238"/>
    </row>
    <row r="199" spans="2:16" x14ac:dyDescent="0.2">
      <c r="B199" s="190" t="s">
        <v>356</v>
      </c>
      <c r="C199" s="193">
        <v>41948</v>
      </c>
      <c r="D199" s="190">
        <v>15682.48</v>
      </c>
      <c r="E199" s="222">
        <v>1</v>
      </c>
      <c r="F199" s="208"/>
      <c r="G199" s="208"/>
      <c r="H199" s="208"/>
      <c r="K199" s="227"/>
      <c r="L199" s="227"/>
      <c r="M199" s="227"/>
      <c r="O199" s="238"/>
      <c r="P199" s="238"/>
    </row>
    <row r="200" spans="2:16" x14ac:dyDescent="0.2">
      <c r="B200" s="190" t="s">
        <v>357</v>
      </c>
      <c r="C200" s="193">
        <v>42520</v>
      </c>
      <c r="D200" s="190">
        <v>31469.57</v>
      </c>
      <c r="E200" s="222">
        <v>1</v>
      </c>
      <c r="F200" s="208"/>
      <c r="G200" s="208"/>
      <c r="H200" s="208"/>
      <c r="K200" s="227"/>
      <c r="L200" s="227"/>
      <c r="M200" s="227"/>
      <c r="O200" s="238"/>
      <c r="P200" s="238"/>
    </row>
    <row r="201" spans="2:16" x14ac:dyDescent="0.2">
      <c r="B201" s="190" t="s">
        <v>358</v>
      </c>
      <c r="C201" s="193">
        <v>42817</v>
      </c>
      <c r="D201" s="190">
        <v>16210.1</v>
      </c>
      <c r="E201" s="222">
        <v>1</v>
      </c>
      <c r="F201" s="208"/>
      <c r="G201" s="208"/>
      <c r="H201" s="208"/>
      <c r="K201" s="227"/>
      <c r="L201" s="227"/>
      <c r="M201" s="227"/>
      <c r="O201" s="238"/>
      <c r="P201" s="238"/>
    </row>
    <row r="202" spans="2:16" x14ac:dyDescent="0.2">
      <c r="B202" s="190" t="s">
        <v>359</v>
      </c>
      <c r="C202" s="193">
        <v>42460</v>
      </c>
      <c r="D202" s="190">
        <v>25683.33</v>
      </c>
      <c r="E202" s="222">
        <v>1</v>
      </c>
      <c r="F202" s="208"/>
      <c r="G202" s="208"/>
      <c r="H202" s="208"/>
      <c r="K202" s="227"/>
      <c r="L202" s="227"/>
      <c r="M202" s="227"/>
      <c r="O202" s="238"/>
      <c r="P202" s="238"/>
    </row>
    <row r="203" spans="2:16" x14ac:dyDescent="0.2">
      <c r="B203" s="190" t="s">
        <v>360</v>
      </c>
      <c r="C203" s="193">
        <v>43039</v>
      </c>
      <c r="D203" s="190">
        <v>50302.68</v>
      </c>
      <c r="E203" s="222">
        <v>1</v>
      </c>
      <c r="F203" s="208"/>
      <c r="G203" s="208"/>
      <c r="H203" s="208"/>
      <c r="K203" s="227"/>
      <c r="L203" s="227"/>
      <c r="M203" s="227"/>
      <c r="O203" s="238"/>
      <c r="P203" s="238"/>
    </row>
    <row r="204" spans="2:16" x14ac:dyDescent="0.2">
      <c r="B204" s="190" t="s">
        <v>361</v>
      </c>
      <c r="C204" s="193">
        <v>42521</v>
      </c>
      <c r="D204" s="190">
        <v>12168.93</v>
      </c>
      <c r="E204" s="222">
        <v>1</v>
      </c>
      <c r="F204" s="208"/>
      <c r="G204" s="208"/>
      <c r="H204" s="208"/>
      <c r="K204" s="227"/>
      <c r="L204" s="227"/>
      <c r="M204" s="227"/>
      <c r="O204" s="238"/>
      <c r="P204" s="238"/>
    </row>
    <row r="205" spans="2:16" x14ac:dyDescent="0.2">
      <c r="B205" s="190" t="s">
        <v>362</v>
      </c>
      <c r="C205" s="193">
        <v>42117</v>
      </c>
      <c r="D205" s="190">
        <v>27409.74</v>
      </c>
      <c r="E205" s="222">
        <v>1</v>
      </c>
      <c r="F205" s="208"/>
      <c r="G205" s="208"/>
      <c r="H205" s="208"/>
      <c r="K205" s="227"/>
      <c r="L205" s="227"/>
      <c r="M205" s="227"/>
      <c r="O205" s="238"/>
      <c r="P205" s="238"/>
    </row>
    <row r="206" spans="2:16" x14ac:dyDescent="0.2">
      <c r="B206" s="190" t="s">
        <v>363</v>
      </c>
      <c r="C206" s="193">
        <v>42030</v>
      </c>
      <c r="D206" s="190">
        <v>36618.99</v>
      </c>
      <c r="E206" s="222">
        <v>1</v>
      </c>
      <c r="F206" s="208"/>
      <c r="G206" s="208"/>
      <c r="H206" s="208"/>
      <c r="K206" s="227"/>
      <c r="L206" s="227"/>
      <c r="M206" s="227"/>
      <c r="O206" s="238"/>
      <c r="P206" s="238"/>
    </row>
    <row r="207" spans="2:16" x14ac:dyDescent="0.2">
      <c r="B207" s="190" t="s">
        <v>364</v>
      </c>
      <c r="C207" s="193">
        <v>43020</v>
      </c>
      <c r="D207" s="190">
        <v>30999.93</v>
      </c>
      <c r="E207" s="222">
        <v>1</v>
      </c>
      <c r="F207" s="208"/>
      <c r="G207" s="208"/>
      <c r="H207" s="208"/>
      <c r="K207" s="227"/>
      <c r="L207" s="227"/>
      <c r="M207" s="227"/>
      <c r="O207" s="238"/>
      <c r="P207" s="238"/>
    </row>
    <row r="208" spans="2:16" x14ac:dyDescent="0.2">
      <c r="B208" s="190" t="s">
        <v>365</v>
      </c>
      <c r="C208" s="193">
        <v>42104</v>
      </c>
      <c r="D208" s="190">
        <v>15204.51</v>
      </c>
      <c r="E208" s="222">
        <v>1</v>
      </c>
      <c r="F208" s="208"/>
      <c r="G208" s="208"/>
      <c r="H208" s="208"/>
      <c r="K208" s="227"/>
      <c r="L208" s="227"/>
      <c r="M208" s="227"/>
      <c r="O208" s="238"/>
      <c r="P208" s="238"/>
    </row>
    <row r="209" spans="2:5" x14ac:dyDescent="0.2">
      <c r="B209" s="190" t="s">
        <v>366</v>
      </c>
      <c r="C209" s="193">
        <v>43038</v>
      </c>
      <c r="D209" s="190">
        <v>103292.05</v>
      </c>
      <c r="E209" s="222">
        <v>1</v>
      </c>
    </row>
    <row r="210" spans="2:5" x14ac:dyDescent="0.2">
      <c r="B210" s="190" t="s">
        <v>367</v>
      </c>
      <c r="C210" s="193">
        <v>42655</v>
      </c>
      <c r="D210" s="190">
        <v>9116.6</v>
      </c>
      <c r="E210" s="222">
        <v>1</v>
      </c>
    </row>
    <row r="211" spans="2:5" x14ac:dyDescent="0.2">
      <c r="B211" s="190" t="s">
        <v>368</v>
      </c>
      <c r="C211" s="193">
        <v>42066</v>
      </c>
      <c r="D211" s="190">
        <v>7949.83</v>
      </c>
      <c r="E211" s="222">
        <v>1</v>
      </c>
    </row>
    <row r="212" spans="2:5" x14ac:dyDescent="0.2">
      <c r="B212" s="190" t="s">
        <v>369</v>
      </c>
      <c r="C212" s="193">
        <v>42122</v>
      </c>
      <c r="D212" s="190">
        <v>15553.66</v>
      </c>
      <c r="E212" s="222">
        <v>1</v>
      </c>
    </row>
    <row r="213" spans="2:5" x14ac:dyDescent="0.2">
      <c r="B213" s="190" t="s">
        <v>370</v>
      </c>
      <c r="C213" s="193">
        <v>42117</v>
      </c>
      <c r="D213" s="190">
        <v>11507.83</v>
      </c>
      <c r="E213" s="222">
        <v>1</v>
      </c>
    </row>
    <row r="214" spans="2:5" x14ac:dyDescent="0.2">
      <c r="B214" s="190" t="s">
        <v>371</v>
      </c>
      <c r="C214" s="193">
        <v>42983</v>
      </c>
      <c r="D214" s="190">
        <v>16612.03</v>
      </c>
      <c r="E214" s="222">
        <v>1</v>
      </c>
    </row>
    <row r="215" spans="2:5" x14ac:dyDescent="0.2">
      <c r="B215" s="190" t="s">
        <v>372</v>
      </c>
      <c r="C215" s="193">
        <v>42104</v>
      </c>
      <c r="D215" s="190">
        <v>14152.32</v>
      </c>
      <c r="E215" s="222">
        <v>1</v>
      </c>
    </row>
    <row r="216" spans="2:5" x14ac:dyDescent="0.2">
      <c r="B216" s="190" t="s">
        <v>373</v>
      </c>
      <c r="C216" s="193">
        <v>42374</v>
      </c>
      <c r="D216" s="190">
        <v>13453.03</v>
      </c>
      <c r="E216" s="222">
        <v>1</v>
      </c>
    </row>
    <row r="217" spans="2:5" x14ac:dyDescent="0.2">
      <c r="B217" s="190" t="s">
        <v>374</v>
      </c>
      <c r="C217" s="193">
        <v>42303</v>
      </c>
      <c r="D217" s="190">
        <v>7915.02</v>
      </c>
      <c r="E217" s="222">
        <v>1</v>
      </c>
    </row>
    <row r="218" spans="2:5" x14ac:dyDescent="0.2">
      <c r="B218" s="190" t="s">
        <v>375</v>
      </c>
      <c r="C218" s="193">
        <v>42310</v>
      </c>
      <c r="D218" s="190">
        <v>11222.21</v>
      </c>
      <c r="E218" s="222">
        <v>1</v>
      </c>
    </row>
    <row r="219" spans="2:5" x14ac:dyDescent="0.2">
      <c r="B219" s="190" t="s">
        <v>376</v>
      </c>
      <c r="C219" s="193">
        <v>42877</v>
      </c>
      <c r="D219" s="190">
        <v>12232.01</v>
      </c>
      <c r="E219" s="222">
        <v>1</v>
      </c>
    </row>
    <row r="220" spans="2:5" x14ac:dyDescent="0.2">
      <c r="B220" s="190" t="s">
        <v>377</v>
      </c>
      <c r="C220" s="193">
        <v>42222</v>
      </c>
      <c r="D220" s="190">
        <v>28083.96</v>
      </c>
      <c r="E220" s="222">
        <v>1</v>
      </c>
    </row>
    <row r="221" spans="2:5" x14ac:dyDescent="0.2">
      <c r="B221" s="190" t="s">
        <v>378</v>
      </c>
      <c r="C221" s="193">
        <v>41947</v>
      </c>
      <c r="D221" s="190">
        <v>7127.6</v>
      </c>
      <c r="E221" s="222">
        <v>1</v>
      </c>
    </row>
    <row r="222" spans="2:5" x14ac:dyDescent="0.2">
      <c r="B222" s="190" t="s">
        <v>379</v>
      </c>
      <c r="C222" s="193">
        <v>42195</v>
      </c>
      <c r="D222" s="190">
        <v>28365.040000000001</v>
      </c>
      <c r="E222" s="222">
        <v>1</v>
      </c>
    </row>
    <row r="223" spans="2:5" x14ac:dyDescent="0.2">
      <c r="B223" s="190" t="s">
        <v>380</v>
      </c>
      <c r="C223" s="193">
        <v>41904</v>
      </c>
      <c r="D223" s="190">
        <v>5480.24</v>
      </c>
      <c r="E223" s="222">
        <v>1</v>
      </c>
    </row>
    <row r="224" spans="2:5" x14ac:dyDescent="0.2">
      <c r="B224" s="190" t="s">
        <v>381</v>
      </c>
      <c r="C224" s="193">
        <v>43024</v>
      </c>
      <c r="D224" s="190">
        <v>11188.68</v>
      </c>
      <c r="E224" s="222">
        <v>1</v>
      </c>
    </row>
    <row r="225" spans="2:5" x14ac:dyDescent="0.2">
      <c r="B225" s="190" t="s">
        <v>382</v>
      </c>
      <c r="C225" s="193">
        <v>42520</v>
      </c>
      <c r="D225" s="190">
        <v>26408.99</v>
      </c>
      <c r="E225" s="222">
        <v>1</v>
      </c>
    </row>
    <row r="226" spans="2:5" x14ac:dyDescent="0.2">
      <c r="B226" s="190" t="s">
        <v>383</v>
      </c>
      <c r="C226" s="193">
        <v>42069</v>
      </c>
      <c r="D226" s="190">
        <v>31823.85</v>
      </c>
      <c r="E226" s="222">
        <v>1</v>
      </c>
    </row>
    <row r="227" spans="2:5" x14ac:dyDescent="0.2">
      <c r="B227" s="190" t="s">
        <v>384</v>
      </c>
      <c r="C227" s="193">
        <v>43038</v>
      </c>
      <c r="D227" s="190">
        <v>41499.620000000003</v>
      </c>
      <c r="E227" s="222">
        <v>1</v>
      </c>
    </row>
    <row r="228" spans="2:5" x14ac:dyDescent="0.2">
      <c r="B228" s="190" t="s">
        <v>385</v>
      </c>
      <c r="C228" s="193">
        <v>42122</v>
      </c>
      <c r="D228" s="190">
        <v>13908.83</v>
      </c>
      <c r="E228" s="222">
        <v>1</v>
      </c>
    </row>
    <row r="229" spans="2:5" x14ac:dyDescent="0.2">
      <c r="B229" s="190" t="s">
        <v>386</v>
      </c>
      <c r="C229" s="193">
        <v>42117</v>
      </c>
      <c r="D229" s="190">
        <v>11227.41</v>
      </c>
      <c r="E229" s="222">
        <v>1</v>
      </c>
    </row>
    <row r="230" spans="2:5" x14ac:dyDescent="0.2">
      <c r="B230" s="190" t="s">
        <v>387</v>
      </c>
      <c r="C230" s="193">
        <v>42222</v>
      </c>
      <c r="D230" s="190">
        <v>26117.47</v>
      </c>
      <c r="E230" s="222">
        <v>1</v>
      </c>
    </row>
    <row r="231" spans="2:5" x14ac:dyDescent="0.2">
      <c r="B231" s="190" t="s">
        <v>388</v>
      </c>
      <c r="C231" s="193">
        <v>41904</v>
      </c>
      <c r="D231" s="190">
        <v>6904.09</v>
      </c>
      <c r="E231" s="222">
        <v>1</v>
      </c>
    </row>
    <row r="232" spans="2:5" x14ac:dyDescent="0.2">
      <c r="B232" s="190" t="s">
        <v>389</v>
      </c>
      <c r="C232" s="193">
        <v>43038</v>
      </c>
      <c r="D232" s="190">
        <v>22110.18</v>
      </c>
      <c r="E232" s="222">
        <v>1</v>
      </c>
    </row>
    <row r="233" spans="2:5" x14ac:dyDescent="0.2">
      <c r="B233" s="190" t="s">
        <v>390</v>
      </c>
      <c r="C233" s="193">
        <v>42118</v>
      </c>
      <c r="D233" s="190">
        <v>14632.12</v>
      </c>
      <c r="E233" s="222">
        <v>1</v>
      </c>
    </row>
    <row r="234" spans="2:5" x14ac:dyDescent="0.2">
      <c r="B234" s="190" t="s">
        <v>391</v>
      </c>
      <c r="C234" s="193">
        <v>43038</v>
      </c>
      <c r="D234" s="190">
        <v>19178.41</v>
      </c>
      <c r="E234" s="222">
        <v>1</v>
      </c>
    </row>
    <row r="235" spans="2:5" x14ac:dyDescent="0.2">
      <c r="B235" s="190" t="s">
        <v>392</v>
      </c>
      <c r="C235" s="193">
        <v>41904</v>
      </c>
      <c r="D235" s="190">
        <v>6817.36</v>
      </c>
      <c r="E235" s="222">
        <v>1</v>
      </c>
    </row>
    <row r="236" spans="2:5" x14ac:dyDescent="0.2">
      <c r="B236" s="190" t="s">
        <v>393</v>
      </c>
      <c r="C236" s="193">
        <v>43038</v>
      </c>
      <c r="D236" s="190">
        <v>20022.3</v>
      </c>
      <c r="E236" s="222">
        <v>1</v>
      </c>
    </row>
    <row r="237" spans="2:5" x14ac:dyDescent="0.2">
      <c r="B237" s="190" t="s">
        <v>394</v>
      </c>
      <c r="C237" s="193">
        <v>42117</v>
      </c>
      <c r="D237" s="190">
        <v>14678.45</v>
      </c>
      <c r="E237" s="222">
        <v>1</v>
      </c>
    </row>
    <row r="238" spans="2:5" x14ac:dyDescent="0.2">
      <c r="B238" s="190" t="s">
        <v>395</v>
      </c>
      <c r="C238" s="193">
        <v>43038</v>
      </c>
      <c r="D238" s="190">
        <v>17528.400000000001</v>
      </c>
      <c r="E238" s="222">
        <v>1</v>
      </c>
    </row>
    <row r="239" spans="2:5" x14ac:dyDescent="0.2">
      <c r="B239" s="190" t="s">
        <v>396</v>
      </c>
      <c r="C239" s="193">
        <v>43024</v>
      </c>
      <c r="D239" s="190">
        <v>46160.788915229998</v>
      </c>
      <c r="E239" s="222">
        <v>1</v>
      </c>
    </row>
    <row r="240" spans="2:5" x14ac:dyDescent="0.2">
      <c r="B240" s="190" t="s">
        <v>397</v>
      </c>
      <c r="C240" s="193">
        <v>37469</v>
      </c>
      <c r="D240" s="190">
        <v>394.88</v>
      </c>
      <c r="E240" s="222">
        <v>1</v>
      </c>
    </row>
    <row r="241" spans="2:5" x14ac:dyDescent="0.2">
      <c r="B241" s="190" t="s">
        <v>398</v>
      </c>
      <c r="C241" s="193">
        <v>37469</v>
      </c>
      <c r="D241" s="190">
        <v>394.88</v>
      </c>
      <c r="E241" s="222">
        <v>1</v>
      </c>
    </row>
    <row r="242" spans="2:5" x14ac:dyDescent="0.2">
      <c r="B242" s="190" t="s">
        <v>399</v>
      </c>
      <c r="C242" s="193">
        <v>38665</v>
      </c>
      <c r="D242" s="190">
        <v>225.62</v>
      </c>
      <c r="E242" s="222">
        <v>1</v>
      </c>
    </row>
    <row r="243" spans="2:5" x14ac:dyDescent="0.2">
      <c r="B243" s="190" t="s">
        <v>400</v>
      </c>
      <c r="C243" s="193">
        <v>38665</v>
      </c>
      <c r="D243" s="190">
        <v>225.62</v>
      </c>
      <c r="E243" s="222">
        <v>1</v>
      </c>
    </row>
    <row r="244" spans="2:5" x14ac:dyDescent="0.2">
      <c r="B244" s="190" t="s">
        <v>401</v>
      </c>
      <c r="C244" s="193">
        <v>38624</v>
      </c>
      <c r="D244" s="190">
        <v>173.45</v>
      </c>
      <c r="E244" s="222">
        <v>1</v>
      </c>
    </row>
    <row r="245" spans="2:5" x14ac:dyDescent="0.2">
      <c r="B245" s="190" t="s">
        <v>402</v>
      </c>
      <c r="C245" s="193">
        <v>38624</v>
      </c>
      <c r="D245" s="190">
        <v>173.45</v>
      </c>
      <c r="E245" s="222">
        <v>1</v>
      </c>
    </row>
    <row r="246" spans="2:5" x14ac:dyDescent="0.2">
      <c r="B246" s="190" t="s">
        <v>403</v>
      </c>
      <c r="C246" s="193">
        <v>38027</v>
      </c>
      <c r="D246" s="190">
        <v>108.65</v>
      </c>
      <c r="E246" s="222">
        <v>1</v>
      </c>
    </row>
    <row r="247" spans="2:5" x14ac:dyDescent="0.2">
      <c r="B247" s="190" t="s">
        <v>404</v>
      </c>
      <c r="C247" s="193">
        <v>37757</v>
      </c>
      <c r="D247" s="190">
        <v>125</v>
      </c>
      <c r="E247" s="222">
        <v>1</v>
      </c>
    </row>
    <row r="248" spans="2:5" x14ac:dyDescent="0.2">
      <c r="B248" s="190" t="s">
        <v>405</v>
      </c>
      <c r="C248" s="193">
        <v>38006</v>
      </c>
      <c r="D248" s="190">
        <v>106.83</v>
      </c>
      <c r="E248" s="222">
        <v>1</v>
      </c>
    </row>
    <row r="249" spans="2:5" x14ac:dyDescent="0.2">
      <c r="B249" s="190" t="s">
        <v>406</v>
      </c>
      <c r="C249" s="193">
        <v>38715</v>
      </c>
      <c r="D249" s="190">
        <v>508.88</v>
      </c>
      <c r="E249" s="222">
        <v>1</v>
      </c>
    </row>
    <row r="250" spans="2:5" x14ac:dyDescent="0.2">
      <c r="B250" s="190" t="s">
        <v>407</v>
      </c>
      <c r="C250" s="193">
        <v>38715</v>
      </c>
      <c r="D250" s="190">
        <v>510.55</v>
      </c>
      <c r="E250" s="222">
        <v>1</v>
      </c>
    </row>
    <row r="251" spans="2:5" x14ac:dyDescent="0.2">
      <c r="B251" s="190" t="s">
        <v>408</v>
      </c>
      <c r="C251" s="193">
        <v>38260</v>
      </c>
      <c r="D251" s="190">
        <v>730.16</v>
      </c>
      <c r="E251" s="222">
        <v>1</v>
      </c>
    </row>
    <row r="252" spans="2:5" x14ac:dyDescent="0.2">
      <c r="B252" s="190" t="s">
        <v>409</v>
      </c>
      <c r="C252" s="193">
        <v>38716</v>
      </c>
      <c r="D252" s="190">
        <v>250.34</v>
      </c>
      <c r="E252" s="222">
        <v>1</v>
      </c>
    </row>
    <row r="253" spans="2:5" x14ac:dyDescent="0.2">
      <c r="B253" s="190" t="s">
        <v>410</v>
      </c>
      <c r="C253" s="193">
        <v>38716</v>
      </c>
      <c r="D253" s="190">
        <v>250.34</v>
      </c>
      <c r="E253" s="222">
        <v>1</v>
      </c>
    </row>
    <row r="254" spans="2:5" x14ac:dyDescent="0.2">
      <c r="B254" s="190" t="s">
        <v>411</v>
      </c>
      <c r="C254" s="193">
        <v>38713</v>
      </c>
      <c r="D254" s="190">
        <v>185.77</v>
      </c>
      <c r="E254" s="222">
        <v>1</v>
      </c>
    </row>
    <row r="255" spans="2:5" x14ac:dyDescent="0.2">
      <c r="B255" s="190" t="s">
        <v>412</v>
      </c>
      <c r="C255" s="193">
        <v>38713</v>
      </c>
      <c r="D255" s="190">
        <v>232.72</v>
      </c>
      <c r="E255" s="222">
        <v>1</v>
      </c>
    </row>
    <row r="256" spans="2:5" x14ac:dyDescent="0.2">
      <c r="B256" s="190" t="s">
        <v>413</v>
      </c>
      <c r="C256" s="193">
        <v>38713</v>
      </c>
      <c r="D256" s="190">
        <v>137.76</v>
      </c>
      <c r="E256" s="222">
        <v>1</v>
      </c>
    </row>
    <row r="257" spans="2:5" x14ac:dyDescent="0.2">
      <c r="B257" s="190" t="s">
        <v>414</v>
      </c>
      <c r="C257" s="193">
        <v>38713</v>
      </c>
      <c r="D257" s="190">
        <v>141.75</v>
      </c>
      <c r="E257" s="222">
        <v>1</v>
      </c>
    </row>
    <row r="258" spans="2:5" x14ac:dyDescent="0.2">
      <c r="B258" s="190" t="s">
        <v>415</v>
      </c>
      <c r="C258" s="193">
        <v>38370</v>
      </c>
      <c r="D258" s="190">
        <v>242.71</v>
      </c>
      <c r="E258" s="222">
        <v>1</v>
      </c>
    </row>
    <row r="259" spans="2:5" x14ac:dyDescent="0.2">
      <c r="B259" s="190" t="s">
        <v>416</v>
      </c>
      <c r="C259" s="193">
        <v>38706</v>
      </c>
      <c r="D259" s="190">
        <v>128.63</v>
      </c>
      <c r="E259" s="222">
        <v>1</v>
      </c>
    </row>
    <row r="260" spans="2:5" x14ac:dyDescent="0.2">
      <c r="B260" s="190" t="s">
        <v>417</v>
      </c>
      <c r="C260" s="193">
        <v>38705</v>
      </c>
      <c r="D260" s="190">
        <v>217.85</v>
      </c>
      <c r="E260" s="222">
        <v>1</v>
      </c>
    </row>
    <row r="261" spans="2:5" x14ac:dyDescent="0.2">
      <c r="B261" s="190" t="s">
        <v>418</v>
      </c>
      <c r="C261" s="193">
        <v>42129</v>
      </c>
      <c r="D261" s="190">
        <v>1211.2244297899999</v>
      </c>
      <c r="E261" s="222">
        <v>1</v>
      </c>
    </row>
    <row r="262" spans="2:5" x14ac:dyDescent="0.2">
      <c r="B262" s="190" t="s">
        <v>419</v>
      </c>
      <c r="C262" s="193">
        <v>42552</v>
      </c>
      <c r="D262" s="190">
        <v>532.75119029999996</v>
      </c>
      <c r="E262" s="222">
        <v>1</v>
      </c>
    </row>
    <row r="263" spans="2:5" x14ac:dyDescent="0.2">
      <c r="B263" s="190" t="s">
        <v>420</v>
      </c>
      <c r="C263" s="193">
        <v>39329</v>
      </c>
      <c r="D263" s="190">
        <v>321.83999999999997</v>
      </c>
      <c r="E263" s="222">
        <v>1</v>
      </c>
    </row>
    <row r="264" spans="2:5" x14ac:dyDescent="0.2">
      <c r="B264" s="190" t="s">
        <v>421</v>
      </c>
      <c r="C264" s="193">
        <v>40577</v>
      </c>
      <c r="D264" s="190">
        <v>493.46</v>
      </c>
      <c r="E264" s="222">
        <v>1</v>
      </c>
    </row>
    <row r="265" spans="2:5" x14ac:dyDescent="0.2">
      <c r="B265" s="190" t="s">
        <v>422</v>
      </c>
      <c r="C265" s="193">
        <v>39618</v>
      </c>
      <c r="D265" s="190">
        <v>303</v>
      </c>
      <c r="E265" s="222">
        <v>1</v>
      </c>
    </row>
    <row r="266" spans="2:5" x14ac:dyDescent="0.2">
      <c r="B266" s="190" t="s">
        <v>423</v>
      </c>
      <c r="C266" s="193">
        <v>39394</v>
      </c>
      <c r="D266" s="190">
        <v>363.69</v>
      </c>
      <c r="E266" s="222">
        <v>1</v>
      </c>
    </row>
    <row r="267" spans="2:5" x14ac:dyDescent="0.2">
      <c r="B267" s="190" t="s">
        <v>424</v>
      </c>
      <c r="C267" s="193">
        <v>40478</v>
      </c>
      <c r="D267" s="190">
        <v>148.34</v>
      </c>
      <c r="E267" s="222">
        <v>1</v>
      </c>
    </row>
    <row r="268" spans="2:5" x14ac:dyDescent="0.2">
      <c r="B268" s="190" t="s">
        <v>425</v>
      </c>
      <c r="C268" s="193">
        <v>42552</v>
      </c>
      <c r="D268" s="190">
        <v>1062.7544994699999</v>
      </c>
      <c r="E268" s="222">
        <v>1</v>
      </c>
    </row>
    <row r="269" spans="2:5" x14ac:dyDescent="0.2">
      <c r="B269" s="190" t="s">
        <v>426</v>
      </c>
      <c r="C269" s="193">
        <v>42227</v>
      </c>
      <c r="D269" s="190">
        <v>4757.8587041199999</v>
      </c>
      <c r="E269" s="222">
        <v>1</v>
      </c>
    </row>
    <row r="270" spans="2:5" x14ac:dyDescent="0.2">
      <c r="B270" s="190" t="s">
        <v>427</v>
      </c>
      <c r="C270" s="193">
        <v>42550</v>
      </c>
      <c r="D270" s="190">
        <v>147.67885862</v>
      </c>
      <c r="E270" s="222">
        <v>1</v>
      </c>
    </row>
    <row r="271" spans="2:5" x14ac:dyDescent="0.2">
      <c r="B271" s="190" t="s">
        <v>428</v>
      </c>
      <c r="C271" s="193">
        <v>39618</v>
      </c>
      <c r="D271" s="190">
        <v>562.29</v>
      </c>
      <c r="E271" s="222">
        <v>1</v>
      </c>
    </row>
    <row r="272" spans="2:5" x14ac:dyDescent="0.2">
      <c r="B272" s="190" t="s">
        <v>429</v>
      </c>
      <c r="C272" s="193">
        <v>39394</v>
      </c>
      <c r="D272" s="190">
        <v>363.69</v>
      </c>
      <c r="E272" s="222">
        <v>1</v>
      </c>
    </row>
    <row r="273" spans="2:5" x14ac:dyDescent="0.2">
      <c r="B273" s="190" t="s">
        <v>430</v>
      </c>
      <c r="C273" s="193">
        <v>42227</v>
      </c>
      <c r="D273" s="190">
        <v>4215.8333879900001</v>
      </c>
      <c r="E273" s="222">
        <v>1</v>
      </c>
    </row>
    <row r="274" spans="2:5" x14ac:dyDescent="0.2">
      <c r="B274" s="10" t="s">
        <v>431</v>
      </c>
      <c r="C274" s="126">
        <v>41277</v>
      </c>
      <c r="D274" s="10">
        <v>2807.39</v>
      </c>
      <c r="E274" s="10">
        <v>1</v>
      </c>
    </row>
    <row r="275" spans="2:5" x14ac:dyDescent="0.2">
      <c r="B275" s="10" t="s">
        <v>432</v>
      </c>
      <c r="C275" s="126">
        <v>41283</v>
      </c>
      <c r="D275" s="10">
        <v>2316.58</v>
      </c>
      <c r="E275" s="10">
        <v>1</v>
      </c>
    </row>
    <row r="276" spans="2:5" x14ac:dyDescent="0.2">
      <c r="B276" s="10" t="s">
        <v>433</v>
      </c>
      <c r="C276" s="126">
        <v>42550</v>
      </c>
      <c r="D276" s="10">
        <v>130.66139737</v>
      </c>
      <c r="E276" s="10">
        <v>1</v>
      </c>
    </row>
    <row r="277" spans="2:5" x14ac:dyDescent="0.2">
      <c r="B277" s="10" t="s">
        <v>434</v>
      </c>
      <c r="C277" s="126">
        <v>41281</v>
      </c>
      <c r="D277" s="10">
        <v>3365.22</v>
      </c>
      <c r="E277" s="10">
        <v>1</v>
      </c>
    </row>
    <row r="278" spans="2:5" x14ac:dyDescent="0.2">
      <c r="B278" s="10" t="s">
        <v>435</v>
      </c>
      <c r="C278" s="126">
        <v>42110</v>
      </c>
      <c r="D278" s="10">
        <v>522.89537319999999</v>
      </c>
      <c r="E278" s="10">
        <v>1</v>
      </c>
    </row>
    <row r="279" spans="2:5" x14ac:dyDescent="0.2">
      <c r="B279" s="10" t="s">
        <v>436</v>
      </c>
      <c r="C279" s="126">
        <v>42117</v>
      </c>
      <c r="D279" s="10">
        <v>650.14363865999997</v>
      </c>
      <c r="E279" s="10">
        <v>1</v>
      </c>
    </row>
    <row r="280" spans="2:5" x14ac:dyDescent="0.2">
      <c r="B280" s="10" t="s">
        <v>437</v>
      </c>
      <c r="C280" s="126">
        <v>42479</v>
      </c>
      <c r="D280" s="10">
        <v>517.55154836999998</v>
      </c>
      <c r="E280" s="10">
        <v>1</v>
      </c>
    </row>
    <row r="281" spans="2:5" x14ac:dyDescent="0.2">
      <c r="B281" s="10" t="s">
        <v>438</v>
      </c>
      <c r="C281" s="126">
        <v>42110</v>
      </c>
      <c r="D281" s="10">
        <v>419.85620591000003</v>
      </c>
      <c r="E281" s="10">
        <v>1</v>
      </c>
    </row>
    <row r="282" spans="2:5" x14ac:dyDescent="0.2">
      <c r="B282" s="10" t="s">
        <v>439</v>
      </c>
      <c r="C282" s="126">
        <v>41444</v>
      </c>
      <c r="D282" s="10">
        <v>1386.8</v>
      </c>
      <c r="E282" s="10">
        <v>1</v>
      </c>
    </row>
    <row r="283" spans="2:5" x14ac:dyDescent="0.2">
      <c r="B283" s="10" t="s">
        <v>440</v>
      </c>
      <c r="C283" s="126">
        <v>42030</v>
      </c>
      <c r="D283" s="10">
        <v>227.86509369000001</v>
      </c>
      <c r="E283" s="10">
        <v>1</v>
      </c>
    </row>
    <row r="284" spans="2:5" x14ac:dyDescent="0.2">
      <c r="B284" s="10" t="s">
        <v>441</v>
      </c>
      <c r="C284" s="126">
        <v>39604</v>
      </c>
      <c r="D284" s="10">
        <v>233.37</v>
      </c>
      <c r="E284" s="10">
        <v>1</v>
      </c>
    </row>
    <row r="285" spans="2:5" x14ac:dyDescent="0.2">
      <c r="B285" s="10" t="s">
        <v>442</v>
      </c>
      <c r="C285" s="126">
        <v>42339</v>
      </c>
      <c r="D285" s="10">
        <v>487.53221783999999</v>
      </c>
      <c r="E285" s="10">
        <v>1</v>
      </c>
    </row>
    <row r="286" spans="2:5" x14ac:dyDescent="0.2">
      <c r="B286" s="10" t="s">
        <v>443</v>
      </c>
      <c r="C286" s="126">
        <v>38866</v>
      </c>
      <c r="D286" s="10">
        <v>203.88</v>
      </c>
      <c r="E286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396"/>
      <c r="G2" s="396"/>
      <c r="H2" s="396"/>
      <c r="I2" s="396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2017-11-06T07:00:00+00:00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C54F4-B7C9-4F19-972C-E732F0124192}"/>
</file>

<file path=customXml/itemProps2.xml><?xml version="1.0" encoding="utf-8"?>
<ds:datastoreItem xmlns:ds="http://schemas.openxmlformats.org/officeDocument/2006/customXml" ds:itemID="{7F0149B7-D22E-464C-B99D-0CB0BF481642}"/>
</file>

<file path=customXml/itemProps3.xml><?xml version="1.0" encoding="utf-8"?>
<ds:datastoreItem xmlns:ds="http://schemas.openxmlformats.org/officeDocument/2006/customXml" ds:itemID="{8602E086-95F8-4243-BFFD-2E31F586C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20171031</dc:title>
  <dc:creator>rapelangm</dc:creator>
  <cp:lastModifiedBy>Julia Maluleka</cp:lastModifiedBy>
  <cp:lastPrinted>2017-11-06T06:43:53Z</cp:lastPrinted>
  <dcterms:created xsi:type="dcterms:W3CDTF">2009-10-22T12:59:48Z</dcterms:created>
  <dcterms:modified xsi:type="dcterms:W3CDTF">2017-11-06T06:49:22Z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