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Market Profile Nov\"/>
    </mc:Choice>
  </mc:AlternateContent>
  <bookViews>
    <workbookView xWindow="-4290" yWindow="2085" windowWidth="21630" windowHeight="489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externalReferences>
    <externalReference r:id="rId9"/>
  </externalReference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B211" i="1" l="1" a="1"/>
  <c r="B211" i="1" s="1"/>
  <c r="B210" i="1" a="1"/>
  <c r="B210" i="1"/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E201" i="1" l="1"/>
  <c r="E198" i="1"/>
  <c r="D202" i="1"/>
  <c r="C202" i="1"/>
  <c r="E200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7" i="1"/>
  <c r="E227" i="1" s="1"/>
  <c r="C226" i="1"/>
  <c r="E226" i="1" s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8" i="1"/>
  <c r="D67" i="1"/>
  <c r="D76" i="1"/>
  <c r="D70" i="1"/>
  <c r="C75" i="1"/>
  <c r="C74" i="1"/>
  <c r="C73" i="1"/>
  <c r="C67" i="1"/>
  <c r="C69" i="1"/>
  <c r="C68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D15" i="1"/>
  <c r="D56" i="1" s="1"/>
  <c r="F15" i="1"/>
  <c r="G15" i="1"/>
  <c r="H15" i="1"/>
  <c r="I15" i="1"/>
  <c r="F65" i="1" l="1"/>
  <c r="F101" i="1"/>
  <c r="I65" i="1"/>
  <c r="I101" i="1"/>
  <c r="G65" i="1"/>
  <c r="G101" i="1"/>
  <c r="H65" i="1"/>
  <c r="H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C33" i="6"/>
  <c r="B33" i="6"/>
  <c r="D33" i="6" s="1"/>
  <c r="C54" i="6"/>
  <c r="B54" i="6"/>
  <c r="C64" i="6"/>
  <c r="B64" i="6"/>
  <c r="E64" i="6"/>
  <c r="E54" i="6"/>
  <c r="E43" i="6"/>
  <c r="F43" i="6" s="1"/>
  <c r="E33" i="6"/>
  <c r="E22" i="6"/>
  <c r="D43" i="6"/>
  <c r="F22" i="6"/>
  <c r="E12" i="6"/>
  <c r="F64" i="6" l="1"/>
  <c r="D64" i="6"/>
  <c r="D22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<sst xmlns="http://schemas.openxmlformats.org/spreadsheetml/2006/main" count="2517" uniqueCount="673">
  <si>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</si>
  <si>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</si>
  <si>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</si>
  <si>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</si>
  <si>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</si>
  <si>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</si>
  <si>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</si>
  <si>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</si>
  <si>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</si>
  <si>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</si>
  <si>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</si>
  <si>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</si>
  <si>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</si>
  <si>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</si>
  <si>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</si>
  <si>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</si>
  <si>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</si>
  <si>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</si>
  <si>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</si>
  <si>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</si>
  <si>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</si>
  <si>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</si>
  <si>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</si>
  <si>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</si>
  <si>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</si>
  <si>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</si>
  <si>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</si>
  <si>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</si>
  <si>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</si>
  <si>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</si>
  <si>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</si>
  <si>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</si>
  <si>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</si>
  <si>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</si>
  <si>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</si>
  <si>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</si>
  <si>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</si>
  <si>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</si>
  <si>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</si>
  <si>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</si>
  <si>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</si>
  <si>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</si>
  <si>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</si>
  <si>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</si>
  <si>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</si>
  <si>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</si>
  <si>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</si>
  <si>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</si>
  <si>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</si>
  <si>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</si>
  <si>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</si>
  <si>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</si>
  <si>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</si>
  <si>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</si>
  <si>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</si>
  <si>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</si>
  <si>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</si>
  <si>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</si>
  <si>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</si>
  <si>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</si>
  <si>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</si>
  <si>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</si>
  <si>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</si>
  <si>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</si>
  <si>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</si>
  <si>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</si>
  <si>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</si>
  <si>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</si>
  <si>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</si>
  <si>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</si>
  <si>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</si>
  <si>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</si>
  <si>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</si>
  <si>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</si>
  <si>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</si>
  <si>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</si>
  <si>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</si>
  <si>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</si>
  <si>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</si>
  <si>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</si>
  <si>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</si>
  <si>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</si>
  <si>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</si>
  <si>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</si>
  <si>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</si>
  <si>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</si>
  <si>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</si>
  <si>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</si>
  <si>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</si>
  <si>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</si>
  <si>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</si>
  <si>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</si>
  <si>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</si>
  <si>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</si>
  <si>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</si>
  <si>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</si>
  <si>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</si>
  <si>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</si>
  <si>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</si>
  <si>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</si>
  <si>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</si>
  <si>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</si>
  <si>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</si>
  <si>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</si>
  <si>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</si>
  <si>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</si>
  <si>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</si>
  <si>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</si>
  <si>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</si>
  <si>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</si>
  <si>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</si>
  <si>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</si>
  <si>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</si>
  <si>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</si>
  <si>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</si>
  <si>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</si>
  <si>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</si>
  <si>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</si>
  <si>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</si>
  <si>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</si>
  <si>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</si>
  <si>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</si>
  <si>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</si>
  <si>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</si>
  <si>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</si>
  <si>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</si>
  <si>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</si>
  <si>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</si>
  <si>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</si>
  <si>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</si>
  <si>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</si>
  <si>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</si>
  <si>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</si>
  <si>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</si>
  <si>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</si>
  <si>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</si>
  <si>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</si>
  <si>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</si>
  <si>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</si>
  <si>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</si>
  <si>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</si>
  <si>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</si>
  <si>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</si>
  <si>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</si>
  <si>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</si>
  <si>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</si>
  <si>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</si>
  <si>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</si>
  <si>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</si>
  <si>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</si>
  <si>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</si>
  <si>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</si>
  <si>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</si>
  <si>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</si>
  <si>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</si>
  <si>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</si>
  <si>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</si>
  <si>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</si>
  <si>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</si>
  <si>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</si>
  <si>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</si>
  <si>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</si>
  <si>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</si>
  <si>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</si>
  <si>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</si>
  <si>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</si>
  <si>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</si>
  <si>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</si>
  <si>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</si>
  <si>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</si>
  <si>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</si>
  <si>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</si>
  <si>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</si>
  <si>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</si>
  <si>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</si>
  <si>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</si>
  <si>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</si>
  <si>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</si>
  <si>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</si>
  <si>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</si>
  <si>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</si>
  <si>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</si>
  <si>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</si>
  <si>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</si>
  <si>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</si>
  <si>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</si>
  <si>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</si>
  <si>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</si>
  <si>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</si>
  <si>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</si>
  <si>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</si>
  <si>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</si>
  <si>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</si>
  <si>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</si>
  <si>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</si>
  <si>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</si>
  <si>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</si>
  <si>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</si>
  <si>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</si>
  <si>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</si>
  <si>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</si>
  <si>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</si>
  <si>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</si>
  <si>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</si>
  <si>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</si>
  <si>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</si>
  <si>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</si>
  <si>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</si>
  <si>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</si>
  <si>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</si>
  <si>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</si>
  <si>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</si>
  <si>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</si>
  <si>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</si>
  <si>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</si>
  <si>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</si>
  <si>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</si>
  <si>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</si>
  <si>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</si>
  <si>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</si>
  <si>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</si>
  <si>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</si>
  <si>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</si>
  <si>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</si>
  <si>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</si>
  <si>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</si>
  <si>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</si>
  <si>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</si>
  <si>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</si>
  <si>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</si>
  <si>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</si>
  <si>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</si>
  <si>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</si>
  <si>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</si>
  <si>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</si>
  <si>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</si>
  <si>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</si>
  <si>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</si>
  <si>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</si>
  <si>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</si>
  <si>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</si>
  <si>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</si>
  <si>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</si>
  <si>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</si>
  <si>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</si>
  <si>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</si>
  <si>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</si>
  <si>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</si>
  <si>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</si>
  <si>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</si>
  <si>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</si>
  <si>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</si>
  <si>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</si>
  <si>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</si>
  <si>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</si>
  <si>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</si>
  <si>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</si>
  <si>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</si>
  <si>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</si>
  <si>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</si>
  <si>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</si>
  <si>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</si>
  <si>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</si>
  <si>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</si>
  <si>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</si>
  <si>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</si>
  <si>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</si>
  <si>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</si>
  <si>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</si>
  <si>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</si>
  <si>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</si>
  <si>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</si>
  <si>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</si>
  <si>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</si>
  <si>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</si>
  <si>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</si>
  <si>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</si>
  <si>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</si>
  <si>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</si>
  <si>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</si>
  <si>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</si>
  <si>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</si>
  <si>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</si>
  <si>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</si>
  <si>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</si>
  <si>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</si>
  <si>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</si>
  <si>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</si>
  <si>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</si>
  <si>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</si>
  <si>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</si>
  <si>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</si>
  <si>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</si>
  <si>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</si>
  <si>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</si>
  <si>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</si>
  <si>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</si>
  <si>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</si>
  <si>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</si>
  <si>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</si>
  <si>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</si>
  <si>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</si>
  <si>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</si>
  <si>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</si>
  <si>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</si>
  <si>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</si>
  <si>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</si>
  <si>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</si>
  <si>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</si>
  <si>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</si>
  <si>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</si>
  <si>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</si>
  <si>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</si>
  <si>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</si>
  <si>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</si>
  <si>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</si>
  <si>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</si>
  <si>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</si>
  <si>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</si>
  <si>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</si>
  <si>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</si>
  <si>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</si>
  <si>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</si>
  <si>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</si>
  <si>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</si>
  <si>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</si>
  <si>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</si>
  <si>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</si>
  <si>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</si>
  <si>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</si>
  <si>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</si>
  <si>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</si>
  <si>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</si>
  <si>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</si>
  <si>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</si>
  <si>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</si>
  <si>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</si>
  <si>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</si>
  <si>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</si>
  <si>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</si>
  <si>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</si>
  <si>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</si>
  <si>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</si>
  <si>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</si>
  <si>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</si>
  <si>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</si>
  <si>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</si>
  <si>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</si>
  <si>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</si>
  <si>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</si>
  <si>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</si>
  <si>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</si>
  <si>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</si>
  <si>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</si>
  <si>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</si>
  <si>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</si>
  <si>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</si>
  <si>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</si>
  <si>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</si>
  <si>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</si>
  <si>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</si>
  <si>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</si>
  <si>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</si>
  <si>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</si>
  <si>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</si>
  <si>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</si>
  <si>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</si>
  <si>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</si>
  <si>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</si>
  <si>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</si>
  <si>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</si>
  <si>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</si>
  <si>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</si>
  <si>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</si>
  <si>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</si>
  <si>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</si>
  <si>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</si>
  <si>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</si>
  <si>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</si>
  <si>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</si>
  <si>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</si>
  <si>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</si>
  <si>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</si>
  <si>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</si>
  <si>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</si>
  <si>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</si>
  <si>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</si>
  <si>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</si>
  <si>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</si>
  <si>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</si>
  <si>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</si>
  <si>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</si>
  <si>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</si>
  <si>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</si>
  <si>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</si>
  <si>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</si>
  <si>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</si>
  <si>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</si>
  <si>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</si>
  <si>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</si>
  <si>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</si>
  <si>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</si>
  <si>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</si>
  <si>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</si>
  <si>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</si>
  <si>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</si>
  <si>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</si>
  <si>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</si>
  <si>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</si>
  <si>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</si>
  <si>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</si>
  <si>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</si>
  <si>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</si>
  <si>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</si>
  <si>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</si>
  <si>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</si>
  <si>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</si>
  <si>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</si>
  <si>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</si>
  <si>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</si>
  <si>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</si>
  <si>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</si>
  <si>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</si>
  <si>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</si>
  <si>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</si>
  <si>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</si>
  <si>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</si>
  <si>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</si>
  <si>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</si>
  <si>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</si>
  <si>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</si>
  <si>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</si>
  <si>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</si>
  <si>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</si>
  <si>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</si>
  <si>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</si>
  <si>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</si>
  <si>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</si>
  <si>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</si>
  <si>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</si>
  <si>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</si>
  <si>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</si>
  <si>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</si>
  <si>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</si>
  <si>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</si>
  <si>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</si>
  <si>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</si>
  <si>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</si>
  <si>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</si>
  <si>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</si>
  <si>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</si>
  <si>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</si>
  <si>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</si>
  <si>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</si>
  <si>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</si>
  <si>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</si>
  <si>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</si>
  <si>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</si>
  <si>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</si>
  <si>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</si>
  <si>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</si>
  <si>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</si>
  <si>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</si>
  <si>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</si>
  <si>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</si>
  <si>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</si>
  <si>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</si>
  <si>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</si>
  <si>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</si>
  <si>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</si>
  <si>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</si>
  <si>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</si>
  <si>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</si>
  <si>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</si>
  <si>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</si>
  <si>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</si>
  <si>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</si>
  <si>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</si>
  <si>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</si>
  <si>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</si>
  <si>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</si>
  <si>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</si>
  <si>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</si>
  <si>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</si>
  <si>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</si>
  <si>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</si>
  <si>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</si>
  <si>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</si>
  <si>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</si>
  <si>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</si>
  <si>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</si>
  <si>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</si>
  <si>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</si>
  <si>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</si>
  <si>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</si>
  <si>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</si>
  <si>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</si>
  <si>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</si>
  <si>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</si>
  <si>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</si>
  <si>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</si>
  <si>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</si>
  <si>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</si>
  <si>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</si>
  <si>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</si>
  <si>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</si>
  <si>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</si>
  <si>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</si>
  <si>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</si>
  <si>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</si>
  <si>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</si>
  <si>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</si>
  <si>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</si>
  <si>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</si>
  <si>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</si>
  <si>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</si>
  <si>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</si>
  <si>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</si>
  <si>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</si>
  <si>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</si>
  <si>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</si>
  <si>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</si>
  <si>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</si>
  <si>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</si>
  <si>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</si>
  <si>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</si>
  <si>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</si>
  <si>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</si>
  <si>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</si>
  <si>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</si>
  <si>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</si>
  <si>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</si>
  <si>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</si>
  <si>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</si>
  <si>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</si>
  <si>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</si>
  <si>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</si>
  <si>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</si>
  <si>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</si>
  <si>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</si>
  <si>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</si>
  <si>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</si>
  <si>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</si>
  <si>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</si>
  <si>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</si>
  <si>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</si>
  <si>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</si>
  <si>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</si>
  <si>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</si>
  <si>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</si>
  <si>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</si>
  <si>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</si>
  <si>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</si>
  <si>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</si>
  <si>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</si>
  <si>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</si>
  <si>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</si>
  <si>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</si>
  <si>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</si>
  <si>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</si>
  <si>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</si>
  <si>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</si>
  <si>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</si>
  <si>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</si>
  <si>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</si>
  <si>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</si>
  <si>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</si>
  <si>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</si>
  <si>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</si>
  <si>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</si>
  <si>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QUANTO SOYBEAN OIL COMMODITY CAN-DO</t>
  </si>
  <si>
    <t>COPPER QUANTO</t>
  </si>
  <si>
    <t>CORN CONTRACT</t>
  </si>
  <si>
    <t>SOYA FUTURE</t>
  </si>
  <si>
    <t>BRENT CRUDE OIL FUTURE</t>
  </si>
  <si>
    <t xml:space="preserve">DIESEL EUROPEAN GASOIL 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</si>
  <si>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</si>
  <si>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</si>
  <si>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</si>
  <si>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</si>
  <si>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</si>
  <si>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</si>
  <si>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</si>
  <si>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</si>
  <si>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</si>
  <si>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</si>
  <si>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</si>
  <si>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</si>
  <si>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</si>
  <si>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</si>
  <si>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SOYBEAN MEAL CONTRACT</t>
  </si>
  <si>
    <t>SUNFLOWER SEEDS FUTURE</t>
  </si>
  <si>
    <t>BREAD MILLING WHEAT</t>
  </si>
  <si>
    <t>WHITE MAIZE FUTURE</t>
  </si>
  <si>
    <t>SOYBEAN OIL CONTRACT</t>
  </si>
  <si>
    <t>SOYBEAN QUANTO</t>
  </si>
  <si>
    <t>QUANTO SOYBEAN MEAL COMMODITY CANDO</t>
  </si>
  <si>
    <t>PALLADIUM QUANTO</t>
  </si>
  <si>
    <t>SORGHUM FUTURES</t>
  </si>
  <si>
    <t>COTTON QUANTO</t>
  </si>
  <si>
    <t>BEEF CARCASS</t>
  </si>
  <si>
    <t>YELLOW MAIZE COMMODITY CANDO</t>
  </si>
  <si>
    <t>SORGHUM  BITTER - GH1 FUTURE</t>
  </si>
  <si>
    <t>HEATING OIL QUANTO</t>
  </si>
  <si>
    <t>BRENT CRUDE OIL QUANTO</t>
  </si>
  <si>
    <t>BRENT CRUDE OIL COMMODITY CAN-DO</t>
  </si>
  <si>
    <t>CORN QUANTO</t>
  </si>
  <si>
    <t>SUGAR #11 QUANTO</t>
  </si>
  <si>
    <t>QUANTO GOLD COMMODITY CAN-DO</t>
  </si>
  <si>
    <t>SOYABEAN CRUSH FUTURE</t>
  </si>
  <si>
    <t>LAMB CARCASS</t>
  </si>
  <si>
    <t xml:space="preserve">PLATINUM QUANTO </t>
  </si>
  <si>
    <t>PLATINUM</t>
  </si>
  <si>
    <t>SILVER</t>
  </si>
  <si>
    <t>CRUDE OIL</t>
  </si>
  <si>
    <t>MERINO WOOL</t>
  </si>
  <si>
    <t>QUANTO WHITE MAIZE</t>
  </si>
  <si>
    <t>QUANTO SOYBEAN COMMODITY CANDO</t>
  </si>
  <si>
    <t>RAND DOLLAR CORN</t>
  </si>
  <si>
    <t>WHITE MAIZE GRADE 2 FUTURE</t>
  </si>
  <si>
    <t>WHEAT COMMODITY CANDO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</si>
  <si>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</si>
  <si>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</si>
  <si>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</si>
  <si>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</si>
  <si>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</si>
  <si>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</si>
  <si>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</si>
  <si>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</si>
  <si>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</si>
  <si>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</si>
  <si>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</si>
  <si>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</si>
  <si>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</si>
  <si>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</si>
  <si>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</si>
  <si>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</si>
  <si>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</si>
  <si>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</si>
  <si>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</si>
  <si>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</si>
  <si>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</si>
  <si>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</si>
  <si>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</si>
  <si>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</si>
  <si>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</si>
  <si>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</si>
  <si>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</si>
  <si>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</si>
  <si>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</si>
  <si>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</si>
  <si>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</si>
  <si>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</si>
  <si>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</si>
  <si>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</si>
  <si>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</si>
  <si>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Other Trade - I</t>
  </si>
  <si>
    <t>Repo 1</t>
  </si>
  <si>
    <t>Repo 2</t>
  </si>
  <si>
    <t>Standard Trade</t>
  </si>
  <si>
    <t>Standard Trade (Spot)</t>
  </si>
  <si>
    <t>Structured Deal</t>
  </si>
  <si>
    <t>TradeMonth</t>
  </si>
  <si>
    <t>2017/11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</si>
  <si>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</si>
  <si>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</si>
  <si>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</si>
  <si>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</si>
  <si>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</si>
  <si>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</si>
  <si>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</si>
  <si>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</si>
  <si>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 xml:space="preserve">Note: The monthly "local liquidity"  using the value traded and Strate market capitalisation is 65.3%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</si>
</sst>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R&quot;#,##0.00_);\(&quot;R&quot;#,##0.00\)"/>
    <numFmt numFmtId="165" formatCode="_ * #,##0_ ;_ * \-#,##0_ ;_ * &quot;-&quot;??_ ;_ @_ "/>
    <numFmt numFmtId="166" formatCode="_ * #,##0.0_ ;_ * \-#,##0.0_ ;_ * &quot;-&quot;??_ ;_ @_ "/>
    <numFmt numFmtId="167" formatCode="_(* #,##0_);_(* \(#,##0\);_(* &quot;-&quot;??_);_(@_)"/>
    <numFmt numFmtId="168" formatCode="mmm\-yyyy"/>
    <numFmt numFmtId="169" formatCode="#,###,###,"/>
    <numFmt numFmtId="170" formatCode="0.0"/>
  </numFmts>
  <fonts count="6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  <font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2148">
    <xf numFmtId="0" fontId="0" fillId="0" borderId="0"/>
    <xf numFmtId="43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397">
    <xf numFmtId="0" fontId="0" fillId="0" borderId="0" xfId="0"/>
    <xf numFmtId="0" fontId="21" fillId="0" borderId="0" xfId="0" applyFont="1"/>
    <xf numFmtId="43" fontId="0" fillId="0" borderId="0" xfId="1" applyFont="1"/>
    <xf numFmtId="165" fontId="0" fillId="0" borderId="0" xfId="1" applyNumberFormat="1" applyFont="1"/>
    <xf numFmtId="165" fontId="21" fillId="0" borderId="0" xfId="1" applyNumberFormat="1" applyFont="1"/>
    <xf numFmtId="43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7" fontId="24" fillId="0" borderId="0" xfId="0" applyNumberFormat="1" applyFont="1"/>
    <xf numFmtId="0" fontId="22" fillId="0" borderId="0" xfId="0" applyFont="1"/>
    <xf numFmtId="165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43" fontId="0" fillId="0" borderId="0" xfId="0" applyNumberFormat="1"/>
    <xf numFmtId="0" fontId="26" fillId="0" borderId="0" xfId="0" applyFont="1"/>
    <xf numFmtId="167" fontId="18" fillId="0" borderId="0" xfId="0" applyNumberFormat="1" applyFont="1"/>
    <xf numFmtId="166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5" fontId="0" fillId="0" borderId="0" xfId="0" applyNumberFormat="1" applyFont="1"/>
    <xf numFmtId="0" fontId="0" fillId="0" borderId="0" xfId="0" applyFont="1"/>
    <xf numFmtId="165" fontId="17" fillId="0" borderId="0" xfId="0" applyNumberFormat="1" applyFont="1" applyFill="1"/>
    <xf numFmtId="3" fontId="18" fillId="0" borderId="0" xfId="0" applyNumberFormat="1" applyFont="1"/>
    <xf numFmtId="165" fontId="22" fillId="0" borderId="0" xfId="0" applyNumberFormat="1" applyFont="1" applyFill="1"/>
    <xf numFmtId="165" fontId="0" fillId="0" borderId="0" xfId="0" applyNumberFormat="1" applyFont="1" applyFill="1"/>
    <xf numFmtId="165" fontId="21" fillId="0" borderId="0" xfId="0" applyNumberFormat="1" applyFont="1"/>
    <xf numFmtId="0" fontId="21" fillId="0" borderId="0" xfId="0" applyFont="1"/>
    <xf numFmtId="0" fontId="24" fillId="0" borderId="0" xfId="0" applyFont="1"/>
    <xf numFmtId="165" fontId="18" fillId="0" borderId="0" xfId="0" applyNumberFormat="1" applyFont="1"/>
    <xf numFmtId="166" fontId="0" fillId="0" borderId="0" xfId="0" applyNumberFormat="1" applyFont="1"/>
    <xf numFmtId="166" fontId="21" fillId="0" borderId="0" xfId="0" applyNumberFormat="1" applyFont="1"/>
    <xf numFmtId="0" fontId="21" fillId="0" borderId="0" xfId="0" applyFont="1" applyAlignment="1">
      <alignment horizontal="right"/>
    </xf>
    <xf numFmtId="165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5" fontId="0" fillId="0" borderId="0" xfId="0" applyNumberFormat="1" applyFont="1" applyFill="1" applyBorder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5" fontId="0" fillId="0" borderId="0" xfId="0" applyNumberFormat="1" applyFont="1" applyFill="1" applyBorder="1" applyAlignment="1">
      <alignment horizontal="right"/>
    </xf>
    <xf numFmtId="165" fontId="17" fillId="0" borderId="0" xfId="0" applyNumberFormat="1" applyFont="1"/>
    <xf numFmtId="165" fontId="22" fillId="0" borderId="0" xfId="0" applyNumberFormat="1" applyFont="1"/>
    <xf numFmtId="166" fontId="22" fillId="0" borderId="0" xfId="0" applyNumberFormat="1" applyFont="1"/>
    <xf numFmtId="0" fontId="46" fillId="0" borderId="0" xfId="0" applyFont="1"/>
    <xf numFmtId="166" fontId="0" fillId="0" borderId="0" xfId="0" applyNumberFormat="1" applyFont="1" applyAlignment="1">
      <alignment horizontal="right"/>
    </xf>
    <xf numFmtId="165" fontId="46" fillId="0" borderId="0" xfId="0" applyNumberFormat="1" applyFont="1"/>
    <xf numFmtId="165" fontId="45" fillId="0" borderId="0" xfId="0" applyNumberFormat="1" applyFont="1"/>
    <xf numFmtId="0" fontId="21" fillId="0" borderId="0" xfId="0" applyFont="1"/>
    <xf numFmtId="166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5" fontId="0" fillId="0" borderId="0" xfId="0" applyNumberFormat="1" applyFont="1"/>
    <xf numFmtId="165" fontId="17" fillId="0" borderId="0" xfId="1" applyNumberFormat="1" applyFont="1"/>
    <xf numFmtId="0" fontId="21" fillId="0" borderId="0" xfId="0" applyFont="1"/>
    <xf numFmtId="0" fontId="21" fillId="0" borderId="0" xfId="0" applyFont="1"/>
    <xf numFmtId="165" fontId="24" fillId="0" borderId="0" xfId="0" quotePrefix="1" applyNumberFormat="1" applyFont="1" applyAlignment="1">
      <alignment horizontal="right"/>
    </xf>
    <xf numFmtId="165" fontId="16" fillId="0" borderId="0" xfId="0" applyNumberFormat="1" applyFont="1"/>
    <xf numFmtId="165" fontId="20" fillId="0" borderId="0" xfId="0" applyNumberFormat="1" applyFont="1"/>
    <xf numFmtId="0" fontId="45" fillId="0" borderId="0" xfId="0" applyFont="1"/>
    <xf numFmtId="165" fontId="16" fillId="0" borderId="0" xfId="0" applyNumberFormat="1" applyFont="1"/>
    <xf numFmtId="0" fontId="16" fillId="0" borderId="0" xfId="0" applyFont="1"/>
    <xf numFmtId="165" fontId="15" fillId="0" borderId="0" xfId="0" applyNumberFormat="1" applyFont="1"/>
    <xf numFmtId="165" fontId="0" fillId="0" borderId="0" xfId="0" applyNumberFormat="1"/>
    <xf numFmtId="0" fontId="21" fillId="0" borderId="0" xfId="0" applyFont="1"/>
    <xf numFmtId="165" fontId="14" fillId="0" borderId="0" xfId="0" applyNumberFormat="1" applyFont="1"/>
    <xf numFmtId="165" fontId="13" fillId="0" borderId="0" xfId="0" applyNumberFormat="1" applyFont="1"/>
    <xf numFmtId="165" fontId="13" fillId="0" borderId="0" xfId="1" applyNumberFormat="1" applyFont="1"/>
    <xf numFmtId="165" fontId="13" fillId="0" borderId="0" xfId="0" applyNumberFormat="1" applyFont="1"/>
    <xf numFmtId="165" fontId="13" fillId="0" borderId="0" xfId="0" applyNumberFormat="1" applyFont="1"/>
    <xf numFmtId="165" fontId="13" fillId="0" borderId="0" xfId="0" applyNumberFormat="1" applyFont="1"/>
    <xf numFmtId="168" fontId="43" fillId="0" borderId="0" xfId="0" applyNumberFormat="1" applyFont="1" applyFill="1" applyBorder="1" applyAlignment="1">
      <alignment horizontal="right"/>
    </xf>
    <xf numFmtId="168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43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5" fontId="15" fillId="0" borderId="0" xfId="1" applyNumberFormat="1" applyFont="1"/>
    <xf numFmtId="0" fontId="48" fillId="0" borderId="0" xfId="0" applyFont="1"/>
    <xf numFmtId="170" fontId="0" fillId="0" borderId="0" xfId="0" applyNumberFormat="1"/>
    <xf numFmtId="0" fontId="43" fillId="0" borderId="0" xfId="0" applyFont="1"/>
    <xf numFmtId="3" fontId="43" fillId="0" borderId="0" xfId="0" applyNumberFormat="1" applyFont="1"/>
    <xf numFmtId="170" fontId="43" fillId="0" borderId="0" xfId="0" applyNumberFormat="1" applyFont="1"/>
    <xf numFmtId="165" fontId="43" fillId="0" borderId="0" xfId="1" applyNumberFormat="1" applyFont="1"/>
    <xf numFmtId="165" fontId="43" fillId="0" borderId="0" xfId="0" applyNumberFormat="1" applyFont="1"/>
    <xf numFmtId="169" fontId="0" fillId="0" borderId="0" xfId="1" applyNumberFormat="1" applyFont="1"/>
    <xf numFmtId="169" fontId="43" fillId="0" borderId="0" xfId="0" applyNumberFormat="1" applyFont="1"/>
    <xf numFmtId="169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70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8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0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5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5" fontId="21" fillId="0" borderId="11" xfId="0" applyNumberFormat="1" applyFont="1" applyBorder="1"/>
    <xf numFmtId="165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5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5" fontId="26" fillId="0" borderId="0" xfId="1" applyNumberFormat="1" applyFont="1"/>
    <xf numFmtId="165" fontId="26" fillId="0" borderId="11" xfId="1" applyNumberFormat="1" applyFont="1" applyBorder="1"/>
    <xf numFmtId="165" fontId="0" fillId="0" borderId="0" xfId="0" applyNumberFormat="1" applyFont="1"/>
    <xf numFmtId="0" fontId="0" fillId="0" borderId="0" xfId="0" applyFont="1" applyFill="1"/>
    <xf numFmtId="165" fontId="0" fillId="0" borderId="0" xfId="0" applyNumberFormat="1" applyFont="1" applyFill="1"/>
    <xf numFmtId="165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5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70" fontId="0" fillId="0" borderId="0" xfId="0" applyNumberFormat="1" applyFont="1"/>
    <xf numFmtId="169" fontId="0" fillId="0" borderId="0" xfId="0" applyNumberFormat="1" applyFont="1"/>
    <xf numFmtId="166" fontId="0" fillId="0" borderId="11" xfId="0" applyNumberFormat="1" applyFont="1" applyBorder="1"/>
    <xf numFmtId="166" fontId="0" fillId="0" borderId="11" xfId="1" applyNumberFormat="1" applyFont="1" applyBorder="1"/>
    <xf numFmtId="165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6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5" fontId="0" fillId="0" borderId="0" xfId="0" applyNumberFormat="1" applyFont="1"/>
    <xf numFmtId="3" fontId="0" fillId="0" borderId="0" xfId="0" applyNumberFormat="1" applyFont="1"/>
    <xf numFmtId="165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5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43" fontId="49" fillId="34" borderId="0" xfId="1" applyFont="1" applyFill="1"/>
    <xf numFmtId="43" fontId="26" fillId="0" borderId="11" xfId="1" applyFont="1" applyBorder="1"/>
    <xf numFmtId="0" fontId="26" fillId="0" borderId="0" xfId="0" applyFont="1" applyBorder="1"/>
    <xf numFmtId="43" fontId="26" fillId="0" borderId="0" xfId="1" applyFont="1"/>
    <xf numFmtId="43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5" fontId="26" fillId="0" borderId="0" xfId="1" applyNumberFormat="1" applyFont="1" applyFill="1"/>
    <xf numFmtId="0" fontId="49" fillId="34" borderId="14" xfId="0" applyFont="1" applyFill="1" applyBorder="1"/>
    <xf numFmtId="43" fontId="49" fillId="34" borderId="12" xfId="1" applyFont="1" applyFill="1" applyBorder="1" applyAlignment="1">
      <alignment horizontal="left"/>
    </xf>
    <xf numFmtId="17" fontId="26" fillId="0" borderId="0" xfId="0" applyNumberFormat="1" applyFont="1" applyFill="1" applyAlignment="1">
      <alignment horizontal="right"/>
    </xf>
    <xf numFmtId="43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5" fontId="49" fillId="0" borderId="0" xfId="1" applyNumberFormat="1" applyFont="1"/>
    <xf numFmtId="0" fontId="49" fillId="34" borderId="0" xfId="0" applyFont="1" applyFill="1" applyAlignment="1"/>
    <xf numFmtId="43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5" fontId="26" fillId="0" borderId="0" xfId="0" applyNumberFormat="1" applyFont="1" applyFill="1" applyAlignment="1">
      <alignment horizontal="right"/>
    </xf>
    <xf numFmtId="165" fontId="26" fillId="0" borderId="0" xfId="1" applyNumberFormat="1" applyFont="1" applyBorder="1"/>
    <xf numFmtId="43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5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5" fontId="18" fillId="0" borderId="0" xfId="0" applyNumberFormat="1" applyFont="1"/>
    <xf numFmtId="165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5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5" fontId="0" fillId="0" borderId="0" xfId="0" applyNumberFormat="1" applyFont="1"/>
    <xf numFmtId="165" fontId="20" fillId="0" borderId="0" xfId="0" applyNumberFormat="1" applyFont="1"/>
    <xf numFmtId="165" fontId="21" fillId="0" borderId="0" xfId="0" applyNumberFormat="1" applyFont="1"/>
    <xf numFmtId="165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43" fontId="13" fillId="0" borderId="0" xfId="46" applyFont="1"/>
    <xf numFmtId="43" fontId="53" fillId="0" borderId="0" xfId="46" applyFont="1" applyFill="1" applyAlignment="1"/>
    <xf numFmtId="43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5" fontId="26" fillId="0" borderId="0" xfId="0" applyNumberFormat="1" applyFont="1"/>
    <xf numFmtId="165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5" fontId="53" fillId="0" borderId="0" xfId="335" applyNumberFormat="1" applyFont="1" applyFill="1" applyAlignment="1"/>
    <xf numFmtId="165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5" fontId="53" fillId="0" borderId="0" xfId="573" applyNumberFormat="1" applyFont="1" applyFill="1" applyAlignment="1"/>
    <xf numFmtId="165" fontId="5" fillId="0" borderId="0" xfId="573" applyNumberFormat="1" applyFont="1" applyFill="1"/>
    <xf numFmtId="165" fontId="53" fillId="0" borderId="0" xfId="46" applyNumberFormat="1" applyFont="1" applyFill="1" applyAlignment="1"/>
    <xf numFmtId="165" fontId="5" fillId="0" borderId="0" xfId="46" applyNumberFormat="1" applyFont="1" applyFill="1"/>
    <xf numFmtId="43" fontId="5" fillId="0" borderId="0" xfId="573" applyNumberFormat="1" applyFont="1" applyFill="1"/>
    <xf numFmtId="43" fontId="53" fillId="0" borderId="0" xfId="573" applyFont="1" applyFill="1" applyAlignment="1"/>
    <xf numFmtId="43" fontId="5" fillId="0" borderId="0" xfId="573" applyFont="1" applyFill="1"/>
    <xf numFmtId="43" fontId="0" fillId="0" borderId="0" xfId="46" applyFont="1"/>
    <xf numFmtId="165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5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5" fontId="26" fillId="0" borderId="11" xfId="0" applyNumberFormat="1" applyFont="1" applyBorder="1"/>
    <xf numFmtId="10" fontId="26" fillId="0" borderId="11" xfId="43" applyNumberFormat="1" applyFont="1" applyBorder="1"/>
    <xf numFmtId="165" fontId="26" fillId="0" borderId="11" xfId="0" applyNumberFormat="1" applyFont="1" applyFill="1" applyBorder="1"/>
    <xf numFmtId="165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5" fontId="26" fillId="0" borderId="0" xfId="0" applyNumberFormat="1" applyFont="1" applyAlignment="1">
      <alignment horizontal="right"/>
    </xf>
    <xf numFmtId="0" fontId="49" fillId="0" borderId="11" xfId="0" applyFont="1" applyBorder="1"/>
    <xf numFmtId="165" fontId="49" fillId="0" borderId="11" xfId="0" applyNumberFormat="1" applyFont="1" applyBorder="1"/>
    <xf numFmtId="165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5" fontId="58" fillId="0" borderId="0" xfId="0" applyNumberFormat="1" applyFont="1" applyFill="1"/>
    <xf numFmtId="165" fontId="56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165" fontId="26" fillId="0" borderId="0" xfId="0" applyNumberFormat="1" applyFont="1" applyFill="1" applyAlignment="1"/>
    <xf numFmtId="0" fontId="59" fillId="0" borderId="0" xfId="0" applyFont="1"/>
    <xf numFmtId="165" fontId="60" fillId="0" borderId="0" xfId="0" applyNumberFormat="1" applyFont="1"/>
    <xf numFmtId="165" fontId="57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5" fontId="55" fillId="0" borderId="0" xfId="0" applyNumberFormat="1" applyFont="1"/>
    <xf numFmtId="3" fontId="49" fillId="34" borderId="0" xfId="0" applyNumberFormat="1" applyFont="1" applyFill="1"/>
    <xf numFmtId="166" fontId="26" fillId="0" borderId="0" xfId="0" applyNumberFormat="1" applyFont="1" applyAlignment="1">
      <alignment horizontal="right"/>
    </xf>
    <xf numFmtId="9" fontId="26" fillId="0" borderId="0" xfId="0" applyNumberFormat="1" applyFont="1"/>
    <xf numFmtId="10" fontId="49" fillId="0" borderId="0" xfId="43" applyNumberFormat="1" applyFont="1"/>
    <xf numFmtId="166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5" fontId="49" fillId="34" borderId="0" xfId="0" applyNumberFormat="1" applyFont="1" applyFill="1"/>
    <xf numFmtId="165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8" fontId="49" fillId="34" borderId="12" xfId="0" applyNumberFormat="1" applyFont="1" applyFill="1" applyBorder="1" applyAlignment="1">
      <alignment horizontal="right"/>
    </xf>
    <xf numFmtId="168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5" fontId="26" fillId="0" borderId="0" xfId="0" applyNumberFormat="1" applyFont="1" applyFill="1" applyBorder="1" applyAlignment="1">
      <alignment horizontal="right"/>
    </xf>
    <xf numFmtId="165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5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5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5" fontId="4" fillId="0" borderId="0" xfId="1087" applyNumberFormat="1" applyFont="1" applyFill="1"/>
    <xf numFmtId="43" fontId="4" fillId="0" borderId="0" xfId="1087" applyNumberFormat="1" applyFont="1" applyFill="1"/>
    <xf numFmtId="165" fontId="26" fillId="0" borderId="0" xfId="0" applyNumberFormat="1" applyFont="1" applyFill="1"/>
    <xf numFmtId="165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164" fontId="0" fillId="0" borderId="0" xfId="0" applyNumberFormat="1" applyFont="1"/>
    <xf numFmtId="165" fontId="26" fillId="0" borderId="0" xfId="0" applyNumberFormat="1" applyFont="1" applyFill="1"/>
    <xf numFmtId="10" fontId="26" fillId="0" borderId="0" xfId="43" applyNumberFormat="1" applyFont="1" applyFill="1"/>
    <xf numFmtId="165" fontId="26" fillId="0" borderId="0" xfId="0" applyNumberFormat="1" applyFont="1" applyFill="1" applyBorder="1" applyAlignment="1">
      <alignment horizontal="right"/>
    </xf>
    <xf numFmtId="0" fontId="50" fillId="0" borderId="0" xfId="0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165" fontId="49" fillId="0" borderId="0" xfId="0" applyNumberFormat="1" applyFont="1" applyAlignment="1">
      <alignment horizontal="center"/>
    </xf>
    <xf numFmtId="165" fontId="59" fillId="34" borderId="14" xfId="0" quotePrefix="1" applyNumberFormat="1" applyFont="1" applyFill="1" applyBorder="1" applyAlignment="1">
      <alignment horizontal="right"/>
    </xf>
    <xf numFmtId="165" fontId="59" fillId="34" borderId="0" xfId="0" quotePrefix="1" applyNumberFormat="1" applyFont="1" applyFill="1" applyBorder="1" applyAlignment="1">
      <alignment horizontal="right"/>
    </xf>
    <xf numFmtId="165" fontId="59" fillId="34" borderId="12" xfId="0" quotePrefix="1" applyNumberFormat="1" applyFont="1" applyFill="1" applyBorder="1" applyAlignment="1">
      <alignment horizontal="right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165" fontId="26" fillId="0" borderId="0" xfId="0" applyNumberFormat="1" applyFont="1" applyFill="1" applyAlignment="1">
      <alignment horizontal="center"/>
    </xf>
    <xf numFmtId="0" fontId="49" fillId="34" borderId="13" xfId="0" applyFont="1" applyFill="1" applyBorder="1" applyAlignment="1">
      <alignment horizont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43" fontId="49" fillId="34" borderId="0" xfId="1" applyFont="1" applyFill="1" applyBorder="1" applyAlignment="1">
      <alignment horizontal="right" wrapText="1"/>
    </xf>
    <xf numFmtId="43" fontId="49" fillId="34" borderId="12" xfId="1" applyFont="1" applyFill="1" applyBorder="1" applyAlignment="1">
      <alignment horizontal="right" wrapText="1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horizontal="center"/>
    </xf>
    <xf numFmtId="0" fontId="62" fillId="0" borderId="0" xfId="0" applyFont="1"/>
  </cellXfs>
  <cellStyles count="2148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3" xfId="1512"/>
    <cellStyle name="Comma 10 3" xfId="725"/>
    <cellStyle name="Comma 10 3 2" xfId="1769"/>
    <cellStyle name="Comma 10 4" xfId="1249"/>
    <cellStyle name="Comma 11" xfId="70"/>
    <cellStyle name="Comma 11 2" xfId="357"/>
    <cellStyle name="Comma 11 2 2" xfId="871"/>
    <cellStyle name="Comma 11 2 2 2" xfId="1915"/>
    <cellStyle name="Comma 11 2 3" xfId="1401"/>
    <cellStyle name="Comma 11 3" xfId="614"/>
    <cellStyle name="Comma 11 3 2" xfId="1658"/>
    <cellStyle name="Comma 11 4" xfId="1130"/>
    <cellStyle name="Comma 12" xfId="1103"/>
    <cellStyle name="Comma 2" xfId="45"/>
    <cellStyle name="Comma 2 10" xfId="72"/>
    <cellStyle name="Comma 2 10 2" xfId="359"/>
    <cellStyle name="Comma 2 10 2 2" xfId="873"/>
    <cellStyle name="Comma 2 10 2 2 2" xfId="1917"/>
    <cellStyle name="Comma 2 10 2 3" xfId="1403"/>
    <cellStyle name="Comma 2 10 3" xfId="616"/>
    <cellStyle name="Comma 2 10 3 2" xfId="1660"/>
    <cellStyle name="Comma 2 10 4" xfId="1132"/>
    <cellStyle name="Comma 2 11" xfId="333"/>
    <cellStyle name="Comma 2 11 2" xfId="847"/>
    <cellStyle name="Comma 2 11 2 2" xfId="1891"/>
    <cellStyle name="Comma 2 11 3" xfId="1377"/>
    <cellStyle name="Comma 2 12" xfId="590"/>
    <cellStyle name="Comma 2 12 2" xfId="1634"/>
    <cellStyle name="Comma 2 13" xfId="1105"/>
    <cellStyle name="Comma 2 2" xfId="48"/>
    <cellStyle name="Comma 2 2 10" xfId="335"/>
    <cellStyle name="Comma 2 2 10 2" xfId="849"/>
    <cellStyle name="Comma 2 2 10 2 2" xfId="1893"/>
    <cellStyle name="Comma 2 2 10 3" xfId="1379"/>
    <cellStyle name="Comma 2 2 11" xfId="592"/>
    <cellStyle name="Comma 2 2 11 2" xfId="1636"/>
    <cellStyle name="Comma 2 2 12" xfId="1108"/>
    <cellStyle name="Comma 2 2 2" xfId="53"/>
    <cellStyle name="Comma 2 2 2 10" xfId="111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3" xfId="1616"/>
    <cellStyle name="Comma 2 2 2 2 2 2 2 3" xfId="829"/>
    <cellStyle name="Comma 2 2 2 2 2 2 2 3 2" xfId="1873"/>
    <cellStyle name="Comma 2 2 2 2 2 2 2 4" xfId="1359"/>
    <cellStyle name="Comma 2 2 2 2 2 2 3" xfId="464"/>
    <cellStyle name="Comma 2 2 2 2 2 2 3 2" xfId="978"/>
    <cellStyle name="Comma 2 2 2 2 2 2 3 2 2" xfId="2022"/>
    <cellStyle name="Comma 2 2 2 2 2 2 3 3" xfId="1508"/>
    <cellStyle name="Comma 2 2 2 2 2 2 4" xfId="721"/>
    <cellStyle name="Comma 2 2 2 2 2 2 4 2" xfId="1765"/>
    <cellStyle name="Comma 2 2 2 2 2 2 5" xfId="1245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3" xfId="1580"/>
    <cellStyle name="Comma 2 2 2 2 2 3 2 3" xfId="793"/>
    <cellStyle name="Comma 2 2 2 2 2 3 2 3 2" xfId="1837"/>
    <cellStyle name="Comma 2 2 2 2 2 3 2 4" xfId="1321"/>
    <cellStyle name="Comma 2 2 2 2 2 3 3" xfId="428"/>
    <cellStyle name="Comma 2 2 2 2 2 3 3 2" xfId="942"/>
    <cellStyle name="Comma 2 2 2 2 2 3 3 2 2" xfId="1986"/>
    <cellStyle name="Comma 2 2 2 2 2 3 3 3" xfId="1472"/>
    <cellStyle name="Comma 2 2 2 2 2 3 4" xfId="685"/>
    <cellStyle name="Comma 2 2 2 2 2 3 4 2" xfId="1729"/>
    <cellStyle name="Comma 2 2 2 2 2 3 5" xfId="1207"/>
    <cellStyle name="Comma 2 2 2 2 2 4" xfId="232"/>
    <cellStyle name="Comma 2 2 2 2 2 4 2" xfId="500"/>
    <cellStyle name="Comma 2 2 2 2 2 4 2 2" xfId="1014"/>
    <cellStyle name="Comma 2 2 2 2 2 4 2 2 2" xfId="2058"/>
    <cellStyle name="Comma 2 2 2 2 2 4 2 3" xfId="1544"/>
    <cellStyle name="Comma 2 2 2 2 2 4 3" xfId="757"/>
    <cellStyle name="Comma 2 2 2 2 2 4 3 2" xfId="1801"/>
    <cellStyle name="Comma 2 2 2 2 2 4 4" xfId="1283"/>
    <cellStyle name="Comma 2 2 2 2 2 5" xfId="392"/>
    <cellStyle name="Comma 2 2 2 2 2 5 2" xfId="906"/>
    <cellStyle name="Comma 2 2 2 2 2 5 2 2" xfId="1950"/>
    <cellStyle name="Comma 2 2 2 2 2 5 3" xfId="1436"/>
    <cellStyle name="Comma 2 2 2 2 2 6" xfId="649"/>
    <cellStyle name="Comma 2 2 2 2 2 6 2" xfId="1693"/>
    <cellStyle name="Comma 2 2 2 2 2 7" xfId="1169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3" xfId="1598"/>
    <cellStyle name="Comma 2 2 2 2 3 2 3" xfId="811"/>
    <cellStyle name="Comma 2 2 2 2 3 2 3 2" xfId="1855"/>
    <cellStyle name="Comma 2 2 2 2 3 2 4" xfId="1340"/>
    <cellStyle name="Comma 2 2 2 2 3 3" xfId="446"/>
    <cellStyle name="Comma 2 2 2 2 3 3 2" xfId="960"/>
    <cellStyle name="Comma 2 2 2 2 3 3 2 2" xfId="2004"/>
    <cellStyle name="Comma 2 2 2 2 3 3 3" xfId="1490"/>
    <cellStyle name="Comma 2 2 2 2 3 4" xfId="703"/>
    <cellStyle name="Comma 2 2 2 2 3 4 2" xfId="1747"/>
    <cellStyle name="Comma 2 2 2 2 3 5" xfId="1226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3" xfId="1562"/>
    <cellStyle name="Comma 2 2 2 2 4 2 3" xfId="775"/>
    <cellStyle name="Comma 2 2 2 2 4 2 3 2" xfId="1819"/>
    <cellStyle name="Comma 2 2 2 2 4 2 4" xfId="1302"/>
    <cellStyle name="Comma 2 2 2 2 4 3" xfId="410"/>
    <cellStyle name="Comma 2 2 2 2 4 3 2" xfId="924"/>
    <cellStyle name="Comma 2 2 2 2 4 3 2 2" xfId="1968"/>
    <cellStyle name="Comma 2 2 2 2 4 3 3" xfId="1454"/>
    <cellStyle name="Comma 2 2 2 2 4 4" xfId="667"/>
    <cellStyle name="Comma 2 2 2 2 4 4 2" xfId="1711"/>
    <cellStyle name="Comma 2 2 2 2 4 5" xfId="1188"/>
    <cellStyle name="Comma 2 2 2 2 5" xfId="212"/>
    <cellStyle name="Comma 2 2 2 2 5 2" xfId="482"/>
    <cellStyle name="Comma 2 2 2 2 5 2 2" xfId="996"/>
    <cellStyle name="Comma 2 2 2 2 5 2 2 2" xfId="2040"/>
    <cellStyle name="Comma 2 2 2 2 5 2 3" xfId="1526"/>
    <cellStyle name="Comma 2 2 2 2 5 3" xfId="739"/>
    <cellStyle name="Comma 2 2 2 2 5 3 2" xfId="1783"/>
    <cellStyle name="Comma 2 2 2 2 5 4" xfId="1264"/>
    <cellStyle name="Comma 2 2 2 2 6" xfId="90"/>
    <cellStyle name="Comma 2 2 2 2 6 2" xfId="374"/>
    <cellStyle name="Comma 2 2 2 2 6 2 2" xfId="888"/>
    <cellStyle name="Comma 2 2 2 2 6 2 2 2" xfId="1932"/>
    <cellStyle name="Comma 2 2 2 2 6 2 3" xfId="1418"/>
    <cellStyle name="Comma 2 2 2 2 6 3" xfId="631"/>
    <cellStyle name="Comma 2 2 2 2 6 3 2" xfId="1675"/>
    <cellStyle name="Comma 2 2 2 2 6 4" xfId="1150"/>
    <cellStyle name="Comma 2 2 2 2 7" xfId="353"/>
    <cellStyle name="Comma 2 2 2 2 7 2" xfId="867"/>
    <cellStyle name="Comma 2 2 2 2 7 2 2" xfId="1911"/>
    <cellStyle name="Comma 2 2 2 2 7 3" xfId="1397"/>
    <cellStyle name="Comma 2 2 2 2 8" xfId="610"/>
    <cellStyle name="Comma 2 2 2 2 8 2" xfId="1654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3" xfId="1607"/>
    <cellStyle name="Comma 2 2 2 3 2 2 3" xfId="820"/>
    <cellStyle name="Comma 2 2 2 3 2 2 3 2" xfId="1864"/>
    <cellStyle name="Comma 2 2 2 3 2 2 4" xfId="1349"/>
    <cellStyle name="Comma 2 2 2 3 2 3" xfId="455"/>
    <cellStyle name="Comma 2 2 2 3 2 3 2" xfId="969"/>
    <cellStyle name="Comma 2 2 2 3 2 3 2 2" xfId="2013"/>
    <cellStyle name="Comma 2 2 2 3 2 3 3" xfId="1499"/>
    <cellStyle name="Comma 2 2 2 3 2 4" xfId="712"/>
    <cellStyle name="Comma 2 2 2 3 2 4 2" xfId="1756"/>
    <cellStyle name="Comma 2 2 2 3 2 5" xfId="1235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3" xfId="1571"/>
    <cellStyle name="Comma 2 2 2 3 3 2 3" xfId="784"/>
    <cellStyle name="Comma 2 2 2 3 3 2 3 2" xfId="1828"/>
    <cellStyle name="Comma 2 2 2 3 3 2 4" xfId="1311"/>
    <cellStyle name="Comma 2 2 2 3 3 3" xfId="419"/>
    <cellStyle name="Comma 2 2 2 3 3 3 2" xfId="933"/>
    <cellStyle name="Comma 2 2 2 3 3 3 2 2" xfId="1977"/>
    <cellStyle name="Comma 2 2 2 3 3 3 3" xfId="1463"/>
    <cellStyle name="Comma 2 2 2 3 3 4" xfId="676"/>
    <cellStyle name="Comma 2 2 2 3 3 4 2" xfId="1720"/>
    <cellStyle name="Comma 2 2 2 3 3 5" xfId="1197"/>
    <cellStyle name="Comma 2 2 2 3 4" xfId="222"/>
    <cellStyle name="Comma 2 2 2 3 4 2" xfId="491"/>
    <cellStyle name="Comma 2 2 2 3 4 2 2" xfId="1005"/>
    <cellStyle name="Comma 2 2 2 3 4 2 2 2" xfId="2049"/>
    <cellStyle name="Comma 2 2 2 3 4 2 3" xfId="1535"/>
    <cellStyle name="Comma 2 2 2 3 4 3" xfId="748"/>
    <cellStyle name="Comma 2 2 2 3 4 3 2" xfId="1792"/>
    <cellStyle name="Comma 2 2 2 3 4 4" xfId="1273"/>
    <cellStyle name="Comma 2 2 2 3 5" xfId="383"/>
    <cellStyle name="Comma 2 2 2 3 5 2" xfId="897"/>
    <cellStyle name="Comma 2 2 2 3 5 2 2" xfId="1941"/>
    <cellStyle name="Comma 2 2 2 3 5 3" xfId="1427"/>
    <cellStyle name="Comma 2 2 2 3 6" xfId="640"/>
    <cellStyle name="Comma 2 2 2 3 6 2" xfId="1684"/>
    <cellStyle name="Comma 2 2 2 3 7" xfId="1159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3" xfId="1589"/>
    <cellStyle name="Comma 2 2 2 4 2 3" xfId="802"/>
    <cellStyle name="Comma 2 2 2 4 2 3 2" xfId="1846"/>
    <cellStyle name="Comma 2 2 2 4 2 4" xfId="1330"/>
    <cellStyle name="Comma 2 2 2 4 3" xfId="437"/>
    <cellStyle name="Comma 2 2 2 4 3 2" xfId="951"/>
    <cellStyle name="Comma 2 2 2 4 3 2 2" xfId="1995"/>
    <cellStyle name="Comma 2 2 2 4 3 3" xfId="1481"/>
    <cellStyle name="Comma 2 2 2 4 4" xfId="694"/>
    <cellStyle name="Comma 2 2 2 4 4 2" xfId="1738"/>
    <cellStyle name="Comma 2 2 2 4 5" xfId="1216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3" xfId="1553"/>
    <cellStyle name="Comma 2 2 2 5 2 3" xfId="766"/>
    <cellStyle name="Comma 2 2 2 5 2 3 2" xfId="1810"/>
    <cellStyle name="Comma 2 2 2 5 2 4" xfId="1292"/>
    <cellStyle name="Comma 2 2 2 5 3" xfId="401"/>
    <cellStyle name="Comma 2 2 2 5 3 2" xfId="915"/>
    <cellStyle name="Comma 2 2 2 5 3 2 2" xfId="1959"/>
    <cellStyle name="Comma 2 2 2 5 3 3" xfId="1445"/>
    <cellStyle name="Comma 2 2 2 5 4" xfId="658"/>
    <cellStyle name="Comma 2 2 2 5 4 2" xfId="1702"/>
    <cellStyle name="Comma 2 2 2 5 5" xfId="1178"/>
    <cellStyle name="Comma 2 2 2 6" xfId="202"/>
    <cellStyle name="Comma 2 2 2 6 2" xfId="473"/>
    <cellStyle name="Comma 2 2 2 6 2 2" xfId="987"/>
    <cellStyle name="Comma 2 2 2 6 2 2 2" xfId="2031"/>
    <cellStyle name="Comma 2 2 2 6 2 3" xfId="1517"/>
    <cellStyle name="Comma 2 2 2 6 3" xfId="730"/>
    <cellStyle name="Comma 2 2 2 6 3 2" xfId="1774"/>
    <cellStyle name="Comma 2 2 2 6 4" xfId="1254"/>
    <cellStyle name="Comma 2 2 2 7" xfId="76"/>
    <cellStyle name="Comma 2 2 2 7 2" xfId="363"/>
    <cellStyle name="Comma 2 2 2 7 2 2" xfId="877"/>
    <cellStyle name="Comma 2 2 2 7 2 2 2" xfId="1921"/>
    <cellStyle name="Comma 2 2 2 7 2 3" xfId="1407"/>
    <cellStyle name="Comma 2 2 2 7 3" xfId="620"/>
    <cellStyle name="Comma 2 2 2 7 3 2" xfId="1664"/>
    <cellStyle name="Comma 2 2 2 7 4" xfId="1136"/>
    <cellStyle name="Comma 2 2 2 8" xfId="340"/>
    <cellStyle name="Comma 2 2 2 8 2" xfId="854"/>
    <cellStyle name="Comma 2 2 2 8 2 2" xfId="1898"/>
    <cellStyle name="Comma 2 2 2 8 3" xfId="1384"/>
    <cellStyle name="Comma 2 2 2 9" xfId="597"/>
    <cellStyle name="Comma 2 2 2 9 2" xfId="1641"/>
    <cellStyle name="Comma 2 2 3" xfId="61"/>
    <cellStyle name="Comma 2 2 3 10" xfId="112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3" xfId="1619"/>
    <cellStyle name="Comma 2 2 3 2 2 2 2 3" xfId="832"/>
    <cellStyle name="Comma 2 2 3 2 2 2 2 3 2" xfId="1876"/>
    <cellStyle name="Comma 2 2 3 2 2 2 2 4" xfId="1362"/>
    <cellStyle name="Comma 2 2 3 2 2 2 3" xfId="467"/>
    <cellStyle name="Comma 2 2 3 2 2 2 3 2" xfId="981"/>
    <cellStyle name="Comma 2 2 3 2 2 2 3 2 2" xfId="2025"/>
    <cellStyle name="Comma 2 2 3 2 2 2 3 3" xfId="1511"/>
    <cellStyle name="Comma 2 2 3 2 2 2 4" xfId="724"/>
    <cellStyle name="Comma 2 2 3 2 2 2 4 2" xfId="1768"/>
    <cellStyle name="Comma 2 2 3 2 2 2 5" xfId="1248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3" xfId="1583"/>
    <cellStyle name="Comma 2 2 3 2 2 3 2 3" xfId="796"/>
    <cellStyle name="Comma 2 2 3 2 2 3 2 3 2" xfId="1840"/>
    <cellStyle name="Comma 2 2 3 2 2 3 2 4" xfId="1324"/>
    <cellStyle name="Comma 2 2 3 2 2 3 3" xfId="431"/>
    <cellStyle name="Comma 2 2 3 2 2 3 3 2" xfId="945"/>
    <cellStyle name="Comma 2 2 3 2 2 3 3 2 2" xfId="1989"/>
    <cellStyle name="Comma 2 2 3 2 2 3 3 3" xfId="1475"/>
    <cellStyle name="Comma 2 2 3 2 2 3 4" xfId="688"/>
    <cellStyle name="Comma 2 2 3 2 2 3 4 2" xfId="1732"/>
    <cellStyle name="Comma 2 2 3 2 2 3 5" xfId="1210"/>
    <cellStyle name="Comma 2 2 3 2 2 4" xfId="235"/>
    <cellStyle name="Comma 2 2 3 2 2 4 2" xfId="503"/>
    <cellStyle name="Comma 2 2 3 2 2 4 2 2" xfId="1017"/>
    <cellStyle name="Comma 2 2 3 2 2 4 2 2 2" xfId="2061"/>
    <cellStyle name="Comma 2 2 3 2 2 4 2 3" xfId="1547"/>
    <cellStyle name="Comma 2 2 3 2 2 4 3" xfId="760"/>
    <cellStyle name="Comma 2 2 3 2 2 4 3 2" xfId="1804"/>
    <cellStyle name="Comma 2 2 3 2 2 4 4" xfId="1286"/>
    <cellStyle name="Comma 2 2 3 2 2 5" xfId="395"/>
    <cellStyle name="Comma 2 2 3 2 2 5 2" xfId="909"/>
    <cellStyle name="Comma 2 2 3 2 2 5 2 2" xfId="1953"/>
    <cellStyle name="Comma 2 2 3 2 2 5 3" xfId="1439"/>
    <cellStyle name="Comma 2 2 3 2 2 6" xfId="652"/>
    <cellStyle name="Comma 2 2 3 2 2 6 2" xfId="1696"/>
    <cellStyle name="Comma 2 2 3 2 2 7" xfId="1172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3" xfId="1601"/>
    <cellStyle name="Comma 2 2 3 2 3 2 3" xfId="814"/>
    <cellStyle name="Comma 2 2 3 2 3 2 3 2" xfId="1858"/>
    <cellStyle name="Comma 2 2 3 2 3 2 4" xfId="1343"/>
    <cellStyle name="Comma 2 2 3 2 3 3" xfId="449"/>
    <cellStyle name="Comma 2 2 3 2 3 3 2" xfId="963"/>
    <cellStyle name="Comma 2 2 3 2 3 3 2 2" xfId="2007"/>
    <cellStyle name="Comma 2 2 3 2 3 3 3" xfId="1493"/>
    <cellStyle name="Comma 2 2 3 2 3 4" xfId="706"/>
    <cellStyle name="Comma 2 2 3 2 3 4 2" xfId="1750"/>
    <cellStyle name="Comma 2 2 3 2 3 5" xfId="1229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3" xfId="1565"/>
    <cellStyle name="Comma 2 2 3 2 4 2 3" xfId="778"/>
    <cellStyle name="Comma 2 2 3 2 4 2 3 2" xfId="1822"/>
    <cellStyle name="Comma 2 2 3 2 4 2 4" xfId="1305"/>
    <cellStyle name="Comma 2 2 3 2 4 3" xfId="413"/>
    <cellStyle name="Comma 2 2 3 2 4 3 2" xfId="927"/>
    <cellStyle name="Comma 2 2 3 2 4 3 2 2" xfId="1971"/>
    <cellStyle name="Comma 2 2 3 2 4 3 3" xfId="1457"/>
    <cellStyle name="Comma 2 2 3 2 4 4" xfId="670"/>
    <cellStyle name="Comma 2 2 3 2 4 4 2" xfId="1714"/>
    <cellStyle name="Comma 2 2 3 2 4 5" xfId="1191"/>
    <cellStyle name="Comma 2 2 3 2 5" xfId="215"/>
    <cellStyle name="Comma 2 2 3 2 5 2" xfId="485"/>
    <cellStyle name="Comma 2 2 3 2 5 2 2" xfId="999"/>
    <cellStyle name="Comma 2 2 3 2 5 2 2 2" xfId="2043"/>
    <cellStyle name="Comma 2 2 3 2 5 2 3" xfId="1529"/>
    <cellStyle name="Comma 2 2 3 2 5 3" xfId="742"/>
    <cellStyle name="Comma 2 2 3 2 5 3 2" xfId="1786"/>
    <cellStyle name="Comma 2 2 3 2 5 4" xfId="1267"/>
    <cellStyle name="Comma 2 2 3 2 6" xfId="377"/>
    <cellStyle name="Comma 2 2 3 2 6 2" xfId="891"/>
    <cellStyle name="Comma 2 2 3 2 6 2 2" xfId="1935"/>
    <cellStyle name="Comma 2 2 3 2 6 3" xfId="1421"/>
    <cellStyle name="Comma 2 2 3 2 7" xfId="634"/>
    <cellStyle name="Comma 2 2 3 2 7 2" xfId="1678"/>
    <cellStyle name="Comma 2 2 3 2 8" xfId="1153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3" xfId="1610"/>
    <cellStyle name="Comma 2 2 3 3 2 2 3" xfId="823"/>
    <cellStyle name="Comma 2 2 3 3 2 2 3 2" xfId="1867"/>
    <cellStyle name="Comma 2 2 3 3 2 2 4" xfId="1352"/>
    <cellStyle name="Comma 2 2 3 3 2 3" xfId="458"/>
    <cellStyle name="Comma 2 2 3 3 2 3 2" xfId="972"/>
    <cellStyle name="Comma 2 2 3 3 2 3 2 2" xfId="2016"/>
    <cellStyle name="Comma 2 2 3 3 2 3 3" xfId="1502"/>
    <cellStyle name="Comma 2 2 3 3 2 4" xfId="715"/>
    <cellStyle name="Comma 2 2 3 3 2 4 2" xfId="1759"/>
    <cellStyle name="Comma 2 2 3 3 2 5" xfId="1238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3" xfId="1574"/>
    <cellStyle name="Comma 2 2 3 3 3 2 3" xfId="787"/>
    <cellStyle name="Comma 2 2 3 3 3 2 3 2" xfId="1831"/>
    <cellStyle name="Comma 2 2 3 3 3 2 4" xfId="1314"/>
    <cellStyle name="Comma 2 2 3 3 3 3" xfId="422"/>
    <cellStyle name="Comma 2 2 3 3 3 3 2" xfId="936"/>
    <cellStyle name="Comma 2 2 3 3 3 3 2 2" xfId="1980"/>
    <cellStyle name="Comma 2 2 3 3 3 3 3" xfId="1466"/>
    <cellStyle name="Comma 2 2 3 3 3 4" xfId="679"/>
    <cellStyle name="Comma 2 2 3 3 3 4 2" xfId="1723"/>
    <cellStyle name="Comma 2 2 3 3 3 5" xfId="1200"/>
    <cellStyle name="Comma 2 2 3 3 4" xfId="225"/>
    <cellStyle name="Comma 2 2 3 3 4 2" xfId="494"/>
    <cellStyle name="Comma 2 2 3 3 4 2 2" xfId="1008"/>
    <cellStyle name="Comma 2 2 3 3 4 2 2 2" xfId="2052"/>
    <cellStyle name="Comma 2 2 3 3 4 2 3" xfId="1538"/>
    <cellStyle name="Comma 2 2 3 3 4 3" xfId="751"/>
    <cellStyle name="Comma 2 2 3 3 4 3 2" xfId="1795"/>
    <cellStyle name="Comma 2 2 3 3 4 4" xfId="1276"/>
    <cellStyle name="Comma 2 2 3 3 5" xfId="386"/>
    <cellStyle name="Comma 2 2 3 3 5 2" xfId="900"/>
    <cellStyle name="Comma 2 2 3 3 5 2 2" xfId="1944"/>
    <cellStyle name="Comma 2 2 3 3 5 3" xfId="1430"/>
    <cellStyle name="Comma 2 2 3 3 6" xfId="643"/>
    <cellStyle name="Comma 2 2 3 3 6 2" xfId="1687"/>
    <cellStyle name="Comma 2 2 3 3 7" xfId="1162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3" xfId="1592"/>
    <cellStyle name="Comma 2 2 3 4 2 3" xfId="805"/>
    <cellStyle name="Comma 2 2 3 4 2 3 2" xfId="1849"/>
    <cellStyle name="Comma 2 2 3 4 2 4" xfId="1333"/>
    <cellStyle name="Comma 2 2 3 4 3" xfId="440"/>
    <cellStyle name="Comma 2 2 3 4 3 2" xfId="954"/>
    <cellStyle name="Comma 2 2 3 4 3 2 2" xfId="1998"/>
    <cellStyle name="Comma 2 2 3 4 3 3" xfId="1484"/>
    <cellStyle name="Comma 2 2 3 4 4" xfId="697"/>
    <cellStyle name="Comma 2 2 3 4 4 2" xfId="1741"/>
    <cellStyle name="Comma 2 2 3 4 5" xfId="1219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3" xfId="1556"/>
    <cellStyle name="Comma 2 2 3 5 2 3" xfId="769"/>
    <cellStyle name="Comma 2 2 3 5 2 3 2" xfId="1813"/>
    <cellStyle name="Comma 2 2 3 5 2 4" xfId="1295"/>
    <cellStyle name="Comma 2 2 3 5 3" xfId="404"/>
    <cellStyle name="Comma 2 2 3 5 3 2" xfId="918"/>
    <cellStyle name="Comma 2 2 3 5 3 2 2" xfId="1962"/>
    <cellStyle name="Comma 2 2 3 5 3 3" xfId="1448"/>
    <cellStyle name="Comma 2 2 3 5 4" xfId="661"/>
    <cellStyle name="Comma 2 2 3 5 4 2" xfId="1705"/>
    <cellStyle name="Comma 2 2 3 5 5" xfId="1181"/>
    <cellStyle name="Comma 2 2 3 6" xfId="205"/>
    <cellStyle name="Comma 2 2 3 6 2" xfId="476"/>
    <cellStyle name="Comma 2 2 3 6 2 2" xfId="990"/>
    <cellStyle name="Comma 2 2 3 6 2 2 2" xfId="2034"/>
    <cellStyle name="Comma 2 2 3 6 2 3" xfId="1520"/>
    <cellStyle name="Comma 2 2 3 6 3" xfId="733"/>
    <cellStyle name="Comma 2 2 3 6 3 2" xfId="1777"/>
    <cellStyle name="Comma 2 2 3 6 4" xfId="1257"/>
    <cellStyle name="Comma 2 2 3 7" xfId="79"/>
    <cellStyle name="Comma 2 2 3 7 2" xfId="366"/>
    <cellStyle name="Comma 2 2 3 7 2 2" xfId="880"/>
    <cellStyle name="Comma 2 2 3 7 2 2 2" xfId="1924"/>
    <cellStyle name="Comma 2 2 3 7 2 3" xfId="1410"/>
    <cellStyle name="Comma 2 2 3 7 3" xfId="623"/>
    <cellStyle name="Comma 2 2 3 7 3 2" xfId="1667"/>
    <cellStyle name="Comma 2 2 3 7 4" xfId="1139"/>
    <cellStyle name="Comma 2 2 3 8" xfId="348"/>
    <cellStyle name="Comma 2 2 3 8 2" xfId="862"/>
    <cellStyle name="Comma 2 2 3 8 2 2" xfId="1906"/>
    <cellStyle name="Comma 2 2 3 8 3" xfId="1392"/>
    <cellStyle name="Comma 2 2 3 9" xfId="605"/>
    <cellStyle name="Comma 2 2 3 9 2" xfId="164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3" xfId="1613"/>
    <cellStyle name="Comma 2 2 4 2 2 2 3" xfId="826"/>
    <cellStyle name="Comma 2 2 4 2 2 2 3 2" xfId="1870"/>
    <cellStyle name="Comma 2 2 4 2 2 2 4" xfId="1356"/>
    <cellStyle name="Comma 2 2 4 2 2 3" xfId="461"/>
    <cellStyle name="Comma 2 2 4 2 2 3 2" xfId="975"/>
    <cellStyle name="Comma 2 2 4 2 2 3 2 2" xfId="2019"/>
    <cellStyle name="Comma 2 2 4 2 2 3 3" xfId="1505"/>
    <cellStyle name="Comma 2 2 4 2 2 4" xfId="718"/>
    <cellStyle name="Comma 2 2 4 2 2 4 2" xfId="1762"/>
    <cellStyle name="Comma 2 2 4 2 2 5" xfId="1242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3" xfId="1577"/>
    <cellStyle name="Comma 2 2 4 2 3 2 3" xfId="790"/>
    <cellStyle name="Comma 2 2 4 2 3 2 3 2" xfId="1834"/>
    <cellStyle name="Comma 2 2 4 2 3 2 4" xfId="1318"/>
    <cellStyle name="Comma 2 2 4 2 3 3" xfId="425"/>
    <cellStyle name="Comma 2 2 4 2 3 3 2" xfId="939"/>
    <cellStyle name="Comma 2 2 4 2 3 3 2 2" xfId="1983"/>
    <cellStyle name="Comma 2 2 4 2 3 3 3" xfId="1469"/>
    <cellStyle name="Comma 2 2 4 2 3 4" xfId="682"/>
    <cellStyle name="Comma 2 2 4 2 3 4 2" xfId="1726"/>
    <cellStyle name="Comma 2 2 4 2 3 5" xfId="1204"/>
    <cellStyle name="Comma 2 2 4 2 4" xfId="229"/>
    <cellStyle name="Comma 2 2 4 2 4 2" xfId="497"/>
    <cellStyle name="Comma 2 2 4 2 4 2 2" xfId="1011"/>
    <cellStyle name="Comma 2 2 4 2 4 2 2 2" xfId="2055"/>
    <cellStyle name="Comma 2 2 4 2 4 2 3" xfId="1541"/>
    <cellStyle name="Comma 2 2 4 2 4 3" xfId="754"/>
    <cellStyle name="Comma 2 2 4 2 4 3 2" xfId="1798"/>
    <cellStyle name="Comma 2 2 4 2 4 4" xfId="1280"/>
    <cellStyle name="Comma 2 2 4 2 5" xfId="389"/>
    <cellStyle name="Comma 2 2 4 2 5 2" xfId="903"/>
    <cellStyle name="Comma 2 2 4 2 5 2 2" xfId="1947"/>
    <cellStyle name="Comma 2 2 4 2 5 3" xfId="1433"/>
    <cellStyle name="Comma 2 2 4 2 6" xfId="646"/>
    <cellStyle name="Comma 2 2 4 2 6 2" xfId="1690"/>
    <cellStyle name="Comma 2 2 4 2 7" xfId="1166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3" xfId="1595"/>
    <cellStyle name="Comma 2 2 4 3 2 3" xfId="808"/>
    <cellStyle name="Comma 2 2 4 3 2 3 2" xfId="1852"/>
    <cellStyle name="Comma 2 2 4 3 2 4" xfId="1337"/>
    <cellStyle name="Comma 2 2 4 3 3" xfId="443"/>
    <cellStyle name="Comma 2 2 4 3 3 2" xfId="957"/>
    <cellStyle name="Comma 2 2 4 3 3 2 2" xfId="2001"/>
    <cellStyle name="Comma 2 2 4 3 3 3" xfId="1487"/>
    <cellStyle name="Comma 2 2 4 3 4" xfId="700"/>
    <cellStyle name="Comma 2 2 4 3 4 2" xfId="1744"/>
    <cellStyle name="Comma 2 2 4 3 5" xfId="1223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3" xfId="1559"/>
    <cellStyle name="Comma 2 2 4 4 2 3" xfId="772"/>
    <cellStyle name="Comma 2 2 4 4 2 3 2" xfId="1816"/>
    <cellStyle name="Comma 2 2 4 4 2 4" xfId="1299"/>
    <cellStyle name="Comma 2 2 4 4 3" xfId="407"/>
    <cellStyle name="Comma 2 2 4 4 3 2" xfId="921"/>
    <cellStyle name="Comma 2 2 4 4 3 2 2" xfId="1965"/>
    <cellStyle name="Comma 2 2 4 4 3 3" xfId="1451"/>
    <cellStyle name="Comma 2 2 4 4 4" xfId="664"/>
    <cellStyle name="Comma 2 2 4 4 4 2" xfId="1708"/>
    <cellStyle name="Comma 2 2 4 4 5" xfId="1185"/>
    <cellStyle name="Comma 2 2 4 5" xfId="209"/>
    <cellStyle name="Comma 2 2 4 5 2" xfId="479"/>
    <cellStyle name="Comma 2 2 4 5 2 2" xfId="993"/>
    <cellStyle name="Comma 2 2 4 5 2 2 2" xfId="2037"/>
    <cellStyle name="Comma 2 2 4 5 2 3" xfId="1523"/>
    <cellStyle name="Comma 2 2 4 5 3" xfId="736"/>
    <cellStyle name="Comma 2 2 4 5 3 2" xfId="1780"/>
    <cellStyle name="Comma 2 2 4 5 4" xfId="1261"/>
    <cellStyle name="Comma 2 2 4 6" xfId="371"/>
    <cellStyle name="Comma 2 2 4 6 2" xfId="885"/>
    <cellStyle name="Comma 2 2 4 6 2 2" xfId="1929"/>
    <cellStyle name="Comma 2 2 4 6 3" xfId="1415"/>
    <cellStyle name="Comma 2 2 4 7" xfId="628"/>
    <cellStyle name="Comma 2 2 4 7 2" xfId="1672"/>
    <cellStyle name="Comma 2 2 4 8" xfId="1147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3" xfId="1604"/>
    <cellStyle name="Comma 2 2 5 2 2 3" xfId="817"/>
    <cellStyle name="Comma 2 2 5 2 2 3 2" xfId="1861"/>
    <cellStyle name="Comma 2 2 5 2 2 4" xfId="1346"/>
    <cellStyle name="Comma 2 2 5 2 3" xfId="452"/>
    <cellStyle name="Comma 2 2 5 2 3 2" xfId="966"/>
    <cellStyle name="Comma 2 2 5 2 3 2 2" xfId="2010"/>
    <cellStyle name="Comma 2 2 5 2 3 3" xfId="1496"/>
    <cellStyle name="Comma 2 2 5 2 4" xfId="709"/>
    <cellStyle name="Comma 2 2 5 2 4 2" xfId="1753"/>
    <cellStyle name="Comma 2 2 5 2 5" xfId="1232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3" xfId="1568"/>
    <cellStyle name="Comma 2 2 5 3 2 3" xfId="781"/>
    <cellStyle name="Comma 2 2 5 3 2 3 2" xfId="1825"/>
    <cellStyle name="Comma 2 2 5 3 2 4" xfId="1308"/>
    <cellStyle name="Comma 2 2 5 3 3" xfId="416"/>
    <cellStyle name="Comma 2 2 5 3 3 2" xfId="930"/>
    <cellStyle name="Comma 2 2 5 3 3 2 2" xfId="1974"/>
    <cellStyle name="Comma 2 2 5 3 3 3" xfId="1460"/>
    <cellStyle name="Comma 2 2 5 3 4" xfId="673"/>
    <cellStyle name="Comma 2 2 5 3 4 2" xfId="1717"/>
    <cellStyle name="Comma 2 2 5 3 5" xfId="1194"/>
    <cellStyle name="Comma 2 2 5 4" xfId="219"/>
    <cellStyle name="Comma 2 2 5 4 2" xfId="488"/>
    <cellStyle name="Comma 2 2 5 4 2 2" xfId="1002"/>
    <cellStyle name="Comma 2 2 5 4 2 2 2" xfId="2046"/>
    <cellStyle name="Comma 2 2 5 4 2 3" xfId="1532"/>
    <cellStyle name="Comma 2 2 5 4 3" xfId="745"/>
    <cellStyle name="Comma 2 2 5 4 3 2" xfId="1789"/>
    <cellStyle name="Comma 2 2 5 4 4" xfId="1270"/>
    <cellStyle name="Comma 2 2 5 5" xfId="380"/>
    <cellStyle name="Comma 2 2 5 5 2" xfId="894"/>
    <cellStyle name="Comma 2 2 5 5 2 2" xfId="1938"/>
    <cellStyle name="Comma 2 2 5 5 3" xfId="1424"/>
    <cellStyle name="Comma 2 2 5 6" xfId="637"/>
    <cellStyle name="Comma 2 2 5 6 2" xfId="1681"/>
    <cellStyle name="Comma 2 2 5 7" xfId="1156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3" xfId="1586"/>
    <cellStyle name="Comma 2 2 6 2 3" xfId="799"/>
    <cellStyle name="Comma 2 2 6 2 3 2" xfId="1843"/>
    <cellStyle name="Comma 2 2 6 2 4" xfId="1327"/>
    <cellStyle name="Comma 2 2 6 3" xfId="434"/>
    <cellStyle name="Comma 2 2 6 3 2" xfId="948"/>
    <cellStyle name="Comma 2 2 6 3 2 2" xfId="1992"/>
    <cellStyle name="Comma 2 2 6 3 3" xfId="1478"/>
    <cellStyle name="Comma 2 2 6 4" xfId="691"/>
    <cellStyle name="Comma 2 2 6 4 2" xfId="1735"/>
    <cellStyle name="Comma 2 2 6 5" xfId="1213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3" xfId="1550"/>
    <cellStyle name="Comma 2 2 7 2 3" xfId="763"/>
    <cellStyle name="Comma 2 2 7 2 3 2" xfId="1807"/>
    <cellStyle name="Comma 2 2 7 2 4" xfId="1289"/>
    <cellStyle name="Comma 2 2 7 3" xfId="398"/>
    <cellStyle name="Comma 2 2 7 3 2" xfId="912"/>
    <cellStyle name="Comma 2 2 7 3 2 2" xfId="1956"/>
    <cellStyle name="Comma 2 2 7 3 3" xfId="1442"/>
    <cellStyle name="Comma 2 2 7 4" xfId="655"/>
    <cellStyle name="Comma 2 2 7 4 2" xfId="1699"/>
    <cellStyle name="Comma 2 2 7 5" xfId="1175"/>
    <cellStyle name="Comma 2 2 8" xfId="199"/>
    <cellStyle name="Comma 2 2 8 2" xfId="470"/>
    <cellStyle name="Comma 2 2 8 2 2" xfId="984"/>
    <cellStyle name="Comma 2 2 8 2 2 2" xfId="2028"/>
    <cellStyle name="Comma 2 2 8 2 3" xfId="1514"/>
    <cellStyle name="Comma 2 2 8 3" xfId="727"/>
    <cellStyle name="Comma 2 2 8 3 2" xfId="1771"/>
    <cellStyle name="Comma 2 2 8 4" xfId="1251"/>
    <cellStyle name="Comma 2 2 9" xfId="73"/>
    <cellStyle name="Comma 2 2 9 2" xfId="360"/>
    <cellStyle name="Comma 2 2 9 2 2" xfId="874"/>
    <cellStyle name="Comma 2 2 9 2 2 2" xfId="1918"/>
    <cellStyle name="Comma 2 2 9 2 3" xfId="1404"/>
    <cellStyle name="Comma 2 2 9 3" xfId="617"/>
    <cellStyle name="Comma 2 2 9 3 2" xfId="1661"/>
    <cellStyle name="Comma 2 2 9 4" xfId="1133"/>
    <cellStyle name="Comma 2 3" xfId="51"/>
    <cellStyle name="Comma 2 3 10" xfId="111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3" xfId="1615"/>
    <cellStyle name="Comma 2 3 2 2 2 2 3" xfId="828"/>
    <cellStyle name="Comma 2 3 2 2 2 2 3 2" xfId="1872"/>
    <cellStyle name="Comma 2 3 2 2 2 2 4" xfId="1358"/>
    <cellStyle name="Comma 2 3 2 2 2 3" xfId="463"/>
    <cellStyle name="Comma 2 3 2 2 2 3 2" xfId="977"/>
    <cellStyle name="Comma 2 3 2 2 2 3 2 2" xfId="2021"/>
    <cellStyle name="Comma 2 3 2 2 2 3 3" xfId="1507"/>
    <cellStyle name="Comma 2 3 2 2 2 4" xfId="720"/>
    <cellStyle name="Comma 2 3 2 2 2 4 2" xfId="1764"/>
    <cellStyle name="Comma 2 3 2 2 2 5" xfId="1244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3" xfId="1579"/>
    <cellStyle name="Comma 2 3 2 2 3 2 3" xfId="792"/>
    <cellStyle name="Comma 2 3 2 2 3 2 3 2" xfId="1836"/>
    <cellStyle name="Comma 2 3 2 2 3 2 4" xfId="1320"/>
    <cellStyle name="Comma 2 3 2 2 3 3" xfId="427"/>
    <cellStyle name="Comma 2 3 2 2 3 3 2" xfId="941"/>
    <cellStyle name="Comma 2 3 2 2 3 3 2 2" xfId="1985"/>
    <cellStyle name="Comma 2 3 2 2 3 3 3" xfId="1471"/>
    <cellStyle name="Comma 2 3 2 2 3 4" xfId="684"/>
    <cellStyle name="Comma 2 3 2 2 3 4 2" xfId="1728"/>
    <cellStyle name="Comma 2 3 2 2 3 5" xfId="1206"/>
    <cellStyle name="Comma 2 3 2 2 4" xfId="231"/>
    <cellStyle name="Comma 2 3 2 2 4 2" xfId="499"/>
    <cellStyle name="Comma 2 3 2 2 4 2 2" xfId="1013"/>
    <cellStyle name="Comma 2 3 2 2 4 2 2 2" xfId="2057"/>
    <cellStyle name="Comma 2 3 2 2 4 2 3" xfId="1543"/>
    <cellStyle name="Comma 2 3 2 2 4 3" xfId="756"/>
    <cellStyle name="Comma 2 3 2 2 4 3 2" xfId="1800"/>
    <cellStyle name="Comma 2 3 2 2 4 4" xfId="1282"/>
    <cellStyle name="Comma 2 3 2 2 5" xfId="391"/>
    <cellStyle name="Comma 2 3 2 2 5 2" xfId="905"/>
    <cellStyle name="Comma 2 3 2 2 5 2 2" xfId="1949"/>
    <cellStyle name="Comma 2 3 2 2 5 3" xfId="1435"/>
    <cellStyle name="Comma 2 3 2 2 6" xfId="648"/>
    <cellStyle name="Comma 2 3 2 2 6 2" xfId="1692"/>
    <cellStyle name="Comma 2 3 2 2 7" xfId="1168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3" xfId="1597"/>
    <cellStyle name="Comma 2 3 2 3 2 3" xfId="810"/>
    <cellStyle name="Comma 2 3 2 3 2 3 2" xfId="1854"/>
    <cellStyle name="Comma 2 3 2 3 2 4" xfId="1339"/>
    <cellStyle name="Comma 2 3 2 3 3" xfId="445"/>
    <cellStyle name="Comma 2 3 2 3 3 2" xfId="959"/>
    <cellStyle name="Comma 2 3 2 3 3 2 2" xfId="2003"/>
    <cellStyle name="Comma 2 3 2 3 3 3" xfId="1489"/>
    <cellStyle name="Comma 2 3 2 3 4" xfId="702"/>
    <cellStyle name="Comma 2 3 2 3 4 2" xfId="1746"/>
    <cellStyle name="Comma 2 3 2 3 5" xfId="1225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3" xfId="1561"/>
    <cellStyle name="Comma 2 3 2 4 2 3" xfId="774"/>
    <cellStyle name="Comma 2 3 2 4 2 3 2" xfId="1818"/>
    <cellStyle name="Comma 2 3 2 4 2 4" xfId="1301"/>
    <cellStyle name="Comma 2 3 2 4 3" xfId="409"/>
    <cellStyle name="Comma 2 3 2 4 3 2" xfId="923"/>
    <cellStyle name="Comma 2 3 2 4 3 2 2" xfId="1967"/>
    <cellStyle name="Comma 2 3 2 4 3 3" xfId="1453"/>
    <cellStyle name="Comma 2 3 2 4 4" xfId="666"/>
    <cellStyle name="Comma 2 3 2 4 4 2" xfId="1710"/>
    <cellStyle name="Comma 2 3 2 4 5" xfId="1187"/>
    <cellStyle name="Comma 2 3 2 5" xfId="211"/>
    <cellStyle name="Comma 2 3 2 5 2" xfId="481"/>
    <cellStyle name="Comma 2 3 2 5 2 2" xfId="995"/>
    <cellStyle name="Comma 2 3 2 5 2 2 2" xfId="2039"/>
    <cellStyle name="Comma 2 3 2 5 2 3" xfId="1525"/>
    <cellStyle name="Comma 2 3 2 5 3" xfId="738"/>
    <cellStyle name="Comma 2 3 2 5 3 2" xfId="1782"/>
    <cellStyle name="Comma 2 3 2 5 4" xfId="1263"/>
    <cellStyle name="Comma 2 3 2 6" xfId="89"/>
    <cellStyle name="Comma 2 3 2 6 2" xfId="373"/>
    <cellStyle name="Comma 2 3 2 6 2 2" xfId="887"/>
    <cellStyle name="Comma 2 3 2 6 2 2 2" xfId="1931"/>
    <cellStyle name="Comma 2 3 2 6 2 3" xfId="1417"/>
    <cellStyle name="Comma 2 3 2 6 3" xfId="630"/>
    <cellStyle name="Comma 2 3 2 6 3 2" xfId="1674"/>
    <cellStyle name="Comma 2 3 2 6 4" xfId="1149"/>
    <cellStyle name="Comma 2 3 2 7" xfId="351"/>
    <cellStyle name="Comma 2 3 2 7 2" xfId="865"/>
    <cellStyle name="Comma 2 3 2 7 2 2" xfId="1909"/>
    <cellStyle name="Comma 2 3 2 7 3" xfId="1395"/>
    <cellStyle name="Comma 2 3 2 8" xfId="608"/>
    <cellStyle name="Comma 2 3 2 8 2" xfId="1652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3" xfId="1606"/>
    <cellStyle name="Comma 2 3 3 2 2 3" xfId="819"/>
    <cellStyle name="Comma 2 3 3 2 2 3 2" xfId="1863"/>
    <cellStyle name="Comma 2 3 3 2 2 4" xfId="1348"/>
    <cellStyle name="Comma 2 3 3 2 3" xfId="454"/>
    <cellStyle name="Comma 2 3 3 2 3 2" xfId="968"/>
    <cellStyle name="Comma 2 3 3 2 3 2 2" xfId="2012"/>
    <cellStyle name="Comma 2 3 3 2 3 3" xfId="1498"/>
    <cellStyle name="Comma 2 3 3 2 4" xfId="711"/>
    <cellStyle name="Comma 2 3 3 2 4 2" xfId="1755"/>
    <cellStyle name="Comma 2 3 3 2 5" xfId="1234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3" xfId="1570"/>
    <cellStyle name="Comma 2 3 3 3 2 3" xfId="783"/>
    <cellStyle name="Comma 2 3 3 3 2 3 2" xfId="1827"/>
    <cellStyle name="Comma 2 3 3 3 2 4" xfId="1310"/>
    <cellStyle name="Comma 2 3 3 3 3" xfId="418"/>
    <cellStyle name="Comma 2 3 3 3 3 2" xfId="932"/>
    <cellStyle name="Comma 2 3 3 3 3 2 2" xfId="1976"/>
    <cellStyle name="Comma 2 3 3 3 3 3" xfId="1462"/>
    <cellStyle name="Comma 2 3 3 3 4" xfId="675"/>
    <cellStyle name="Comma 2 3 3 3 4 2" xfId="1719"/>
    <cellStyle name="Comma 2 3 3 3 5" xfId="1196"/>
    <cellStyle name="Comma 2 3 3 4" xfId="221"/>
    <cellStyle name="Comma 2 3 3 4 2" xfId="490"/>
    <cellStyle name="Comma 2 3 3 4 2 2" xfId="1004"/>
    <cellStyle name="Comma 2 3 3 4 2 2 2" xfId="2048"/>
    <cellStyle name="Comma 2 3 3 4 2 3" xfId="1534"/>
    <cellStyle name="Comma 2 3 3 4 3" xfId="747"/>
    <cellStyle name="Comma 2 3 3 4 3 2" xfId="1791"/>
    <cellStyle name="Comma 2 3 3 4 4" xfId="1272"/>
    <cellStyle name="Comma 2 3 3 5" xfId="382"/>
    <cellStyle name="Comma 2 3 3 5 2" xfId="896"/>
    <cellStyle name="Comma 2 3 3 5 2 2" xfId="1940"/>
    <cellStyle name="Comma 2 3 3 5 3" xfId="1426"/>
    <cellStyle name="Comma 2 3 3 6" xfId="639"/>
    <cellStyle name="Comma 2 3 3 6 2" xfId="1683"/>
    <cellStyle name="Comma 2 3 3 7" xfId="1158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3" xfId="1588"/>
    <cellStyle name="Comma 2 3 4 2 3" xfId="801"/>
    <cellStyle name="Comma 2 3 4 2 3 2" xfId="1845"/>
    <cellStyle name="Comma 2 3 4 2 4" xfId="1329"/>
    <cellStyle name="Comma 2 3 4 3" xfId="436"/>
    <cellStyle name="Comma 2 3 4 3 2" xfId="950"/>
    <cellStyle name="Comma 2 3 4 3 2 2" xfId="1994"/>
    <cellStyle name="Comma 2 3 4 3 3" xfId="1480"/>
    <cellStyle name="Comma 2 3 4 4" xfId="693"/>
    <cellStyle name="Comma 2 3 4 4 2" xfId="1737"/>
    <cellStyle name="Comma 2 3 4 5" xfId="1215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3" xfId="1552"/>
    <cellStyle name="Comma 2 3 5 2 3" xfId="765"/>
    <cellStyle name="Comma 2 3 5 2 3 2" xfId="1809"/>
    <cellStyle name="Comma 2 3 5 2 4" xfId="1291"/>
    <cellStyle name="Comma 2 3 5 3" xfId="400"/>
    <cellStyle name="Comma 2 3 5 3 2" xfId="914"/>
    <cellStyle name="Comma 2 3 5 3 2 2" xfId="1958"/>
    <cellStyle name="Comma 2 3 5 3 3" xfId="1444"/>
    <cellStyle name="Comma 2 3 5 4" xfId="657"/>
    <cellStyle name="Comma 2 3 5 4 2" xfId="1701"/>
    <cellStyle name="Comma 2 3 5 5" xfId="1177"/>
    <cellStyle name="Comma 2 3 6" xfId="201"/>
    <cellStyle name="Comma 2 3 6 2" xfId="472"/>
    <cellStyle name="Comma 2 3 6 2 2" xfId="986"/>
    <cellStyle name="Comma 2 3 6 2 2 2" xfId="2030"/>
    <cellStyle name="Comma 2 3 6 2 3" xfId="1516"/>
    <cellStyle name="Comma 2 3 6 3" xfId="729"/>
    <cellStyle name="Comma 2 3 6 3 2" xfId="1773"/>
    <cellStyle name="Comma 2 3 6 4" xfId="1253"/>
    <cellStyle name="Comma 2 3 7" xfId="75"/>
    <cellStyle name="Comma 2 3 7 2" xfId="362"/>
    <cellStyle name="Comma 2 3 7 2 2" xfId="876"/>
    <cellStyle name="Comma 2 3 7 2 2 2" xfId="1920"/>
    <cellStyle name="Comma 2 3 7 2 3" xfId="1406"/>
    <cellStyle name="Comma 2 3 7 3" xfId="619"/>
    <cellStyle name="Comma 2 3 7 3 2" xfId="1663"/>
    <cellStyle name="Comma 2 3 7 4" xfId="1135"/>
    <cellStyle name="Comma 2 3 8" xfId="338"/>
    <cellStyle name="Comma 2 3 8 2" xfId="852"/>
    <cellStyle name="Comma 2 3 8 2 2" xfId="1896"/>
    <cellStyle name="Comma 2 3 8 3" xfId="1382"/>
    <cellStyle name="Comma 2 3 9" xfId="595"/>
    <cellStyle name="Comma 2 3 9 2" xfId="1639"/>
    <cellStyle name="Comma 2 4" xfId="59"/>
    <cellStyle name="Comma 2 4 10" xfId="111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3" xfId="1618"/>
    <cellStyle name="Comma 2 4 2 2 2 2 3" xfId="831"/>
    <cellStyle name="Comma 2 4 2 2 2 2 3 2" xfId="1875"/>
    <cellStyle name="Comma 2 4 2 2 2 2 4" xfId="1361"/>
    <cellStyle name="Comma 2 4 2 2 2 3" xfId="466"/>
    <cellStyle name="Comma 2 4 2 2 2 3 2" xfId="980"/>
    <cellStyle name="Comma 2 4 2 2 2 3 2 2" xfId="2024"/>
    <cellStyle name="Comma 2 4 2 2 2 3 3" xfId="1510"/>
    <cellStyle name="Comma 2 4 2 2 2 4" xfId="723"/>
    <cellStyle name="Comma 2 4 2 2 2 4 2" xfId="1767"/>
    <cellStyle name="Comma 2 4 2 2 2 5" xfId="1247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3" xfId="1582"/>
    <cellStyle name="Comma 2 4 2 2 3 2 3" xfId="795"/>
    <cellStyle name="Comma 2 4 2 2 3 2 3 2" xfId="1839"/>
    <cellStyle name="Comma 2 4 2 2 3 2 4" xfId="1323"/>
    <cellStyle name="Comma 2 4 2 2 3 3" xfId="430"/>
    <cellStyle name="Comma 2 4 2 2 3 3 2" xfId="944"/>
    <cellStyle name="Comma 2 4 2 2 3 3 2 2" xfId="1988"/>
    <cellStyle name="Comma 2 4 2 2 3 3 3" xfId="1474"/>
    <cellStyle name="Comma 2 4 2 2 3 4" xfId="687"/>
    <cellStyle name="Comma 2 4 2 2 3 4 2" xfId="1731"/>
    <cellStyle name="Comma 2 4 2 2 3 5" xfId="1209"/>
    <cellStyle name="Comma 2 4 2 2 4" xfId="234"/>
    <cellStyle name="Comma 2 4 2 2 4 2" xfId="502"/>
    <cellStyle name="Comma 2 4 2 2 4 2 2" xfId="1016"/>
    <cellStyle name="Comma 2 4 2 2 4 2 2 2" xfId="2060"/>
    <cellStyle name="Comma 2 4 2 2 4 2 3" xfId="1546"/>
    <cellStyle name="Comma 2 4 2 2 4 3" xfId="759"/>
    <cellStyle name="Comma 2 4 2 2 4 3 2" xfId="1803"/>
    <cellStyle name="Comma 2 4 2 2 4 4" xfId="1285"/>
    <cellStyle name="Comma 2 4 2 2 5" xfId="394"/>
    <cellStyle name="Comma 2 4 2 2 5 2" xfId="908"/>
    <cellStyle name="Comma 2 4 2 2 5 2 2" xfId="1952"/>
    <cellStyle name="Comma 2 4 2 2 5 3" xfId="1438"/>
    <cellStyle name="Comma 2 4 2 2 6" xfId="651"/>
    <cellStyle name="Comma 2 4 2 2 6 2" xfId="1695"/>
    <cellStyle name="Comma 2 4 2 2 7" xfId="1171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3" xfId="1600"/>
    <cellStyle name="Comma 2 4 2 3 2 3" xfId="813"/>
    <cellStyle name="Comma 2 4 2 3 2 3 2" xfId="1857"/>
    <cellStyle name="Comma 2 4 2 3 2 4" xfId="1342"/>
    <cellStyle name="Comma 2 4 2 3 3" xfId="448"/>
    <cellStyle name="Comma 2 4 2 3 3 2" xfId="962"/>
    <cellStyle name="Comma 2 4 2 3 3 2 2" xfId="2006"/>
    <cellStyle name="Comma 2 4 2 3 3 3" xfId="1492"/>
    <cellStyle name="Comma 2 4 2 3 4" xfId="705"/>
    <cellStyle name="Comma 2 4 2 3 4 2" xfId="1749"/>
    <cellStyle name="Comma 2 4 2 3 5" xfId="1228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3" xfId="1564"/>
    <cellStyle name="Comma 2 4 2 4 2 3" xfId="777"/>
    <cellStyle name="Comma 2 4 2 4 2 3 2" xfId="1821"/>
    <cellStyle name="Comma 2 4 2 4 2 4" xfId="1304"/>
    <cellStyle name="Comma 2 4 2 4 3" xfId="412"/>
    <cellStyle name="Comma 2 4 2 4 3 2" xfId="926"/>
    <cellStyle name="Comma 2 4 2 4 3 2 2" xfId="1970"/>
    <cellStyle name="Comma 2 4 2 4 3 3" xfId="1456"/>
    <cellStyle name="Comma 2 4 2 4 4" xfId="669"/>
    <cellStyle name="Comma 2 4 2 4 4 2" xfId="1713"/>
    <cellStyle name="Comma 2 4 2 4 5" xfId="1190"/>
    <cellStyle name="Comma 2 4 2 5" xfId="214"/>
    <cellStyle name="Comma 2 4 2 5 2" xfId="484"/>
    <cellStyle name="Comma 2 4 2 5 2 2" xfId="998"/>
    <cellStyle name="Comma 2 4 2 5 2 2 2" xfId="2042"/>
    <cellStyle name="Comma 2 4 2 5 2 3" xfId="1528"/>
    <cellStyle name="Comma 2 4 2 5 3" xfId="741"/>
    <cellStyle name="Comma 2 4 2 5 3 2" xfId="1785"/>
    <cellStyle name="Comma 2 4 2 5 4" xfId="1266"/>
    <cellStyle name="Comma 2 4 2 6" xfId="376"/>
    <cellStyle name="Comma 2 4 2 6 2" xfId="890"/>
    <cellStyle name="Comma 2 4 2 6 2 2" xfId="1934"/>
    <cellStyle name="Comma 2 4 2 6 3" xfId="1420"/>
    <cellStyle name="Comma 2 4 2 7" xfId="633"/>
    <cellStyle name="Comma 2 4 2 7 2" xfId="1677"/>
    <cellStyle name="Comma 2 4 2 8" xfId="1152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3" xfId="1609"/>
    <cellStyle name="Comma 2 4 3 2 2 3" xfId="822"/>
    <cellStyle name="Comma 2 4 3 2 2 3 2" xfId="1866"/>
    <cellStyle name="Comma 2 4 3 2 2 4" xfId="1351"/>
    <cellStyle name="Comma 2 4 3 2 3" xfId="457"/>
    <cellStyle name="Comma 2 4 3 2 3 2" xfId="971"/>
    <cellStyle name="Comma 2 4 3 2 3 2 2" xfId="2015"/>
    <cellStyle name="Comma 2 4 3 2 3 3" xfId="1501"/>
    <cellStyle name="Comma 2 4 3 2 4" xfId="714"/>
    <cellStyle name="Comma 2 4 3 2 4 2" xfId="1758"/>
    <cellStyle name="Comma 2 4 3 2 5" xfId="1237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3" xfId="1573"/>
    <cellStyle name="Comma 2 4 3 3 2 3" xfId="786"/>
    <cellStyle name="Comma 2 4 3 3 2 3 2" xfId="1830"/>
    <cellStyle name="Comma 2 4 3 3 2 4" xfId="1313"/>
    <cellStyle name="Comma 2 4 3 3 3" xfId="421"/>
    <cellStyle name="Comma 2 4 3 3 3 2" xfId="935"/>
    <cellStyle name="Comma 2 4 3 3 3 2 2" xfId="1979"/>
    <cellStyle name="Comma 2 4 3 3 3 3" xfId="1465"/>
    <cellStyle name="Comma 2 4 3 3 4" xfId="678"/>
    <cellStyle name="Comma 2 4 3 3 4 2" xfId="1722"/>
    <cellStyle name="Comma 2 4 3 3 5" xfId="1199"/>
    <cellStyle name="Comma 2 4 3 4" xfId="224"/>
    <cellStyle name="Comma 2 4 3 4 2" xfId="493"/>
    <cellStyle name="Comma 2 4 3 4 2 2" xfId="1007"/>
    <cellStyle name="Comma 2 4 3 4 2 2 2" xfId="2051"/>
    <cellStyle name="Comma 2 4 3 4 2 3" xfId="1537"/>
    <cellStyle name="Comma 2 4 3 4 3" xfId="750"/>
    <cellStyle name="Comma 2 4 3 4 3 2" xfId="1794"/>
    <cellStyle name="Comma 2 4 3 4 4" xfId="1275"/>
    <cellStyle name="Comma 2 4 3 5" xfId="385"/>
    <cellStyle name="Comma 2 4 3 5 2" xfId="899"/>
    <cellStyle name="Comma 2 4 3 5 2 2" xfId="1943"/>
    <cellStyle name="Comma 2 4 3 5 3" xfId="1429"/>
    <cellStyle name="Comma 2 4 3 6" xfId="642"/>
    <cellStyle name="Comma 2 4 3 6 2" xfId="1686"/>
    <cellStyle name="Comma 2 4 3 7" xfId="1161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3" xfId="1591"/>
    <cellStyle name="Comma 2 4 4 2 3" xfId="804"/>
    <cellStyle name="Comma 2 4 4 2 3 2" xfId="1848"/>
    <cellStyle name="Comma 2 4 4 2 4" xfId="1332"/>
    <cellStyle name="Comma 2 4 4 3" xfId="439"/>
    <cellStyle name="Comma 2 4 4 3 2" xfId="953"/>
    <cellStyle name="Comma 2 4 4 3 2 2" xfId="1997"/>
    <cellStyle name="Comma 2 4 4 3 3" xfId="1483"/>
    <cellStyle name="Comma 2 4 4 4" xfId="696"/>
    <cellStyle name="Comma 2 4 4 4 2" xfId="1740"/>
    <cellStyle name="Comma 2 4 4 5" xfId="1218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3" xfId="1555"/>
    <cellStyle name="Comma 2 4 5 2 3" xfId="768"/>
    <cellStyle name="Comma 2 4 5 2 3 2" xfId="1812"/>
    <cellStyle name="Comma 2 4 5 2 4" xfId="1294"/>
    <cellStyle name="Comma 2 4 5 3" xfId="403"/>
    <cellStyle name="Comma 2 4 5 3 2" xfId="917"/>
    <cellStyle name="Comma 2 4 5 3 2 2" xfId="1961"/>
    <cellStyle name="Comma 2 4 5 3 3" xfId="1447"/>
    <cellStyle name="Comma 2 4 5 4" xfId="660"/>
    <cellStyle name="Comma 2 4 5 4 2" xfId="1704"/>
    <cellStyle name="Comma 2 4 5 5" xfId="1180"/>
    <cellStyle name="Comma 2 4 6" xfId="204"/>
    <cellStyle name="Comma 2 4 6 2" xfId="475"/>
    <cellStyle name="Comma 2 4 6 2 2" xfId="989"/>
    <cellStyle name="Comma 2 4 6 2 2 2" xfId="2033"/>
    <cellStyle name="Comma 2 4 6 2 3" xfId="1519"/>
    <cellStyle name="Comma 2 4 6 3" xfId="732"/>
    <cellStyle name="Comma 2 4 6 3 2" xfId="1776"/>
    <cellStyle name="Comma 2 4 6 4" xfId="1256"/>
    <cellStyle name="Comma 2 4 7" xfId="78"/>
    <cellStyle name="Comma 2 4 7 2" xfId="365"/>
    <cellStyle name="Comma 2 4 7 2 2" xfId="879"/>
    <cellStyle name="Comma 2 4 7 2 2 2" xfId="1923"/>
    <cellStyle name="Comma 2 4 7 2 3" xfId="1409"/>
    <cellStyle name="Comma 2 4 7 3" xfId="622"/>
    <cellStyle name="Comma 2 4 7 3 2" xfId="1666"/>
    <cellStyle name="Comma 2 4 7 4" xfId="1138"/>
    <cellStyle name="Comma 2 4 8" xfId="346"/>
    <cellStyle name="Comma 2 4 8 2" xfId="860"/>
    <cellStyle name="Comma 2 4 8 2 2" xfId="1904"/>
    <cellStyle name="Comma 2 4 8 3" xfId="1390"/>
    <cellStyle name="Comma 2 4 9" xfId="603"/>
    <cellStyle name="Comma 2 4 9 2" xfId="1647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3" xfId="1612"/>
    <cellStyle name="Comma 2 5 2 2 2 3" xfId="825"/>
    <cellStyle name="Comma 2 5 2 2 2 3 2" xfId="1869"/>
    <cellStyle name="Comma 2 5 2 2 2 4" xfId="1355"/>
    <cellStyle name="Comma 2 5 2 2 3" xfId="460"/>
    <cellStyle name="Comma 2 5 2 2 3 2" xfId="974"/>
    <cellStyle name="Comma 2 5 2 2 3 2 2" xfId="2018"/>
    <cellStyle name="Comma 2 5 2 2 3 3" xfId="1504"/>
    <cellStyle name="Comma 2 5 2 2 4" xfId="717"/>
    <cellStyle name="Comma 2 5 2 2 4 2" xfId="1761"/>
    <cellStyle name="Comma 2 5 2 2 5" xfId="1241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3" xfId="1576"/>
    <cellStyle name="Comma 2 5 2 3 2 3" xfId="789"/>
    <cellStyle name="Comma 2 5 2 3 2 3 2" xfId="1833"/>
    <cellStyle name="Comma 2 5 2 3 2 4" xfId="1317"/>
    <cellStyle name="Comma 2 5 2 3 3" xfId="424"/>
    <cellStyle name="Comma 2 5 2 3 3 2" xfId="938"/>
    <cellStyle name="Comma 2 5 2 3 3 2 2" xfId="1982"/>
    <cellStyle name="Comma 2 5 2 3 3 3" xfId="1468"/>
    <cellStyle name="Comma 2 5 2 3 4" xfId="681"/>
    <cellStyle name="Comma 2 5 2 3 4 2" xfId="1725"/>
    <cellStyle name="Comma 2 5 2 3 5" xfId="1203"/>
    <cellStyle name="Comma 2 5 2 4" xfId="228"/>
    <cellStyle name="Comma 2 5 2 4 2" xfId="496"/>
    <cellStyle name="Comma 2 5 2 4 2 2" xfId="1010"/>
    <cellStyle name="Comma 2 5 2 4 2 2 2" xfId="2054"/>
    <cellStyle name="Comma 2 5 2 4 2 3" xfId="1540"/>
    <cellStyle name="Comma 2 5 2 4 3" xfId="753"/>
    <cellStyle name="Comma 2 5 2 4 3 2" xfId="1797"/>
    <cellStyle name="Comma 2 5 2 4 4" xfId="1279"/>
    <cellStyle name="Comma 2 5 2 5" xfId="388"/>
    <cellStyle name="Comma 2 5 2 5 2" xfId="902"/>
    <cellStyle name="Comma 2 5 2 5 2 2" xfId="1946"/>
    <cellStyle name="Comma 2 5 2 5 3" xfId="1432"/>
    <cellStyle name="Comma 2 5 2 6" xfId="645"/>
    <cellStyle name="Comma 2 5 2 6 2" xfId="1689"/>
    <cellStyle name="Comma 2 5 2 7" xfId="1165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3" xfId="1594"/>
    <cellStyle name="Comma 2 5 3 2 3" xfId="807"/>
    <cellStyle name="Comma 2 5 3 2 3 2" xfId="1851"/>
    <cellStyle name="Comma 2 5 3 2 4" xfId="1336"/>
    <cellStyle name="Comma 2 5 3 3" xfId="442"/>
    <cellStyle name="Comma 2 5 3 3 2" xfId="956"/>
    <cellStyle name="Comma 2 5 3 3 2 2" xfId="2000"/>
    <cellStyle name="Comma 2 5 3 3 3" xfId="1486"/>
    <cellStyle name="Comma 2 5 3 4" xfId="699"/>
    <cellStyle name="Comma 2 5 3 4 2" xfId="1743"/>
    <cellStyle name="Comma 2 5 3 5" xfId="1222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3" xfId="1558"/>
    <cellStyle name="Comma 2 5 4 2 3" xfId="771"/>
    <cellStyle name="Comma 2 5 4 2 3 2" xfId="1815"/>
    <cellStyle name="Comma 2 5 4 2 4" xfId="1298"/>
    <cellStyle name="Comma 2 5 4 3" xfId="406"/>
    <cellStyle name="Comma 2 5 4 3 2" xfId="920"/>
    <cellStyle name="Comma 2 5 4 3 2 2" xfId="1964"/>
    <cellStyle name="Comma 2 5 4 3 3" xfId="1450"/>
    <cellStyle name="Comma 2 5 4 4" xfId="663"/>
    <cellStyle name="Comma 2 5 4 4 2" xfId="1707"/>
    <cellStyle name="Comma 2 5 4 5" xfId="1184"/>
    <cellStyle name="Comma 2 5 5" xfId="208"/>
    <cellStyle name="Comma 2 5 5 2" xfId="478"/>
    <cellStyle name="Comma 2 5 5 2 2" xfId="992"/>
    <cellStyle name="Comma 2 5 5 2 2 2" xfId="2036"/>
    <cellStyle name="Comma 2 5 5 2 3" xfId="1522"/>
    <cellStyle name="Comma 2 5 5 3" xfId="735"/>
    <cellStyle name="Comma 2 5 5 3 2" xfId="1779"/>
    <cellStyle name="Comma 2 5 5 4" xfId="1260"/>
    <cellStyle name="Comma 2 5 6" xfId="370"/>
    <cellStyle name="Comma 2 5 6 2" xfId="884"/>
    <cellStyle name="Comma 2 5 6 2 2" xfId="1928"/>
    <cellStyle name="Comma 2 5 6 3" xfId="1414"/>
    <cellStyle name="Comma 2 5 7" xfId="627"/>
    <cellStyle name="Comma 2 5 7 2" xfId="1671"/>
    <cellStyle name="Comma 2 5 8" xfId="1146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3" xfId="1603"/>
    <cellStyle name="Comma 2 6 2 2 3" xfId="816"/>
    <cellStyle name="Comma 2 6 2 2 3 2" xfId="1860"/>
    <cellStyle name="Comma 2 6 2 2 4" xfId="1345"/>
    <cellStyle name="Comma 2 6 2 3" xfId="451"/>
    <cellStyle name="Comma 2 6 2 3 2" xfId="965"/>
    <cellStyle name="Comma 2 6 2 3 2 2" xfId="2009"/>
    <cellStyle name="Comma 2 6 2 3 3" xfId="1495"/>
    <cellStyle name="Comma 2 6 2 4" xfId="708"/>
    <cellStyle name="Comma 2 6 2 4 2" xfId="1752"/>
    <cellStyle name="Comma 2 6 2 5" xfId="1231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3" xfId="1567"/>
    <cellStyle name="Comma 2 6 3 2 3" xfId="780"/>
    <cellStyle name="Comma 2 6 3 2 3 2" xfId="1824"/>
    <cellStyle name="Comma 2 6 3 2 4" xfId="1307"/>
    <cellStyle name="Comma 2 6 3 3" xfId="415"/>
    <cellStyle name="Comma 2 6 3 3 2" xfId="929"/>
    <cellStyle name="Comma 2 6 3 3 2 2" xfId="1973"/>
    <cellStyle name="Comma 2 6 3 3 3" xfId="1459"/>
    <cellStyle name="Comma 2 6 3 4" xfId="672"/>
    <cellStyle name="Comma 2 6 3 4 2" xfId="1716"/>
    <cellStyle name="Comma 2 6 3 5" xfId="1193"/>
    <cellStyle name="Comma 2 6 4" xfId="218"/>
    <cellStyle name="Comma 2 6 4 2" xfId="487"/>
    <cellStyle name="Comma 2 6 4 2 2" xfId="1001"/>
    <cellStyle name="Comma 2 6 4 2 2 2" xfId="2045"/>
    <cellStyle name="Comma 2 6 4 2 3" xfId="1531"/>
    <cellStyle name="Comma 2 6 4 3" xfId="744"/>
    <cellStyle name="Comma 2 6 4 3 2" xfId="1788"/>
    <cellStyle name="Comma 2 6 4 4" xfId="1269"/>
    <cellStyle name="Comma 2 6 5" xfId="379"/>
    <cellStyle name="Comma 2 6 5 2" xfId="893"/>
    <cellStyle name="Comma 2 6 5 2 2" xfId="1937"/>
    <cellStyle name="Comma 2 6 5 3" xfId="1423"/>
    <cellStyle name="Comma 2 6 6" xfId="636"/>
    <cellStyle name="Comma 2 6 6 2" xfId="1680"/>
    <cellStyle name="Comma 2 6 7" xfId="1155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3" xfId="1585"/>
    <cellStyle name="Comma 2 7 2 3" xfId="798"/>
    <cellStyle name="Comma 2 7 2 3 2" xfId="1842"/>
    <cellStyle name="Comma 2 7 2 4" xfId="1326"/>
    <cellStyle name="Comma 2 7 3" xfId="433"/>
    <cellStyle name="Comma 2 7 3 2" xfId="947"/>
    <cellStyle name="Comma 2 7 3 2 2" xfId="1991"/>
    <cellStyle name="Comma 2 7 3 3" xfId="1477"/>
    <cellStyle name="Comma 2 7 4" xfId="690"/>
    <cellStyle name="Comma 2 7 4 2" xfId="1734"/>
    <cellStyle name="Comma 2 7 5" xfId="1212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3" xfId="1549"/>
    <cellStyle name="Comma 2 8 2 3" xfId="762"/>
    <cellStyle name="Comma 2 8 2 3 2" xfId="1806"/>
    <cellStyle name="Comma 2 8 2 4" xfId="1288"/>
    <cellStyle name="Comma 2 8 3" xfId="397"/>
    <cellStyle name="Comma 2 8 3 2" xfId="911"/>
    <cellStyle name="Comma 2 8 3 2 2" xfId="1955"/>
    <cellStyle name="Comma 2 8 3 3" xfId="1441"/>
    <cellStyle name="Comma 2 8 4" xfId="654"/>
    <cellStyle name="Comma 2 8 4 2" xfId="1698"/>
    <cellStyle name="Comma 2 8 5" xfId="1174"/>
    <cellStyle name="Comma 2 9" xfId="198"/>
    <cellStyle name="Comma 2 9 2" xfId="469"/>
    <cellStyle name="Comma 2 9 2 2" xfId="983"/>
    <cellStyle name="Comma 2 9 2 2 2" xfId="2027"/>
    <cellStyle name="Comma 2 9 2 3" xfId="1513"/>
    <cellStyle name="Comma 2 9 3" xfId="726"/>
    <cellStyle name="Comma 2 9 3 2" xfId="1770"/>
    <cellStyle name="Comma 2 9 4" xfId="1250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3" xfId="1614"/>
    <cellStyle name="Comma 3 2 2 2 2 3" xfId="827"/>
    <cellStyle name="Comma 3 2 2 2 2 3 2" xfId="1871"/>
    <cellStyle name="Comma 3 2 2 2 2 4" xfId="1357"/>
    <cellStyle name="Comma 3 2 2 2 3" xfId="462"/>
    <cellStyle name="Comma 3 2 2 2 3 2" xfId="976"/>
    <cellStyle name="Comma 3 2 2 2 3 2 2" xfId="2020"/>
    <cellStyle name="Comma 3 2 2 2 3 3" xfId="1506"/>
    <cellStyle name="Comma 3 2 2 2 4" xfId="719"/>
    <cellStyle name="Comma 3 2 2 2 4 2" xfId="1763"/>
    <cellStyle name="Comma 3 2 2 2 5" xfId="1243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3" xfId="1578"/>
    <cellStyle name="Comma 3 2 2 3 2 3" xfId="791"/>
    <cellStyle name="Comma 3 2 2 3 2 3 2" xfId="1835"/>
    <cellStyle name="Comma 3 2 2 3 2 4" xfId="1319"/>
    <cellStyle name="Comma 3 2 2 3 3" xfId="426"/>
    <cellStyle name="Comma 3 2 2 3 3 2" xfId="940"/>
    <cellStyle name="Comma 3 2 2 3 3 2 2" xfId="1984"/>
    <cellStyle name="Comma 3 2 2 3 3 3" xfId="1470"/>
    <cellStyle name="Comma 3 2 2 3 4" xfId="683"/>
    <cellStyle name="Comma 3 2 2 3 4 2" xfId="1727"/>
    <cellStyle name="Comma 3 2 2 3 5" xfId="1205"/>
    <cellStyle name="Comma 3 2 2 4" xfId="230"/>
    <cellStyle name="Comma 3 2 2 4 2" xfId="498"/>
    <cellStyle name="Comma 3 2 2 4 2 2" xfId="1012"/>
    <cellStyle name="Comma 3 2 2 4 2 2 2" xfId="2056"/>
    <cellStyle name="Comma 3 2 2 4 2 3" xfId="1542"/>
    <cellStyle name="Comma 3 2 2 4 3" xfId="755"/>
    <cellStyle name="Comma 3 2 2 4 3 2" xfId="1799"/>
    <cellStyle name="Comma 3 2 2 4 4" xfId="1281"/>
    <cellStyle name="Comma 3 2 2 5" xfId="390"/>
    <cellStyle name="Comma 3 2 2 5 2" xfId="904"/>
    <cellStyle name="Comma 3 2 2 5 2 2" xfId="1948"/>
    <cellStyle name="Comma 3 2 2 5 3" xfId="1434"/>
    <cellStyle name="Comma 3 2 2 6" xfId="647"/>
    <cellStyle name="Comma 3 2 2 6 2" xfId="1691"/>
    <cellStyle name="Comma 3 2 2 7" xfId="1167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3" xfId="1596"/>
    <cellStyle name="Comma 3 2 3 2 3" xfId="809"/>
    <cellStyle name="Comma 3 2 3 2 3 2" xfId="1853"/>
    <cellStyle name="Comma 3 2 3 2 4" xfId="1338"/>
    <cellStyle name="Comma 3 2 3 3" xfId="444"/>
    <cellStyle name="Comma 3 2 3 3 2" xfId="958"/>
    <cellStyle name="Comma 3 2 3 3 2 2" xfId="2002"/>
    <cellStyle name="Comma 3 2 3 3 3" xfId="1488"/>
    <cellStyle name="Comma 3 2 3 4" xfId="701"/>
    <cellStyle name="Comma 3 2 3 4 2" xfId="1745"/>
    <cellStyle name="Comma 3 2 3 5" xfId="1224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3" xfId="1560"/>
    <cellStyle name="Comma 3 2 4 2 3" xfId="773"/>
    <cellStyle name="Comma 3 2 4 2 3 2" xfId="1817"/>
    <cellStyle name="Comma 3 2 4 2 4" xfId="1300"/>
    <cellStyle name="Comma 3 2 4 3" xfId="408"/>
    <cellStyle name="Comma 3 2 4 3 2" xfId="922"/>
    <cellStyle name="Comma 3 2 4 3 2 2" xfId="1966"/>
    <cellStyle name="Comma 3 2 4 3 3" xfId="1452"/>
    <cellStyle name="Comma 3 2 4 4" xfId="665"/>
    <cellStyle name="Comma 3 2 4 4 2" xfId="1709"/>
    <cellStyle name="Comma 3 2 4 5" xfId="1186"/>
    <cellStyle name="Comma 3 2 5" xfId="210"/>
    <cellStyle name="Comma 3 2 5 2" xfId="480"/>
    <cellStyle name="Comma 3 2 5 2 2" xfId="994"/>
    <cellStyle name="Comma 3 2 5 2 2 2" xfId="2038"/>
    <cellStyle name="Comma 3 2 5 2 3" xfId="1524"/>
    <cellStyle name="Comma 3 2 5 3" xfId="737"/>
    <cellStyle name="Comma 3 2 5 3 2" xfId="1781"/>
    <cellStyle name="Comma 3 2 5 4" xfId="1262"/>
    <cellStyle name="Comma 3 2 6" xfId="372"/>
    <cellStyle name="Comma 3 2 6 2" xfId="886"/>
    <cellStyle name="Comma 3 2 6 2 2" xfId="1930"/>
    <cellStyle name="Comma 3 2 6 3" xfId="1416"/>
    <cellStyle name="Comma 3 2 7" xfId="629"/>
    <cellStyle name="Comma 3 2 7 2" xfId="1673"/>
    <cellStyle name="Comma 3 2 8" xfId="1148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3" xfId="1605"/>
    <cellStyle name="Comma 3 3 2 2 3" xfId="818"/>
    <cellStyle name="Comma 3 3 2 2 3 2" xfId="1862"/>
    <cellStyle name="Comma 3 3 2 2 4" xfId="1347"/>
    <cellStyle name="Comma 3 3 2 3" xfId="453"/>
    <cellStyle name="Comma 3 3 2 3 2" xfId="967"/>
    <cellStyle name="Comma 3 3 2 3 2 2" xfId="2011"/>
    <cellStyle name="Comma 3 3 2 3 3" xfId="1497"/>
    <cellStyle name="Comma 3 3 2 4" xfId="710"/>
    <cellStyle name="Comma 3 3 2 4 2" xfId="1754"/>
    <cellStyle name="Comma 3 3 2 5" xfId="1233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3" xfId="1569"/>
    <cellStyle name="Comma 3 3 3 2 3" xfId="782"/>
    <cellStyle name="Comma 3 3 3 2 3 2" xfId="1826"/>
    <cellStyle name="Comma 3 3 3 2 4" xfId="1309"/>
    <cellStyle name="Comma 3 3 3 3" xfId="417"/>
    <cellStyle name="Comma 3 3 3 3 2" xfId="931"/>
    <cellStyle name="Comma 3 3 3 3 2 2" xfId="1975"/>
    <cellStyle name="Comma 3 3 3 3 3" xfId="1461"/>
    <cellStyle name="Comma 3 3 3 4" xfId="674"/>
    <cellStyle name="Comma 3 3 3 4 2" xfId="1718"/>
    <cellStyle name="Comma 3 3 3 5" xfId="1195"/>
    <cellStyle name="Comma 3 3 4" xfId="220"/>
    <cellStyle name="Comma 3 3 4 2" xfId="489"/>
    <cellStyle name="Comma 3 3 4 2 2" xfId="1003"/>
    <cellStyle name="Comma 3 3 4 2 2 2" xfId="2047"/>
    <cellStyle name="Comma 3 3 4 2 3" xfId="1533"/>
    <cellStyle name="Comma 3 3 4 3" xfId="746"/>
    <cellStyle name="Comma 3 3 4 3 2" xfId="1790"/>
    <cellStyle name="Comma 3 3 4 4" xfId="1271"/>
    <cellStyle name="Comma 3 3 5" xfId="381"/>
    <cellStyle name="Comma 3 3 5 2" xfId="895"/>
    <cellStyle name="Comma 3 3 5 2 2" xfId="1939"/>
    <cellStyle name="Comma 3 3 5 3" xfId="1425"/>
    <cellStyle name="Comma 3 3 6" xfId="638"/>
    <cellStyle name="Comma 3 3 6 2" xfId="1682"/>
    <cellStyle name="Comma 3 3 7" xfId="1157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3" xfId="1587"/>
    <cellStyle name="Comma 3 4 2 3" xfId="800"/>
    <cellStyle name="Comma 3 4 2 3 2" xfId="1844"/>
    <cellStyle name="Comma 3 4 2 4" xfId="1328"/>
    <cellStyle name="Comma 3 4 3" xfId="435"/>
    <cellStyle name="Comma 3 4 3 2" xfId="949"/>
    <cellStyle name="Comma 3 4 3 2 2" xfId="1993"/>
    <cellStyle name="Comma 3 4 3 3" xfId="1479"/>
    <cellStyle name="Comma 3 4 4" xfId="692"/>
    <cellStyle name="Comma 3 4 4 2" xfId="1736"/>
    <cellStyle name="Comma 3 4 5" xfId="1214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3" xfId="1551"/>
    <cellStyle name="Comma 3 5 2 3" xfId="764"/>
    <cellStyle name="Comma 3 5 2 3 2" xfId="1808"/>
    <cellStyle name="Comma 3 5 2 4" xfId="1290"/>
    <cellStyle name="Comma 3 5 3" xfId="399"/>
    <cellStyle name="Comma 3 5 3 2" xfId="913"/>
    <cellStyle name="Comma 3 5 3 2 2" xfId="1957"/>
    <cellStyle name="Comma 3 5 3 3" xfId="1443"/>
    <cellStyle name="Comma 3 5 4" xfId="656"/>
    <cellStyle name="Comma 3 5 4 2" xfId="1700"/>
    <cellStyle name="Comma 3 5 5" xfId="1176"/>
    <cellStyle name="Comma 3 6" xfId="200"/>
    <cellStyle name="Comma 3 6 2" xfId="471"/>
    <cellStyle name="Comma 3 6 2 2" xfId="985"/>
    <cellStyle name="Comma 3 6 2 2 2" xfId="2029"/>
    <cellStyle name="Comma 3 6 2 3" xfId="1515"/>
    <cellStyle name="Comma 3 6 3" xfId="728"/>
    <cellStyle name="Comma 3 6 3 2" xfId="1772"/>
    <cellStyle name="Comma 3 6 4" xfId="1252"/>
    <cellStyle name="Comma 3 7" xfId="74"/>
    <cellStyle name="Comma 3 7 2" xfId="361"/>
    <cellStyle name="Comma 3 7 2 2" xfId="875"/>
    <cellStyle name="Comma 3 7 2 2 2" xfId="1919"/>
    <cellStyle name="Comma 3 7 2 3" xfId="1405"/>
    <cellStyle name="Comma 3 7 3" xfId="618"/>
    <cellStyle name="Comma 3 7 3 2" xfId="1662"/>
    <cellStyle name="Comma 3 7 4" xfId="1134"/>
    <cellStyle name="Comma 3 8" xfId="1106"/>
    <cellStyle name="Comma 4" xfId="57"/>
    <cellStyle name="Comma 4 10" xfId="111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3" xfId="1617"/>
    <cellStyle name="Comma 4 2 2 2 2 3" xfId="830"/>
    <cellStyle name="Comma 4 2 2 2 2 3 2" xfId="1874"/>
    <cellStyle name="Comma 4 2 2 2 2 4" xfId="1360"/>
    <cellStyle name="Comma 4 2 2 2 3" xfId="465"/>
    <cellStyle name="Comma 4 2 2 2 3 2" xfId="979"/>
    <cellStyle name="Comma 4 2 2 2 3 2 2" xfId="2023"/>
    <cellStyle name="Comma 4 2 2 2 3 3" xfId="1509"/>
    <cellStyle name="Comma 4 2 2 2 4" xfId="722"/>
    <cellStyle name="Comma 4 2 2 2 4 2" xfId="1766"/>
    <cellStyle name="Comma 4 2 2 2 5" xfId="1246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3" xfId="1581"/>
    <cellStyle name="Comma 4 2 2 3 2 3" xfId="794"/>
    <cellStyle name="Comma 4 2 2 3 2 3 2" xfId="1838"/>
    <cellStyle name="Comma 4 2 2 3 2 4" xfId="1322"/>
    <cellStyle name="Comma 4 2 2 3 3" xfId="429"/>
    <cellStyle name="Comma 4 2 2 3 3 2" xfId="943"/>
    <cellStyle name="Comma 4 2 2 3 3 2 2" xfId="1987"/>
    <cellStyle name="Comma 4 2 2 3 3 3" xfId="1473"/>
    <cellStyle name="Comma 4 2 2 3 4" xfId="686"/>
    <cellStyle name="Comma 4 2 2 3 4 2" xfId="1730"/>
    <cellStyle name="Comma 4 2 2 3 5" xfId="1208"/>
    <cellStyle name="Comma 4 2 2 4" xfId="233"/>
    <cellStyle name="Comma 4 2 2 4 2" xfId="501"/>
    <cellStyle name="Comma 4 2 2 4 2 2" xfId="1015"/>
    <cellStyle name="Comma 4 2 2 4 2 2 2" xfId="2059"/>
    <cellStyle name="Comma 4 2 2 4 2 3" xfId="1545"/>
    <cellStyle name="Comma 4 2 2 4 3" xfId="758"/>
    <cellStyle name="Comma 4 2 2 4 3 2" xfId="1802"/>
    <cellStyle name="Comma 4 2 2 4 4" xfId="1284"/>
    <cellStyle name="Comma 4 2 2 5" xfId="393"/>
    <cellStyle name="Comma 4 2 2 5 2" xfId="907"/>
    <cellStyle name="Comma 4 2 2 5 2 2" xfId="1951"/>
    <cellStyle name="Comma 4 2 2 5 3" xfId="1437"/>
    <cellStyle name="Comma 4 2 2 6" xfId="650"/>
    <cellStyle name="Comma 4 2 2 6 2" xfId="1694"/>
    <cellStyle name="Comma 4 2 2 7" xfId="1170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3" xfId="1599"/>
    <cellStyle name="Comma 4 2 3 2 3" xfId="812"/>
    <cellStyle name="Comma 4 2 3 2 3 2" xfId="1856"/>
    <cellStyle name="Comma 4 2 3 2 4" xfId="1341"/>
    <cellStyle name="Comma 4 2 3 3" xfId="447"/>
    <cellStyle name="Comma 4 2 3 3 2" xfId="961"/>
    <cellStyle name="Comma 4 2 3 3 2 2" xfId="2005"/>
    <cellStyle name="Comma 4 2 3 3 3" xfId="1491"/>
    <cellStyle name="Comma 4 2 3 4" xfId="704"/>
    <cellStyle name="Comma 4 2 3 4 2" xfId="1748"/>
    <cellStyle name="Comma 4 2 3 5" xfId="1227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3" xfId="1563"/>
    <cellStyle name="Comma 4 2 4 2 3" xfId="776"/>
    <cellStyle name="Comma 4 2 4 2 3 2" xfId="1820"/>
    <cellStyle name="Comma 4 2 4 2 4" xfId="1303"/>
    <cellStyle name="Comma 4 2 4 3" xfId="411"/>
    <cellStyle name="Comma 4 2 4 3 2" xfId="925"/>
    <cellStyle name="Comma 4 2 4 3 2 2" xfId="1969"/>
    <cellStyle name="Comma 4 2 4 3 3" xfId="1455"/>
    <cellStyle name="Comma 4 2 4 4" xfId="668"/>
    <cellStyle name="Comma 4 2 4 4 2" xfId="1712"/>
    <cellStyle name="Comma 4 2 4 5" xfId="1189"/>
    <cellStyle name="Comma 4 2 5" xfId="213"/>
    <cellStyle name="Comma 4 2 5 2" xfId="483"/>
    <cellStyle name="Comma 4 2 5 2 2" xfId="997"/>
    <cellStyle name="Comma 4 2 5 2 2 2" xfId="2041"/>
    <cellStyle name="Comma 4 2 5 2 3" xfId="1527"/>
    <cellStyle name="Comma 4 2 5 3" xfId="740"/>
    <cellStyle name="Comma 4 2 5 3 2" xfId="1784"/>
    <cellStyle name="Comma 4 2 5 4" xfId="1265"/>
    <cellStyle name="Comma 4 2 6" xfId="375"/>
    <cellStyle name="Comma 4 2 6 2" xfId="889"/>
    <cellStyle name="Comma 4 2 6 2 2" xfId="1933"/>
    <cellStyle name="Comma 4 2 6 3" xfId="1419"/>
    <cellStyle name="Comma 4 2 7" xfId="632"/>
    <cellStyle name="Comma 4 2 7 2" xfId="1676"/>
    <cellStyle name="Comma 4 2 8" xfId="1151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3" xfId="1608"/>
    <cellStyle name="Comma 4 3 2 2 3" xfId="821"/>
    <cellStyle name="Comma 4 3 2 2 3 2" xfId="1865"/>
    <cellStyle name="Comma 4 3 2 2 4" xfId="1350"/>
    <cellStyle name="Comma 4 3 2 3" xfId="456"/>
    <cellStyle name="Comma 4 3 2 3 2" xfId="970"/>
    <cellStyle name="Comma 4 3 2 3 2 2" xfId="2014"/>
    <cellStyle name="Comma 4 3 2 3 3" xfId="1500"/>
    <cellStyle name="Comma 4 3 2 4" xfId="713"/>
    <cellStyle name="Comma 4 3 2 4 2" xfId="1757"/>
    <cellStyle name="Comma 4 3 2 5" xfId="1236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3" xfId="1572"/>
    <cellStyle name="Comma 4 3 3 2 3" xfId="785"/>
    <cellStyle name="Comma 4 3 3 2 3 2" xfId="1829"/>
    <cellStyle name="Comma 4 3 3 2 4" xfId="1312"/>
    <cellStyle name="Comma 4 3 3 3" xfId="420"/>
    <cellStyle name="Comma 4 3 3 3 2" xfId="934"/>
    <cellStyle name="Comma 4 3 3 3 2 2" xfId="1978"/>
    <cellStyle name="Comma 4 3 3 3 3" xfId="1464"/>
    <cellStyle name="Comma 4 3 3 4" xfId="677"/>
    <cellStyle name="Comma 4 3 3 4 2" xfId="1721"/>
    <cellStyle name="Comma 4 3 3 5" xfId="1198"/>
    <cellStyle name="Comma 4 3 4" xfId="223"/>
    <cellStyle name="Comma 4 3 4 2" xfId="492"/>
    <cellStyle name="Comma 4 3 4 2 2" xfId="1006"/>
    <cellStyle name="Comma 4 3 4 2 2 2" xfId="2050"/>
    <cellStyle name="Comma 4 3 4 2 3" xfId="1536"/>
    <cellStyle name="Comma 4 3 4 3" xfId="749"/>
    <cellStyle name="Comma 4 3 4 3 2" xfId="1793"/>
    <cellStyle name="Comma 4 3 4 4" xfId="1274"/>
    <cellStyle name="Comma 4 3 5" xfId="384"/>
    <cellStyle name="Comma 4 3 5 2" xfId="898"/>
    <cellStyle name="Comma 4 3 5 2 2" xfId="1942"/>
    <cellStyle name="Comma 4 3 5 3" xfId="1428"/>
    <cellStyle name="Comma 4 3 6" xfId="641"/>
    <cellStyle name="Comma 4 3 6 2" xfId="1685"/>
    <cellStyle name="Comma 4 3 7" xfId="1160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3" xfId="1590"/>
    <cellStyle name="Comma 4 4 2 3" xfId="803"/>
    <cellStyle name="Comma 4 4 2 3 2" xfId="1847"/>
    <cellStyle name="Comma 4 4 2 4" xfId="1331"/>
    <cellStyle name="Comma 4 4 3" xfId="438"/>
    <cellStyle name="Comma 4 4 3 2" xfId="952"/>
    <cellStyle name="Comma 4 4 3 2 2" xfId="1996"/>
    <cellStyle name="Comma 4 4 3 3" xfId="1482"/>
    <cellStyle name="Comma 4 4 4" xfId="695"/>
    <cellStyle name="Comma 4 4 4 2" xfId="1739"/>
    <cellStyle name="Comma 4 4 5" xfId="1217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3" xfId="1554"/>
    <cellStyle name="Comma 4 5 2 3" xfId="767"/>
    <cellStyle name="Comma 4 5 2 3 2" xfId="1811"/>
    <cellStyle name="Comma 4 5 2 4" xfId="1293"/>
    <cellStyle name="Comma 4 5 3" xfId="402"/>
    <cellStyle name="Comma 4 5 3 2" xfId="916"/>
    <cellStyle name="Comma 4 5 3 2 2" xfId="1960"/>
    <cellStyle name="Comma 4 5 3 3" xfId="1446"/>
    <cellStyle name="Comma 4 5 4" xfId="659"/>
    <cellStyle name="Comma 4 5 4 2" xfId="1703"/>
    <cellStyle name="Comma 4 5 5" xfId="1179"/>
    <cellStyle name="Comma 4 6" xfId="203"/>
    <cellStyle name="Comma 4 6 2" xfId="474"/>
    <cellStyle name="Comma 4 6 2 2" xfId="988"/>
    <cellStyle name="Comma 4 6 2 2 2" xfId="2032"/>
    <cellStyle name="Comma 4 6 2 3" xfId="1518"/>
    <cellStyle name="Comma 4 6 3" xfId="731"/>
    <cellStyle name="Comma 4 6 3 2" xfId="1775"/>
    <cellStyle name="Comma 4 6 4" xfId="1255"/>
    <cellStyle name="Comma 4 7" xfId="77"/>
    <cellStyle name="Comma 4 7 2" xfId="364"/>
    <cellStyle name="Comma 4 7 2 2" xfId="878"/>
    <cellStyle name="Comma 4 7 2 2 2" xfId="1922"/>
    <cellStyle name="Comma 4 7 2 3" xfId="1408"/>
    <cellStyle name="Comma 4 7 3" xfId="621"/>
    <cellStyle name="Comma 4 7 3 2" xfId="1665"/>
    <cellStyle name="Comma 4 7 4" xfId="1137"/>
    <cellStyle name="Comma 4 8" xfId="344"/>
    <cellStyle name="Comma 4 8 2" xfId="858"/>
    <cellStyle name="Comma 4 8 2 2" xfId="1902"/>
    <cellStyle name="Comma 4 8 3" xfId="1388"/>
    <cellStyle name="Comma 4 9" xfId="601"/>
    <cellStyle name="Comma 4 9 2" xfId="1645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3" xfId="1611"/>
    <cellStyle name="Comma 5 2 2 2 3" xfId="824"/>
    <cellStyle name="Comma 5 2 2 2 3 2" xfId="1868"/>
    <cellStyle name="Comma 5 2 2 2 4" xfId="1354"/>
    <cellStyle name="Comma 5 2 2 3" xfId="459"/>
    <cellStyle name="Comma 5 2 2 3 2" xfId="973"/>
    <cellStyle name="Comma 5 2 2 3 2 2" xfId="2017"/>
    <cellStyle name="Comma 5 2 2 3 3" xfId="1503"/>
    <cellStyle name="Comma 5 2 2 4" xfId="716"/>
    <cellStyle name="Comma 5 2 2 4 2" xfId="1760"/>
    <cellStyle name="Comma 5 2 2 5" xfId="1240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3" xfId="1575"/>
    <cellStyle name="Comma 5 2 3 2 3" xfId="788"/>
    <cellStyle name="Comma 5 2 3 2 3 2" xfId="1832"/>
    <cellStyle name="Comma 5 2 3 2 4" xfId="1316"/>
    <cellStyle name="Comma 5 2 3 3" xfId="423"/>
    <cellStyle name="Comma 5 2 3 3 2" xfId="937"/>
    <cellStyle name="Comma 5 2 3 3 2 2" xfId="1981"/>
    <cellStyle name="Comma 5 2 3 3 3" xfId="1467"/>
    <cellStyle name="Comma 5 2 3 4" xfId="680"/>
    <cellStyle name="Comma 5 2 3 4 2" xfId="1724"/>
    <cellStyle name="Comma 5 2 3 5" xfId="1202"/>
    <cellStyle name="Comma 5 2 4" xfId="227"/>
    <cellStyle name="Comma 5 2 4 2" xfId="495"/>
    <cellStyle name="Comma 5 2 4 2 2" xfId="1009"/>
    <cellStyle name="Comma 5 2 4 2 2 2" xfId="2053"/>
    <cellStyle name="Comma 5 2 4 2 3" xfId="1539"/>
    <cellStyle name="Comma 5 2 4 3" xfId="752"/>
    <cellStyle name="Comma 5 2 4 3 2" xfId="1796"/>
    <cellStyle name="Comma 5 2 4 4" xfId="1278"/>
    <cellStyle name="Comma 5 2 5" xfId="387"/>
    <cellStyle name="Comma 5 2 5 2" xfId="901"/>
    <cellStyle name="Comma 5 2 5 2 2" xfId="1945"/>
    <cellStyle name="Comma 5 2 5 3" xfId="1431"/>
    <cellStyle name="Comma 5 2 6" xfId="644"/>
    <cellStyle name="Comma 5 2 6 2" xfId="1688"/>
    <cellStyle name="Comma 5 2 7" xfId="1164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3" xfId="1593"/>
    <cellStyle name="Comma 5 3 2 3" xfId="806"/>
    <cellStyle name="Comma 5 3 2 3 2" xfId="1850"/>
    <cellStyle name="Comma 5 3 2 4" xfId="1335"/>
    <cellStyle name="Comma 5 3 3" xfId="441"/>
    <cellStyle name="Comma 5 3 3 2" xfId="955"/>
    <cellStyle name="Comma 5 3 3 2 2" xfId="1999"/>
    <cellStyle name="Comma 5 3 3 3" xfId="1485"/>
    <cellStyle name="Comma 5 3 4" xfId="698"/>
    <cellStyle name="Comma 5 3 4 2" xfId="1742"/>
    <cellStyle name="Comma 5 3 5" xfId="1221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3" xfId="1557"/>
    <cellStyle name="Comma 5 4 2 3" xfId="770"/>
    <cellStyle name="Comma 5 4 2 3 2" xfId="1814"/>
    <cellStyle name="Comma 5 4 2 4" xfId="1297"/>
    <cellStyle name="Comma 5 4 3" xfId="405"/>
    <cellStyle name="Comma 5 4 3 2" xfId="919"/>
    <cellStyle name="Comma 5 4 3 2 2" xfId="1963"/>
    <cellStyle name="Comma 5 4 3 3" xfId="1449"/>
    <cellStyle name="Comma 5 4 4" xfId="662"/>
    <cellStyle name="Comma 5 4 4 2" xfId="1706"/>
    <cellStyle name="Comma 5 4 5" xfId="1183"/>
    <cellStyle name="Comma 5 5" xfId="207"/>
    <cellStyle name="Comma 5 5 2" xfId="477"/>
    <cellStyle name="Comma 5 5 2 2" xfId="991"/>
    <cellStyle name="Comma 5 5 2 2 2" xfId="2035"/>
    <cellStyle name="Comma 5 5 2 3" xfId="1521"/>
    <cellStyle name="Comma 5 5 3" xfId="734"/>
    <cellStyle name="Comma 5 5 3 2" xfId="1778"/>
    <cellStyle name="Comma 5 5 4" xfId="1259"/>
    <cellStyle name="Comma 5 6" xfId="368"/>
    <cellStyle name="Comma 5 6 2" xfId="882"/>
    <cellStyle name="Comma 5 6 2 2" xfId="1926"/>
    <cellStyle name="Comma 5 6 3" xfId="1412"/>
    <cellStyle name="Comma 5 7" xfId="625"/>
    <cellStyle name="Comma 5 7 2" xfId="1669"/>
    <cellStyle name="Comma 5 8" xfId="1144"/>
    <cellStyle name="Comma 6" xfId="81"/>
    <cellStyle name="Comma 6 2" xfId="104"/>
    <cellStyle name="Comma 6 2 2" xfId="182"/>
    <cellStyle name="Comma 6 2 2 2" xfId="304"/>
    <cellStyle name="Comma 6 2 2 2 2" xfId="1353"/>
    <cellStyle name="Comma 6 2 2 3" xfId="1239"/>
    <cellStyle name="Comma 6 2 3" xfId="143"/>
    <cellStyle name="Comma 6 2 3 2" xfId="265"/>
    <cellStyle name="Comma 6 2 3 2 2" xfId="1315"/>
    <cellStyle name="Comma 6 2 3 3" xfId="1201"/>
    <cellStyle name="Comma 6 2 4" xfId="226"/>
    <cellStyle name="Comma 6 2 4 2" xfId="1277"/>
    <cellStyle name="Comma 6 2 5" xfId="1163"/>
    <cellStyle name="Comma 6 3" xfId="162"/>
    <cellStyle name="Comma 6 3 2" xfId="284"/>
    <cellStyle name="Comma 6 3 2 2" xfId="1334"/>
    <cellStyle name="Comma 6 3 3" xfId="1220"/>
    <cellStyle name="Comma 6 4" xfId="124"/>
    <cellStyle name="Comma 6 4 2" xfId="246"/>
    <cellStyle name="Comma 6 4 2 2" xfId="1296"/>
    <cellStyle name="Comma 6 4 3" xfId="1182"/>
    <cellStyle name="Comma 6 5" xfId="206"/>
    <cellStyle name="Comma 6 5 2" xfId="1258"/>
    <cellStyle name="Comma 6 6" xfId="1141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3" xfId="1602"/>
    <cellStyle name="Comma 7 2 2 3" xfId="815"/>
    <cellStyle name="Comma 7 2 2 3 2" xfId="1859"/>
    <cellStyle name="Comma 7 2 2 4" xfId="1344"/>
    <cellStyle name="Comma 7 2 3" xfId="450"/>
    <cellStyle name="Comma 7 2 3 2" xfId="964"/>
    <cellStyle name="Comma 7 2 3 2 2" xfId="2008"/>
    <cellStyle name="Comma 7 2 3 3" xfId="1494"/>
    <cellStyle name="Comma 7 2 4" xfId="707"/>
    <cellStyle name="Comma 7 2 4 2" xfId="1751"/>
    <cellStyle name="Comma 7 2 5" xfId="1230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3" xfId="1566"/>
    <cellStyle name="Comma 7 3 2 3" xfId="779"/>
    <cellStyle name="Comma 7 3 2 3 2" xfId="1823"/>
    <cellStyle name="Comma 7 3 2 4" xfId="1306"/>
    <cellStyle name="Comma 7 3 3" xfId="414"/>
    <cellStyle name="Comma 7 3 3 2" xfId="928"/>
    <cellStyle name="Comma 7 3 3 2 2" xfId="1972"/>
    <cellStyle name="Comma 7 3 3 3" xfId="1458"/>
    <cellStyle name="Comma 7 3 4" xfId="671"/>
    <cellStyle name="Comma 7 3 4 2" xfId="1715"/>
    <cellStyle name="Comma 7 3 5" xfId="1192"/>
    <cellStyle name="Comma 7 4" xfId="217"/>
    <cellStyle name="Comma 7 4 2" xfId="486"/>
    <cellStyle name="Comma 7 4 2 2" xfId="1000"/>
    <cellStyle name="Comma 7 4 2 2 2" xfId="2044"/>
    <cellStyle name="Comma 7 4 2 3" xfId="1530"/>
    <cellStyle name="Comma 7 4 3" xfId="743"/>
    <cellStyle name="Comma 7 4 3 2" xfId="1787"/>
    <cellStyle name="Comma 7 4 4" xfId="1268"/>
    <cellStyle name="Comma 7 5" xfId="378"/>
    <cellStyle name="Comma 7 5 2" xfId="892"/>
    <cellStyle name="Comma 7 5 2 2" xfId="1936"/>
    <cellStyle name="Comma 7 5 3" xfId="1422"/>
    <cellStyle name="Comma 7 6" xfId="635"/>
    <cellStyle name="Comma 7 6 2" xfId="1679"/>
    <cellStyle name="Comma 7 7" xfId="1154"/>
    <cellStyle name="Comma 8" xfId="153"/>
    <cellStyle name="Comma 8 2" xfId="275"/>
    <cellStyle name="Comma 8 2 2" xfId="540"/>
    <cellStyle name="Comma 8 2 2 2" xfId="1054"/>
    <cellStyle name="Comma 8 2 2 2 2" xfId="2098"/>
    <cellStyle name="Comma 8 2 2 3" xfId="1584"/>
    <cellStyle name="Comma 8 2 3" xfId="797"/>
    <cellStyle name="Comma 8 2 3 2" xfId="1841"/>
    <cellStyle name="Comma 8 2 4" xfId="1325"/>
    <cellStyle name="Comma 8 3" xfId="432"/>
    <cellStyle name="Comma 8 3 2" xfId="946"/>
    <cellStyle name="Comma 8 3 2 2" xfId="1990"/>
    <cellStyle name="Comma 8 3 3" xfId="1476"/>
    <cellStyle name="Comma 8 4" xfId="689"/>
    <cellStyle name="Comma 8 4 2" xfId="1733"/>
    <cellStyle name="Comma 8 5" xfId="1211"/>
    <cellStyle name="Comma 9" xfId="115"/>
    <cellStyle name="Comma 9 2" xfId="237"/>
    <cellStyle name="Comma 9 2 2" xfId="504"/>
    <cellStyle name="Comma 9 2 2 2" xfId="1018"/>
    <cellStyle name="Comma 9 2 2 2 2" xfId="2062"/>
    <cellStyle name="Comma 9 2 2 3" xfId="1548"/>
    <cellStyle name="Comma 9 2 3" xfId="761"/>
    <cellStyle name="Comma 9 2 3 2" xfId="1805"/>
    <cellStyle name="Comma 9 2 4" xfId="1287"/>
    <cellStyle name="Comma 9 3" xfId="396"/>
    <cellStyle name="Comma 9 3 2" xfId="910"/>
    <cellStyle name="Comma 9 3 2 2" xfId="1954"/>
    <cellStyle name="Comma 9 3 3" xfId="1440"/>
    <cellStyle name="Comma 9 4" xfId="653"/>
    <cellStyle name="Comma 9 4 2" xfId="1697"/>
    <cellStyle name="Comma 9 5" xfId="117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2147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Boo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mc:AlternateContent xmlns:mc="http://schemas.openxmlformats.org/markup-compatibility/2006">
        <mc:Choice Requires="x14">
          <x14:oleItem name="!Sheet1!R8C2" advise="1">
            <x14:values>
              <value>
                <val>0.362859865667996</val>
              </value>
            </x14:values>
          </x14:oleItem>
        </mc:Choice>
        <mc:Fallback>
          <oleItem name="!Sheet1!R8C2" advise="1"/>
        </mc:Fallback>
      </mc:AlternateContent>
      <mc:AlternateContent xmlns:mc="http://schemas.openxmlformats.org/markup-compatibility/2006">
        <mc:Choice Requires="x14">
          <x14:oleItem name="!Sheet1!R8C3" advise="1">
            <x14:values>
              <value>
                <val>0.34010745459710001</val>
              </value>
            </x14:values>
          </x14:oleItem>
        </mc:Choice>
        <mc:Fallback>
          <oleItem name="!Sheet1!R8C3" advise="1"/>
        </mc:Fallback>
      </mc:AlternateContent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tabSelected="1" topLeftCell="A10" zoomScaleNormal="100" workbookViewId="0">
      <selection activeCell="C10" sqref="C10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43069</v>
      </c>
    </row>
    <row r="7" spans="1:12" x14ac:dyDescent="0.2">
      <c r="A7" s="107" t="str">
        <f>"Market Profile - "&amp; TEXT($H$3,"MMM")&amp;" "&amp;TEXT($H$3,"YYYY")</f>
        <v>Market Profile - Nov 2017</v>
      </c>
    </row>
    <row r="8" spans="1:12" x14ac:dyDescent="0.2">
      <c r="A8" s="107"/>
      <c r="G8" s="370" t="s">
        <v>199</v>
      </c>
      <c r="H8" s="370"/>
      <c r="I8" s="370"/>
    </row>
    <row r="9" spans="1:12" x14ac:dyDescent="0.2">
      <c r="A9" s="107"/>
      <c r="G9" s="370"/>
      <c r="H9" s="370"/>
      <c r="I9" s="370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79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79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0"/>
      <c r="B15" s="282" t="str">
        <f>TEXT($H$3,"MMM")&amp;" "&amp;TEXT($H$3,"YYYY")</f>
        <v>Nov 2017</v>
      </c>
      <c r="C15" s="282" t="str">
        <f>TEXT($H$3,"YYYY")</f>
        <v>2017</v>
      </c>
      <c r="D15" s="283">
        <f>TEXT($H$3,"YYYY")-1</f>
        <v>2016</v>
      </c>
      <c r="E15" s="284" t="s">
        <v>6</v>
      </c>
      <c r="F15" s="285">
        <f>TEXT($H$3,"YYYY")-1</f>
        <v>2016</v>
      </c>
      <c r="G15" s="285">
        <f>TEXT($H$3,"YYYY")-2</f>
        <v>2015</v>
      </c>
      <c r="H15" s="285">
        <f>TEXT($H$3,"YYYY")-3</f>
        <v>2014</v>
      </c>
      <c r="I15" s="285">
        <f>TEXT($H$3,"YYYY")-4</f>
        <v>2013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5250451</v>
      </c>
      <c r="C16" s="127">
        <f>Data!D5</f>
        <v>62126590</v>
      </c>
      <c r="D16" s="249">
        <f>Data!D8</f>
        <v>66067361</v>
      </c>
      <c r="E16" s="286">
        <f>(C16-D16)/ABS(D16)</f>
        <v>-5.9647773732024803E-2</v>
      </c>
      <c r="F16" s="361">
        <v>71179762</v>
      </c>
      <c r="G16" s="361">
        <v>61894253</v>
      </c>
      <c r="H16" s="361">
        <v>46298171</v>
      </c>
      <c r="I16" s="361">
        <v>38964070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6956.3103680000004</v>
      </c>
      <c r="C17" s="127">
        <f>Data!B5/1000000</f>
        <v>75336.883144000007</v>
      </c>
      <c r="D17" s="249">
        <f>Data!B8/1000000</f>
        <v>74017.664126999996</v>
      </c>
      <c r="E17" s="286">
        <f t="shared" ref="E17:E18" si="0">(C17-D17)/ABS(D17)</f>
        <v>1.7823029577594959E-2</v>
      </c>
      <c r="F17" s="361">
        <v>79501</v>
      </c>
      <c r="G17" s="361">
        <v>74406</v>
      </c>
      <c r="H17" s="361">
        <v>61735</v>
      </c>
      <c r="I17" s="361">
        <v>63892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509629.87984816072</v>
      </c>
      <c r="C18" s="127">
        <f>Data!C5/1000000</f>
        <v>4904835.6793119274</v>
      </c>
      <c r="D18" s="249">
        <f>Data!C8/1000000</f>
        <v>5525148.33935556</v>
      </c>
      <c r="E18" s="286">
        <f t="shared" si="0"/>
        <v>-0.11227077029319803</v>
      </c>
      <c r="F18" s="361">
        <v>5892768</v>
      </c>
      <c r="G18" s="361">
        <v>5015419</v>
      </c>
      <c r="H18" s="361">
        <v>4050044</v>
      </c>
      <c r="I18" s="361">
        <v>3981618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1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1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3434</v>
      </c>
      <c r="C21" s="127">
        <f>Data!F5</f>
        <v>32973</v>
      </c>
      <c r="D21" s="249">
        <f>Data!F8</f>
        <v>35783</v>
      </c>
      <c r="E21" s="286">
        <f>(C21-D21)/ABS(D21)</f>
        <v>-7.8528910376435737E-2</v>
      </c>
      <c r="F21" s="361">
        <v>38735</v>
      </c>
      <c r="G21" s="361">
        <v>30897</v>
      </c>
      <c r="H21" s="361">
        <v>30062</v>
      </c>
      <c r="I21" s="361">
        <v>103715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551.41464299999996</v>
      </c>
      <c r="C22" s="127">
        <f>Data!G5/1000000</f>
        <v>7866.6374610000003</v>
      </c>
      <c r="D22" s="249">
        <f>Data!G8/1000000</f>
        <v>6303.4754220000004</v>
      </c>
      <c r="E22" s="286">
        <f t="shared" ref="E22:E23" si="1">(C22-D22)/ABS(D22)</f>
        <v>0.24798415704840354</v>
      </c>
      <c r="F22" s="361">
        <v>6935</v>
      </c>
      <c r="G22" s="361">
        <v>7273</v>
      </c>
      <c r="H22" s="361">
        <v>6833</v>
      </c>
      <c r="I22" s="361">
        <v>10908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33111.69983751067</v>
      </c>
      <c r="C23" s="128">
        <f>Data!H5/1000000</f>
        <v>357440.52285505709</v>
      </c>
      <c r="D23" s="290">
        <f>Data!H8/1000000</f>
        <v>357357.11729760485</v>
      </c>
      <c r="E23" s="291">
        <f t="shared" si="1"/>
        <v>2.3339554024546188E-4</v>
      </c>
      <c r="F23" s="292">
        <v>379199</v>
      </c>
      <c r="G23" s="292">
        <v>336258</v>
      </c>
      <c r="H23" s="292">
        <v>294652</v>
      </c>
      <c r="I23" s="292">
        <v>648244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Nov 2017</v>
      </c>
      <c r="C28" s="282" t="str">
        <f>$C$15</f>
        <v>2017</v>
      </c>
      <c r="D28" s="282">
        <f>$D$15</f>
        <v>2016</v>
      </c>
      <c r="E28" s="284" t="s">
        <v>6</v>
      </c>
      <c r="F28" s="284">
        <f>$F$15</f>
        <v>2016</v>
      </c>
      <c r="G28" s="295">
        <f>$G$15</f>
        <v>2015</v>
      </c>
      <c r="H28" s="295">
        <f>$H$15</f>
        <v>2014</v>
      </c>
      <c r="I28" s="295">
        <f>$I$15</f>
        <v>2013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106803.73133592001</v>
      </c>
      <c r="C29" s="249">
        <f>Data!O5/1000000</f>
        <v>862419.21268603008</v>
      </c>
      <c r="D29" s="249">
        <f>Data!O8/1000000</f>
        <v>945502.19854487001</v>
      </c>
      <c r="E29" s="195">
        <f>C29-D29</f>
        <v>-83082.985858839937</v>
      </c>
      <c r="F29" s="249">
        <v>1010947</v>
      </c>
      <c r="G29" s="249">
        <v>969468</v>
      </c>
      <c r="H29" s="296">
        <v>784579</v>
      </c>
      <c r="I29" s="296">
        <v>645668</v>
      </c>
      <c r="J29" s="129"/>
    </row>
    <row r="30" spans="1:12" ht="12.75" customHeight="1" x14ac:dyDescent="0.2">
      <c r="A30" s="248" t="s">
        <v>11</v>
      </c>
      <c r="B30" s="249">
        <f>Data!P2/1000000</f>
        <v>-105344.86382744</v>
      </c>
      <c r="C30" s="249">
        <f>Data!P5/1000000</f>
        <v>-941482.06257868989</v>
      </c>
      <c r="D30" s="249">
        <f>Data!P8/1000000</f>
        <v>-1065385.0651404799</v>
      </c>
      <c r="E30" s="195">
        <f>C30-D30</f>
        <v>123903.00256179005</v>
      </c>
      <c r="F30" s="249">
        <v>-1134812</v>
      </c>
      <c r="G30" s="249">
        <v>-970485</v>
      </c>
      <c r="H30" s="296">
        <v>-771216</v>
      </c>
      <c r="I30" s="296">
        <v>-645833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1458.86750848</v>
      </c>
      <c r="C31" s="298">
        <f>Data!Q5/1000000</f>
        <v>-79062.84989266</v>
      </c>
      <c r="D31" s="298">
        <f>Data!Q8/1000000</f>
        <v>-119882.86659561</v>
      </c>
      <c r="E31" s="299">
        <f>C31-D31</f>
        <v>40820.016702950001</v>
      </c>
      <c r="F31" s="298">
        <v>-123865</v>
      </c>
      <c r="G31" s="298">
        <v>-1017</v>
      </c>
      <c r="H31" s="298">
        <v>13363</v>
      </c>
      <c r="I31" s="298">
        <v>-165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Nov 2017</v>
      </c>
      <c r="C36" s="282" t="str">
        <f>$C$15</f>
        <v>2017</v>
      </c>
      <c r="D36" s="282">
        <f>$D$15</f>
        <v>2016</v>
      </c>
      <c r="E36" s="284" t="s">
        <v>6</v>
      </c>
      <c r="F36" s="284">
        <f>$F$15</f>
        <v>2016</v>
      </c>
      <c r="G36" s="295">
        <f>$G$15</f>
        <v>2015</v>
      </c>
      <c r="H36" s="295">
        <f>$H$15</f>
        <v>2014</v>
      </c>
      <c r="I36" s="295">
        <f>$I$15</f>
        <v>2013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29702</v>
      </c>
      <c r="C38" s="287">
        <f>Data!CK6</f>
        <v>274168</v>
      </c>
      <c r="D38" s="287">
        <f>Data!CK11</f>
        <v>268618</v>
      </c>
      <c r="E38" s="286">
        <f t="shared" ref="E38:E40" si="2">IFERROR(IF(OR(AND(D38="",C38=""),AND(D38=0,C38=0)),"",
IF(OR(D38="",D38=0),1,
IF(OR(D38&lt;&gt;"",D38&lt;&gt;0),(C38-D38)/ABS(D38)))),-1)</f>
        <v>2.0661310857798064E-2</v>
      </c>
      <c r="F38" s="361">
        <v>283127</v>
      </c>
      <c r="G38" s="361">
        <v>290607</v>
      </c>
      <c r="H38" s="361">
        <v>240900</v>
      </c>
      <c r="I38" s="361">
        <v>248016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922912.91876999999</v>
      </c>
      <c r="C39" s="287">
        <f>Data!CK7/1000000</f>
        <v>7384617.2898479998</v>
      </c>
      <c r="D39" s="287">
        <f>Data!CK12/1000000</f>
        <v>6978011.9350699997</v>
      </c>
      <c r="E39" s="286">
        <f t="shared" si="2"/>
        <v>5.8269512657966142E-2</v>
      </c>
      <c r="F39" s="361">
        <v>7321629</v>
      </c>
      <c r="G39" s="361">
        <v>6653964</v>
      </c>
      <c r="H39" s="361">
        <v>5413031</v>
      </c>
      <c r="I39" s="361">
        <v>5515590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925705.90372816916</v>
      </c>
      <c r="C40" s="287">
        <f>Data!CK8/1000000</f>
        <v>7699673.9034663206</v>
      </c>
      <c r="D40" s="287">
        <f>Data!CK13/1000000</f>
        <v>7220727.1656526066</v>
      </c>
      <c r="E40" s="286">
        <f t="shared" si="2"/>
        <v>6.6329432870965835E-2</v>
      </c>
      <c r="F40" s="361">
        <v>7580050</v>
      </c>
      <c r="G40" s="361">
        <v>7166248</v>
      </c>
      <c r="H40" s="361">
        <v>5777503</v>
      </c>
      <c r="I40" s="361">
        <v>6140455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1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1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13107</v>
      </c>
      <c r="C43" s="287">
        <f>Data!CN6</f>
        <v>146307</v>
      </c>
      <c r="D43" s="287">
        <f>Data!CN11</f>
        <v>162934</v>
      </c>
      <c r="E43" s="286">
        <f t="shared" ref="E43:E45" si="3">IFERROR(IF(OR(AND(D43="",C43=""),AND(D43=0,C43=0)),"",
IF(OR(D43="",D43=0),1,
IF(OR(D43&lt;&gt;"",D43&lt;&gt;0),(C43-D43)/ABS(D43)))),-1)</f>
        <v>-0.10204745479764812</v>
      </c>
      <c r="F43" s="361">
        <v>170507</v>
      </c>
      <c r="G43" s="361">
        <v>157998</v>
      </c>
      <c r="H43" s="361">
        <v>137284</v>
      </c>
      <c r="I43" s="361">
        <v>146100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1700349.9637800001</v>
      </c>
      <c r="C44" s="287">
        <f>Data!CN7/1000000</f>
        <v>18029181.295435999</v>
      </c>
      <c r="D44" s="287">
        <f>Data!CN12/1000000</f>
        <v>18867643.392760001</v>
      </c>
      <c r="E44" s="286">
        <f t="shared" si="3"/>
        <v>-4.4439153309720807E-2</v>
      </c>
      <c r="F44" s="361">
        <v>19586029</v>
      </c>
      <c r="G44" s="361">
        <v>15650220</v>
      </c>
      <c r="H44" s="361">
        <v>12475495</v>
      </c>
      <c r="I44" s="361">
        <v>13616880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1627477.6779169508</v>
      </c>
      <c r="C45" s="287">
        <f>Data!CN8/1000000</f>
        <v>17544198.937239345</v>
      </c>
      <c r="D45" s="287">
        <f>Data!CN13/1000000</f>
        <v>18421794.996243507</v>
      </c>
      <c r="E45" s="286">
        <f t="shared" si="3"/>
        <v>-4.763900907501778E-2</v>
      </c>
      <c r="F45" s="361">
        <v>19133372</v>
      </c>
      <c r="G45" s="361">
        <v>16112281</v>
      </c>
      <c r="H45" s="361">
        <v>12958219</v>
      </c>
      <c r="I45" s="361">
        <v>14624272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1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1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813</v>
      </c>
      <c r="C48" s="127">
        <f>Data!CQ6</f>
        <v>8190</v>
      </c>
      <c r="D48" s="249">
        <f>Data!CQ11</f>
        <v>7069</v>
      </c>
      <c r="E48" s="286">
        <f t="shared" ref="E48:E50" si="4">IFERROR(IF(OR(AND(D48="",C48=""),AND(D48=0,C48=0)),"",
IF(OR(D48="",D48=0),1,
IF(OR(D48&lt;&gt;"",D48&lt;&gt;0),(C48-D48)/ABS(D48)))),-1)</f>
        <v>0.15857971424529638</v>
      </c>
      <c r="F48" s="361">
        <v>7665</v>
      </c>
      <c r="G48" s="361">
        <v>5572</v>
      </c>
      <c r="H48" s="361">
        <v>7734</v>
      </c>
      <c r="I48" s="361">
        <v>7506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95141.798915000007</v>
      </c>
      <c r="C49" s="127">
        <f>Data!CQ7/1000000</f>
        <v>695645.12511799997</v>
      </c>
      <c r="D49" s="249">
        <f>Data!CQ12/1000000</f>
        <v>706383.70428499999</v>
      </c>
      <c r="E49" s="286">
        <f t="shared" si="4"/>
        <v>-1.5202189832322908E-2</v>
      </c>
      <c r="F49" s="361">
        <v>747909</v>
      </c>
      <c r="G49" s="361">
        <v>434632</v>
      </c>
      <c r="H49" s="361">
        <v>895388</v>
      </c>
      <c r="I49" s="361">
        <v>357990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28827.620834269997</v>
      </c>
      <c r="C50" s="128">
        <f>Data!CQ8/1000000</f>
        <v>290287.34119358996</v>
      </c>
      <c r="D50" s="290">
        <f>Data!CQ13/1000000</f>
        <v>352492.59968180011</v>
      </c>
      <c r="E50" s="291">
        <f t="shared" si="4"/>
        <v>-0.17647252323698054</v>
      </c>
      <c r="F50" s="292">
        <v>370548</v>
      </c>
      <c r="G50" s="292">
        <v>240709</v>
      </c>
      <c r="H50" s="292">
        <v>803782</v>
      </c>
      <c r="I50" s="292">
        <v>323288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Nov 2017</v>
      </c>
      <c r="C56" s="282" t="str">
        <f>$C$15</f>
        <v>2017</v>
      </c>
      <c r="D56" s="282">
        <f>$D$15</f>
        <v>2016</v>
      </c>
      <c r="E56" s="284" t="s">
        <v>6</v>
      </c>
      <c r="F56" s="284">
        <f>$F$15</f>
        <v>2016</v>
      </c>
      <c r="G56" s="295">
        <f>$G$15</f>
        <v>2015</v>
      </c>
      <c r="H56" s="295">
        <f>$H$15</f>
        <v>2014</v>
      </c>
      <c r="I56" s="295">
        <f>$I$15</f>
        <v>2013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128775.44119300001</v>
      </c>
      <c r="C57" s="287">
        <f>(SUMIFS(Data!$CZ$1:$CZ$12,Data!$CU$1:$CU$12,"Standard Trade")+SUMIFS(Data!$CZ$1:$CZ$12,Data!$CU$1:$CU$12,"Standard Trade (Spot)"))/1000000</f>
        <v>993930.78148600005</v>
      </c>
      <c r="D57" s="287">
        <f>(SUMIFS(Data!$CZ$27:$CZ$38,Data!$CU$27:$CU$38,"Standard Trade")+SUMIFS(Data!$CZ$27:$CZ$38,Data!$CU$27:$CU$38,"Standard Trade (Spot)"))/1000000</f>
        <v>909746.70094300003</v>
      </c>
      <c r="E57" s="195">
        <f>C57-D57</f>
        <v>84184.080543000018</v>
      </c>
      <c r="F57" s="361">
        <v>954436</v>
      </c>
      <c r="G57" s="361">
        <v>821507</v>
      </c>
      <c r="H57" s="306">
        <v>774058</v>
      </c>
      <c r="I57" s="306">
        <v>779778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135578.16018899999</v>
      </c>
      <c r="C58" s="287">
        <f>(SUMIFS(Data!$DC$1:$DC$12,Data!$CU$1:$CU$12,"Standard Trade")+SUMIFS(Data!$DC$1:$DC$12,Data!$CU$1:$CU$12,"Standard Trade (Spot)"))/1000000</f>
        <v>937938.65024700004</v>
      </c>
      <c r="D58" s="287">
        <f>(SUMIFS(Data!$DC$27:$DC$38,Data!$CU$27:$CU$38,"Standard Trade")+SUMIFS(Data!$DC$27:$DC$38,Data!$CU$27:$CU$38,"Standard Trade (Spot)"))/1000000</f>
        <v>870753.85546600004</v>
      </c>
      <c r="E58" s="195">
        <f>C58-D58</f>
        <v>67184.794781000004</v>
      </c>
      <c r="F58" s="361">
        <v>922129</v>
      </c>
      <c r="G58" s="361">
        <v>820729</v>
      </c>
      <c r="H58" s="306">
        <v>771223</v>
      </c>
      <c r="I58" s="306">
        <v>747292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-6802.7189959999814</v>
      </c>
      <c r="C59" s="298">
        <f t="shared" ref="C59" si="5">C57-C58</f>
        <v>55992.131239000009</v>
      </c>
      <c r="D59" s="298">
        <f>D57-D58</f>
        <v>38992.845476999995</v>
      </c>
      <c r="E59" s="298">
        <f>E57-E58</f>
        <v>16999.285762000014</v>
      </c>
      <c r="F59" s="298">
        <v>32307</v>
      </c>
      <c r="G59" s="298">
        <v>778</v>
      </c>
      <c r="H59" s="298">
        <v>2835</v>
      </c>
      <c r="I59" s="298">
        <v>32486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Nov 2017</v>
      </c>
      <c r="C65" s="282">
        <v>2016</v>
      </c>
      <c r="D65" s="282">
        <v>2015</v>
      </c>
      <c r="E65" s="284" t="s">
        <v>6</v>
      </c>
      <c r="F65" s="284">
        <f>$F$15</f>
        <v>2016</v>
      </c>
      <c r="G65" s="295">
        <f>$G$15</f>
        <v>2015</v>
      </c>
      <c r="H65" s="295">
        <f>$H$15</f>
        <v>2014</v>
      </c>
      <c r="I65" s="295">
        <f>$I$15</f>
        <v>2013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244559</v>
      </c>
      <c r="C67" s="249">
        <f>Data!BR2</f>
        <v>2932391</v>
      </c>
      <c r="D67" s="249">
        <f>Data!BR8</f>
        <v>3335874</v>
      </c>
      <c r="E67" s="286">
        <f>IFERROR(IF(OR(AND(D67="",C67=""),AND(D67=0,C67=0)),"",
IF(OR(D67="",D67=0),1,
IF(OR(D67&lt;&gt;"",D67&lt;&gt;0),(C67-D67)/ABS(D67)))),-1)</f>
        <v>-0.12095270984455649</v>
      </c>
      <c r="F67" s="361">
        <v>3591024</v>
      </c>
      <c r="G67" s="361">
        <v>3526147</v>
      </c>
      <c r="H67" s="361">
        <v>3167060</v>
      </c>
      <c r="I67" s="313">
        <v>2682897</v>
      </c>
      <c r="J67" s="158"/>
    </row>
    <row r="68" spans="1:12" ht="14.25" x14ac:dyDescent="0.2">
      <c r="A68" s="248" t="s">
        <v>142</v>
      </c>
      <c r="B68" s="127">
        <f>C379/1000</f>
        <v>8961.2610000000004</v>
      </c>
      <c r="C68" s="249">
        <f>Data!BQ2</f>
        <v>252686017</v>
      </c>
      <c r="D68" s="249">
        <f>Data!BQ8</f>
        <v>325183113</v>
      </c>
      <c r="E68" s="286">
        <f t="shared" ref="E68:E70" si="6">IFERROR(IF(OR(AND(D68="",C68=""),AND(D68=0,C68=0)),"",
IF(OR(D68="",D68=0),1,
IF(OR(D68&lt;&gt;"",D68&lt;&gt;0),(C68-D68)/ABS(D68)))),-1)</f>
        <v>-0.22294237646959239</v>
      </c>
      <c r="F68" s="361">
        <v>412077</v>
      </c>
      <c r="G68" s="361">
        <v>432277</v>
      </c>
      <c r="H68" s="361">
        <v>210421</v>
      </c>
      <c r="I68" s="361">
        <v>161800</v>
      </c>
      <c r="J68" s="158"/>
    </row>
    <row r="69" spans="1:12" ht="14.25" x14ac:dyDescent="0.2">
      <c r="A69" s="248" t="s">
        <v>143</v>
      </c>
      <c r="B69" s="127">
        <f>C397/1000000</f>
        <v>353.9637001046687</v>
      </c>
      <c r="C69" s="249">
        <f>Data!BP2/1000000000</f>
        <v>5281.6034423040301</v>
      </c>
      <c r="D69" s="249">
        <f>Data!BP8/1000000000</f>
        <v>6021.9747949329858</v>
      </c>
      <c r="E69" s="286">
        <f t="shared" si="6"/>
        <v>-0.12294494378354415</v>
      </c>
      <c r="F69" s="361">
        <v>6894</v>
      </c>
      <c r="G69" s="361">
        <v>6619</v>
      </c>
      <c r="H69" s="361">
        <v>5958</v>
      </c>
      <c r="I69" s="361">
        <v>5029</v>
      </c>
      <c r="J69" s="158"/>
    </row>
    <row r="70" spans="1:12" ht="14.25" x14ac:dyDescent="0.2">
      <c r="A70" s="248" t="s">
        <v>144</v>
      </c>
      <c r="B70" s="127">
        <f>SUM(C408:C414)</f>
        <v>24425365</v>
      </c>
      <c r="C70" s="249">
        <f>B70</f>
        <v>24425365</v>
      </c>
      <c r="D70" s="249">
        <f>Data!BP14</f>
        <v>42435282</v>
      </c>
      <c r="E70" s="286">
        <f t="shared" si="6"/>
        <v>-0.42440903303058053</v>
      </c>
      <c r="F70" s="361">
        <v>40320362</v>
      </c>
      <c r="G70" s="361">
        <v>60646619</v>
      </c>
      <c r="H70" s="361">
        <v>22036181</v>
      </c>
      <c r="I70" s="361">
        <v>13839186</v>
      </c>
      <c r="J70" s="158"/>
    </row>
    <row r="71" spans="1:12" ht="14.25" x14ac:dyDescent="0.2">
      <c r="A71" s="248"/>
      <c r="B71" s="249"/>
      <c r="C71" s="249"/>
      <c r="D71" s="249"/>
      <c r="E71" s="248"/>
      <c r="F71" s="361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62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1443</v>
      </c>
      <c r="C73" s="249">
        <f>Data!BR5</f>
        <v>22581</v>
      </c>
      <c r="D73" s="249">
        <f>Data!BR11</f>
        <v>19424</v>
      </c>
      <c r="E73" s="286">
        <f t="shared" ref="E73:E76" si="7">IFERROR(IF(OR(AND(D73="",C73=""),AND(D73=0,C73=0)),"",
IF(OR(D73="",D73=0),1,
IF(OR(D73&lt;&gt;"",D73&lt;&gt;0),(C73-D73)/ABS(D73)))),-1)</f>
        <v>0.1625308896210873</v>
      </c>
      <c r="F73" s="361">
        <v>22261</v>
      </c>
      <c r="G73" s="361">
        <v>19921</v>
      </c>
      <c r="H73" s="361">
        <v>20811</v>
      </c>
      <c r="I73" s="361">
        <v>22726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1494.3489999999999</v>
      </c>
      <c r="C74" s="249">
        <f>Data!BQ5/1000</f>
        <v>17181.227999999999</v>
      </c>
      <c r="D74" s="249">
        <f>Data!BQ11/1000</f>
        <v>13905.684999999999</v>
      </c>
      <c r="E74" s="286">
        <f t="shared" si="7"/>
        <v>0.23555423555186242</v>
      </c>
      <c r="F74" s="361">
        <v>15373</v>
      </c>
      <c r="G74" s="361">
        <v>15764</v>
      </c>
      <c r="H74" s="361">
        <v>41957</v>
      </c>
      <c r="I74" s="361">
        <v>55672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3.4352562878099997</v>
      </c>
      <c r="C75" s="249">
        <f>Data!BP5/1000000000</f>
        <v>38.629274677310001</v>
      </c>
      <c r="D75" s="249">
        <f>Data!BP11/1000000000</f>
        <v>39.557136400319997</v>
      </c>
      <c r="E75" s="286">
        <f t="shared" si="7"/>
        <v>-2.3456240957889229E-2</v>
      </c>
      <c r="F75" s="361">
        <v>47</v>
      </c>
      <c r="G75" s="361">
        <v>28</v>
      </c>
      <c r="H75" s="361">
        <v>24</v>
      </c>
      <c r="I75" s="361">
        <v>33</v>
      </c>
      <c r="J75" s="158"/>
      <c r="K75" s="177"/>
    </row>
    <row r="76" spans="1:12" ht="14.25" x14ac:dyDescent="0.2">
      <c r="A76" s="248" t="s">
        <v>144</v>
      </c>
      <c r="B76" s="249">
        <f>SUM(C417:C420)</f>
        <v>4059362</v>
      </c>
      <c r="C76" s="249">
        <f>B76</f>
        <v>4059362</v>
      </c>
      <c r="D76" s="249">
        <f>Data!BP17</f>
        <v>3552784</v>
      </c>
      <c r="E76" s="286">
        <f t="shared" si="7"/>
        <v>0.14258620844948638</v>
      </c>
      <c r="F76" s="361">
        <v>2300487</v>
      </c>
      <c r="G76" s="361">
        <v>1541161</v>
      </c>
      <c r="H76" s="361">
        <v>2094483</v>
      </c>
      <c r="I76" s="361">
        <v>2072619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Nov 2017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0" t="s">
        <v>199</v>
      </c>
      <c r="G95" s="370"/>
      <c r="H95" s="370"/>
      <c r="I95" s="230"/>
    </row>
    <row r="96" spans="1:9" x14ac:dyDescent="0.2">
      <c r="A96" s="247"/>
      <c r="B96" s="159"/>
      <c r="C96" s="247"/>
      <c r="D96" s="247"/>
      <c r="E96" s="247"/>
      <c r="F96" s="370"/>
      <c r="G96" s="370"/>
      <c r="H96" s="370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Nov 2017</v>
      </c>
      <c r="C101" s="282" t="str">
        <f>TEXT($H$3,"YYYY")</f>
        <v>2017</v>
      </c>
      <c r="D101" s="283">
        <f>TEXT($H$3,"YYYY")-1</f>
        <v>2016</v>
      </c>
      <c r="E101" s="284" t="s">
        <v>6</v>
      </c>
      <c r="F101" s="284">
        <f>$F$15</f>
        <v>2016</v>
      </c>
      <c r="G101" s="295">
        <f>$G$15</f>
        <v>2015</v>
      </c>
      <c r="H101" s="295">
        <f>$H$15</f>
        <v>2014</v>
      </c>
      <c r="I101" s="295">
        <f>$I$15</f>
        <v>2013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1142</v>
      </c>
      <c r="C103" s="249">
        <f>Data!BR32</f>
        <v>12376</v>
      </c>
      <c r="D103" s="249">
        <f>Data!BR38</f>
        <v>14259</v>
      </c>
      <c r="E103" s="286">
        <f t="shared" ref="E103:E106" si="8">IFERROR(IF(OR(AND(D103="",C103=""),AND(D103=0,C103=0)),"",
IF(OR(D103="",D103=0),1,
IF(OR(D103&lt;&gt;"",D103&lt;&gt;0),(C103-D103)/ABS(D103)))),-1)</f>
        <v>-0.13205694648993618</v>
      </c>
      <c r="F103" s="249">
        <v>14410</v>
      </c>
      <c r="G103" s="249">
        <v>9505</v>
      </c>
      <c r="H103" s="249">
        <v>10571</v>
      </c>
      <c r="I103" s="249">
        <v>6946</v>
      </c>
    </row>
    <row r="104" spans="1:9" ht="14.25" x14ac:dyDescent="0.2">
      <c r="A104" s="248" t="s">
        <v>146</v>
      </c>
      <c r="B104" s="127">
        <f>Data!BQ20</f>
        <v>1305932</v>
      </c>
      <c r="C104" s="249">
        <f>Data!BQ32</f>
        <v>11766157</v>
      </c>
      <c r="D104" s="249">
        <f>Data!BQ38</f>
        <v>9142934</v>
      </c>
      <c r="E104" s="286">
        <f t="shared" si="8"/>
        <v>0.28691260376592459</v>
      </c>
      <c r="F104" s="249">
        <v>9230179</v>
      </c>
      <c r="G104" s="249">
        <v>5344460</v>
      </c>
      <c r="H104" s="249">
        <v>4834077</v>
      </c>
      <c r="I104" s="249">
        <v>3419070</v>
      </c>
    </row>
    <row r="105" spans="1:9" ht="14.25" x14ac:dyDescent="0.2">
      <c r="A105" s="248" t="s">
        <v>119</v>
      </c>
      <c r="B105" s="127">
        <f>Data!BP20/1000000</f>
        <v>132547.98414432001</v>
      </c>
      <c r="C105" s="249">
        <f>Data!BP32/1000000</f>
        <v>1311085.2830314501</v>
      </c>
      <c r="D105" s="249">
        <f>Data!BP38/1000000</f>
        <v>1065315.6856176499</v>
      </c>
      <c r="E105" s="286">
        <f t="shared" si="8"/>
        <v>0.23070119095384164</v>
      </c>
      <c r="F105" s="249">
        <v>1073119</v>
      </c>
      <c r="G105" s="249">
        <v>698663</v>
      </c>
      <c r="H105" s="249">
        <v>641235</v>
      </c>
      <c r="I105" s="249">
        <v>513920</v>
      </c>
    </row>
    <row r="106" spans="1:9" ht="14.25" x14ac:dyDescent="0.2">
      <c r="A106" s="248" t="s">
        <v>144</v>
      </c>
      <c r="B106" s="127">
        <f>Data!BP26</f>
        <v>1025641</v>
      </c>
      <c r="C106" s="249">
        <f>B106</f>
        <v>1025641</v>
      </c>
      <c r="D106" s="249">
        <f>Data!BP44</f>
        <v>807290</v>
      </c>
      <c r="E106" s="286">
        <f t="shared" si="8"/>
        <v>0.27047405517224293</v>
      </c>
      <c r="F106" s="249">
        <v>802030</v>
      </c>
      <c r="G106" s="249">
        <v>621382</v>
      </c>
      <c r="H106" s="249">
        <v>418464</v>
      </c>
      <c r="I106" s="249">
        <v>332819</v>
      </c>
    </row>
    <row r="107" spans="1:9" ht="14.25" x14ac:dyDescent="0.2">
      <c r="A107" s="248"/>
      <c r="B107" s="127"/>
      <c r="C107" s="249"/>
      <c r="D107" s="249"/>
      <c r="E107" s="248"/>
      <c r="F107" s="249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249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119</v>
      </c>
      <c r="C109" s="127">
        <f>Data!BR35</f>
        <v>688</v>
      </c>
      <c r="D109" s="127">
        <f>Data!BR41</f>
        <v>824</v>
      </c>
      <c r="E109" s="286">
        <f t="shared" ref="E109:E112" si="9">IFERROR(IF(OR(AND(D109="",C109=""),AND(D109=0,C109=0)),"",
IF(OR(D109="",D109=0),1,
IF(OR(D109&lt;&gt;"",D109&lt;&gt;0),(C109-D109)/ABS(D109)))),-1)</f>
        <v>-0.1650485436893204</v>
      </c>
      <c r="F109" s="127">
        <v>825</v>
      </c>
      <c r="G109" s="127">
        <v>1013</v>
      </c>
      <c r="H109" s="127">
        <v>683</v>
      </c>
      <c r="I109" s="127">
        <v>295</v>
      </c>
    </row>
    <row r="110" spans="1:9" ht="14.25" x14ac:dyDescent="0.2">
      <c r="A110" s="248" t="s">
        <v>146</v>
      </c>
      <c r="B110" s="127">
        <f>Data!BQ23</f>
        <v>34036</v>
      </c>
      <c r="C110" s="127">
        <f>Data!BQ35</f>
        <v>243904</v>
      </c>
      <c r="D110" s="127">
        <f>Data!BQ41</f>
        <v>205489</v>
      </c>
      <c r="E110" s="286">
        <f t="shared" si="9"/>
        <v>0.18694431332090769</v>
      </c>
      <c r="F110" s="127">
        <v>205539</v>
      </c>
      <c r="G110" s="127">
        <v>348297</v>
      </c>
      <c r="H110" s="127">
        <v>197474</v>
      </c>
      <c r="I110" s="127">
        <v>246576</v>
      </c>
    </row>
    <row r="111" spans="1:9" ht="14.25" x14ac:dyDescent="0.2">
      <c r="A111" s="248" t="s">
        <v>196</v>
      </c>
      <c r="B111" s="127">
        <f>Data!BP23/1000000</f>
        <v>2940.5456822300002</v>
      </c>
      <c r="C111" s="127">
        <f>Data!BP35/1000000</f>
        <v>22142.250442779998</v>
      </c>
      <c r="D111" s="127">
        <f>Data!BP41/1000000</f>
        <v>21981.832472619997</v>
      </c>
      <c r="E111" s="286">
        <f t="shared" si="9"/>
        <v>7.2977523761867001E-3</v>
      </c>
      <c r="F111" s="127">
        <v>21987</v>
      </c>
      <c r="G111" s="127">
        <v>37202</v>
      </c>
      <c r="H111" s="127">
        <v>15321</v>
      </c>
      <c r="I111" s="127">
        <v>515922</v>
      </c>
    </row>
    <row r="112" spans="1:9" ht="15" thickBot="1" x14ac:dyDescent="0.25">
      <c r="A112" s="289" t="s">
        <v>144</v>
      </c>
      <c r="B112" s="128">
        <f>Data!BP29</f>
        <v>84661</v>
      </c>
      <c r="C112" s="128">
        <f>B112</f>
        <v>84661</v>
      </c>
      <c r="D112" s="128">
        <f>Data!BP47</f>
        <v>37005</v>
      </c>
      <c r="E112" s="291">
        <f t="shared" si="9"/>
        <v>1.2878259694635861</v>
      </c>
      <c r="F112" s="128">
        <v>36955</v>
      </c>
      <c r="G112" s="128">
        <v>75609</v>
      </c>
      <c r="H112" s="128">
        <v>34866</v>
      </c>
      <c r="I112" s="128">
        <v>47546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Nov 2017</v>
      </c>
      <c r="C119" s="282" t="str">
        <f>TEXT($H$3,"YYYY")</f>
        <v>2017</v>
      </c>
      <c r="D119" s="282">
        <f>TEXT($H$3,"YYYY")-1</f>
        <v>2016</v>
      </c>
      <c r="E119" s="284" t="s">
        <v>6</v>
      </c>
      <c r="F119" s="284">
        <f>TEXT($H$3,"YYYY")-1</f>
        <v>2016</v>
      </c>
      <c r="G119" s="295">
        <f>TEXT($H$3,"YYYY")-2</f>
        <v>2015</v>
      </c>
      <c r="H119" s="295">
        <f>TEXT($H$3,"YYYY")-3</f>
        <v>2014</v>
      </c>
      <c r="I119" s="295">
        <f>TEXT($H$3,"YYYY")-4</f>
        <v>2013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5872</v>
      </c>
      <c r="C121" s="249">
        <f>Data!BR60</f>
        <v>59154</v>
      </c>
      <c r="D121" s="249">
        <f>Data!BR66</f>
        <v>62913</v>
      </c>
      <c r="E121" s="286">
        <f t="shared" ref="E121:E123" si="10">IFERROR(IF(OR(AND(D121="",C121=""),AND(D121=0,C121=0)),"",
IF(OR(D121="",D121=0),1,
IF(OR(D121&lt;&gt;"",D121&lt;&gt;0),(C121-D121)/ABS(D121)))),-1)</f>
        <v>-5.9749177435506173E-2</v>
      </c>
      <c r="F121" s="249">
        <v>66920</v>
      </c>
      <c r="G121" s="249">
        <v>57891</v>
      </c>
      <c r="H121" s="249">
        <v>43500</v>
      </c>
      <c r="I121" s="249">
        <v>39077</v>
      </c>
      <c r="J121" s="62"/>
    </row>
    <row r="122" spans="1:12" ht="14.25" x14ac:dyDescent="0.2">
      <c r="A122" s="248" t="s">
        <v>146</v>
      </c>
      <c r="B122" s="249">
        <f>Data!BQ50</f>
        <v>2656250</v>
      </c>
      <c r="C122" s="249">
        <f>Data!BQ60</f>
        <v>41401950</v>
      </c>
      <c r="D122" s="249">
        <f>Data!BQ66</f>
        <v>31786534</v>
      </c>
      <c r="E122" s="286">
        <f t="shared" si="10"/>
        <v>0.30249966857034494</v>
      </c>
      <c r="F122" s="249">
        <v>34293431</v>
      </c>
      <c r="G122" s="249">
        <v>33917069</v>
      </c>
      <c r="H122" s="249">
        <v>33946042</v>
      </c>
      <c r="I122" s="249">
        <v>24258464</v>
      </c>
      <c r="J122" s="62"/>
    </row>
    <row r="123" spans="1:12" ht="14.25" x14ac:dyDescent="0.2">
      <c r="A123" s="248" t="s">
        <v>119</v>
      </c>
      <c r="B123" s="249">
        <f>Data!BP50/1000000</f>
        <v>38517.533390800003</v>
      </c>
      <c r="C123" s="249">
        <f>Data!BP60/1000000</f>
        <v>566301.5147251999</v>
      </c>
      <c r="D123" s="249">
        <f>Data!BP66/1000000</f>
        <v>486617.20981110004</v>
      </c>
      <c r="E123" s="286">
        <f t="shared" si="10"/>
        <v>0.1637515141419526</v>
      </c>
      <c r="F123" s="249">
        <v>522169</v>
      </c>
      <c r="G123" s="249">
        <v>446203</v>
      </c>
      <c r="H123" s="249">
        <v>388071</v>
      </c>
      <c r="I123" s="249">
        <v>247049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1935672</v>
      </c>
      <c r="C124" s="249">
        <f>B124</f>
        <v>1935672</v>
      </c>
      <c r="D124" s="249">
        <f>VLOOKUP("Future",Data!$BP$71:$BQ$73,2,FALSE)</f>
        <v>1192282</v>
      </c>
      <c r="E124" s="286">
        <f>IFERROR(IF(OR(AND(D124="",C124=""),AND(D124=0,C124=0)),"",
IF(OR(D124="",D124=0),1,
IF(OR(D124&lt;&gt;"",D124&lt;&gt;0),(C124-D124)/ABS(D124)))),-1)</f>
        <v>0.62350182255540221</v>
      </c>
      <c r="F124" s="249">
        <v>1090978</v>
      </c>
      <c r="G124" s="249">
        <v>1414841</v>
      </c>
      <c r="H124" s="249">
        <v>1705921</v>
      </c>
      <c r="I124" s="249">
        <v>1029528</v>
      </c>
      <c r="J124" s="62"/>
    </row>
    <row r="125" spans="1:12" ht="14.25" x14ac:dyDescent="0.2">
      <c r="A125" s="248"/>
      <c r="B125" s="315"/>
      <c r="C125" s="315"/>
      <c r="D125" s="315"/>
      <c r="E125" s="248"/>
      <c r="F125" s="249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250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1051</v>
      </c>
      <c r="C127" s="249">
        <f>Data!BR63</f>
        <v>3794</v>
      </c>
      <c r="D127" s="249">
        <f>Data!BR69</f>
        <v>3127</v>
      </c>
      <c r="E127" s="286">
        <f t="shared" ref="E127:E129" si="11">IFERROR(IF(OR(AND(D127="",C127=""),AND(D127=0,C127=0)),"",
IF(OR(D127="",D127=0),1,
IF(OR(D127&lt;&gt;"",D127&lt;&gt;0),(C127-D127)/ABS(D127)))),-1)</f>
        <v>0.21330348576910776</v>
      </c>
      <c r="F127" s="249">
        <v>3271</v>
      </c>
      <c r="G127" s="249">
        <v>2622</v>
      </c>
      <c r="H127" s="249">
        <v>3439</v>
      </c>
      <c r="I127" s="249">
        <v>2009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2605518</v>
      </c>
      <c r="C128" s="249">
        <f>Data!BQ63</f>
        <v>15461525</v>
      </c>
      <c r="D128" s="249">
        <f>Data!BQ69</f>
        <v>13483856</v>
      </c>
      <c r="E128" s="286">
        <f t="shared" si="11"/>
        <v>0.14666939486746225</v>
      </c>
      <c r="F128" s="249">
        <v>14030889</v>
      </c>
      <c r="G128" s="249">
        <v>11251621</v>
      </c>
      <c r="H128" s="249">
        <v>10687313</v>
      </c>
      <c r="I128" s="249">
        <v>10027182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39430.009471099998</v>
      </c>
      <c r="C129" s="249">
        <f>Data!BP63/1000000</f>
        <v>218499.70389820001</v>
      </c>
      <c r="D129" s="249">
        <f>Data!BP69/1000000</f>
        <v>204476.425907</v>
      </c>
      <c r="E129" s="286">
        <f t="shared" si="11"/>
        <v>6.8581392348759471E-2</v>
      </c>
      <c r="F129" s="249">
        <v>212036</v>
      </c>
      <c r="G129" s="249">
        <v>157773</v>
      </c>
      <c r="H129" s="249">
        <v>128124</v>
      </c>
      <c r="I129" s="249">
        <v>87508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4656660</v>
      </c>
      <c r="C130" s="249">
        <f>MarketProfile!B130</f>
        <v>4656660</v>
      </c>
      <c r="D130" s="249">
        <f>VLOOKUP("Option",Data!$BP$71:$BQ$73,2,FALSE)</f>
        <v>2653275</v>
      </c>
      <c r="E130" s="286">
        <f>IFERROR(IF(OR(AND(D130="",C130=""),AND(D130=0,C130=0)),"",
IF(OR(D130="",D130=0),1,
IF(OR(D130&lt;&gt;"",D130&lt;&gt;0),(C130-D130)/ABS(D130)))),-1)</f>
        <v>0.7550611979534726</v>
      </c>
      <c r="F130" s="249">
        <v>1240499</v>
      </c>
      <c r="G130" s="249">
        <v>1917456</v>
      </c>
      <c r="H130" s="249">
        <v>1839022</v>
      </c>
      <c r="I130" s="249">
        <v>797456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Nov 2017</v>
      </c>
      <c r="C136" s="282" t="str">
        <f>TEXT($H$3,"YYYY")</f>
        <v>2017</v>
      </c>
      <c r="D136" s="282">
        <f>TEXT($H$3,"YYYY")-1</f>
        <v>2016</v>
      </c>
      <c r="E136" s="284" t="s">
        <v>6</v>
      </c>
      <c r="F136" s="284">
        <f>TEXT($H$3,"YYYY")-1</f>
        <v>2016</v>
      </c>
      <c r="G136" s="295">
        <f>TEXT($H$3,"YYYY")-2</f>
        <v>2015</v>
      </c>
      <c r="H136" s="295">
        <f>TEXT($H$3,"YYYY")-3</f>
        <v>2014</v>
      </c>
      <c r="I136" s="295">
        <f>TEXT($H$3,"YYYY")-4</f>
        <v>2013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39227</v>
      </c>
      <c r="C138" s="249">
        <f>Data!BR76</f>
        <v>323086</v>
      </c>
      <c r="D138" s="249">
        <f>Data!BR82</f>
        <v>322959</v>
      </c>
      <c r="E138" s="286">
        <f>IFERROR(IF(OR(AND(D138="",C138=""),AND(D138=0,C138=0)),"",
IF(OR(D138="",D138=0),1,
IF(OR(D138&lt;&gt;"",D138&lt;&gt;0),(C138-D138)/ABS(D138)))),-1)</f>
        <v>3.9323877024637804E-4</v>
      </c>
      <c r="F138" s="249">
        <v>343265</v>
      </c>
      <c r="G138" s="249">
        <v>319935</v>
      </c>
      <c r="H138" s="249">
        <v>277392</v>
      </c>
      <c r="I138" s="249">
        <v>274898</v>
      </c>
    </row>
    <row r="139" spans="1:12" ht="14.25" x14ac:dyDescent="0.2">
      <c r="A139" s="248" t="s">
        <v>142</v>
      </c>
      <c r="B139" s="249">
        <f>SUMIFS(Data!$AB:$AB,Data!$AE:$AE,"1")/1000</f>
        <v>309.46699999999998</v>
      </c>
      <c r="C139" s="249">
        <f>Data!BQ76</f>
        <v>2541852</v>
      </c>
      <c r="D139" s="249">
        <f>Data!BQ82</f>
        <v>2798678</v>
      </c>
      <c r="E139" s="286">
        <f t="shared" ref="E139:E141" si="12">IFERROR(IF(OR(AND(D139="",C139=""),AND(D139=0,C139=0)),"",
IF(OR(D139="",D139=0),1,
IF(OR(D139&lt;&gt;"",D139&lt;&gt;0),(C139-D139)/ABS(D139)))),-1)</f>
        <v>-9.1766898514227077E-2</v>
      </c>
      <c r="F139" s="249">
        <v>2955</v>
      </c>
      <c r="G139" s="249">
        <v>2956</v>
      </c>
      <c r="H139" s="249">
        <v>2395</v>
      </c>
      <c r="I139" s="249">
        <v>2482</v>
      </c>
    </row>
    <row r="140" spans="1:12" ht="14.25" x14ac:dyDescent="0.2">
      <c r="A140" s="248" t="s">
        <v>119</v>
      </c>
      <c r="B140" s="249">
        <f>SUMIFS(Data!$AA:$AA,Data!$AE:$AE,"1")/1000000</f>
        <v>66617.027788448511</v>
      </c>
      <c r="C140" s="249">
        <f>Data!BP76/1000000</f>
        <v>531785.25138551835</v>
      </c>
      <c r="D140" s="249">
        <f>Data!BP82/1000000</f>
        <v>899101.44379893492</v>
      </c>
      <c r="E140" s="286">
        <f t="shared" si="12"/>
        <v>-0.4085369842822309</v>
      </c>
      <c r="F140" s="249">
        <v>943312</v>
      </c>
      <c r="G140" s="249">
        <v>736984</v>
      </c>
      <c r="H140" s="249">
        <v>487818</v>
      </c>
      <c r="I140" s="249">
        <v>486903</v>
      </c>
    </row>
    <row r="141" spans="1:12" ht="14.25" x14ac:dyDescent="0.2">
      <c r="A141" s="248" t="s">
        <v>144</v>
      </c>
      <c r="B141" s="249">
        <f>SUMIFS(Data!$AK:$AK,Data!$AL:$AL,"1")</f>
        <v>128092</v>
      </c>
      <c r="C141" s="249">
        <f>B141</f>
        <v>128092</v>
      </c>
      <c r="D141" s="249">
        <f>Data!BP88</f>
        <v>65109</v>
      </c>
      <c r="E141" s="286">
        <f t="shared" si="12"/>
        <v>0.96734706415395721</v>
      </c>
      <c r="F141" s="249">
        <v>65553</v>
      </c>
      <c r="G141" s="249">
        <v>89089</v>
      </c>
      <c r="H141" s="249">
        <v>75388</v>
      </c>
      <c r="I141" s="249">
        <v>66538</v>
      </c>
    </row>
    <row r="142" spans="1:12" ht="14.25" x14ac:dyDescent="0.2">
      <c r="A142" s="248"/>
      <c r="B142" s="249"/>
      <c r="C142" s="249"/>
      <c r="D142" s="249"/>
      <c r="E142" s="248"/>
      <c r="F142" s="249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249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4211</v>
      </c>
      <c r="C144" s="249">
        <f>Data!BR79</f>
        <v>28236</v>
      </c>
      <c r="D144" s="249">
        <f>Data!BR85</f>
        <v>40936</v>
      </c>
      <c r="E144" s="286">
        <f>IFERROR(IF(OR(AND(D144="",C144=""),AND(D144=0,C144=0)),"",
IF(OR(D144="",D144=0),1,
IF(OR(D144&lt;&gt;"",D144&lt;&gt;0),(C144-D144)/ABS(D144)))),-1)</f>
        <v>-0.31024037521985537</v>
      </c>
      <c r="F144" s="249">
        <v>43815</v>
      </c>
      <c r="G144" s="249">
        <v>42966</v>
      </c>
      <c r="H144" s="249">
        <v>31365</v>
      </c>
      <c r="I144" s="249">
        <v>30380</v>
      </c>
    </row>
    <row r="145" spans="1:10" ht="14.25" x14ac:dyDescent="0.2">
      <c r="A145" s="248" t="s">
        <v>142</v>
      </c>
      <c r="B145" s="249">
        <f>SUMIFS(Data!$AB:$AB,Data!$AE:$AE,"0")/1000</f>
        <v>31.158000000000001</v>
      </c>
      <c r="C145" s="249">
        <f>Data!BQ79</f>
        <v>274121</v>
      </c>
      <c r="D145" s="249">
        <f>Data!BQ85</f>
        <v>450315</v>
      </c>
      <c r="E145" s="286">
        <f t="shared" ref="E145:E146" si="13">IFERROR(IF(OR(AND(D145="",C145=""),AND(D145=0,C145=0)),"",
IF(OR(D145="",D145=0),1,
IF(OR(D145&lt;&gt;"",D145&lt;&gt;0),(C145-D145)/ABS(D145)))),-1)</f>
        <v>-0.39126833438815051</v>
      </c>
      <c r="F145" s="249">
        <v>471</v>
      </c>
      <c r="G145" s="249">
        <v>544</v>
      </c>
      <c r="H145" s="249">
        <v>335</v>
      </c>
      <c r="I145" s="249">
        <v>307</v>
      </c>
    </row>
    <row r="146" spans="1:10" ht="14.25" x14ac:dyDescent="0.2">
      <c r="A146" s="248" t="s">
        <v>119</v>
      </c>
      <c r="B146" s="249">
        <f>SUMIFS(Data!$AA:$AA,Data!$AE:$AE,"0")/1000000</f>
        <v>307.50041229000004</v>
      </c>
      <c r="C146" s="249">
        <f>Data!BP79/1000000</f>
        <v>3039.6887051499903</v>
      </c>
      <c r="D146" s="249">
        <f>Data!BP85/1000000</f>
        <v>14033.979812860001</v>
      </c>
      <c r="E146" s="286">
        <f t="shared" si="13"/>
        <v>-0.78340508211615212</v>
      </c>
      <c r="F146" s="249">
        <v>14527</v>
      </c>
      <c r="G146" s="249">
        <v>12378</v>
      </c>
      <c r="H146" s="249">
        <v>2724</v>
      </c>
      <c r="I146" s="249">
        <v>3357</v>
      </c>
    </row>
    <row r="147" spans="1:10" ht="14.25" x14ac:dyDescent="0.2">
      <c r="A147" s="248" t="s">
        <v>144</v>
      </c>
      <c r="B147" s="249">
        <f>SUMIFS(Data!$AK:$AK,Data!$AL:$AL,"0")</f>
        <v>47200</v>
      </c>
      <c r="C147" s="249">
        <f>B147</f>
        <v>47200</v>
      </c>
      <c r="D147" s="249">
        <f>Data!BP91</f>
        <v>30099</v>
      </c>
      <c r="E147" s="286">
        <f>IFERROR(IF(OR(AND(D147="",C147=""),AND(D147=0,C147=0)),"",
IF(OR(D147="",D147=0),1,
IF(OR(D147&lt;&gt;"",D147&lt;&gt;0),(C147-D147)/ABS(D147)))),-1)</f>
        <v>0.56815841057842453</v>
      </c>
      <c r="F147" s="249">
        <v>36968</v>
      </c>
      <c r="G147" s="249">
        <v>87294</v>
      </c>
      <c r="H147" s="249">
        <v>57806</v>
      </c>
      <c r="I147" s="249">
        <v>52069</v>
      </c>
    </row>
    <row r="148" spans="1:10" x14ac:dyDescent="0.2">
      <c r="B148" s="3"/>
    </row>
    <row r="149" spans="1:10" ht="12.75" customHeight="1" x14ac:dyDescent="0.2">
      <c r="B149" s="3"/>
      <c r="F149" s="370" t="s">
        <v>200</v>
      </c>
      <c r="G149" s="370"/>
      <c r="H149" s="370"/>
      <c r="I149" s="125"/>
    </row>
    <row r="150" spans="1:10" ht="12.75" customHeight="1" x14ac:dyDescent="0.2">
      <c r="B150" s="3"/>
      <c r="F150" s="370"/>
      <c r="G150" s="370"/>
      <c r="H150" s="370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Nov 2017</v>
      </c>
      <c r="C153" s="282" t="str">
        <f>TEXT(DATE(2000,TEXT(H3,"M")-1,1),"mmm")&amp; " "&amp; TEXT(H3,"YYYY")</f>
        <v>Oct 2017</v>
      </c>
      <c r="D153" s="284" t="s">
        <v>121</v>
      </c>
      <c r="E153" s="282"/>
      <c r="F153" s="282"/>
      <c r="G153" s="282" t="str">
        <f>TEXT($H$3,"MMM")&amp;" "&amp;TEXT($H$3,"YYYY")</f>
        <v>Nov 2017</v>
      </c>
      <c r="H153" s="282" t="str">
        <f>TEXT($H$3,"MMM")&amp;" "&amp;TEXT($H$3,"YYYY")-1</f>
        <v>Nov 2016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228781.06755006284</v>
      </c>
      <c r="C154" s="322">
        <f>VLOOKUP("ABuy",Data!$J$7:$M$11,4,FALSE)/1000000</f>
        <v>230238.02031245708</v>
      </c>
      <c r="D154" s="186">
        <f>((B154/C154)-1)</f>
        <v>-6.328028535065644E-3</v>
      </c>
      <c r="E154" s="322"/>
      <c r="F154" s="322"/>
      <c r="G154" s="322">
        <f>VLOOKUP("Abuy",Data!$J$13:$M$17,4,FALSE)/1000000</f>
        <v>222423.9642857</v>
      </c>
      <c r="H154" s="322">
        <f>VLOOKUP("Abuy",Data!$J$19:$M$23,4,FALSE)/1000000</f>
        <v>199542.42426217999</v>
      </c>
      <c r="I154" s="200">
        <f>((G154/H154)-1)</f>
        <v>0.11467005128421115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240159.52508968982</v>
      </c>
      <c r="C155" s="322">
        <f>VLOOKUP("Asell",Data!$J$7:$M$11,4,FALSE)/1000000</f>
        <v>241865.75026038068</v>
      </c>
      <c r="D155" s="200">
        <f t="shared" ref="D155:D157" si="14">((B155/C155)-1)</f>
        <v>-7.0544306866682227E-3</v>
      </c>
      <c r="E155" s="322"/>
      <c r="F155" s="322"/>
      <c r="G155" s="322">
        <f>VLOOKUP("Asell",Data!$J$13:$M$17,4,FALSE)/1000000</f>
        <v>232728.37454985999</v>
      </c>
      <c r="H155" s="322">
        <f>VLOOKUP("Asell",Data!$J$19:$M$23,4,FALSE)/1000000</f>
        <v>209145.38669617</v>
      </c>
      <c r="I155" s="200">
        <f t="shared" ref="I155:I157" si="15">((G155/H155)-1)</f>
        <v>0.11275882402297266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280848.81229809782</v>
      </c>
      <c r="C156" s="322">
        <f>VLOOKUP("Pbuy",Data!$J$7:$M$11,4,FALSE)/1000000</f>
        <v>251263.69475523767</v>
      </c>
      <c r="D156" s="200">
        <f t="shared" si="14"/>
        <v>0.11774529373087406</v>
      </c>
      <c r="E156" s="322"/>
      <c r="F156" s="322"/>
      <c r="G156" s="322">
        <f>VLOOKUP("Pbuy",Data!$J$13:$M$17,4,FALSE)/1000000</f>
        <v>254094.21572495002</v>
      </c>
      <c r="H156" s="322">
        <f>VLOOKUP("Pbuy",Data!$J$19:$M$23,4,FALSE)/1000000</f>
        <v>226676.85858524998</v>
      </c>
      <c r="I156" s="200">
        <f t="shared" si="15"/>
        <v>0.12095348996284394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269470.35475847084</v>
      </c>
      <c r="C157" s="322">
        <f>VLOOKUP("Psell",Data!$J$7:$M$11,4,FALSE)/1000000</f>
        <v>239635.9648073141</v>
      </c>
      <c r="D157" s="200">
        <f t="shared" si="14"/>
        <v>0.12449879956519005</v>
      </c>
      <c r="E157" s="322"/>
      <c r="F157" s="322"/>
      <c r="G157" s="322">
        <f>VLOOKUP("Psell",Data!$J$13:$M$17,4,FALSE)/1000000</f>
        <v>243789.80546079</v>
      </c>
      <c r="H157" s="322">
        <f>VLOOKUP("Psell",Data!$J$19:$M$23,4,FALSE)/1000000</f>
        <v>217073.89615126001</v>
      </c>
      <c r="I157" s="200">
        <f t="shared" si="15"/>
        <v>0.12307287879015161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2" t="s">
        <v>128</v>
      </c>
      <c r="E160" s="382"/>
      <c r="F160" s="284" t="s">
        <v>129</v>
      </c>
      <c r="G160" s="378" t="s">
        <v>130</v>
      </c>
      <c r="H160" s="378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1">
        <v>1959547</v>
      </c>
      <c r="E162" s="381"/>
      <c r="F162" s="335">
        <v>42349</v>
      </c>
      <c r="G162" s="381">
        <v>7331360</v>
      </c>
      <c r="H162" s="381"/>
      <c r="I162" s="198" t="s">
        <v>533</v>
      </c>
    </row>
    <row r="163" spans="1:10" ht="14.25" x14ac:dyDescent="0.2">
      <c r="A163" s="248" t="s">
        <v>523</v>
      </c>
      <c r="B163" s="206">
        <v>1391490.6459999999</v>
      </c>
      <c r="C163" s="335">
        <v>43012</v>
      </c>
      <c r="D163" s="381">
        <v>2973196</v>
      </c>
      <c r="E163" s="381"/>
      <c r="F163" s="335">
        <v>43014</v>
      </c>
      <c r="G163" s="381">
        <v>9748834</v>
      </c>
      <c r="H163" s="381"/>
      <c r="I163" s="205" t="s">
        <v>131</v>
      </c>
    </row>
    <row r="164" spans="1:10" ht="14.25" x14ac:dyDescent="0.2">
      <c r="A164" s="248" t="s">
        <v>522</v>
      </c>
      <c r="B164" s="206">
        <v>70020.093869999997</v>
      </c>
      <c r="C164" s="335">
        <v>42901</v>
      </c>
      <c r="D164" s="381">
        <v>165827</v>
      </c>
      <c r="E164" s="381"/>
      <c r="F164" s="335">
        <v>42631</v>
      </c>
      <c r="G164" s="381">
        <v>612552</v>
      </c>
      <c r="H164" s="381"/>
      <c r="I164" s="205" t="s">
        <v>533</v>
      </c>
    </row>
    <row r="165" spans="1:10" ht="14.25" x14ac:dyDescent="0.2">
      <c r="A165" s="248" t="s">
        <v>498</v>
      </c>
      <c r="B165" s="199">
        <v>16176.58837517</v>
      </c>
      <c r="C165" s="335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Nov 2017</v>
      </c>
      <c r="G177" s="125"/>
      <c r="H177" s="125"/>
    </row>
    <row r="178" spans="1:11" ht="12.75" customHeight="1" x14ac:dyDescent="0.2">
      <c r="F178" s="370" t="s">
        <v>200</v>
      </c>
      <c r="G178" s="370"/>
      <c r="H178" s="370"/>
    </row>
    <row r="179" spans="1:11" x14ac:dyDescent="0.2">
      <c r="F179" s="370"/>
      <c r="G179" s="370"/>
      <c r="H179" s="370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October 2017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90" t="s">
        <v>209</v>
      </c>
      <c r="G182" s="390"/>
      <c r="H182" s="390"/>
      <c r="I182" s="390"/>
    </row>
    <row r="183" spans="1:11" ht="15.75" thickBot="1" x14ac:dyDescent="0.3">
      <c r="A183" s="295"/>
      <c r="B183" s="320" t="str">
        <f>TEXT(DATE(2000,TEXT(H3,"M")-1,1),"mmm")&amp; " "&amp; TEXT(H3,"YYYY")</f>
        <v>Oct 2017</v>
      </c>
      <c r="C183" s="284" t="s">
        <v>16</v>
      </c>
      <c r="D183" s="320" t="str">
        <f>TEXT(DATE(2000,TEXT(H3,"M")-1,1),"mmm")&amp; " "&amp; TEXT(H3,"YYYY")-1</f>
        <v>Oct 2016</v>
      </c>
      <c r="E183" s="321" t="s">
        <v>16</v>
      </c>
      <c r="F183" s="295">
        <f>TEXT($H$3,"YYYY")-1</f>
        <v>2016</v>
      </c>
      <c r="G183" s="284">
        <f>TEXT($H$3,"YYYY")-2</f>
        <v>2015</v>
      </c>
      <c r="H183" s="295">
        <f>TEXT($H$3,"YYYY")-3</f>
        <v>2014</v>
      </c>
      <c r="I183" s="284">
        <f>TEXT($H$3,"YYYY")-4</f>
        <v>2013</v>
      </c>
    </row>
    <row r="184" spans="1:11" ht="14.25" x14ac:dyDescent="0.2">
      <c r="A184" s="248" t="s">
        <v>17</v>
      </c>
      <c r="B184" s="367">
        <v>1128663.2946685101</v>
      </c>
      <c r="C184" s="369">
        <v>16</v>
      </c>
      <c r="D184" s="367">
        <v>942993.60776924202</v>
      </c>
      <c r="E184" s="369">
        <v>17</v>
      </c>
      <c r="F184" s="305">
        <v>17</v>
      </c>
      <c r="G184" s="345">
        <v>18</v>
      </c>
      <c r="H184" s="305">
        <v>17</v>
      </c>
      <c r="I184" s="345">
        <v>19</v>
      </c>
      <c r="K184" s="126"/>
    </row>
    <row r="185" spans="1:11" ht="14.25" x14ac:dyDescent="0.2">
      <c r="A185" s="248" t="s">
        <v>18</v>
      </c>
      <c r="B185" s="367">
        <v>34159.959561562253</v>
      </c>
      <c r="C185" s="369">
        <v>22</v>
      </c>
      <c r="D185" s="367">
        <v>32700.131903174337</v>
      </c>
      <c r="E185" s="369">
        <v>22</v>
      </c>
      <c r="F185" s="305">
        <v>21</v>
      </c>
      <c r="G185" s="345">
        <v>20</v>
      </c>
      <c r="H185" s="305">
        <v>24</v>
      </c>
      <c r="I185" s="345">
        <v>22</v>
      </c>
      <c r="K185" s="262"/>
    </row>
    <row r="186" spans="1:11" ht="14.25" x14ac:dyDescent="0.2">
      <c r="A186" s="248" t="s">
        <v>164</v>
      </c>
      <c r="B186" s="368">
        <v>0.32516476769504976</v>
      </c>
      <c r="C186" s="369">
        <v>26</v>
      </c>
      <c r="D186" s="368">
        <v>0.40559224393784638</v>
      </c>
      <c r="E186" s="369">
        <v>25</v>
      </c>
      <c r="F186" s="305">
        <v>25</v>
      </c>
      <c r="G186" s="345">
        <v>22</v>
      </c>
      <c r="H186" s="305">
        <v>29</v>
      </c>
      <c r="I186" s="345">
        <v>26</v>
      </c>
      <c r="K186" s="262"/>
    </row>
    <row r="187" spans="1:11" ht="14.25" x14ac:dyDescent="0.2">
      <c r="A187" s="248" t="s">
        <v>165</v>
      </c>
      <c r="B187" s="368">
        <v>0.32149146646690374</v>
      </c>
      <c r="C187" s="369">
        <v>29</v>
      </c>
      <c r="D187" s="368">
        <v>0.38680409168495833</v>
      </c>
      <c r="E187" s="369">
        <v>24</v>
      </c>
      <c r="F187" s="305">
        <v>28</v>
      </c>
      <c r="G187" s="345">
        <v>22</v>
      </c>
      <c r="H187" s="305">
        <v>29</v>
      </c>
      <c r="I187" s="345">
        <v>30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Nov 2017</v>
      </c>
      <c r="C196" s="282" t="str">
        <f>TEXT($H$3,"YYYY")</f>
        <v>2017</v>
      </c>
      <c r="D196" s="282">
        <f>TEXT($H$3,"YYYY")-1</f>
        <v>2016</v>
      </c>
      <c r="E196" s="284" t="s">
        <v>6</v>
      </c>
      <c r="F196" s="284">
        <f>TEXT($H$3,"YYYY")-1</f>
        <v>2016</v>
      </c>
      <c r="G196" s="284">
        <f>TEXT($H$3,"YYYY")-2</f>
        <v>2015</v>
      </c>
      <c r="H196" s="284">
        <f>TEXT($H$3,"YYYY")-3</f>
        <v>2014</v>
      </c>
      <c r="I196" s="284">
        <f>TEXT($H$3,"YYYY")-4</f>
        <v>2013</v>
      </c>
    </row>
    <row r="197" spans="1:9" ht="14.25" x14ac:dyDescent="0.2">
      <c r="A197" s="248" t="s">
        <v>21</v>
      </c>
      <c r="B197" s="195">
        <f>SUMIF(Data!$DG$1:$DG$15,"AS",Data!$DH$1:$DH$15)/1000000</f>
        <v>111.5749272</v>
      </c>
      <c r="C197" s="361">
        <f>SUMIF(Data!$DJ$1:$DJ$15,"AS",Data!$DK$1:$DK$15)/1000000</f>
        <v>23172.200616680002</v>
      </c>
      <c r="D197" s="361">
        <f>SUMIF(Data!$DM$1:$DM$15,"AS",Data!$DN$1:$DN$15)/1000000</f>
        <v>11979.861545940001</v>
      </c>
      <c r="E197" s="363">
        <f>IFERROR(IF(OR(AND(D197="",C197=""),AND(D197=0,C197=0)),0,
IF(OR(D197="",D197=0),1,
IF(OR(D197&lt;&gt;"",D197&lt;&gt;0),(C197-D197)/ABS(D197)))),-1)</f>
        <v>0.93426280661257788</v>
      </c>
      <c r="F197" s="206">
        <v>13085</v>
      </c>
      <c r="G197" s="361">
        <v>93130</v>
      </c>
      <c r="H197" s="361">
        <v>33385</v>
      </c>
      <c r="I197" s="361">
        <v>38563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3014.4382894599999</v>
      </c>
      <c r="C198" s="361">
        <f>(SUMIF(Data!$DJ$1:$DJ$15,"RT",Data!$DK$1:$DK$15)+SUMIF(Data!$DJ$1:$DJ$15,"TU",Data!$DK$1:$DK$15))/1000000</f>
        <v>31588.284984630001</v>
      </c>
      <c r="D198" s="361">
        <f>(SUMIF(Data!$DM$1:$DM$15,"RT",Data!$DN$1:$DN$15)+SUMIF(Data!$DM$1:$DM$15,"TU",Data!$DN$1:$DN$15))/1000000</f>
        <v>22126.264795480001</v>
      </c>
      <c r="E198" s="363">
        <f t="shared" ref="E198:E201" si="16">IFERROR(IF(OR(AND(D198="",C198=""),AND(D198=0,C198=0)),0,
IF(OR(D198="",D198=0),1,
IF(OR(D198&lt;&gt;"",D198&lt;&gt;0),(C198-D198)/ABS(D198)))),-1)</f>
        <v>0.4276374831726194</v>
      </c>
      <c r="F198" s="206">
        <v>24160</v>
      </c>
      <c r="G198" s="361">
        <v>35842</v>
      </c>
      <c r="H198" s="361">
        <v>43473</v>
      </c>
      <c r="I198" s="361">
        <v>15510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206" t="s">
        <v>534</v>
      </c>
      <c r="G199" s="185" t="s">
        <v>535</v>
      </c>
      <c r="H199" s="185" t="s">
        <v>535</v>
      </c>
      <c r="I199" s="185" t="s">
        <v>534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549.59002612999996</v>
      </c>
      <c r="C200" s="361">
        <f>(SUMIF(Data!$DJ$1:$DJ$15,"SO",Data!$DK$1:$DK$15)+SUMIF(Data!$DJ$1:$DJ$15,"SS",Data!$DK$1:$DK$15))/1000000</f>
        <v>8669.1363748599997</v>
      </c>
      <c r="D200" s="361">
        <f>(SUMIF(Data!$DM$1:$DM$15,"SO",Data!$DN$1:$DN$15)+SUMIF(Data!$DM$1:$DM$15,"SS",Data!$DN$1:$DN$15))/1000000</f>
        <v>8336.5453023400005</v>
      </c>
      <c r="E200" s="363">
        <f t="shared" si="16"/>
        <v>3.9895551509405651E-2</v>
      </c>
      <c r="F200" s="206">
        <v>9374</v>
      </c>
      <c r="G200" s="361">
        <v>11688</v>
      </c>
      <c r="H200" s="361">
        <v>9553</v>
      </c>
      <c r="I200" s="361">
        <v>8322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1641.19638968</v>
      </c>
      <c r="C201" s="361">
        <f>(SUMIF(Data!$DJ$1:$DJ$15,"SI",Data!$DK$1:$DK$15)+SUMIF(Data!$DJ$1:$DJ$15,"GI",Data!$DK$1:$DK$15))/1000000</f>
        <v>28395.6458026</v>
      </c>
      <c r="D201" s="361">
        <f>(SUMIF(Data!$DM$1:$DM$15,"SI",Data!$DN$1:$DN$15)+SUMIF(Data!$DM$1:$DM$15,"GI",Data!$DN$1:$DN$15))/1000000</f>
        <v>65899.02826015999</v>
      </c>
      <c r="E201" s="363">
        <f t="shared" si="16"/>
        <v>-0.56910372501248374</v>
      </c>
      <c r="F201" s="206">
        <v>69649</v>
      </c>
      <c r="G201" s="361">
        <v>109530</v>
      </c>
      <c r="H201" s="361">
        <v>66949</v>
      </c>
      <c r="I201" s="361">
        <v>30691</v>
      </c>
    </row>
    <row r="202" spans="1:9" ht="15" x14ac:dyDescent="0.25">
      <c r="A202" s="288" t="s">
        <v>25</v>
      </c>
      <c r="B202" s="362">
        <f>SUM(B197:B201)</f>
        <v>5316.7996324699998</v>
      </c>
      <c r="C202" s="362">
        <f>SUM(C197:C201)</f>
        <v>91825.267778770009</v>
      </c>
      <c r="D202" s="362">
        <f>SUM(D197:D201)</f>
        <v>108341.69990391999</v>
      </c>
      <c r="E202" s="364">
        <f>IFERROR(IF(OR(AND(D202="",C202=""),AND(D202=0,C202=0)),0,
IF(OR(D202="",D202=0),1,
IF(OR(D202&lt;&gt;"",D202&lt;&gt;0),(C202-D202)/ABS(D202)))),-1)</f>
        <v>-0.15244759995271576</v>
      </c>
      <c r="F202" s="362">
        <v>116269</v>
      </c>
      <c r="G202" s="362">
        <v>250190</v>
      </c>
      <c r="H202" s="362">
        <v>153360</v>
      </c>
      <c r="I202" s="362">
        <v>93086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Nov 2017</v>
      </c>
      <c r="C209" s="282" t="str">
        <f>TEXT($H$3,"YYYY")</f>
        <v>2017</v>
      </c>
      <c r="D209" s="282">
        <f>TEXT($H$3,"YYYY")-1</f>
        <v>2016</v>
      </c>
      <c r="E209" s="284" t="s">
        <v>6</v>
      </c>
      <c r="F209" s="284">
        <f>TEXT($H$3,"YYYY")-1</f>
        <v>2016</v>
      </c>
      <c r="G209" s="284">
        <f>TEXT($H$3,"YYYY")-2</f>
        <v>2015</v>
      </c>
      <c r="H209" s="284">
        <f>TEXT($H$3,"YYYY")-3</f>
        <v>2014</v>
      </c>
      <c r="I209" s="284">
        <f>TEXT($H$3,"YYYY")-4</f>
        <v>2013</v>
      </c>
    </row>
    <row r="210" spans="1:9" ht="14.25" x14ac:dyDescent="0.2">
      <c r="A210" s="248" t="s">
        <v>172</v>
      </c>
      <c r="B210" s="286">
        <f t="array" ref="B210">[1]!'!Sheet1!R8C2'</f>
        <v>0.362859865667996</v>
      </c>
      <c r="C210" s="286">
        <v>0.33689999999999998</v>
      </c>
      <c r="D210" s="286">
        <v>0.35580000000000001</v>
      </c>
      <c r="E210" s="286">
        <f>IFERROR(IF(OR(AND(D210="",C210=""),AND(D210=0,C210=0)),"",
IF(OR(D210="",D210=0),1,
IF(OR(D210&lt;&gt;"",D210&lt;&gt;0),(C210-D210)/ABS(D210)))),-1)</f>
        <v>-5.3119730185497545E-2</v>
      </c>
      <c r="F210" s="324">
        <v>34.9</v>
      </c>
      <c r="G210" s="324">
        <v>42.8</v>
      </c>
      <c r="H210" s="324">
        <v>36.6</v>
      </c>
      <c r="I210" s="324">
        <v>39.4</v>
      </c>
    </row>
    <row r="211" spans="1:9" ht="14.25" x14ac:dyDescent="0.2">
      <c r="A211" s="247" t="s">
        <v>173</v>
      </c>
      <c r="B211" s="286">
        <f t="array" ref="B211">[1]!'!Sheet1!R8C3'</f>
        <v>0.34010745459710001</v>
      </c>
      <c r="C211" s="286">
        <v>0.31140000000000001</v>
      </c>
      <c r="D211" s="286">
        <v>0.33139999999999997</v>
      </c>
      <c r="E211" s="286">
        <f>IFERROR(IF(OR(AND(D211="",C211=""),AND(D211=0,C211=0)),"",
IF(OR(D211="",D211=0),1,
IF(OR(D211&lt;&gt;"",D211&lt;&gt;0),(C211-D211)/ABS(D211)))),-1)</f>
        <v>-6.0350030175014981E-2</v>
      </c>
      <c r="F211" s="324">
        <v>32.6</v>
      </c>
      <c r="G211" s="324">
        <v>39.9</v>
      </c>
      <c r="H211" s="324">
        <v>33.9</v>
      </c>
      <c r="I211" s="324">
        <v>33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396" t="s">
        <v>672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Nov 2017</v>
      </c>
      <c r="C219" s="282" t="str">
        <f>TEXT($H$3,"YYYY")</f>
        <v>2017</v>
      </c>
      <c r="D219" s="282">
        <f>TEXT($H$3,"YYYY")-1</f>
        <v>2016</v>
      </c>
      <c r="E219" s="284" t="s">
        <v>6</v>
      </c>
      <c r="F219" s="284">
        <f>TEXT($H$3,"YYYY")-1</f>
        <v>2016</v>
      </c>
      <c r="G219" s="284">
        <f>TEXT($H$3,"YYYY")-2</f>
        <v>2015</v>
      </c>
      <c r="H219" s="284">
        <f>TEXT($H$3,"YYYY")-3</f>
        <v>2014</v>
      </c>
      <c r="I219" s="284">
        <f>TEXT($H$3,"YYYY")-4</f>
        <v>2013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323</v>
      </c>
      <c r="C221" s="249">
        <f>SUMIF(Data!$BT$9:$BT$14,"&lt;&gt;AltX",Data!BU9:BU14)</f>
        <v>323</v>
      </c>
      <c r="D221" s="249">
        <f>SUMIF(Data!$BT$17:$BT$23,"&lt;&gt;AltX",Data!$BU$17:$BU$24)</f>
        <v>328</v>
      </c>
      <c r="E221" s="286">
        <f>IFERROR(IF(OR(AND(D221="",C221=""),AND(D221=0,C221=0)),"",
IF(OR(D221="",D221=0),1,
IF(OR(D221&lt;&gt;"",D221&lt;&gt;0),(C221-D221)/ABS(D221)))),-1)</f>
        <v>-1.524390243902439E-2</v>
      </c>
      <c r="F221" s="249">
        <v>328</v>
      </c>
      <c r="G221" s="249">
        <v>331</v>
      </c>
      <c r="H221" s="249">
        <v>333</v>
      </c>
      <c r="I221" s="249">
        <v>329</v>
      </c>
    </row>
    <row r="222" spans="1:9" ht="14.25" x14ac:dyDescent="0.2">
      <c r="A222" s="248" t="s">
        <v>30</v>
      </c>
      <c r="B222" s="249">
        <f ca="1">SUMIF(Data!$BT$1:$BT$7,"&lt;&gt;AltX",Data!$BV$1:$BV$6)</f>
        <v>1</v>
      </c>
      <c r="C222" s="249">
        <f>SUMIF(Data!$BT$9:$BT$14,"&lt;&gt;AltX",Data!BV9:BV14)</f>
        <v>12</v>
      </c>
      <c r="D222" s="249">
        <f>SUMIF(Data!$BT$17:$BT$23,"&lt;&gt;AltX",Data!$BV$17:$BV$23)</f>
        <v>10</v>
      </c>
      <c r="E222" s="286">
        <f t="shared" ref="E222:E223" si="17">IFERROR(IF(OR(AND(D222="",C222=""),AND(D222=0,C222=0)),"",
IF(OR(D222="",D222=0),1,
IF(OR(D222&lt;&gt;"",D222&lt;&gt;0),(C222-D222)/ABS(D222)))),-1)</f>
        <v>0.2</v>
      </c>
      <c r="F222" s="249">
        <v>11</v>
      </c>
      <c r="G222" s="249">
        <v>15</v>
      </c>
      <c r="H222" s="249">
        <v>18</v>
      </c>
      <c r="I222" s="249">
        <v>8</v>
      </c>
    </row>
    <row r="223" spans="1:9" ht="14.25" x14ac:dyDescent="0.2">
      <c r="A223" s="248" t="s">
        <v>31</v>
      </c>
      <c r="B223" s="249">
        <f ca="1">SUMIF(Data!$BT$1:$BT$7,"&lt;&gt;AltX",Data!$BW$1:$BW$6)</f>
        <v>2</v>
      </c>
      <c r="C223" s="249">
        <v>21</v>
      </c>
      <c r="D223" s="249">
        <f>SUMIF(Data!$BT$17:$BT$23,"&lt;&gt;AltX",Data!$BW$17:$BW$23)</f>
        <v>16</v>
      </c>
      <c r="E223" s="286">
        <f t="shared" si="17"/>
        <v>0.3125</v>
      </c>
      <c r="F223" s="249">
        <v>17</v>
      </c>
      <c r="G223" s="249">
        <v>18</v>
      </c>
      <c r="H223" s="249">
        <v>20</v>
      </c>
      <c r="I223" s="249">
        <v>18</v>
      </c>
    </row>
    <row r="224" spans="1:9" ht="14.25" x14ac:dyDescent="0.2">
      <c r="A224" s="248"/>
      <c r="B224" s="249"/>
      <c r="C224" s="249"/>
      <c r="D224" s="249"/>
      <c r="E224" s="325"/>
      <c r="F224" s="249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249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51</v>
      </c>
      <c r="C226" s="249">
        <f>SUMIF(Data!$BT$9:$BT$14,"AltX",Data!BU9:BU14)</f>
        <v>51</v>
      </c>
      <c r="D226" s="249">
        <f>SUMIF(Data!$BT$17:$BT$23,"AltX",Data!$BU$17:$BU$24)</f>
        <v>59</v>
      </c>
      <c r="E226" s="286">
        <f t="shared" ref="E226:E227" si="18">IFERROR(IF(OR(AND(D226="",C226=""),AND(D226=0,C226=0)),"",
IF(OR(D226="",D226=0),1,
IF(OR(D226&lt;&gt;"",D226&lt;&gt;0),(C226-D226)/ABS(D226)))),-1)</f>
        <v>-0.13559322033898305</v>
      </c>
      <c r="F226" s="249">
        <v>60</v>
      </c>
      <c r="G226" s="249">
        <v>64</v>
      </c>
      <c r="H226" s="249">
        <v>58</v>
      </c>
      <c r="I226" s="249">
        <v>60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6</v>
      </c>
      <c r="D227" s="249">
        <f>SUMIF(Data!$BT$17:$BT$23,"AltX",Data!$BV$17:$BV$23)</f>
        <v>5</v>
      </c>
      <c r="E227" s="286">
        <f t="shared" si="18"/>
        <v>0.2</v>
      </c>
      <c r="F227" s="249">
        <v>7</v>
      </c>
      <c r="G227" s="249">
        <v>8</v>
      </c>
      <c r="H227" s="249">
        <v>6</v>
      </c>
      <c r="I227" s="249">
        <v>5</v>
      </c>
    </row>
    <row r="228" spans="1:9" ht="14.25" x14ac:dyDescent="0.2">
      <c r="A228" s="248" t="s">
        <v>31</v>
      </c>
      <c r="B228" s="249">
        <f ca="1">SUMIF(Data!$BT$1:$BT$7,"AltX",Data!$BW$1:$BW$6)</f>
        <v>1</v>
      </c>
      <c r="C228" s="249">
        <v>11</v>
      </c>
      <c r="D228" s="249">
        <f>SUMIF(Data!$BT$17:$BT$23,"AltX",Data!$BW$17:$BW$23)</f>
        <v>7</v>
      </c>
      <c r="E228" s="286">
        <f t="shared" ref="E228" ca="1" si="19">IFERROR(IF(OR(AND(C228="",B228=""),AND(C228=0,B228=0)),"",
IF(OR(C228="",C228=0),1,
IF(OR(C228&lt;&gt;"",C228&lt;&gt;0),(B228-C228)/ABS(C228)))),-1)</f>
        <v>-0.90909090909090906</v>
      </c>
      <c r="F228" s="249">
        <v>8</v>
      </c>
      <c r="G228" s="249">
        <v>1</v>
      </c>
      <c r="H228" s="249">
        <v>2</v>
      </c>
      <c r="I228" s="249">
        <v>8</v>
      </c>
    </row>
    <row r="229" spans="1:9" ht="14.25" x14ac:dyDescent="0.2">
      <c r="A229" s="248"/>
      <c r="B229" s="249"/>
      <c r="C229" s="249"/>
      <c r="D229" s="249"/>
      <c r="E229" s="325"/>
      <c r="F229" s="249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249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1</v>
      </c>
      <c r="C231" s="249">
        <f t="shared" si="20"/>
        <v>18</v>
      </c>
      <c r="D231" s="249">
        <f t="shared" si="20"/>
        <v>15</v>
      </c>
      <c r="E231" s="286">
        <f t="shared" ref="E231:E237" si="21">IFERROR(IF(OR(AND(D231="",C231=""),AND(D231=0,C231=0)),"",
IF(OR(D231="",D231=0),1,
IF(OR(D231&lt;&gt;"",D231&lt;&gt;0),(C231-D231)/ABS(D231)))),-1)</f>
        <v>0.2</v>
      </c>
      <c r="F231" s="249">
        <v>18</v>
      </c>
      <c r="G231" s="249">
        <v>23</v>
      </c>
      <c r="H231" s="249">
        <v>24</v>
      </c>
      <c r="I231" s="249">
        <v>13</v>
      </c>
    </row>
    <row r="232" spans="1:9" ht="14.25" x14ac:dyDescent="0.2">
      <c r="A232" s="248" t="s">
        <v>31</v>
      </c>
      <c r="B232" s="249">
        <f t="shared" ca="1" si="20"/>
        <v>3</v>
      </c>
      <c r="C232" s="249">
        <f t="shared" si="20"/>
        <v>32</v>
      </c>
      <c r="D232" s="249">
        <f t="shared" si="20"/>
        <v>23</v>
      </c>
      <c r="E232" s="286">
        <f>IFERROR(IF(OR(AND(D232="",C232=""),AND(D232=0,C232=0)),"",
IF(OR(D232="",D232=0),1,
IF(OR(D232&lt;&gt;"",D232&lt;&gt;0),(C232-D232)/ABS(D232)))),-1)</f>
        <v>0.39130434782608697</v>
      </c>
      <c r="F232" s="249">
        <v>25</v>
      </c>
      <c r="G232" s="249">
        <v>19</v>
      </c>
      <c r="H232" s="249">
        <v>22</v>
      </c>
      <c r="I232" s="249">
        <v>26</v>
      </c>
    </row>
    <row r="233" spans="1:9" ht="14.25" x14ac:dyDescent="0.2">
      <c r="A233" s="248" t="s">
        <v>33</v>
      </c>
      <c r="B233" s="249">
        <f>SUM(Data!$CB$2:$CB$6)</f>
        <v>74</v>
      </c>
      <c r="C233" s="249">
        <f>SUM(Data!$CB$10:$CB$14)</f>
        <v>74</v>
      </c>
      <c r="D233" s="249">
        <f>SUM(Data!CB18:CB22)</f>
        <v>76</v>
      </c>
      <c r="E233" s="286">
        <f t="shared" si="21"/>
        <v>-2.6315789473684209E-2</v>
      </c>
      <c r="F233" s="249">
        <v>76</v>
      </c>
      <c r="G233" s="249">
        <v>71</v>
      </c>
      <c r="H233" s="249">
        <v>62</v>
      </c>
      <c r="I233" s="249">
        <v>56</v>
      </c>
    </row>
    <row r="234" spans="1:9" ht="14.25" x14ac:dyDescent="0.2">
      <c r="A234" s="248" t="s">
        <v>34</v>
      </c>
      <c r="B234" s="249">
        <f>SUM(Data!$CA$2:$CA$6)</f>
        <v>300</v>
      </c>
      <c r="C234" s="249">
        <f>SUM(Data!$CA$10:$CA$14)</f>
        <v>300</v>
      </c>
      <c r="D234" s="249">
        <f>SUM(Data!CA18:CA22)</f>
        <v>311</v>
      </c>
      <c r="E234" s="286">
        <f t="shared" si="21"/>
        <v>-3.5369774919614148E-2</v>
      </c>
      <c r="F234" s="249">
        <v>312</v>
      </c>
      <c r="G234" s="249">
        <v>324</v>
      </c>
      <c r="H234" s="249">
        <v>329</v>
      </c>
      <c r="I234" s="249">
        <v>333</v>
      </c>
    </row>
    <row r="235" spans="1:9" ht="15" x14ac:dyDescent="0.25">
      <c r="A235" s="288" t="s">
        <v>35</v>
      </c>
      <c r="B235" s="250">
        <f ca="1">B221+B226</f>
        <v>374</v>
      </c>
      <c r="C235" s="250">
        <f>C221+C226</f>
        <v>374</v>
      </c>
      <c r="D235" s="250">
        <f>D221+D226</f>
        <v>387</v>
      </c>
      <c r="E235" s="326">
        <f t="shared" si="21"/>
        <v>-3.3591731266149873E-2</v>
      </c>
      <c r="F235" s="250">
        <v>388</v>
      </c>
      <c r="G235" s="250">
        <v>395</v>
      </c>
      <c r="H235" s="250">
        <v>391</v>
      </c>
      <c r="I235" s="250">
        <v>389</v>
      </c>
    </row>
    <row r="236" spans="1:9" ht="15" x14ac:dyDescent="0.25">
      <c r="A236" s="288"/>
      <c r="B236" s="249"/>
      <c r="C236" s="249"/>
      <c r="D236" s="250"/>
      <c r="E236" s="248"/>
      <c r="F236" s="249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811</v>
      </c>
      <c r="C237" s="250">
        <f>Data!CD2</f>
        <v>811</v>
      </c>
      <c r="D237" s="250">
        <f>Data!CD5</f>
        <v>810</v>
      </c>
      <c r="E237" s="326">
        <f t="shared" si="21"/>
        <v>1.2345679012345679E-3</v>
      </c>
      <c r="F237" s="250">
        <v>816</v>
      </c>
      <c r="G237" s="250">
        <v>858</v>
      </c>
      <c r="H237" s="250">
        <v>863</v>
      </c>
      <c r="I237" s="250">
        <v>881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15908.8723171159</v>
      </c>
      <c r="C239" s="327"/>
      <c r="D239" s="327">
        <f>Data!CE5/1000000000</f>
        <v>13395.412390934269</v>
      </c>
      <c r="E239" s="326">
        <f>IFERROR(IF(OR(AND(D239="",B239=""),AND(D239=0,B239=0)),"",
IF(OR(D239="",D239=0),1,
IF(OR(D239&lt;&gt;"",D239&lt;&gt;0),(B239-D239)/ABS(D239)))),-1)</f>
        <v>0.18763587509128779</v>
      </c>
      <c r="F239" s="327">
        <v>13580.6</v>
      </c>
      <c r="G239" s="327">
        <v>11727.6</v>
      </c>
      <c r="H239" s="327">
        <v>11505</v>
      </c>
      <c r="I239" s="327">
        <v>10626.2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Nov 2017</v>
      </c>
      <c r="E262" s="370" t="s">
        <v>201</v>
      </c>
      <c r="F262" s="370"/>
      <c r="G262" s="370"/>
      <c r="H262" s="370"/>
      <c r="I262" s="125"/>
    </row>
    <row r="263" spans="1:13" ht="13.5" thickBot="1" x14ac:dyDescent="0.25">
      <c r="A263" s="116"/>
      <c r="B263" s="116"/>
      <c r="C263" s="116"/>
      <c r="D263" s="116"/>
      <c r="E263" s="383"/>
      <c r="F263" s="383"/>
      <c r="G263" s="383"/>
      <c r="H263" s="383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86" t="s">
        <v>203</v>
      </c>
      <c r="H264" s="386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86" t="s">
        <v>40</v>
      </c>
      <c r="F265" s="391" t="str">
        <f>"Index Close   "&amp;TEXT($H$3,"MMM")&amp;" "&amp;TEXT($H$3,"YYYY")</f>
        <v>Index Close   Nov 2017</v>
      </c>
      <c r="G265" s="386"/>
      <c r="H265" s="386"/>
      <c r="I265" s="393" t="s">
        <v>41</v>
      </c>
    </row>
    <row r="266" spans="1:13" ht="15.75" thickBot="1" x14ac:dyDescent="0.3">
      <c r="A266" s="330"/>
      <c r="B266" s="331"/>
      <c r="C266" s="331"/>
      <c r="D266" s="197"/>
      <c r="E266" s="387"/>
      <c r="F266" s="392"/>
      <c r="G266" s="387"/>
      <c r="H266" s="387"/>
      <c r="I266" s="394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59772.834150750001</v>
      </c>
      <c r="G268" s="286">
        <f>IF(IFERROR(VLOOKUP(E268,Data!$O$23:$P$196,2,FALSE),0)=0,0,(F268-IFERROR(VLOOKUP(E268,Data!$O$23:$P$196,2,FALSE),0))/ABS(IFERROR(VLOOKUP(E268,Data!$O$23:$P$196,2,FALSE),0)))</f>
        <v>1.3440574438689408E-2</v>
      </c>
      <c r="H268" s="184">
        <f>VLOOKUP(E268,Data!$B$23:$E$273,3,FALSE)</f>
        <v>61211.524443169998</v>
      </c>
      <c r="I268" s="333">
        <f>VLOOKUP(E268,Data!$B$23:$E$273,2,FALSE)</f>
        <v>43060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76810.243040340007</v>
      </c>
      <c r="G269" s="286">
        <f>IF(IFERROR(VLOOKUP(E269,Data!$O$23:$P$196,2,FALSE),0)=0,0,(F269-IFERROR(VLOOKUP(E269,Data!$O$23:$P$196,2,FALSE),0))/ABS(IFERROR(VLOOKUP(E269,Data!$O$23:$P$196,2,FALSE),0)))</f>
        <v>2.2153871741025649E-2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59049.723690539999</v>
      </c>
      <c r="G270" s="334">
        <f>IF(IFERROR(VLOOKUP(E270,Data!$O$23:$P$196,2,FALSE),0)=0,0,(F270-IFERROR(VLOOKUP(E270,Data!$O$23:$P$196,2,FALSE),0))/ABS(IFERROR(VLOOKUP(E270,Data!$O$23:$P$196,2,FALSE),0)))</f>
        <v>-3.2590988287458003E-2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7577.9131695899996</v>
      </c>
      <c r="G271" s="286">
        <f>IF(IFERROR(VLOOKUP(E271,Data!$O$23:$P$196,2,FALSE),0)=0,0,(F271-IFERROR(VLOOKUP(E271,Data!$O$23:$P$196,2,FALSE),0))/ABS(IFERROR(VLOOKUP(E271,Data!$O$23:$P$196,2,FALSE),0)))</f>
        <v>1.5110598830966181E-3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29707.395571960002</v>
      </c>
      <c r="G272" s="286">
        <f>IF(IFERROR(VLOOKUP(E272,Data!$O$23:$P$196,2,FALSE),0)=0,0,(F272-IFERROR(VLOOKUP(E272,Data!$O$23:$P$196,2,FALSE),0))/ABS(IFERROR(VLOOKUP(E272,Data!$O$23:$P$196,2,FALSE),0)))</f>
        <v>7.8293405154152718E-3</v>
      </c>
      <c r="H272" s="184">
        <f>VLOOKUP(E272,Data!$B$23:$E$273,3,FALSE)</f>
        <v>30158.393546939998</v>
      </c>
      <c r="I272" s="333">
        <f>VLOOKUP(E272,Data!$B$23:$E$273,2,FALSE)</f>
        <v>43060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13329.57474412</v>
      </c>
      <c r="G273" s="286">
        <f>IF(IFERROR(VLOOKUP(E273,Data!$O$23:$P$196,2,FALSE),0)=0,0,(F273-IFERROR(VLOOKUP(E273,Data!$O$23:$P$196,2,FALSE),0))/ABS(IFERROR(VLOOKUP(E273,Data!$O$23:$P$196,2,FALSE),0)))</f>
        <v>2.9555079865425552E-2</v>
      </c>
      <c r="H273" s="184">
        <f>VLOOKUP(E273,Data!$B$23:$E$273,3,FALSE)</f>
        <v>13596.76489502</v>
      </c>
      <c r="I273" s="333">
        <f>VLOOKUP(E273,Data!$B$23:$E$273,2,FALSE)</f>
        <v>43060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53269.834753410003</v>
      </c>
      <c r="G276" s="286">
        <f>IF(IFERROR(VLOOKUP(E276,Data!$O$23:$P$196,2,FALSE),0)=0,0,(F276-IFERROR(VLOOKUP(E276,Data!$O$23:$P$196,2,FALSE),0))/ABS(IFERROR(VLOOKUP(E276,Data!$O$23:$P$196,2,FALSE),0)))</f>
        <v>1.3308541502985599E-2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27269.443174249998</v>
      </c>
      <c r="G277" s="286">
        <f>IF(IFERROR(VLOOKUP(E277,Data!$O$23:$P$196,2,FALSE),0)=0,0,(F277-IFERROR(VLOOKUP(E277,Data!$O$23:$P$196,2,FALSE),0))/ABS(IFERROR(VLOOKUP(E277,Data!$O$23:$P$196,2,FALSE),0)))</f>
        <v>6.4668120304549846E-3</v>
      </c>
      <c r="H277" s="184">
        <f>VLOOKUP(E277,Data!$B$23:$E$273,3,FALSE)</f>
        <v>27829.670369119998</v>
      </c>
      <c r="I277" s="333">
        <f>VLOOKUP(E277,Data!$B$23:$E$273,2,FALSE)</f>
        <v>43060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12122.237928500001</v>
      </c>
      <c r="G278" s="286">
        <f>IF(IFERROR(VLOOKUP(E278,Data!$O$23:$P$196,2,FALSE),0)=0,0,(F278-IFERROR(VLOOKUP(E278,Data!$O$23:$P$196,2,FALSE),0))/ABS(IFERROR(VLOOKUP(E278,Data!$O$23:$P$196,2,FALSE),0)))</f>
        <v>3.4556015964596433E-2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36681.777078599996</v>
      </c>
      <c r="G279" s="286">
        <f>IF(IFERROR(VLOOKUP(E279,Data!$O$23:$P$196,2,FALSE),0)=0,0,(F279-IFERROR(VLOOKUP(E279,Data!$O$23:$P$196,2,FALSE),0))/ABS(IFERROR(VLOOKUP(E279,Data!$O$23:$P$196,2,FALSE),0)))</f>
        <v>-1.5176671155883061E-2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1453.2233767099999</v>
      </c>
      <c r="G280" s="286">
        <f>IF(IFERROR(VLOOKUP(E280,Data!$O$23:$P$196,2,FALSE),0)=0,0,(F280-IFERROR(VLOOKUP(E280,Data!$O$23:$P$196,2,FALSE),0))/ABS(IFERROR(VLOOKUP(E280,Data!$O$23:$P$196,2,FALSE),0)))</f>
        <v>5.5408560037668926E-2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83064.406764390005</v>
      </c>
      <c r="G281" s="286">
        <f>IF(IFERROR(VLOOKUP(E281,Data!$O$23:$P$196,2,FALSE),0)=0,0,(F281-IFERROR(VLOOKUP(E281,Data!$O$23:$P$196,2,FALSE),0))/ABS(IFERROR(VLOOKUP(E281,Data!$O$23:$P$196,2,FALSE),0)))</f>
        <v>1.4841236275772845E-2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16303.26933139</v>
      </c>
      <c r="G282" s="286">
        <f>IF(IFERROR(VLOOKUP(E282,Data!$O$23:$P$196,2,FALSE),0)=0,0,(F282-IFERROR(VLOOKUP(E282,Data!$O$23:$P$196,2,FALSE),0))/ABS(IFERROR(VLOOKUP(E282,Data!$O$23:$P$196,2,FALSE),0)))</f>
        <v>5.7044168887118635E-2</v>
      </c>
      <c r="H282" s="184">
        <f>VLOOKUP(E282,Data!$B$23:$E$273,3,FALSE)</f>
        <v>17911.36431723</v>
      </c>
      <c r="I282" s="333">
        <f>VLOOKUP(E282,Data!$B$23:$E$273,2,FALSE)</f>
        <v>42118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85369.564851050003</v>
      </c>
      <c r="G283" s="286">
        <f>IF(IFERROR(VLOOKUP(E283,Data!$O$23:$P$196,2,FALSE),0)=0,0,(F283-IFERROR(VLOOKUP(E283,Data!$O$23:$P$196,2,FALSE),0))/ABS(IFERROR(VLOOKUP(E283,Data!$O$23:$P$196,2,FALSE),0)))</f>
        <v>2.315717432637952E-2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0</v>
      </c>
      <c r="G286" s="334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26054.52811358</v>
      </c>
      <c r="G287" s="286">
        <f>IF(IFERROR(VLOOKUP(E287,Data!$O$23:$P$196,2,FALSE),0)=0,0,(F287-IFERROR(VLOOKUP(E287,Data!$O$23:$P$196,2,FALSE),0))/ABS(IFERROR(VLOOKUP(E287,Data!$O$23:$P$196,2,FALSE),0)))</f>
        <v>-1.6043950434140745E-2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50408.856334670003</v>
      </c>
      <c r="G288" s="286">
        <f>IF(IFERROR(VLOOKUP(E288,Data!$O$23:$P$196,2,FALSE),0)=0,0,(F288-IFERROR(VLOOKUP(E288,Data!$O$23:$P$196,2,FALSE),0))/ABS(IFERROR(VLOOKUP(E288,Data!$O$23:$P$196,2,FALSE),0)))</f>
        <v>3.62381369739294E-2</v>
      </c>
      <c r="H288" s="184">
        <f>VLOOKUP(E288,Data!$B$23:$E$273,3,FALSE)</f>
        <v>50408.856334670003</v>
      </c>
      <c r="I288" s="333">
        <f>VLOOKUP(E288,Data!$B$23:$E$273,2,FALSE)</f>
        <v>43069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78095.616144319996</v>
      </c>
      <c r="G289" s="286">
        <f>IF(IFERROR(VLOOKUP(E289,Data!$O$23:$P$196,2,FALSE),0)=0,0,(F289-IFERROR(VLOOKUP(E289,Data!$O$23:$P$196,2,FALSE),0))/ABS(IFERROR(VLOOKUP(E289,Data!$O$23:$P$196,2,FALSE),0)))</f>
        <v>-6.7149018827840051E-2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26196.89243462</v>
      </c>
      <c r="G290" s="286">
        <f>IF(IFERROR(VLOOKUP(E290,Data!$O$23:$P$196,2,FALSE),0)=0,0,(F290-IFERROR(VLOOKUP(E290,Data!$O$23:$P$196,2,FALSE),0))/ABS(IFERROR(VLOOKUP(E290,Data!$O$23:$P$196,2,FALSE),0)))</f>
        <v>6.876127868392376E-2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43872.687603749997</v>
      </c>
      <c r="G291" s="286">
        <f>IF(IFERROR(VLOOKUP(E291,Data!$O$23:$P$196,2,FALSE),0)=0,0,(F291-IFERROR(VLOOKUP(E291,Data!$O$23:$P$196,2,FALSE),0))/ABS(IFERROR(VLOOKUP(E291,Data!$O$23:$P$196,2,FALSE),0)))</f>
        <v>4.2052200037437086E-2</v>
      </c>
      <c r="H291" s="184">
        <f>VLOOKUP(E291,Data!$B$23:$E$273,3,FALSE)</f>
        <v>46982.462386940002</v>
      </c>
      <c r="I291" s="333">
        <f>VLOOKUP(E291,Data!$B$23:$E$273,2,FALSE)</f>
        <v>42117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42471.138721449999</v>
      </c>
      <c r="G292" s="286">
        <f>IF(IFERROR(VLOOKUP(E292,Data!$O$23:$P$196,2,FALSE),0)=0,0,(F292-IFERROR(VLOOKUP(E292,Data!$O$23:$P$196,2,FALSE),0))/ABS(IFERROR(VLOOKUP(E292,Data!$O$23:$P$196,2,FALSE),0)))</f>
        <v>-0.12316226727652214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6900.2494641000003</v>
      </c>
      <c r="G293" s="286">
        <f>IF(IFERROR(VLOOKUP(E293,Data!$O$23:$P$196,2,FALSE),0)=0,0,(F293-IFERROR(VLOOKUP(E293,Data!$O$23:$P$196,2,FALSE),0))/ABS(IFERROR(VLOOKUP(E293,Data!$O$23:$P$196,2,FALSE),0)))</f>
        <v>1.4984461782894785E-2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7253.6511961899996</v>
      </c>
      <c r="G294" s="286">
        <f>IF(IFERROR(VLOOKUP(E294,Data!$O$23:$P$196,2,FALSE),0)=0,0,(F294-IFERROR(VLOOKUP(E294,Data!$O$23:$P$196,2,FALSE),0))/ABS(IFERROR(VLOOKUP(E294,Data!$O$23:$P$196,2,FALSE),0)))</f>
        <v>-5.0668299893838711E-2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3604.2282148700001</v>
      </c>
      <c r="G298" s="286">
        <f>IF(IFERROR(VLOOKUP(E298,Data!$O$23:$P$196,2,FALSE),0)=0,0,(F298-IFERROR(VLOOKUP(E298,Data!$O$23:$P$196,2,FALSE),0))/ABS(IFERROR(VLOOKUP(E298,Data!$O$23:$P$196,2,FALSE),0)))</f>
        <v>-9.1024950989158429E-3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881.60414109999999</v>
      </c>
      <c r="G299" s="286">
        <f>IF(IFERROR(VLOOKUP(E299,Data!$O$23:$P$196,2,FALSE),0)=0,0,(F299-IFERROR(VLOOKUP(E299,Data!$O$23:$P$196,2,FALSE),0))/ABS(IFERROR(VLOOKUP(E299,Data!$O$23:$P$196,2,FALSE),0)))</f>
        <v>-1.6799641417120179E-2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668.88208016999999</v>
      </c>
      <c r="G300" s="286">
        <f>IF(IFERROR(VLOOKUP(E300,Data!$O$23:$P$196,2,FALSE),0)=0,0,(F300-IFERROR(VLOOKUP(E300,Data!$O$23:$P$196,2,FALSE),0))/ABS(IFERROR(VLOOKUP(E300,Data!$O$23:$P$196,2,FALSE),0)))</f>
        <v>1.1387386175088646E-2</v>
      </c>
      <c r="H300" s="184">
        <f>VLOOKUP(E300,Data!$B$23:$E$273,3,FALSE)</f>
        <v>678.08424324999999</v>
      </c>
      <c r="I300" s="333">
        <f>VLOOKUP(E300,Data!$B$23:$E$273,2,FALSE)</f>
        <v>42578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533.49892829999999</v>
      </c>
      <c r="G301" s="286">
        <f>IF(IFERROR(VLOOKUP(E301,Data!$O$23:$P$196,2,FALSE),0)=0,0,(F301-IFERROR(VLOOKUP(E301,Data!$O$23:$P$196,2,FALSE),0))/ABS(IFERROR(VLOOKUP(E301,Data!$O$23:$P$196,2,FALSE),0)))</f>
        <v>-2.1636611264960715E-4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20788.864259229998</v>
      </c>
      <c r="G302" s="286">
        <f>IF(IFERROR(VLOOKUP(E302,Data!$O$23:$P$196,2,FALSE),0)=0,0,(F302-IFERROR(VLOOKUP(E302,Data!$O$23:$P$196,2,FALSE),0))/ABS(IFERROR(VLOOKUP(E302,Data!$O$23:$P$196,2,FALSE),0)))</f>
        <v>-1.6043950434350397E-2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381.93185382000001</v>
      </c>
      <c r="G303" s="286">
        <f>IF(IFERROR(VLOOKUP(E303,Data!$O$23:$P$196,2,FALSE),0)=0,0,(F303-IFERROR(VLOOKUP(E303,Data!$O$23:$P$196,2,FALSE),0))/ABS(IFERROR(VLOOKUP(E303,Data!$O$23:$P$196,2,FALSE),0)))</f>
        <v>8.7861946732238141E-3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711.99703021000005</v>
      </c>
      <c r="G304" s="286">
        <f>IF(IFERROR(VLOOKUP(E304,Data!$O$23:$P$196,2,FALSE),0)=0,0,(F304-IFERROR(VLOOKUP(E304,Data!$O$23:$P$196,2,FALSE),0))/ABS(IFERROR(VLOOKUP(E304,Data!$O$23:$P$196,2,FALSE),0)))</f>
        <v>1.549149444664129E-2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20.63863181</v>
      </c>
      <c r="G307" s="286">
        <f>IF(IFERROR(VLOOKUP(E307,Data!$O$23:$P$196,2,FALSE),0)=0,0,(F307-IFERROR(VLOOKUP(E307,Data!$O$23:$P$196,2,FALSE),0))/ABS(IFERROR(VLOOKUP(E307,Data!$O$23:$P$196,2,FALSE),0)))</f>
        <v>-6.5462217286732585E-2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8204.3273430499994</v>
      </c>
      <c r="G308" s="286">
        <f>IF(IFERROR(VLOOKUP(E308,Data!$O$23:$P$196,2,FALSE),0)=0,0,(F308-IFERROR(VLOOKUP(E308,Data!$O$23:$P$196,2,FALSE),0))/ABS(IFERROR(VLOOKUP(E308,Data!$O$23:$P$196,2,FALSE),0)))</f>
        <v>-3.8279360706592394E-2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1179.7630766299999</v>
      </c>
      <c r="G313" s="286">
        <f>IF(IFERROR(VLOOKUP(E313,Data!$O$23:$P$196,2,FALSE),0)=0,0,(F313-IFERROR(VLOOKUP(E313,Data!$O$23:$P$196,2,FALSE),0))/ABS(IFERROR(VLOOKUP(E313,Data!$O$23:$P$196,2,FALSE),0)))</f>
        <v>-2.4783690974280988E-3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Nov 2017</v>
      </c>
      <c r="E347" s="370" t="s">
        <v>204</v>
      </c>
      <c r="F347" s="370"/>
      <c r="G347" s="370"/>
      <c r="H347" s="370"/>
      <c r="I347" s="125"/>
    </row>
    <row r="348" spans="1:9" ht="13.5" thickBot="1" x14ac:dyDescent="0.25">
      <c r="A348" s="116"/>
      <c r="B348" s="116"/>
      <c r="C348" s="116"/>
      <c r="D348" s="116"/>
      <c r="E348" s="383"/>
      <c r="F348" s="383"/>
      <c r="G348" s="383"/>
      <c r="H348" s="383"/>
      <c r="I348" s="116"/>
    </row>
    <row r="349" spans="1:9" ht="15" x14ac:dyDescent="0.25">
      <c r="A349" s="281"/>
      <c r="B349" s="337"/>
      <c r="C349" s="281"/>
      <c r="D349" s="375" t="str">
        <f>TEXT(DATE(2000,TEXT(H3,"M")-1,1),"mmm")&amp; " "&amp; TEXT(H3,"YYYY")</f>
        <v>Oct 2017</v>
      </c>
      <c r="E349" s="375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76"/>
      <c r="E350" s="376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Nov 2017</v>
      </c>
      <c r="D351" s="377"/>
      <c r="E351" s="377"/>
      <c r="F351" s="284" t="s">
        <v>1</v>
      </c>
      <c r="G351" s="330"/>
      <c r="H351" s="338" t="str">
        <f>TEXT($H$3,"MMM")&amp;" "&amp;TEXT($H$3,"YYYY")-1</f>
        <v>Nov 2016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73"/>
      <c r="E353" s="373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SUMIFS(Data!$V$2:$V$14,Data!$S$2:$S$14,MarketProfile!A354,Data!$X$2:$X$14,"1")</f>
        <v>235349</v>
      </c>
      <c r="D354" s="373">
        <f>SUMIFS(Data!$V$30:$V$42,Data!$S$30:$S$42,MarketProfile!A354,Data!$X$30:$X$42,"1")</f>
        <v>231904</v>
      </c>
      <c r="E354" s="373"/>
      <c r="F354" s="286">
        <f>IFERROR(IF(OR(AND(D354="",C354=""),AND(D354=0,C354=0)),"",
IF(OR(D354="",D354=0),1,
IF(OR(D354&lt;&gt;"",D354&lt;&gt;0),(C354-D354)/ABS(D354)))),-1)</f>
        <v>1.4855284945494688E-2</v>
      </c>
      <c r="G354" s="373">
        <f>SUMIFS(Data!$V$60:$V$72,Data!$S$60:$S$72,MarketProfile!A354,Data!$X$60:$X$72,"1")</f>
        <v>287083</v>
      </c>
      <c r="H354" s="373"/>
      <c r="I354" s="286">
        <f t="shared" ref="I354:I367" si="22">IFERROR(IF(OR(AND(G354="",C354=""),AND(G354=0,C354=0)),"",
IF(OR(G354="",G354=0),1,
IF(OR(G354&lt;&gt;"",G354&lt;&gt;0),(C354-G354)/ABS(G354)))),-1)</f>
        <v>-0.18020572447689345</v>
      </c>
    </row>
    <row r="355" spans="1:9" ht="14.25" x14ac:dyDescent="0.2">
      <c r="A355" s="248" t="s">
        <v>447</v>
      </c>
      <c r="B355" s="249"/>
      <c r="C355" s="249">
        <f>SUMIFS(Data!$V$2:$V$14,Data!$S$2:$S$14,MarketProfile!A355,Data!$X$2:$X$14,"1")</f>
        <v>4263</v>
      </c>
      <c r="D355" s="373">
        <f>SUMIFS(Data!$V$30:$V$42,Data!$S$30:$S$42,MarketProfile!A355,Data!$X$30:$X$42,"1")</f>
        <v>3480</v>
      </c>
      <c r="E355" s="373"/>
      <c r="F355" s="286">
        <f t="shared" ref="F355:F361" si="23">IFERROR(IF(OR(AND(D355="",C355=""),AND(D355=0,C355=0)),"",
IF(OR(D355="",D355=0),1,
IF(OR(D355&lt;&gt;"",D355&lt;&gt;0),(C355-D355)/ABS(D355)))),-1)</f>
        <v>0.22500000000000001</v>
      </c>
      <c r="G355" s="373">
        <f>SUMIFS(Data!$V$60:$V$72,Data!$S$60:$S$72,MarketProfile!A355,Data!$X$60:$X$72,"1")</f>
        <v>4883</v>
      </c>
      <c r="H355" s="373"/>
      <c r="I355" s="286">
        <f t="shared" si="22"/>
        <v>-0.12697112430882654</v>
      </c>
    </row>
    <row r="356" spans="1:9" ht="14.25" x14ac:dyDescent="0.2">
      <c r="A356" s="248" t="s">
        <v>448</v>
      </c>
      <c r="B356" s="249"/>
      <c r="C356" s="249">
        <f>SUMIFS(Data!$V$2:$V$14,Data!$S$2:$S$14,MarketProfile!A356,Data!$X$2:$X$14,"1")</f>
        <v>3871</v>
      </c>
      <c r="D356" s="373">
        <f>SUMIFS(Data!$V$30:$V$42,Data!$S$30:$S$42,MarketProfile!A356,Data!$X$30:$X$42,"1")</f>
        <v>0</v>
      </c>
      <c r="E356" s="373"/>
      <c r="F356" s="286">
        <f t="shared" si="23"/>
        <v>1</v>
      </c>
      <c r="G356" s="373">
        <f>SUMIFS(Data!$V$60:$V$72,Data!$S$60:$S$72,MarketProfile!A356,Data!$X$60:$X$72,"1")</f>
        <v>4700</v>
      </c>
      <c r="H356" s="373"/>
      <c r="I356" s="286">
        <f t="shared" si="22"/>
        <v>-0.17638297872340425</v>
      </c>
    </row>
    <row r="357" spans="1:9" ht="14.25" x14ac:dyDescent="0.2">
      <c r="A357" s="248" t="s">
        <v>182</v>
      </c>
      <c r="B357" s="249"/>
      <c r="C357" s="249">
        <f>SUMIFS(Data!$V$2:$V$14,Data!$S$2:$S$14,MarketProfile!A357,Data!$X$2:$X$14,"1")</f>
        <v>568</v>
      </c>
      <c r="D357" s="373">
        <f>SUMIFS(Data!$V$30:$V$42,Data!$S$30:$S$42,MarketProfile!A357,Data!$X$30:$X$42,"1")</f>
        <v>362</v>
      </c>
      <c r="E357" s="373"/>
      <c r="F357" s="286">
        <f t="shared" si="23"/>
        <v>0.56906077348066297</v>
      </c>
      <c r="G357" s="373">
        <f>SUMIFS(Data!$V$60:$V$72,Data!$S$60:$S$72,MarketProfile!A357,Data!$X$60:$X$72,"1")</f>
        <v>241</v>
      </c>
      <c r="H357" s="373"/>
      <c r="I357" s="286">
        <f t="shared" si="22"/>
        <v>1.3568464730290457</v>
      </c>
    </row>
    <row r="358" spans="1:9" ht="14.25" x14ac:dyDescent="0.2">
      <c r="A358" s="248" t="s">
        <v>449</v>
      </c>
      <c r="B358" s="249"/>
      <c r="C358" s="249">
        <f>SUMIFS(Data!$V$2:$V$14,Data!$S$2:$S$14,MarketProfile!A358,Data!$X$2:$X$14,"1")</f>
        <v>159</v>
      </c>
      <c r="D358" s="373">
        <f>SUMIFS(Data!$V$30:$V$42,Data!$S$30:$S$42,MarketProfile!A358,Data!$X$30:$X$42,"1")</f>
        <v>186</v>
      </c>
      <c r="E358" s="373"/>
      <c r="F358" s="286">
        <f t="shared" si="23"/>
        <v>-0.14516129032258066</v>
      </c>
      <c r="G358" s="373">
        <f>SUMIFS(Data!$V$60:$V$72,Data!$S$60:$S$72,MarketProfile!A358,Data!$X$60:$X$72,"1")</f>
        <v>242</v>
      </c>
      <c r="H358" s="373"/>
      <c r="I358" s="286">
        <f t="shared" si="22"/>
        <v>-0.34297520661157027</v>
      </c>
    </row>
    <row r="359" spans="1:9" ht="14.25" x14ac:dyDescent="0.2">
      <c r="A359" s="248" t="s">
        <v>450</v>
      </c>
      <c r="B359" s="249"/>
      <c r="C359" s="249">
        <f>SUMIFS(Data!$V$2:$V$14,Data!$S$2:$S$14,MarketProfile!A359,Data!$X$2:$X$14,"1")</f>
        <v>142</v>
      </c>
      <c r="D359" s="373">
        <f>SUMIFS(Data!$V$30:$V$42,Data!$S$30:$S$42,MarketProfile!A359,Data!$X$30:$X$42,"1")</f>
        <v>177</v>
      </c>
      <c r="E359" s="373"/>
      <c r="F359" s="286">
        <f t="shared" si="23"/>
        <v>-0.19774011299435029</v>
      </c>
      <c r="G359" s="373">
        <f>SUMIFS(Data!$V$60:$V$72,Data!$S$60:$S$72,MarketProfile!A359,Data!$X$60:$X$72,"1")</f>
        <v>194</v>
      </c>
      <c r="H359" s="373"/>
      <c r="I359" s="286">
        <f t="shared" si="22"/>
        <v>-0.26804123711340205</v>
      </c>
    </row>
    <row r="360" spans="1:9" ht="14.25" x14ac:dyDescent="0.2">
      <c r="A360" s="248" t="s">
        <v>451</v>
      </c>
      <c r="B360" s="249"/>
      <c r="C360" s="249">
        <f>SUMIFS(Data!$V$2:$V$14,Data!$S$2:$S$14,MarketProfile!A360,Data!$X$2:$X$14,"1")</f>
        <v>207</v>
      </c>
      <c r="D360" s="373">
        <f>SUMIFS(Data!$V$30:$V$42,Data!$S$30:$S$42,MarketProfile!A360,Data!$X$30:$X$42,"1")</f>
        <v>366</v>
      </c>
      <c r="E360" s="373"/>
      <c r="F360" s="286">
        <f t="shared" si="23"/>
        <v>-0.4344262295081967</v>
      </c>
      <c r="G360" s="373">
        <f>SUMIFS(Data!$V$60:$V$72,Data!$S$60:$S$72,MarketProfile!A360,Data!$X$60:$X$72,"1")</f>
        <v>103</v>
      </c>
      <c r="H360" s="373"/>
      <c r="I360" s="286">
        <f t="shared" si="22"/>
        <v>1.0097087378640777</v>
      </c>
    </row>
    <row r="361" spans="1:9" ht="15" x14ac:dyDescent="0.25">
      <c r="A361" s="288" t="s">
        <v>133</v>
      </c>
      <c r="B361" s="250"/>
      <c r="C361" s="250">
        <f>SUM(C354:C360)</f>
        <v>244559</v>
      </c>
      <c r="D361" s="374">
        <f>SUM(D354:E360)</f>
        <v>236475</v>
      </c>
      <c r="E361" s="374"/>
      <c r="F361" s="326">
        <f t="shared" si="23"/>
        <v>3.4185431863833389E-2</v>
      </c>
      <c r="G361" s="374">
        <f>SUM(G354:H360)</f>
        <v>297446</v>
      </c>
      <c r="H361" s="374">
        <v>228310</v>
      </c>
      <c r="I361" s="326">
        <f t="shared" si="22"/>
        <v>-0.17780370218459821</v>
      </c>
    </row>
    <row r="362" spans="1:9" ht="14.25" x14ac:dyDescent="0.2">
      <c r="A362" s="248"/>
      <c r="B362" s="249"/>
      <c r="C362" s="249"/>
      <c r="D362" s="373"/>
      <c r="E362" s="373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73"/>
      <c r="E363" s="373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SUMIFS(Data!$V$2:$V$14,Data!$S$2:$S$14,MarketProfile!A364,Data!$X$2:$X$14,"0")</f>
        <v>552</v>
      </c>
      <c r="D364" s="373">
        <f>SUMIFS(Data!$V$30:$V$42,Data!$S$30:$S$42,MarketProfile!A364,Data!$X$30:$X$42,"0")</f>
        <v>741</v>
      </c>
      <c r="E364" s="373"/>
      <c r="F364" s="286">
        <f t="shared" ref="F364:F368" si="24">IFERROR(IF(OR(AND(D364="",C364=""),AND(D364=0,C364=0)),"",
IF(OR(D364="",D364=0),1,
IF(OR(D364&lt;&gt;"",D364&lt;&gt;0),(C364-D364)/ABS(D364)))),-1)</f>
        <v>-0.25506072874493929</v>
      </c>
      <c r="G364" s="373">
        <f>SUMIFS(Data!$V$60:$V$72,Data!$S$60:$S$72,MarketProfile!A364,Data!$X$60:$X$72,"0")</f>
        <v>1487</v>
      </c>
      <c r="H364" s="373"/>
      <c r="I364" s="286">
        <f t="shared" si="22"/>
        <v>-0.62878278412911903</v>
      </c>
    </row>
    <row r="365" spans="1:9" ht="14.25" x14ac:dyDescent="0.2">
      <c r="A365" s="248" t="s">
        <v>447</v>
      </c>
      <c r="B365" s="249"/>
      <c r="C365" s="249">
        <f>SUMIFS(Data!$V$2:$V$14,Data!$S$2:$S$14,MarketProfile!A365,Data!$X$2:$X$14,"0")</f>
        <v>665</v>
      </c>
      <c r="D365" s="373">
        <f>SUMIFS(Data!$V$30:$V$42,Data!$S$30:$S$42,MarketProfile!A365,Data!$X$30:$X$42,"0")</f>
        <v>411</v>
      </c>
      <c r="E365" s="373"/>
      <c r="F365" s="286">
        <f t="shared" si="24"/>
        <v>0.61800486618004868</v>
      </c>
      <c r="G365" s="373">
        <f>SUMIFS(Data!$V$60:$V$72,Data!$S$60:$S$72,MarketProfile!A365,Data!$X$60:$X$72,"0")</f>
        <v>427</v>
      </c>
      <c r="H365" s="373"/>
      <c r="I365" s="286">
        <f t="shared" si="22"/>
        <v>0.55737704918032782</v>
      </c>
    </row>
    <row r="366" spans="1:9" ht="14.25" x14ac:dyDescent="0.2">
      <c r="A366" s="248" t="s">
        <v>451</v>
      </c>
      <c r="B366" s="249"/>
      <c r="C366" s="249">
        <f>SUMIFS(Data!$V$2:$V$14,Data!$S$2:$S$14,MarketProfile!A366,Data!$X$2:$X$14,"0")</f>
        <v>226</v>
      </c>
      <c r="D366" s="373">
        <f>SUMIFS(Data!$V$30:$V$42,Data!$S$30:$S$42,MarketProfile!A366,Data!$X$30:$X$42,"0")</f>
        <v>157</v>
      </c>
      <c r="E366" s="373"/>
      <c r="F366" s="286">
        <f t="shared" si="24"/>
        <v>0.43949044585987262</v>
      </c>
      <c r="G366" s="373">
        <f>SUMIFS(Data!$V$60:$V$72,Data!$S$60:$S$72,MarketProfile!A366,Data!$X$60:$X$72,"0")</f>
        <v>58</v>
      </c>
      <c r="H366" s="373"/>
      <c r="I366" s="286">
        <f t="shared" si="22"/>
        <v>2.896551724137931</v>
      </c>
    </row>
    <row r="367" spans="1:9" ht="14.25" x14ac:dyDescent="0.2">
      <c r="A367" s="248" t="s">
        <v>448</v>
      </c>
      <c r="B367" s="249"/>
      <c r="C367" s="249">
        <f>SUMIFS(Data!$V$2:$V$14,Data!$S$2:$S$14,MarketProfile!A367,Data!$X$2:$X$14,"0")</f>
        <v>0</v>
      </c>
      <c r="D367" s="373">
        <f>SUMIFS(Data!$V$30:$V$42,Data!$S$30:$S$42,MarketProfile!A367,Data!$X$30:$X$42,"0")</f>
        <v>0</v>
      </c>
      <c r="E367" s="373"/>
      <c r="F367" s="286" t="str">
        <f t="shared" si="24"/>
        <v/>
      </c>
      <c r="G367" s="373">
        <f>SUMIFS(Data!$V$60:$V$72,Data!$S$60:$S$72,MarketProfile!A367,Data!$X$60:$X$72,"0")</f>
        <v>0</v>
      </c>
      <c r="H367" s="373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1443</v>
      </c>
      <c r="D368" s="374">
        <f t="shared" ref="D368:E368" si="25">SUM(D364:D367)</f>
        <v>1309</v>
      </c>
      <c r="E368" s="374">
        <f t="shared" si="25"/>
        <v>0</v>
      </c>
      <c r="F368" s="326">
        <f t="shared" si="24"/>
        <v>0.10236822001527884</v>
      </c>
      <c r="G368" s="374">
        <f>SUM(G364:H367)</f>
        <v>1972</v>
      </c>
      <c r="H368" s="374">
        <v>1646</v>
      </c>
      <c r="I368" s="326">
        <f>IFERROR(IF(OR(AND(G368="",C368=""),AND(G368=0,C368=0)),"",
IF(OR(G368="",G368=0),1,
IF(OR(G368&lt;&gt;"",G368&lt;&gt;0),(C368-G368)/ABS(G368)))),-1)</f>
        <v>-0.2682555780933063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SUMIFS(Data!$U$2:$U$14,Data!$S$2:$S$14,MarketProfile!A372,Data!$X$2:$X$14,"1")</f>
        <v>926523</v>
      </c>
      <c r="D372" s="373">
        <f>SUMIFS(Data!$U$30:$U$42,Data!$S$30:$S$42,MarketProfile!A372,Data!$X$30:$X$42,"1")</f>
        <v>888403</v>
      </c>
      <c r="E372" s="373"/>
      <c r="F372" s="286">
        <f t="shared" ref="F372:F379" si="26">IFERROR(IF(OR(AND(D372="",C372=""),AND(D372=0,C372=0)),"",
IF(OR(D372="",D372=0),1,
IF(OR(D372&lt;&gt;"",D372&lt;&gt;0),(C372-D372)/ABS(D372)))),-1)</f>
        <v>4.2908454834123706E-2</v>
      </c>
      <c r="G372" s="373">
        <f>SUMIFS(Data!$U$60:$U$72,Data!$S$60:$S$72,MarketProfile!A372,Data!$X$60:$X$72,"1")</f>
        <v>1468614</v>
      </c>
      <c r="H372" s="373"/>
      <c r="I372" s="286">
        <f t="shared" ref="I372:I379" si="27">IFERROR(IF(OR(AND(G372="",C372=""),AND(G372=0,C372=0)),"",
IF(OR(G372="",G372=0),1,
IF(OR(G372&lt;&gt;"",G372&lt;&gt;0),(C372-G372)/ABS(G372)))),-1)</f>
        <v>-0.36911741274426091</v>
      </c>
    </row>
    <row r="373" spans="1:9" ht="14.25" x14ac:dyDescent="0.2">
      <c r="A373" s="248" t="s">
        <v>447</v>
      </c>
      <c r="B373" s="249"/>
      <c r="C373" s="249">
        <f>SUMIFS(Data!$U$2:$U$14,Data!$S$2:$S$14,MarketProfile!A373,Data!$X$2:$X$14,"1")</f>
        <v>1468029</v>
      </c>
      <c r="D373" s="373">
        <f>SUMIFS(Data!$U$30:$U$42,Data!$S$30:$S$42,MarketProfile!A373,Data!$X$30:$X$42,"1")</f>
        <v>563214</v>
      </c>
      <c r="E373" s="373"/>
      <c r="F373" s="286">
        <f t="shared" si="26"/>
        <v>1.6065207896110536</v>
      </c>
      <c r="G373" s="373">
        <f>SUMIFS(Data!$U$60:$U$72,Data!$S$60:$S$72,MarketProfile!A373,Data!$X$60:$X$72,"1")</f>
        <v>810059</v>
      </c>
      <c r="H373" s="373"/>
      <c r="I373" s="286">
        <f t="shared" si="27"/>
        <v>0.81224947812443293</v>
      </c>
    </row>
    <row r="374" spans="1:9" ht="14.25" x14ac:dyDescent="0.2">
      <c r="A374" s="248" t="s">
        <v>448</v>
      </c>
      <c r="B374" s="249"/>
      <c r="C374" s="249">
        <f>SUMIFS(Data!$U$2:$U$14,Data!$S$2:$S$14,MarketProfile!A374,Data!$X$2:$X$14,"1")</f>
        <v>452104</v>
      </c>
      <c r="D374" s="373">
        <f>SUMIFS(Data!$U$30:$U$42,Data!$S$30:$S$42,MarketProfile!A374,Data!$X$30:$X$42,"1")</f>
        <v>0</v>
      </c>
      <c r="E374" s="373"/>
      <c r="F374" s="286">
        <f t="shared" si="26"/>
        <v>1</v>
      </c>
      <c r="G374" s="373">
        <f>SUMIFS(Data!$U$60:$U$72,Data!$S$60:$S$72,MarketProfile!A374,Data!$X$60:$X$72,"1")</f>
        <v>362442</v>
      </c>
      <c r="H374" s="373"/>
      <c r="I374" s="286">
        <f t="shared" si="27"/>
        <v>0.24738302956059177</v>
      </c>
    </row>
    <row r="375" spans="1:9" ht="14.25" x14ac:dyDescent="0.2">
      <c r="A375" s="248" t="s">
        <v>182</v>
      </c>
      <c r="B375" s="249"/>
      <c r="C375" s="249">
        <f>SUMIFS(Data!$U$2:$U$14,Data!$S$2:$S$14,MarketProfile!A375,Data!$X$2:$X$14,"1")</f>
        <v>958648</v>
      </c>
      <c r="D375" s="373">
        <f>SUMIFS(Data!$U$30:$U$42,Data!$S$30:$S$42,MarketProfile!A375,Data!$X$30:$X$42,"1")</f>
        <v>1063504</v>
      </c>
      <c r="E375" s="373"/>
      <c r="F375" s="286">
        <f t="shared" si="26"/>
        <v>-9.8594833681866736E-2</v>
      </c>
      <c r="G375" s="373">
        <f>SUMIFS(Data!$U$60:$U$72,Data!$S$60:$S$72,MarketProfile!A375,Data!$X$60:$X$72,"1")</f>
        <v>659456</v>
      </c>
      <c r="H375" s="373"/>
      <c r="I375" s="286">
        <f t="shared" si="27"/>
        <v>0.45369516692546585</v>
      </c>
    </row>
    <row r="376" spans="1:9" ht="14.25" x14ac:dyDescent="0.2">
      <c r="A376" s="248" t="s">
        <v>449</v>
      </c>
      <c r="B376" s="249"/>
      <c r="C376" s="249">
        <f>SUMIFS(Data!$U$2:$U$14,Data!$S$2:$S$14,MarketProfile!A376,Data!$X$2:$X$14,"1")</f>
        <v>2716798</v>
      </c>
      <c r="D376" s="373">
        <f>SUMIFS(Data!$U$30:$U$42,Data!$S$30:$S$42,MarketProfile!A376,Data!$X$30:$X$42,"1")</f>
        <v>1182098</v>
      </c>
      <c r="E376" s="373"/>
      <c r="F376" s="286">
        <f t="shared" si="26"/>
        <v>1.2982849137719545</v>
      </c>
      <c r="G376" s="373">
        <f>SUMIFS(Data!$U$60:$U$72,Data!$S$60:$S$72,MarketProfile!A376,Data!$X$60:$X$72,"1")</f>
        <v>1137765</v>
      </c>
      <c r="H376" s="373"/>
      <c r="I376" s="286">
        <f t="shared" si="27"/>
        <v>1.3878375587225833</v>
      </c>
    </row>
    <row r="377" spans="1:9" ht="14.25" x14ac:dyDescent="0.2">
      <c r="A377" s="248" t="s">
        <v>450</v>
      </c>
      <c r="B377" s="249"/>
      <c r="C377" s="249">
        <f>SUMIFS(Data!$U$2:$U$14,Data!$S$2:$S$14,MarketProfile!A377,Data!$X$2:$X$14,"1")</f>
        <v>2336589</v>
      </c>
      <c r="D377" s="373">
        <f>SUMIFS(Data!$U$30:$U$42,Data!$S$30:$S$42,MarketProfile!A377,Data!$X$30:$X$42,"1")</f>
        <v>950585</v>
      </c>
      <c r="E377" s="373"/>
      <c r="F377" s="286">
        <f t="shared" si="26"/>
        <v>1.4580537248115635</v>
      </c>
      <c r="G377" s="373">
        <f>SUMIFS(Data!$U$60:$U$72,Data!$S$60:$S$72,MarketProfile!A377,Data!$X$60:$X$72,"1")</f>
        <v>810896</v>
      </c>
      <c r="H377" s="373"/>
      <c r="I377" s="286">
        <f t="shared" si="27"/>
        <v>1.8814903514137449</v>
      </c>
    </row>
    <row r="378" spans="1:9" ht="14.25" x14ac:dyDescent="0.2">
      <c r="A378" s="248" t="s">
        <v>451</v>
      </c>
      <c r="B378" s="249"/>
      <c r="C378" s="249">
        <f>SUMIFS(Data!$U$2:$U$14,Data!$S$2:$S$14,MarketProfile!A378,Data!$X$2:$X$14,"1")</f>
        <v>102570</v>
      </c>
      <c r="D378" s="373">
        <f>SUMIFS(Data!$U$30:$U$42,Data!$S$30:$S$42,MarketProfile!A378,Data!$X$30:$X$42,"1")</f>
        <v>229356</v>
      </c>
      <c r="E378" s="373"/>
      <c r="F378" s="286">
        <f t="shared" si="26"/>
        <v>-0.55279129388374404</v>
      </c>
      <c r="G378" s="373">
        <f>SUMIFS(Data!$U$60:$U$72,Data!$S$60:$S$72,MarketProfile!A378,Data!$X$60:$X$72,"1")</f>
        <v>97427</v>
      </c>
      <c r="H378" s="373"/>
      <c r="I378" s="286">
        <f t="shared" si="27"/>
        <v>5.2788241452574748E-2</v>
      </c>
    </row>
    <row r="379" spans="1:9" ht="15" x14ac:dyDescent="0.25">
      <c r="A379" s="288" t="s">
        <v>133</v>
      </c>
      <c r="B379" s="250"/>
      <c r="C379" s="250">
        <f>SUM(C372:C378)</f>
        <v>8961261</v>
      </c>
      <c r="D379" s="374">
        <f>SUM(D372:E378)</f>
        <v>4877160</v>
      </c>
      <c r="E379" s="374"/>
      <c r="F379" s="326">
        <f t="shared" si="26"/>
        <v>0.83739327805526165</v>
      </c>
      <c r="G379" s="374">
        <f>SUM(G372:H378)</f>
        <v>5346659</v>
      </c>
      <c r="H379" s="374">
        <v>17193059</v>
      </c>
      <c r="I379" s="326">
        <f t="shared" si="27"/>
        <v>0.67604872500752344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SUMIFS(Data!$U$2:$U$14,Data!$S$2:$S$14,MarketProfile!A382,Data!$X$2:$X$14,"0")</f>
        <v>421785</v>
      </c>
      <c r="D382" s="373">
        <f>SUMIFS(Data!$U$30:$U$42,Data!$S$30:$S$42,MarketProfile!A382,Data!$X$30:$X$42,"0")</f>
        <v>400869</v>
      </c>
      <c r="E382" s="373"/>
      <c r="F382" s="286">
        <f t="shared" ref="F382:F386" si="28">IFERROR(IF(OR(AND(D382="",C382=""),AND(D382=0,C382=0)),"",
IF(OR(D382="",D382=0),1,
IF(OR(D382&lt;&gt;"",D382&lt;&gt;0),(C382-D382)/ABS(D382)))),-1)</f>
        <v>5.2176646236052178E-2</v>
      </c>
      <c r="G382" s="373">
        <f>SUMIFS(Data!$U$60:$U$72,Data!$S$60:$S$72,MarketProfile!A382,Data!$X$60:$X$72,"0")</f>
        <v>314103</v>
      </c>
      <c r="H382" s="373"/>
      <c r="I382" s="286">
        <f t="shared" ref="I382:I386" si="29">IFERROR(IF(OR(AND(G382="",C382=""),AND(G382=0,C382=0)),"",
IF(OR(G382="",G382=0),1,
IF(OR(G382&lt;&gt;"",G382&lt;&gt;0),(C382-G382)/ABS(G382)))),-1)</f>
        <v>0.34282385077506422</v>
      </c>
    </row>
    <row r="383" spans="1:9" ht="14.25" x14ac:dyDescent="0.2">
      <c r="A383" s="248" t="s">
        <v>447</v>
      </c>
      <c r="B383" s="249"/>
      <c r="C383" s="249">
        <f>SUMIFS(Data!$U$2:$U$14,Data!$S$2:$S$14,MarketProfile!A383,Data!$X$2:$X$14,"0")</f>
        <v>878141</v>
      </c>
      <c r="D383" s="373">
        <f>SUMIFS(Data!$U$30:$U$42,Data!$S$30:$S$42,MarketProfile!A383,Data!$X$30:$X$42,"0")</f>
        <v>585149</v>
      </c>
      <c r="E383" s="373"/>
      <c r="F383" s="286">
        <f t="shared" si="28"/>
        <v>0.50071349348627447</v>
      </c>
      <c r="G383" s="373">
        <f>SUMIFS(Data!$U$60:$U$72,Data!$S$60:$S$72,MarketProfile!A383,Data!$X$60:$X$72,"0")</f>
        <v>516465</v>
      </c>
      <c r="H383" s="373"/>
      <c r="I383" s="286">
        <f t="shared" si="29"/>
        <v>0.70029140406416701</v>
      </c>
    </row>
    <row r="384" spans="1:9" ht="14.25" x14ac:dyDescent="0.2">
      <c r="A384" s="248" t="s">
        <v>451</v>
      </c>
      <c r="B384" s="249"/>
      <c r="C384" s="249">
        <f>SUMIFS(Data!$U$2:$U$14,Data!$S$2:$S$14,MarketProfile!A384,Data!$X$2:$X$14,"0")</f>
        <v>194423</v>
      </c>
      <c r="D384" s="373">
        <f>SUMIFS(Data!$U$30:$U$42,Data!$S$30:$S$42,MarketProfile!A384,Data!$X$30:$X$42,"0")</f>
        <v>116891</v>
      </c>
      <c r="E384" s="373"/>
      <c r="F384" s="286">
        <f t="shared" si="28"/>
        <v>0.66328459847208088</v>
      </c>
      <c r="G384" s="373">
        <f>SUMIFS(Data!$U$60:$U$72,Data!$S$60:$S$72,MarketProfile!A384,Data!$X$60:$X$72,"0")</f>
        <v>100396</v>
      </c>
      <c r="H384" s="373"/>
      <c r="I384" s="286">
        <f t="shared" si="29"/>
        <v>0.93656121757838962</v>
      </c>
    </row>
    <row r="385" spans="1:9" ht="14.25" x14ac:dyDescent="0.2">
      <c r="A385" s="248" t="s">
        <v>448</v>
      </c>
      <c r="B385" s="249"/>
      <c r="C385" s="249">
        <f>SUMIFS(Data!$U$2:$U$14,Data!$S$2:$S$14,MarketProfile!A385,Data!$X$2:$X$14,"0")</f>
        <v>0</v>
      </c>
      <c r="D385" s="373">
        <f>SUMIFS(Data!$U$30:$U$42,Data!$S$30:$S$42,MarketProfile!A385,Data!$X$30:$X$42,"0")</f>
        <v>0</v>
      </c>
      <c r="E385" s="373"/>
      <c r="F385" s="286" t="str">
        <f t="shared" si="28"/>
        <v/>
      </c>
      <c r="G385" s="373">
        <f>SUMIFS(Data!$U$60:$U$72,Data!$S$60:$S$72,MarketProfile!A385,Data!$X$60:$X$72,"0")</f>
        <v>0</v>
      </c>
      <c r="H385" s="373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1494349</v>
      </c>
      <c r="D386" s="374">
        <f>SUM(D382:E385)</f>
        <v>1102909</v>
      </c>
      <c r="E386" s="374">
        <f>SUM(E382:E385)</f>
        <v>0</v>
      </c>
      <c r="F386" s="326">
        <f t="shared" si="28"/>
        <v>0.35491595408143373</v>
      </c>
      <c r="G386" s="374">
        <f>SUM(G382:H385)</f>
        <v>930964</v>
      </c>
      <c r="H386" s="374">
        <v>677531</v>
      </c>
      <c r="I386" s="326">
        <f t="shared" si="29"/>
        <v>0.60516303530533944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SUMIFS(Data!$T$2:$T$14,Data!$S$2:$S$14,MarketProfile!A390,Data!$X$2:$X$14,"1")/1000</f>
        <v>330629494.7778669</v>
      </c>
      <c r="D390" s="373">
        <f>SUMIFS(Data!$T$30:$T$42,Data!$S$30:$S$42,MarketProfile!A390,Data!$X$30:$X$42,"1")/1000</f>
        <v>328786336.5500409</v>
      </c>
      <c r="E390" s="373"/>
      <c r="F390" s="286">
        <f t="shared" ref="F390:F397" si="30">IFERROR(IF(OR(AND(D390="",C390=""),AND(D390=0,C390=0)),"",
IF(OR(D390="",D390=0),1,
IF(OR(D390&lt;&gt;"",D390&lt;&gt;0),(C390-D390)/ABS(D390)))),-1)</f>
        <v>5.6059453296213018E-3</v>
      </c>
      <c r="G390" s="373">
        <f>SUMIFS(Data!$T$60:$T$72,Data!$S$60:$S$72,MarketProfile!A390,Data!$X$60:$X$72,"1")/1000</f>
        <v>392168746.19587767</v>
      </c>
      <c r="H390" s="373"/>
      <c r="I390" s="286">
        <f t="shared" ref="I390:I397" si="31">IFERROR(IF(OR(AND(G390="",C390=""),AND(G390=0,C390=0)),"",
IF(OR(G390="",G390=0),1,
IF(OR(G390&lt;&gt;"",G390&lt;&gt;0),(C390-G390)/ABS(G390)))),-1)</f>
        <v>-0.15692033599045035</v>
      </c>
    </row>
    <row r="391" spans="1:9" ht="14.25" x14ac:dyDescent="0.2">
      <c r="A391" s="248" t="s">
        <v>447</v>
      </c>
      <c r="B391" s="249"/>
      <c r="C391" s="249">
        <f>SUMIFS(Data!$T$2:$T$14,Data!$S$2:$S$14,MarketProfile!A391,Data!$X$2:$X$14,"1")/1000</f>
        <v>19103791.876111999</v>
      </c>
      <c r="D391" s="373">
        <f>SUMIFS(Data!$T$30:$T$42,Data!$S$30:$S$42,MarketProfile!A391,Data!$X$30:$X$42,"1")/1000</f>
        <v>12766778.916794</v>
      </c>
      <c r="E391" s="373"/>
      <c r="F391" s="286">
        <f t="shared" si="30"/>
        <v>0.49636740799059381</v>
      </c>
      <c r="G391" s="373">
        <f>SUMIFS(Data!$T$60:$T$72,Data!$S$60:$S$72,MarketProfile!A391,Data!$X$60:$X$72,"1")/1000</f>
        <v>10484193.485124001</v>
      </c>
      <c r="H391" s="373"/>
      <c r="I391" s="286">
        <f t="shared" si="31"/>
        <v>0.82215178527736321</v>
      </c>
    </row>
    <row r="392" spans="1:9" ht="14.25" x14ac:dyDescent="0.2">
      <c r="A392" s="248" t="s">
        <v>448</v>
      </c>
      <c r="B392" s="249"/>
      <c r="C392" s="249">
        <f>SUMIFS(Data!$T$2:$T$14,Data!$S$2:$S$14,MarketProfile!A392,Data!$X$2:$X$14,"1")/1000</f>
        <v>0.39</v>
      </c>
      <c r="D392" s="373">
        <f>SUMIFS(Data!$T$30:$T$42,Data!$S$30:$S$42,MarketProfile!A392,Data!$X$30:$X$42,"1")/1000</f>
        <v>0</v>
      </c>
      <c r="E392" s="373"/>
      <c r="F392" s="286">
        <f t="shared" si="30"/>
        <v>1</v>
      </c>
      <c r="G392" s="373">
        <f>SUMIFS(Data!$T$60:$T$72,Data!$S$60:$S$72,MarketProfile!A392,Data!$X$60:$X$72,"1")/1000</f>
        <v>527364.18000000005</v>
      </c>
      <c r="H392" s="373"/>
      <c r="I392" s="286">
        <f t="shared" si="31"/>
        <v>-0.99999926047309473</v>
      </c>
    </row>
    <row r="393" spans="1:9" ht="14.25" x14ac:dyDescent="0.2">
      <c r="A393" s="248" t="s">
        <v>182</v>
      </c>
      <c r="B393" s="249"/>
      <c r="C393" s="249">
        <f>SUMIFS(Data!$T$2:$T$14,Data!$S$2:$S$14,MarketProfile!A393,Data!$X$2:$X$14,"1")/1000</f>
        <v>98604.662569000007</v>
      </c>
      <c r="D393" s="373">
        <f>SUMIFS(Data!$T$30:$T$42,Data!$S$30:$S$42,MarketProfile!A393,Data!$X$30:$X$42,"1")/1000</f>
        <v>48999.400665000001</v>
      </c>
      <c r="E393" s="373"/>
      <c r="F393" s="286">
        <f t="shared" si="30"/>
        <v>1.012364666317904</v>
      </c>
      <c r="G393" s="373">
        <f>SUMIFS(Data!$T$60:$T$72,Data!$S$60:$S$72,MarketProfile!A393,Data!$X$60:$X$72,"1")/1000</f>
        <v>54738.774128999998</v>
      </c>
      <c r="H393" s="373"/>
      <c r="I393" s="286">
        <f t="shared" si="31"/>
        <v>0.80136775326066989</v>
      </c>
    </row>
    <row r="394" spans="1:9" ht="14.25" x14ac:dyDescent="0.2">
      <c r="A394" s="248" t="s">
        <v>449</v>
      </c>
      <c r="B394" s="249"/>
      <c r="C394" s="249">
        <f>SUMIFS(Data!$T$2:$T$14,Data!$S$2:$S$14,MarketProfile!A394,Data!$X$2:$X$14,"1")/1000</f>
        <v>1328911.5406788001</v>
      </c>
      <c r="D394" s="373">
        <f>SUMIFS(Data!$T$30:$T$42,Data!$S$30:$S$42,MarketProfile!A394,Data!$X$30:$X$42,"1")/1000</f>
        <v>1069432.232693</v>
      </c>
      <c r="E394" s="373"/>
      <c r="F394" s="286">
        <f t="shared" si="30"/>
        <v>0.24263277284282897</v>
      </c>
      <c r="G394" s="373">
        <f>SUMIFS(Data!$T$60:$T$72,Data!$S$60:$S$72,MarketProfile!A394,Data!$X$60:$X$72,"1")/1000</f>
        <v>878663.96966100007</v>
      </c>
      <c r="H394" s="373"/>
      <c r="I394" s="286">
        <f t="shared" si="31"/>
        <v>0.51242293591657273</v>
      </c>
    </row>
    <row r="395" spans="1:9" ht="14.25" x14ac:dyDescent="0.2">
      <c r="A395" s="248" t="s">
        <v>450</v>
      </c>
      <c r="B395" s="249"/>
      <c r="C395" s="249">
        <f>SUMIFS(Data!$T$2:$T$14,Data!$S$2:$S$14,MarketProfile!A395,Data!$X$2:$X$14,"1")/1000</f>
        <v>8.3596000000000004</v>
      </c>
      <c r="D395" s="373">
        <f>SUMIFS(Data!$T$30:$T$42,Data!$S$30:$S$42,MarketProfile!A395,Data!$X$30:$X$42,"1")/1000</f>
        <v>279.72971999999999</v>
      </c>
      <c r="E395" s="373"/>
      <c r="F395" s="286">
        <f t="shared" si="30"/>
        <v>-0.97011543857406357</v>
      </c>
      <c r="G395" s="373">
        <f>SUMIFS(Data!$T$60:$T$72,Data!$S$60:$S$72,MarketProfile!A395,Data!$X$60:$X$72,"1")/1000</f>
        <v>346.70427000000001</v>
      </c>
      <c r="H395" s="373"/>
      <c r="I395" s="286">
        <f t="shared" si="31"/>
        <v>-0.97588838464550787</v>
      </c>
    </row>
    <row r="396" spans="1:9" ht="14.25" x14ac:dyDescent="0.2">
      <c r="A396" s="248" t="s">
        <v>451</v>
      </c>
      <c r="B396" s="249"/>
      <c r="C396" s="249">
        <f>SUMIFS(Data!$T$2:$T$14,Data!$S$2:$S$14,MarketProfile!A396,Data!$X$2:$X$14,"1")/1000</f>
        <v>2802888.4978419999</v>
      </c>
      <c r="D396" s="373">
        <f>SUMIFS(Data!$T$30:$T$42,Data!$S$30:$S$42,MarketProfile!A396,Data!$X$30:$X$42,"1")/1000</f>
        <v>5293694.3841019999</v>
      </c>
      <c r="E396" s="373"/>
      <c r="F396" s="286">
        <f t="shared" si="30"/>
        <v>-0.47052317446590375</v>
      </c>
      <c r="G396" s="373">
        <f>SUMIFS(Data!$T$60:$T$72,Data!$S$60:$S$72,MarketProfile!A396,Data!$X$60:$X$72,"1")/1000</f>
        <v>1648891.7760000001</v>
      </c>
      <c r="H396" s="373"/>
      <c r="I396" s="286">
        <f t="shared" si="31"/>
        <v>0.69986201559052452</v>
      </c>
    </row>
    <row r="397" spans="1:9" ht="15" x14ac:dyDescent="0.25">
      <c r="A397" s="288" t="s">
        <v>133</v>
      </c>
      <c r="B397" s="250"/>
      <c r="C397" s="250">
        <f>SUM(C390:C396)</f>
        <v>353963700.10466868</v>
      </c>
      <c r="D397" s="374">
        <f>SUM(D390:E396)</f>
        <v>347965521.21401489</v>
      </c>
      <c r="E397" s="374">
        <f>SUM(E390:E396)</f>
        <v>0</v>
      </c>
      <c r="F397" s="326">
        <f t="shared" si="30"/>
        <v>1.7237854111886653E-2</v>
      </c>
      <c r="G397" s="374">
        <f>SUM(G390:H396)</f>
        <v>405762945.08506167</v>
      </c>
      <c r="H397" s="374">
        <v>320543973</v>
      </c>
      <c r="I397" s="326">
        <f t="shared" si="31"/>
        <v>-0.1276588845970992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SUMIFS(Data!$T$2:$T$14,Data!$S$2:$S$14,MarketProfile!A400,Data!$X$2:$X$14,"0")/1000</f>
        <v>2173846.5624899999</v>
      </c>
      <c r="D400" s="373">
        <f>SUMIFS(Data!$T$30:$T$42,Data!$S$30:$S$42,MarketProfile!A400,Data!$X$30:$X$42,"0")/1000</f>
        <v>4022520.5511699999</v>
      </c>
      <c r="E400" s="373"/>
      <c r="F400" s="286">
        <f t="shared" ref="F400:F404" si="32">IFERROR(IF(OR(AND(D400="",C400=""),AND(D400=0,C400=0)),"",
IF(OR(D400="",D400=0),1,
IF(OR(D400&lt;&gt;"",D400&lt;&gt;0),(C400-D400)/ABS(D400)))),-1)</f>
        <v>-0.4595809928534213</v>
      </c>
      <c r="G400" s="373">
        <f>SUMIFS(Data!$T$60:$T$72,Data!$S$60:$S$72,MarketProfile!A400,Data!$X$60:$X$72,"0")/1000</f>
        <v>2584899.17086</v>
      </c>
      <c r="H400" s="373"/>
      <c r="I400" s="286">
        <f t="shared" ref="I400:I404" si="33">IFERROR(IF(OR(AND(G400="",C400=""),AND(G400=0,C400=0)),"",
IF(OR(G400="",G400=0),1,
IF(OR(G400&lt;&gt;"",G400&lt;&gt;0),(C400-G400)/ABS(G400)))),-1)</f>
        <v>-0.15902075137160657</v>
      </c>
    </row>
    <row r="401" spans="1:9" ht="14.25" x14ac:dyDescent="0.2">
      <c r="A401" s="248" t="s">
        <v>447</v>
      </c>
      <c r="B401" s="249"/>
      <c r="C401" s="249">
        <f>SUMIFS(Data!$T$2:$T$14,Data!$S$2:$S$14,MarketProfile!A401,Data!$X$2:$X$14,"0")/1000</f>
        <v>935389.86702999996</v>
      </c>
      <c r="D401" s="373">
        <f>SUMIFS(Data!$T$30:$T$42,Data!$S$30:$S$42,MarketProfile!A401,Data!$X$30:$X$42,"0")/1000</f>
        <v>612870.19678999996</v>
      </c>
      <c r="E401" s="373"/>
      <c r="F401" s="286">
        <f t="shared" si="32"/>
        <v>0.52624466311014206</v>
      </c>
      <c r="G401" s="373">
        <f>SUMIFS(Data!$T$60:$T$72,Data!$S$60:$S$72,MarketProfile!A401,Data!$X$60:$X$72,"0")/1000</f>
        <v>191827.29706000001</v>
      </c>
      <c r="H401" s="373"/>
      <c r="I401" s="286">
        <f t="shared" si="33"/>
        <v>3.8762083466016173</v>
      </c>
    </row>
    <row r="402" spans="1:9" ht="14.25" x14ac:dyDescent="0.2">
      <c r="A402" s="248" t="s">
        <v>451</v>
      </c>
      <c r="B402" s="249"/>
      <c r="C402" s="249">
        <f>SUMIFS(Data!$T$2:$T$14,Data!$S$2:$S$14,MarketProfile!A402,Data!$X$2:$X$14,"0")/1000</f>
        <v>326019.85829</v>
      </c>
      <c r="D402" s="373">
        <f>SUMIFS(Data!$T$30:$T$42,Data!$S$30:$S$42,MarketProfile!A402,Data!$X$30:$X$42,"0")/1000</f>
        <v>151927.3602</v>
      </c>
      <c r="E402" s="373"/>
      <c r="F402" s="286">
        <f t="shared" si="32"/>
        <v>1.1458929968954994</v>
      </c>
      <c r="G402" s="373">
        <f>SUMIFS(Data!$T$60:$T$72,Data!$S$60:$S$72,MarketProfile!A402,Data!$X$60:$X$72,"0")/1000</f>
        <v>108513.73687000001</v>
      </c>
      <c r="H402" s="373"/>
      <c r="I402" s="286">
        <f t="shared" si="33"/>
        <v>2.004410940898417</v>
      </c>
    </row>
    <row r="403" spans="1:9" ht="14.25" x14ac:dyDescent="0.2">
      <c r="A403" s="248" t="s">
        <v>448</v>
      </c>
      <c r="B403" s="249"/>
      <c r="C403" s="249">
        <f>SUMIFS(Data!$T$2:$T$14,Data!$S$2:$S$14,MarketProfile!A403,Data!$X$2:$X$14,"0")/1000</f>
        <v>0</v>
      </c>
      <c r="D403" s="373">
        <f>SUMIFS(Data!$T$30:$T$42,Data!$S$30:$S$42,MarketProfile!A403,Data!$X$30:$X$42,"0")/1000</f>
        <v>0</v>
      </c>
      <c r="E403" s="373"/>
      <c r="F403" s="286" t="str">
        <f t="shared" si="32"/>
        <v/>
      </c>
      <c r="G403" s="373">
        <f>SUMIFS(Data!$T$60:$T$72,Data!$S$60:$S$72,MarketProfile!A403,Data!$X$60:$X$72,"0")/1000</f>
        <v>0</v>
      </c>
      <c r="H403" s="373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3435256.2878099997</v>
      </c>
      <c r="D404" s="374">
        <f>SUM(D400:E403)</f>
        <v>4787318.1081599994</v>
      </c>
      <c r="E404" s="374">
        <f>SUM(E400:E403)</f>
        <v>0</v>
      </c>
      <c r="F404" s="326">
        <f t="shared" si="32"/>
        <v>-0.28242573186131203</v>
      </c>
      <c r="G404" s="374">
        <f>SUM(G400:H403)</f>
        <v>2885240.2047899999</v>
      </c>
      <c r="H404" s="374">
        <v>1436842</v>
      </c>
      <c r="I404" s="326">
        <f t="shared" si="33"/>
        <v>0.19063095062479635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SUMIFS(Data!$W$15:$W$27,Data!$S$15:$S$27,MarketProfile!A408,Data!$X$15:$X$27,"1")</f>
        <v>696149</v>
      </c>
      <c r="D408" s="373">
        <f>SUMIFS(Data!$W$45:$W$57,Data!$S$45:$S$57,MarketProfile!A408,Data!$X$45:$X$57,"1")</f>
        <v>671733</v>
      </c>
      <c r="E408" s="373"/>
      <c r="F408" s="286">
        <f t="shared" ref="F408:F414" si="34">IFERROR(IF(OR(AND(D408="",C408=""),AND(D408=0,C408=0)),"",
IF(OR(D408="",D408=0),1,
IF(OR(D408&lt;&gt;"",D408&lt;&gt;0),(C408-D408)/ABS(D408)))),-1)</f>
        <v>3.6347775083254805E-2</v>
      </c>
      <c r="G408" s="373">
        <f>SUMIFS(Data!$W$75:$W$87,Data!$S$75:$S$87,MarketProfile!A408,Data!$X$75:$X$87,"1")</f>
        <v>871305</v>
      </c>
      <c r="H408" s="373"/>
      <c r="I408" s="286">
        <f t="shared" ref="I408:I414" si="35">IFERROR(IF(OR(AND(G408="",C408=""),AND(G408=0,C408=0)),"",
IF(OR(G408="",G408=0),1,
IF(OR(G408&lt;&gt;"",G408&lt;&gt;0),(C408-G408)/ABS(G408)))),-1)</f>
        <v>-0.20102719483992401</v>
      </c>
    </row>
    <row r="409" spans="1:9" ht="14.25" x14ac:dyDescent="0.2">
      <c r="A409" s="248" t="s">
        <v>447</v>
      </c>
      <c r="B409" s="127"/>
      <c r="C409" s="127">
        <f>SUMIFS(Data!$W$15:$W$27,Data!$S$15:$S$27,MarketProfile!A409,Data!$X$15:$X$27,"1")</f>
        <v>1395445</v>
      </c>
      <c r="D409" s="373">
        <f>SUMIFS(Data!$W$45:$W$57,Data!$S$45:$S$57,MarketProfile!A409,Data!$X$45:$X$57,"1")</f>
        <v>1211214</v>
      </c>
      <c r="E409" s="373"/>
      <c r="F409" s="286">
        <f t="shared" si="34"/>
        <v>0.15210441755131629</v>
      </c>
      <c r="G409" s="373">
        <f>SUMIFS(Data!$W$75:$W$87,Data!$S$75:$S$87,MarketProfile!A409,Data!$X$75:$X$87,"1")</f>
        <v>951251</v>
      </c>
      <c r="H409" s="373"/>
      <c r="I409" s="286">
        <f t="shared" si="35"/>
        <v>0.46695772198925417</v>
      </c>
    </row>
    <row r="410" spans="1:9" ht="14.25" x14ac:dyDescent="0.2">
      <c r="A410" s="248" t="s">
        <v>448</v>
      </c>
      <c r="B410" s="127"/>
      <c r="C410" s="127">
        <f>SUMIFS(Data!$W$15:$W$27,Data!$S$15:$S$27,MarketProfile!A410,Data!$X$15:$X$27,"1")</f>
        <v>0</v>
      </c>
      <c r="D410" s="373">
        <f>SUMIFS(Data!$W$45:$W$57,Data!$S$45:$S$57,MarketProfile!A410,Data!$X$45:$X$57,"1")</f>
        <v>0</v>
      </c>
      <c r="E410" s="373"/>
      <c r="F410" s="286" t="str">
        <f t="shared" si="34"/>
        <v/>
      </c>
      <c r="G410" s="373">
        <f>SUMIFS(Data!$W$75:$W$87,Data!$S$75:$S$87,MarketProfile!A410,Data!$X$75:$X$87,"1")</f>
        <v>659919</v>
      </c>
      <c r="H410" s="373"/>
      <c r="I410" s="286">
        <f t="shared" si="35"/>
        <v>-1</v>
      </c>
    </row>
    <row r="411" spans="1:9" ht="14.25" x14ac:dyDescent="0.2">
      <c r="A411" s="248" t="s">
        <v>182</v>
      </c>
      <c r="B411" s="127"/>
      <c r="C411" s="127">
        <f>SUMIFS(Data!$W$15:$W$27,Data!$S$15:$S$27,MarketProfile!A411,Data!$X$15:$X$27,"1")</f>
        <v>1020901</v>
      </c>
      <c r="D411" s="373">
        <f>SUMIFS(Data!$W$45:$W$57,Data!$S$45:$S$57,MarketProfile!A411,Data!$X$45:$X$57,"1")</f>
        <v>1536119</v>
      </c>
      <c r="E411" s="373"/>
      <c r="F411" s="286">
        <f t="shared" si="34"/>
        <v>-0.33540240046506814</v>
      </c>
      <c r="G411" s="373">
        <f>SUMIFS(Data!$W$75:$W$87,Data!$S$75:$S$87,MarketProfile!A411,Data!$X$75:$X$87,"1")</f>
        <v>1618739</v>
      </c>
      <c r="H411" s="373"/>
      <c r="I411" s="286">
        <f t="shared" si="35"/>
        <v>-0.36932328188793867</v>
      </c>
    </row>
    <row r="412" spans="1:9" ht="14.25" x14ac:dyDescent="0.2">
      <c r="A412" s="248" t="s">
        <v>449</v>
      </c>
      <c r="B412" s="127"/>
      <c r="C412" s="127">
        <f>SUMIFS(Data!$W$15:$W$27,Data!$S$15:$S$27,MarketProfile!A412,Data!$X$15:$X$27,"1")</f>
        <v>10661603</v>
      </c>
      <c r="D412" s="373">
        <f>SUMIFS(Data!$W$45:$W$57,Data!$S$45:$S$57,MarketProfile!A412,Data!$X$45:$X$57,"1")</f>
        <v>12027706</v>
      </c>
      <c r="E412" s="373"/>
      <c r="F412" s="286">
        <f t="shared" si="34"/>
        <v>-0.11357968011522729</v>
      </c>
      <c r="G412" s="373">
        <f>SUMIFS(Data!$W$75:$W$87,Data!$S$75:$S$87,MarketProfile!A412,Data!$X$75:$X$87,"1")</f>
        <v>18975404</v>
      </c>
      <c r="H412" s="373"/>
      <c r="I412" s="286">
        <f t="shared" si="35"/>
        <v>-0.43813565181537112</v>
      </c>
    </row>
    <row r="413" spans="1:9" ht="14.25" x14ac:dyDescent="0.2">
      <c r="A413" s="248" t="s">
        <v>450</v>
      </c>
      <c r="B413" s="127"/>
      <c r="C413" s="127">
        <f>SUMIFS(Data!$W$15:$W$27,Data!$S$15:$S$27,MarketProfile!A413,Data!$X$15:$X$27,"1")</f>
        <v>10185479</v>
      </c>
      <c r="D413" s="373">
        <f>SUMIFS(Data!$W$45:$W$57,Data!$S$45:$S$57,MarketProfile!A413,Data!$X$45:$X$57,"1")</f>
        <v>11531907</v>
      </c>
      <c r="E413" s="373"/>
      <c r="F413" s="286">
        <f t="shared" si="34"/>
        <v>-0.11675675150692769</v>
      </c>
      <c r="G413" s="373">
        <f>SUMIFS(Data!$W$75:$W$87,Data!$S$75:$S$87,MarketProfile!A413,Data!$X$75:$X$87,"1")</f>
        <v>18511843</v>
      </c>
      <c r="H413" s="373"/>
      <c r="I413" s="286">
        <f t="shared" si="35"/>
        <v>-0.4497857938834075</v>
      </c>
    </row>
    <row r="414" spans="1:9" ht="14.25" x14ac:dyDescent="0.2">
      <c r="A414" s="248" t="s">
        <v>451</v>
      </c>
      <c r="B414" s="127"/>
      <c r="C414" s="127">
        <f>SUMIFS(Data!$W$15:$W$27,Data!$S$15:$S$27,MarketProfile!A414,Data!$X$15:$X$27,"1")</f>
        <v>465788</v>
      </c>
      <c r="D414" s="373">
        <f>SUMIFS(Data!$W$45:$W$57,Data!$S$45:$S$57,MarketProfile!A414,Data!$X$45:$X$57,"1")</f>
        <v>472686</v>
      </c>
      <c r="E414" s="373"/>
      <c r="F414" s="286">
        <f t="shared" si="34"/>
        <v>-1.4593197175291842E-2</v>
      </c>
      <c r="G414" s="373">
        <f>SUMIFS(Data!$W$75:$W$87,Data!$S$75:$S$87,MarketProfile!A414,Data!$X$75:$X$87,"1")</f>
        <v>846821</v>
      </c>
      <c r="H414" s="373"/>
      <c r="I414" s="286">
        <f t="shared" si="35"/>
        <v>-0.44995695666498586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SUMIFS(Data!$W$15:$W$27,Data!$S$15:$S$27,MarketProfile!A417,Data!$X$15:$X$27,"0")</f>
        <v>1207622</v>
      </c>
      <c r="D417" s="373">
        <f>SUMIFS(Data!$W$45:$W$57,Data!$S$45:$S$57,MarketProfile!A417,Data!$X$45:$X$57,"0")</f>
        <v>1076998</v>
      </c>
      <c r="E417" s="373"/>
      <c r="F417" s="286">
        <f t="shared" ref="F417:F419" si="36">IFERROR(IF(OR(AND(D417="",C417=""),AND(D417=0,C417=0)),"",
IF(OR(D417="",D417=0),1,
IF(OR(D417&lt;&gt;"",D417&lt;&gt;0),(C417-D417)/ABS(D417)))),-1)</f>
        <v>0.12128527629577771</v>
      </c>
      <c r="G417" s="373">
        <f>SUMIFS(Data!$W$75:$W$87,Data!$S$75:$S$87,MarketProfile!A417,Data!$X$75:$X$87,"0")</f>
        <v>1061159</v>
      </c>
      <c r="H417" s="373"/>
      <c r="I417" s="286">
        <f t="shared" ref="I417:I419" si="37">IFERROR(IF(OR(AND(G417="",C417=""),AND(G417=0,C417=0)),"",
IF(OR(G417="",G417=0),1,
IF(OR(G417&lt;&gt;"",G417&lt;&gt;0),(C417-G417)/ABS(G417)))),-1)</f>
        <v>0.13802172907170368</v>
      </c>
    </row>
    <row r="418" spans="1:12" ht="14.25" x14ac:dyDescent="0.2">
      <c r="A418" s="248" t="s">
        <v>447</v>
      </c>
      <c r="B418" s="127"/>
      <c r="C418" s="127">
        <f>SUMIFS(Data!$W$15:$W$27,Data!$S$15:$S$27,MarketProfile!A418,Data!$X$15:$X$27,"0")</f>
        <v>2565650</v>
      </c>
      <c r="D418" s="373">
        <f>SUMIFS(Data!$W$45:$W$57,Data!$S$45:$S$57,MarketProfile!A418,Data!$X$45:$X$57,"0")</f>
        <v>2073130</v>
      </c>
      <c r="E418" s="373"/>
      <c r="F418" s="286">
        <f t="shared" si="36"/>
        <v>0.23757313820165643</v>
      </c>
      <c r="G418" s="373">
        <f>SUMIFS(Data!$W$75:$W$87,Data!$S$75:$S$87,MarketProfile!A418,Data!$X$75:$X$87,"0")</f>
        <v>2011752</v>
      </c>
      <c r="H418" s="373"/>
      <c r="I418" s="286">
        <f t="shared" si="37"/>
        <v>0.27533115413828346</v>
      </c>
    </row>
    <row r="419" spans="1:12" ht="14.25" x14ac:dyDescent="0.2">
      <c r="A419" s="248" t="s">
        <v>451</v>
      </c>
      <c r="B419" s="127"/>
      <c r="C419" s="127">
        <f>SUMIFS(Data!$W$15:$W$27,Data!$S$15:$S$27,MarketProfile!A419,Data!$X$15:$X$27,"0")</f>
        <v>286090</v>
      </c>
      <c r="D419" s="373">
        <f>SUMIFS(Data!$W$45:$W$57,Data!$S$45:$S$57,MarketProfile!A419,Data!$X$45:$X$57,"0")</f>
        <v>318663</v>
      </c>
      <c r="E419" s="373"/>
      <c r="F419" s="286">
        <f t="shared" si="36"/>
        <v>-0.10221770334177485</v>
      </c>
      <c r="G419" s="373">
        <f>SUMIFS(Data!$W$75:$W$87,Data!$S$75:$S$87,MarketProfile!A419,Data!$X$75:$X$87,"0")</f>
        <v>479873</v>
      </c>
      <c r="H419" s="373"/>
      <c r="I419" s="286">
        <f t="shared" si="37"/>
        <v>-0.40382142775275959</v>
      </c>
    </row>
    <row r="420" spans="1:12" ht="15" thickBot="1" x14ac:dyDescent="0.25">
      <c r="A420" s="289" t="s">
        <v>448</v>
      </c>
      <c r="B420" s="289"/>
      <c r="C420" s="128">
        <f>SUMIFS(Data!$W$15:$W$27,Data!$S$15:$S$27,MarketProfile!A420,Data!$X$15:$X$27,"0")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84" t="str">
        <f>"Market Profile - "&amp; TEXT($H$3,"MMM")&amp;" "&amp;TEXT($H$3,"YYYY")</f>
        <v>Market Profile - Nov 2017</v>
      </c>
      <c r="B429" s="248"/>
      <c r="C429" s="248"/>
      <c r="D429" s="248"/>
      <c r="E429" s="388" t="s">
        <v>205</v>
      </c>
      <c r="F429" s="388"/>
      <c r="G429" s="388"/>
      <c r="H429" s="388"/>
      <c r="I429" s="388"/>
    </row>
    <row r="430" spans="1:12" ht="10.5" customHeight="1" thickBot="1" x14ac:dyDescent="0.25">
      <c r="A430" s="385"/>
      <c r="B430" s="278"/>
      <c r="C430" s="278"/>
      <c r="D430" s="278"/>
      <c r="E430" s="389"/>
      <c r="F430" s="389"/>
      <c r="G430" s="389"/>
      <c r="H430" s="389"/>
      <c r="I430" s="389"/>
    </row>
    <row r="431" spans="1:12" ht="38.25" customHeight="1" thickBot="1" x14ac:dyDescent="0.3">
      <c r="A431" s="330"/>
      <c r="B431" s="330"/>
      <c r="C431" s="341" t="str">
        <f>TEXT($H$3,"MMM")&amp;" "&amp;TEXT($H$3,"YYYY")</f>
        <v>Nov 2017</v>
      </c>
      <c r="D431" s="330"/>
      <c r="E431" s="341" t="str">
        <f>TEXT(DATE(2000,TEXT(H3,"M")-1,1),"mmm")&amp; " "&amp; TEXT(H3,"YYYY")</f>
        <v>Oct 2017</v>
      </c>
      <c r="F431" s="180" t="s">
        <v>193</v>
      </c>
      <c r="G431" s="330"/>
      <c r="H431" s="342" t="str">
        <f>TEXT($H$3,"MMM")&amp;" "&amp;TEXT($H$3,"YYYY")-1</f>
        <v>Nov 2016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1169</v>
      </c>
      <c r="D434" s="371">
        <f>SUMIFS(Data!$AQ:$AQ,Data!$AN:$AN,MarketProfile!A434,Data!$AS:$AS,"1")</f>
        <v>748</v>
      </c>
      <c r="E434" s="371"/>
      <c r="F434" s="179">
        <f>IFERROR(IF(OR(AND(D434="",C434=""),AND(D434=0,C434=0)),"",
IF(OR(D434="",D434=0),1,
IF(OR(D434&lt;&gt;"",D434&lt;&gt;0),(C434-D434)/ABS(D434)))),-1)</f>
        <v>0.56283422459893051</v>
      </c>
      <c r="G434" s="371">
        <f>SUMIFS(Data!$BE:$BE,Data!$BB:$BB,MarketProfile!A434,Data!BG:BG,"1")</f>
        <v>700</v>
      </c>
      <c r="H434" s="371"/>
      <c r="I434" s="179">
        <f t="shared" ref="I434:I441" si="38">IFERROR(IF(OR(AND(G434="",C434=""),AND(G434=0,C434=0)),"",
IF(OR(G434="",G434=0),1,
IF(OR(G434&lt;&gt;"",G434&lt;&gt;0),(C434-G434)/ABS(G434)))),-1)</f>
        <v>0.67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4325</v>
      </c>
      <c r="D435" s="371">
        <f>SUMIFS(Data!$AQ:$AQ,Data!$AN:$AN,MarketProfile!A435,Data!$AS:$AS,"1")</f>
        <v>2943</v>
      </c>
      <c r="E435" s="371"/>
      <c r="F435" s="179">
        <f t="shared" ref="F435:F442" si="39">IFERROR(IF(OR(AND(D435="",C435=""),AND(D435=0,C435=0)),"",
IF(OR(D435="",D435=0),1,
IF(OR(D435&lt;&gt;"",D435&lt;&gt;0),(C435-D435)/ABS(D435)))),-1)</f>
        <v>0.46958885490995583</v>
      </c>
      <c r="G435" s="371">
        <f>SUMIFS(Data!$BE:$BE,Data!$BB:$BB,MarketProfile!A435,Data!BG:BG,"1")</f>
        <v>1455</v>
      </c>
      <c r="H435" s="371"/>
      <c r="I435" s="179">
        <f t="shared" si="38"/>
        <v>1.9725085910652922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7835</v>
      </c>
      <c r="D436" s="371">
        <f>SUMIFS(Data!$AQ:$AQ,Data!$AN:$AN,MarketProfile!A436,Data!$AS:$AS,"1")</f>
        <v>6166</v>
      </c>
      <c r="E436" s="371"/>
      <c r="F436" s="179">
        <f t="shared" si="39"/>
        <v>0.27067791112552708</v>
      </c>
      <c r="G436" s="371">
        <f>SUMIFS(Data!$BE:$BE,Data!$BB:$BB,MarketProfile!A436,Data!BG:BG,"1")</f>
        <v>6955</v>
      </c>
      <c r="H436" s="371"/>
      <c r="I436" s="179">
        <f t="shared" si="38"/>
        <v>0.12652767792954708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14</v>
      </c>
      <c r="D437" s="371">
        <f>SUMIFS(Data!$AQ:$AQ,Data!$AN:$AN,MarketProfile!A437,Data!$AS:$AS,"1")</f>
        <v>14</v>
      </c>
      <c r="E437" s="371"/>
      <c r="F437" s="179">
        <f t="shared" si="39"/>
        <v>0</v>
      </c>
      <c r="G437" s="371">
        <f>SUMIFS(Data!$BE:$BE,Data!$BB:$BB,MarketProfile!A437,Data!BG:BG,"1")</f>
        <v>30</v>
      </c>
      <c r="H437" s="371"/>
      <c r="I437" s="179">
        <f t="shared" si="38"/>
        <v>-0.53333333333333333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4715</v>
      </c>
      <c r="D438" s="371">
        <f>SUMIFS(Data!$AQ:$AQ,Data!$AN:$AN,MarketProfile!A438,Data!$AS:$AS,"1")</f>
        <v>2798</v>
      </c>
      <c r="E438" s="371"/>
      <c r="F438" s="179">
        <f t="shared" si="39"/>
        <v>0.68513223731236594</v>
      </c>
      <c r="G438" s="371">
        <f>SUMIFS(Data!$BE:$BE,Data!$BB:$BB,MarketProfile!A438,Data!BG:BG,"1")</f>
        <v>2109</v>
      </c>
      <c r="H438" s="371"/>
      <c r="I438" s="179">
        <f t="shared" si="38"/>
        <v>1.2356567093409199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15416</v>
      </c>
      <c r="D439" s="371">
        <f>SUMIFS(Data!$AQ:$AQ,Data!$AN:$AN,MarketProfile!A439,Data!$AS:$AS,"1")</f>
        <v>12590</v>
      </c>
      <c r="E439" s="371"/>
      <c r="F439" s="179">
        <f t="shared" si="39"/>
        <v>0.2244638602065131</v>
      </c>
      <c r="G439" s="371">
        <f>SUMIFS(Data!$BE:$BE,Data!$BB:$BB,MarketProfile!A439,Data!BG:BG,"1")</f>
        <v>19131</v>
      </c>
      <c r="H439" s="371"/>
      <c r="I439" s="179">
        <f t="shared" si="38"/>
        <v>-0.19418744446186817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15</v>
      </c>
      <c r="D440" s="371">
        <f>SUMIFS(Data!$AQ:$AQ,Data!$AN:$AN,MarketProfile!A440,Data!$AS:$AS,"1")</f>
        <v>11</v>
      </c>
      <c r="E440" s="371"/>
      <c r="F440" s="179">
        <f t="shared" si="39"/>
        <v>0.36363636363636365</v>
      </c>
      <c r="G440" s="371">
        <f>SUMIFS(Data!$BE:$BE,Data!$BB:$BB,MarketProfile!A440,Data!BG:BG,"1")</f>
        <v>34</v>
      </c>
      <c r="H440" s="371"/>
      <c r="I440" s="179">
        <f t="shared" si="38"/>
        <v>-0.55882352941176472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3</v>
      </c>
      <c r="D441" s="371">
        <f>SUMIFS(Data!$AQ:$AQ,Data!$AN:$AN,MarketProfile!A441,Data!$AS:$AS,"1")</f>
        <v>3</v>
      </c>
      <c r="E441" s="371"/>
      <c r="F441" s="179">
        <f t="shared" si="39"/>
        <v>0</v>
      </c>
      <c r="G441" s="371">
        <f>SUMIFS(Data!$BE:$BE,Data!$BB:$BB,MarketProfile!A441,Data!BG:BG,"1")</f>
        <v>58</v>
      </c>
      <c r="H441" s="371"/>
      <c r="I441" s="179">
        <f t="shared" si="38"/>
        <v>-0.94827586206896552</v>
      </c>
      <c r="J441" s="158"/>
    </row>
    <row r="442" spans="1:10" x14ac:dyDescent="0.2">
      <c r="A442" s="246" t="s">
        <v>187</v>
      </c>
      <c r="B442" s="247"/>
      <c r="C442" s="4">
        <f>SUM(C434:C441)</f>
        <v>33492</v>
      </c>
      <c r="D442" s="372">
        <f>SUM(D434:E441)</f>
        <v>25273</v>
      </c>
      <c r="E442" s="372">
        <f>SUM(E434:E441)</f>
        <v>0</v>
      </c>
      <c r="F442" s="166">
        <f t="shared" si="39"/>
        <v>0.32520872076920032</v>
      </c>
      <c r="G442" s="372">
        <f>SUM(G434:H441)</f>
        <v>30472</v>
      </c>
      <c r="H442" s="372">
        <f>SUM(H434:H441)</f>
        <v>0</v>
      </c>
      <c r="I442" s="166">
        <f>IFERROR(IF(OR(AND(G442="",C442=""),AND(G442=0,C442=0)),"",
IF(OR(G442="",G442=0),1,
IF(OR(G442&lt;&gt;"",G442&lt;&gt;0),(C442-G442)/ABS(G442)))),-1)</f>
        <v>9.9107377264373853E-2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3</v>
      </c>
      <c r="D444" s="371">
        <f>SUMIFS(Data!$AQ:$AQ,Data!$AN:$AN,MarketProfile!A444,Data!$AS:$AS,"0")</f>
        <v>0</v>
      </c>
      <c r="E444" s="371"/>
      <c r="F444" s="179">
        <f t="shared" ref="F444:F452" si="40">IFERROR(IF(OR(AND(D444="",C444=""),AND(D444=0,C444=0)),"",
IF(OR(D444="",D444=0),1,
IF(OR(D444&lt;&gt;"",D444&lt;&gt;0),(C444-D444)/ABS(D444)))),-1)</f>
        <v>1</v>
      </c>
      <c r="G444" s="371">
        <f>SUMIFS(Data!$BE:$BE,Data!$BB:$BB,MarketProfile!A444,Data!BG:BG,"0")</f>
        <v>0</v>
      </c>
      <c r="H444" s="371"/>
      <c r="I444" s="179">
        <f t="shared" ref="I444:I452" si="41">IFERROR(IF(OR(AND(G444="",C444=""),AND(G444=0,C444=0)),"",
IF(OR(G444="",G444=0),1,
IF(OR(G444&lt;&gt;"",G444&lt;&gt;0),(C444-G444)/ABS(G444)))),-1)</f>
        <v>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384</v>
      </c>
      <c r="D445" s="371">
        <f>SUMIFS(Data!$AQ:$AQ,Data!$AN:$AN,MarketProfile!A445,Data!$AS:$AS,"0")</f>
        <v>258</v>
      </c>
      <c r="E445" s="371"/>
      <c r="F445" s="179">
        <f t="shared" si="40"/>
        <v>0.48837209302325579</v>
      </c>
      <c r="G445" s="371">
        <f>SUMIFS(Data!$BE:$BE,Data!$BB:$BB,MarketProfile!A445,Data!BG:BG,"0")</f>
        <v>49</v>
      </c>
      <c r="H445" s="371"/>
      <c r="I445" s="179">
        <f t="shared" si="41"/>
        <v>6.8367346938775508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503</v>
      </c>
      <c r="D446" s="371">
        <f>SUMIFS(Data!$AQ:$AQ,Data!$AN:$AN,MarketProfile!A446,Data!$AS:$AS,"0")</f>
        <v>467</v>
      </c>
      <c r="E446" s="371"/>
      <c r="F446" s="179">
        <f t="shared" si="40"/>
        <v>7.7087794432548179E-2</v>
      </c>
      <c r="G446" s="371">
        <f>SUMIFS(Data!$BE:$BE,Data!$BB:$BB,MarketProfile!A446,Data!BG:BG,"0")</f>
        <v>400</v>
      </c>
      <c r="H446" s="371"/>
      <c r="I446" s="179">
        <f t="shared" si="41"/>
        <v>0.25750000000000001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1">
        <f>SUMIFS(Data!$AQ:$AQ,Data!$AN:$AN,MarketProfile!A447,Data!$AS:$AS,"0")</f>
        <v>0</v>
      </c>
      <c r="E447" s="371"/>
      <c r="F447" s="179" t="str">
        <f t="shared" si="40"/>
        <v/>
      </c>
      <c r="G447" s="371">
        <f>SUMIFS(Data!$BE:$BE,Data!$BB:$BB,MarketProfile!A447,Data!BG:BG,"0")</f>
        <v>0</v>
      </c>
      <c r="H447" s="371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472</v>
      </c>
      <c r="D448" s="371">
        <f>SUMIFS(Data!$AQ:$AQ,Data!$AN:$AN,MarketProfile!A448,Data!$AS:$AS,"0")</f>
        <v>269</v>
      </c>
      <c r="E448" s="371"/>
      <c r="F448" s="179">
        <f t="shared" si="40"/>
        <v>0.75464684014869887</v>
      </c>
      <c r="G448" s="371">
        <f>SUMIFS(Data!$BE:$BE,Data!$BB:$BB,MarketProfile!A448,Data!BG:BG,"0")</f>
        <v>82</v>
      </c>
      <c r="H448" s="371"/>
      <c r="I448" s="179">
        <f t="shared" si="41"/>
        <v>4.7560975609756095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2808</v>
      </c>
      <c r="D449" s="371">
        <f>SUMIFS(Data!$AQ:$AQ,Data!$AN:$AN,MarketProfile!A449,Data!$AS:$AS,"0")</f>
        <v>1776</v>
      </c>
      <c r="E449" s="371"/>
      <c r="F449" s="179">
        <f t="shared" si="40"/>
        <v>0.58108108108108103</v>
      </c>
      <c r="G449" s="371">
        <f>SUMIFS(Data!$BE:$BE,Data!$BB:$BB,MarketProfile!A449,Data!BG:BG,"0")</f>
        <v>2643</v>
      </c>
      <c r="H449" s="371"/>
      <c r="I449" s="179">
        <f t="shared" si="41"/>
        <v>6.2429057888762768E-2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0</v>
      </c>
      <c r="D450" s="371">
        <f>SUMIFS(Data!$AQ:$AQ,Data!$AN:$AN,MarketProfile!A450,Data!$AS:$AS,"0")</f>
        <v>2</v>
      </c>
      <c r="E450" s="371"/>
      <c r="F450" s="179">
        <f t="shared" si="40"/>
        <v>-1</v>
      </c>
      <c r="G450" s="371">
        <f>SUMIFS(Data!$BE:$BE,Data!$BB:$BB,MarketProfile!A450,Data!BG:BG,"0")</f>
        <v>0</v>
      </c>
      <c r="H450" s="371"/>
      <c r="I450" s="179" t="str">
        <f t="shared" si="41"/>
        <v/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1">
        <f>SUMIFS(Data!$AQ:$AQ,Data!$AN:$AN,MarketProfile!A451,Data!$AS:$AS,"0")</f>
        <v>0</v>
      </c>
      <c r="E451" s="371"/>
      <c r="F451" s="179" t="str">
        <f t="shared" si="40"/>
        <v/>
      </c>
      <c r="G451" s="371">
        <f>SUMIFS(Data!$BE:$BE,Data!$BB:$BB,MarketProfile!A451,Data!BG:BG,"0")</f>
        <v>0</v>
      </c>
      <c r="H451" s="371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4170</v>
      </c>
      <c r="D452" s="372">
        <f>SUM(D444:E451)</f>
        <v>2772</v>
      </c>
      <c r="E452" s="372">
        <f>SUM(E444:E451)</f>
        <v>0</v>
      </c>
      <c r="F452" s="166">
        <f t="shared" si="40"/>
        <v>0.50432900432900429</v>
      </c>
      <c r="G452" s="372">
        <f>SUM(G444:H451)</f>
        <v>3174</v>
      </c>
      <c r="H452" s="372">
        <f>SUM(H444:H451)</f>
        <v>0</v>
      </c>
      <c r="I452" s="166">
        <f t="shared" si="41"/>
        <v>0.31379962192816635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21977</v>
      </c>
      <c r="D455" s="371">
        <f>SUMIFS(Data!$AP:$AP,Data!$AN:$AN,MarketProfile!A455,Data!$AS:$AS,"1")</f>
        <v>10163</v>
      </c>
      <c r="E455" s="371"/>
      <c r="F455" s="179">
        <f t="shared" ref="F455:F463" si="42">IFERROR(IF(OR(AND(D455="",C455=""),AND(D455=0,C455=0)),"",
IF(OR(D455="",D455=0),1,
IF(OR(D455&lt;&gt;"",D455&lt;&gt;0),(C455-D455)/ABS(D455)))),-1)</f>
        <v>1.1624520318803504</v>
      </c>
      <c r="G455" s="371">
        <f>SUMIFS(Data!$BD:$BD,Data!$BB:$BB,MarketProfile!A455,Data!BG:BG,"1")</f>
        <v>14245</v>
      </c>
      <c r="H455" s="371"/>
      <c r="I455" s="179">
        <f t="shared" ref="I455:I463" si="43">IFERROR(IF(OR(AND(G455="",C455=""),AND(G455=0,C455=0)),"",
IF(OR(G455="",G455=0),1,
IF(OR(G455&lt;&gt;"",G455&lt;&gt;0),(C455-G455)/ABS(G455)))),-1)</f>
        <v>0.54278694278694284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42572</v>
      </c>
      <c r="D456" s="371">
        <f>SUMIFS(Data!$AP:$AP,Data!$AN:$AN,MarketProfile!A456,Data!$AS:$AS,"1")</f>
        <v>23629</v>
      </c>
      <c r="E456" s="371"/>
      <c r="F456" s="179">
        <f t="shared" si="42"/>
        <v>0.80168437090016509</v>
      </c>
      <c r="G456" s="371">
        <f>SUMIFS(Data!$BD:$BD,Data!$BB:$BB,MarketProfile!A456,Data!BG:BG,"1")</f>
        <v>16765</v>
      </c>
      <c r="H456" s="371"/>
      <c r="I456" s="179">
        <f t="shared" si="43"/>
        <v>1.5393379063525201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60557</v>
      </c>
      <c r="D457" s="371">
        <f>SUMIFS(Data!$AP:$AP,Data!$AN:$AN,MarketProfile!A457,Data!$AS:$AS,"1")</f>
        <v>37435</v>
      </c>
      <c r="E457" s="371"/>
      <c r="F457" s="179">
        <f t="shared" si="42"/>
        <v>0.61765727260585013</v>
      </c>
      <c r="G457" s="371">
        <f>SUMIFS(Data!$BD:$BD,Data!$BB:$BB,MarketProfile!A457,Data!BG:BG,"1")</f>
        <v>41240</v>
      </c>
      <c r="H457" s="371"/>
      <c r="I457" s="179">
        <f t="shared" si="43"/>
        <v>0.46840446168768185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2601</v>
      </c>
      <c r="D458" s="371">
        <f>SUMIFS(Data!$AP:$AP,Data!$AN:$AN,MarketProfile!A458,Data!$AS:$AS,"1")</f>
        <v>94</v>
      </c>
      <c r="E458" s="371"/>
      <c r="F458" s="179">
        <f t="shared" si="42"/>
        <v>26.670212765957448</v>
      </c>
      <c r="G458" s="371">
        <f>SUMIFS(Data!$BD:$BD,Data!$BB:$BB,MarketProfile!A458,Data!BG:BG,"1")</f>
        <v>111</v>
      </c>
      <c r="H458" s="371"/>
      <c r="I458" s="179">
        <f t="shared" si="43"/>
        <v>22.432432432432432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36599</v>
      </c>
      <c r="D459" s="371">
        <f>SUMIFS(Data!$AP:$AP,Data!$AN:$AN,MarketProfile!A459,Data!$AS:$AS,"1")</f>
        <v>25790</v>
      </c>
      <c r="E459" s="371"/>
      <c r="F459" s="179">
        <f t="shared" si="42"/>
        <v>0.41911593640946104</v>
      </c>
      <c r="G459" s="371">
        <f>SUMIFS(Data!$BD:$BD,Data!$BB:$BB,MarketProfile!A459,Data!BG:BG,"1")</f>
        <v>17659</v>
      </c>
      <c r="H459" s="371"/>
      <c r="I459" s="179">
        <f t="shared" si="43"/>
        <v>1.0725409139815392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88003</v>
      </c>
      <c r="D460" s="371">
        <f>SUMIFS(Data!$AP:$AP,Data!$AN:$AN,MarketProfile!A460,Data!$AS:$AS,"1")</f>
        <v>72180</v>
      </c>
      <c r="E460" s="371"/>
      <c r="F460" s="179">
        <f t="shared" si="42"/>
        <v>0.21921584926572457</v>
      </c>
      <c r="G460" s="371">
        <f>SUMIFS(Data!$BD:$BD,Data!$BB:$BB,MarketProfile!A460,Data!BG:BG,"1")</f>
        <v>119773</v>
      </c>
      <c r="H460" s="371"/>
      <c r="I460" s="179">
        <f t="shared" si="43"/>
        <v>-0.26525176792766314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839</v>
      </c>
      <c r="D461" s="371">
        <f>SUMIFS(Data!$AP:$AP,Data!$AN:$AN,MarketProfile!A461,Data!$AS:$AS,"1")</f>
        <v>311</v>
      </c>
      <c r="E461" s="371"/>
      <c r="F461" s="179">
        <f t="shared" si="42"/>
        <v>1.697749196141479</v>
      </c>
      <c r="G461" s="371">
        <f>SUMIFS(Data!$BD:$BD,Data!$BB:$BB,MarketProfile!A461,Data!BG:BG,"1")</f>
        <v>59</v>
      </c>
      <c r="H461" s="371"/>
      <c r="I461" s="179">
        <f t="shared" si="43"/>
        <v>13.220338983050848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10</v>
      </c>
      <c r="D462" s="371">
        <f>SUMIFS(Data!$AP:$AP,Data!$AN:$AN,MarketProfile!A462,Data!$AS:$AS,"1")</f>
        <v>8</v>
      </c>
      <c r="E462" s="371"/>
      <c r="F462" s="179">
        <f t="shared" si="42"/>
        <v>0.25</v>
      </c>
      <c r="G462" s="371">
        <f>SUMIFS(Data!$BD:$BD,Data!$BB:$BB,MarketProfile!A462,Data!BG:BG,"1")</f>
        <v>1980</v>
      </c>
      <c r="H462" s="371"/>
      <c r="I462" s="179">
        <f t="shared" si="43"/>
        <v>-0.99494949494949492</v>
      </c>
    </row>
    <row r="463" spans="1:9" x14ac:dyDescent="0.2">
      <c r="A463" s="246" t="s">
        <v>187</v>
      </c>
      <c r="B463" s="247"/>
      <c r="C463" s="4">
        <f>SUM(C455:C462)</f>
        <v>253158</v>
      </c>
      <c r="D463" s="372">
        <f>SUM(D455:E462)</f>
        <v>169610</v>
      </c>
      <c r="E463" s="372">
        <f>SUM(E455:E462)</f>
        <v>0</v>
      </c>
      <c r="F463" s="166">
        <f t="shared" si="42"/>
        <v>0.49258888037261955</v>
      </c>
      <c r="G463" s="372">
        <f>SUM(G455:H462)</f>
        <v>211832</v>
      </c>
      <c r="H463" s="372">
        <f>SUM(H455:H462)</f>
        <v>0</v>
      </c>
      <c r="I463" s="166">
        <f t="shared" si="43"/>
        <v>0.19508856074625175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220</v>
      </c>
      <c r="D465" s="371">
        <f>SUMIFS(Data!$AP:$AP,Data!$AN:$AN,MarketProfile!A465,Data!$AS:$AS,"0")</f>
        <v>0</v>
      </c>
      <c r="E465" s="371"/>
      <c r="F465" s="179">
        <f t="shared" ref="F465:F473" si="44">IFERROR(IF(OR(AND(D465="",C465=""),AND(D465=0,C465=0)),"",
IF(OR(D465="",D465=0),1,
IF(OR(D465&lt;&gt;"",D465&lt;&gt;0),(C465-D465)/ABS(D465)))),-1)</f>
        <v>1</v>
      </c>
      <c r="G465" s="371">
        <f>SUMIFS(Data!$BD:$BD,Data!$BB:$BB,MarketProfile!A465,Data!BG:BG,"0")</f>
        <v>0</v>
      </c>
      <c r="H465" s="371"/>
      <c r="I465" s="179">
        <f t="shared" ref="I465:I473" si="45">IFERROR(IF(OR(AND(G465="",C465=""),AND(G465=0,C465=0)),"",
IF(OR(G465="",G465=0),1,
IF(OR(G465&lt;&gt;"",G465&lt;&gt;0),(C465-G465)/ABS(G465)))),-1)</f>
        <v>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5295</v>
      </c>
      <c r="D466" s="371">
        <f>SUMIFS(Data!$AP:$AP,Data!$AN:$AN,MarketProfile!A466,Data!$AS:$AS,"0")</f>
        <v>3830</v>
      </c>
      <c r="E466" s="371"/>
      <c r="F466" s="179">
        <f t="shared" si="44"/>
        <v>0.38250652741514363</v>
      </c>
      <c r="G466" s="371">
        <f>SUMIFS(Data!$BD:$BD,Data!$BB:$BB,MarketProfile!A466,Data!BG:BG,"0")</f>
        <v>1859</v>
      </c>
      <c r="H466" s="371"/>
      <c r="I466" s="179">
        <f t="shared" si="45"/>
        <v>1.8483055406132329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4063</v>
      </c>
      <c r="D467" s="371">
        <f>SUMIFS(Data!$AP:$AP,Data!$AN:$AN,MarketProfile!A467,Data!$AS:$AS,"0")</f>
        <v>4523</v>
      </c>
      <c r="E467" s="371"/>
      <c r="F467" s="179">
        <f t="shared" si="44"/>
        <v>-0.10170240990493036</v>
      </c>
      <c r="G467" s="371">
        <f>SUMIFS(Data!$BD:$BD,Data!$BB:$BB,MarketProfile!A467,Data!BG:BG,"0")</f>
        <v>3280</v>
      </c>
      <c r="H467" s="371"/>
      <c r="I467" s="179">
        <f t="shared" si="45"/>
        <v>0.23871951219512194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1">
        <f>SUMIFS(Data!$AP:$AP,Data!$AN:$AN,MarketProfile!A468,Data!$AS:$AS,"0")</f>
        <v>0</v>
      </c>
      <c r="E468" s="371"/>
      <c r="F468" s="179" t="str">
        <f t="shared" si="44"/>
        <v/>
      </c>
      <c r="G468" s="371">
        <f>SUMIFS(Data!$BD:$BD,Data!$BB:$BB,MarketProfile!A468,Data!BG:BG,"0")</f>
        <v>0</v>
      </c>
      <c r="H468" s="371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5074</v>
      </c>
      <c r="D469" s="371">
        <f>SUMIFS(Data!$AP:$AP,Data!$AN:$AN,MarketProfile!A469,Data!$AS:$AS,"0")</f>
        <v>3841</v>
      </c>
      <c r="E469" s="371"/>
      <c r="F469" s="179">
        <f t="shared" si="44"/>
        <v>0.32101015360583179</v>
      </c>
      <c r="G469" s="371">
        <f>SUMIFS(Data!$BD:$BD,Data!$BB:$BB,MarketProfile!A469,Data!BG:BG,"0")</f>
        <v>2531</v>
      </c>
      <c r="H469" s="371"/>
      <c r="I469" s="179">
        <f t="shared" si="45"/>
        <v>1.0047412090082972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16157</v>
      </c>
      <c r="D470" s="371">
        <f>SUMIFS(Data!$AP:$AP,Data!$AN:$AN,MarketProfile!A470,Data!$AS:$AS,"0")</f>
        <v>13472</v>
      </c>
      <c r="E470" s="371"/>
      <c r="F470" s="179">
        <f t="shared" si="44"/>
        <v>0.19930225653206651</v>
      </c>
      <c r="G470" s="371">
        <f>SUMIFS(Data!$BD:$BD,Data!$BB:$BB,MarketProfile!A470,Data!BG:BG,"0")</f>
        <v>20837</v>
      </c>
      <c r="H470" s="371"/>
      <c r="I470" s="179">
        <f t="shared" si="45"/>
        <v>-0.22460047031722416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0</v>
      </c>
      <c r="D471" s="371">
        <f>SUMIFS(Data!$AP:$AP,Data!$AN:$AN,MarketProfile!A471,Data!$AS:$AS,"0")</f>
        <v>20</v>
      </c>
      <c r="E471" s="371"/>
      <c r="F471" s="179">
        <f t="shared" si="44"/>
        <v>-1</v>
      </c>
      <c r="G471" s="371">
        <f>SUMIFS(Data!$BD:$BD,Data!$BB:$BB,MarketProfile!A471,Data!BG:BG,"0")</f>
        <v>0</v>
      </c>
      <c r="H471" s="371"/>
      <c r="I471" s="179" t="str">
        <f t="shared" si="45"/>
        <v/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1">
        <f>SUMIFS(Data!$AP:$AP,Data!$AN:$AN,MarketProfile!A472,Data!$AS:$AS,"0")</f>
        <v>0</v>
      </c>
      <c r="E472" s="371"/>
      <c r="F472" s="179" t="str">
        <f t="shared" si="44"/>
        <v/>
      </c>
      <c r="G472" s="371">
        <f>SUMIFS(Data!$BD:$BD,Data!$BB:$BB,MarketProfile!A472,Data!BG:BG,"0")</f>
        <v>0</v>
      </c>
      <c r="H472" s="371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30809</v>
      </c>
      <c r="D473" s="372">
        <f>SUM(D465:E472)</f>
        <v>25686</v>
      </c>
      <c r="E473" s="372">
        <v>34213</v>
      </c>
      <c r="F473" s="166">
        <f t="shared" si="44"/>
        <v>0.19944716966440862</v>
      </c>
      <c r="G473" s="372">
        <f>SUM(G465:H472)</f>
        <v>28507</v>
      </c>
      <c r="H473" s="372">
        <f>SUM(H465:H472)</f>
        <v>0</v>
      </c>
      <c r="I473" s="166">
        <f t="shared" si="45"/>
        <v>8.0752095976426838E-2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4498448.3325100001</v>
      </c>
      <c r="D476" s="371">
        <f>SUMIFS(Data!$AO:$AO,Data!$AN:$AN,MarketProfile!A476,Data!$AS:$AS,"1")/1000</f>
        <v>2094453.1784699999</v>
      </c>
      <c r="E476" s="371"/>
      <c r="F476" s="179">
        <f t="shared" ref="F476:F484" si="46">IFERROR(IF(OR(AND(D476="",C476=""),AND(D476=0,C476=0)),"",
IF(OR(D476="",D476=0),1,
IF(OR(D476&lt;&gt;"",D476&lt;&gt;0),(C476-D476)/ABS(D476)))),-1)</f>
        <v>1.1477913083720119</v>
      </c>
      <c r="G476" s="371">
        <f>SUMIFS(Data!$BC:$BC,Data!$BB:$BB,MarketProfile!A476,Data!BG:BG,"1")/1000</f>
        <v>2817618.4502600003</v>
      </c>
      <c r="H476" s="371"/>
      <c r="I476" s="179">
        <f t="shared" ref="I476:I484" si="47">IFERROR(IF(OR(AND(G476="",C476=""),AND(G476=0,C476=0)),"",
IF(OR(G476="",G476=0),1,
IF(OR(G476&lt;&gt;"",G476&lt;&gt;0),(C476-G476)/ABS(G476)))),-1)</f>
        <v>0.59654275833369086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10841293.826555001</v>
      </c>
      <c r="D477" s="371">
        <f>SUMIFS(Data!$AO:$AO,Data!$AN:$AN,MarketProfile!A477,Data!$AS:$AS,"1")/1000</f>
        <v>5756310.8380800001</v>
      </c>
      <c r="E477" s="371"/>
      <c r="F477" s="179">
        <f t="shared" si="46"/>
        <v>0.88337533040017013</v>
      </c>
      <c r="G477" s="371">
        <f>SUMIFS(Data!$BC:$BC,Data!$BB:$BB,MarketProfile!A477,Data!BG:BG,"1")/1000</f>
        <v>5397546.3407200007</v>
      </c>
      <c r="H477" s="371"/>
      <c r="I477" s="179">
        <f t="shared" si="47"/>
        <v>1.0085596569623589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12959789.263739999</v>
      </c>
      <c r="D478" s="371">
        <f>SUMIFS(Data!$AO:$AO,Data!$AN:$AN,MarketProfile!A478,Data!$AS:$AS,"1")/1000</f>
        <v>7759898.0208000001</v>
      </c>
      <c r="E478" s="371"/>
      <c r="F478" s="179">
        <f t="shared" si="46"/>
        <v>0.67009788388996394</v>
      </c>
      <c r="G478" s="371">
        <f>SUMIFS(Data!$BC:$BC,Data!$BB:$BB,MarketProfile!A478,Data!BG:BG,"1")/1000</f>
        <v>12764114.0023</v>
      </c>
      <c r="H478" s="371"/>
      <c r="I478" s="179">
        <f t="shared" si="47"/>
        <v>1.5330109195572863E-2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486454.09885000001</v>
      </c>
      <c r="D479" s="371">
        <f>SUMIFS(Data!$AO:$AO,Data!$AN:$AN,MarketProfile!A479,Data!$AS:$AS,"1")/1000</f>
        <v>16739.54</v>
      </c>
      <c r="E479" s="371"/>
      <c r="F479" s="179">
        <f t="shared" si="46"/>
        <v>28.060183186037371</v>
      </c>
      <c r="G479" s="371">
        <f>SUMIFS(Data!$BC:$BC,Data!$BB:$BB,MarketProfile!A479,Data!BG:BG,"1")/1000</f>
        <v>19389.469998</v>
      </c>
      <c r="H479" s="371"/>
      <c r="I479" s="179">
        <f t="shared" si="47"/>
        <v>24.088571214178476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8615622.9797200002</v>
      </c>
      <c r="D480" s="371">
        <f>SUMIFS(Data!$AO:$AO,Data!$AN:$AN,MarketProfile!A480,Data!$AS:$AS,"1")/1000</f>
        <v>5960042.647655</v>
      </c>
      <c r="E480" s="371"/>
      <c r="F480" s="179">
        <f t="shared" si="46"/>
        <v>0.4455639815110799</v>
      </c>
      <c r="G480" s="371">
        <f>SUMIFS(Data!$BC:$BC,Data!$BB:$BB,MarketProfile!A480,Data!BG:BG,"1")/1000</f>
        <v>5295150.4814300006</v>
      </c>
      <c r="H480" s="371"/>
      <c r="I480" s="179">
        <f t="shared" si="47"/>
        <v>0.62707802354906406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18011591.897630002</v>
      </c>
      <c r="D481" s="371">
        <f>SUMIFS(Data!$AO:$AO,Data!$AN:$AN,MarketProfile!A481,Data!$AS:$AS,"1")/1000</f>
        <v>14169646.51032</v>
      </c>
      <c r="E481" s="371"/>
      <c r="F481" s="179">
        <f t="shared" si="46"/>
        <v>0.27113911306904137</v>
      </c>
      <c r="G481" s="371">
        <f>SUMIFS(Data!$BC:$BC,Data!$BB:$BB,MarketProfile!A481,Data!BG:BG,"1")/1000</f>
        <v>42846082.980659977</v>
      </c>
      <c r="H481" s="371"/>
      <c r="I481" s="179">
        <f t="shared" si="47"/>
        <v>-0.57962103780268215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114255.870316</v>
      </c>
      <c r="D482" s="371">
        <f>SUMIFS(Data!$AO:$AO,Data!$AN:$AN,MarketProfile!A482,Data!$AS:$AS,"1")/1000</f>
        <v>40253.525099999999</v>
      </c>
      <c r="E482" s="371"/>
      <c r="F482" s="179">
        <f t="shared" si="46"/>
        <v>1.8384065751299878</v>
      </c>
      <c r="G482" s="371">
        <f>SUMIFS(Data!$BC:$BC,Data!$BB:$BB,MarketProfile!A482,Data!BG:BG,"1")/1000</f>
        <v>7982.1600039999994</v>
      </c>
      <c r="H482" s="371"/>
      <c r="I482" s="179">
        <f t="shared" si="47"/>
        <v>13.313903787789821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827.9</v>
      </c>
      <c r="D483" s="371">
        <f>SUMIFS(Data!$AO:$AO,Data!$AN:$AN,MarketProfile!A483,Data!$AS:$AS,"1")/1000</f>
        <v>573</v>
      </c>
      <c r="E483" s="371"/>
      <c r="F483" s="179">
        <f t="shared" si="46"/>
        <v>0.44485165794066311</v>
      </c>
      <c r="G483" s="371">
        <f>SUMIFS(Data!$BC:$BC,Data!$BB:$BB,MarketProfile!A483,Data!BG:BG,"1")/1000</f>
        <v>142008.09219999998</v>
      </c>
      <c r="H483" s="371"/>
      <c r="I483" s="179">
        <f t="shared" si="47"/>
        <v>-0.9941700505430775</v>
      </c>
    </row>
    <row r="484" spans="1:9" x14ac:dyDescent="0.2">
      <c r="A484" s="246" t="s">
        <v>187</v>
      </c>
      <c r="B484" s="247"/>
      <c r="C484" s="4">
        <f>SUM(C476:C483)</f>
        <v>55528284.169321008</v>
      </c>
      <c r="D484" s="372">
        <f>SUM(D476:E483)</f>
        <v>35797917.260424994</v>
      </c>
      <c r="E484" s="372">
        <f>SUM(E476:E483)</f>
        <v>0</v>
      </c>
      <c r="F484" s="166">
        <f t="shared" si="46"/>
        <v>0.55115963214731933</v>
      </c>
      <c r="G484" s="372">
        <f>SUM(G476:H483)</f>
        <v>69289891.977571979</v>
      </c>
      <c r="H484" s="372">
        <f>SUM(H476:H483)</f>
        <v>0</v>
      </c>
      <c r="I484" s="166">
        <f t="shared" si="47"/>
        <v>-0.19860916816994578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1515.0813999999998</v>
      </c>
      <c r="D486" s="371">
        <f>SUMIFS(Data!$AO:$AO,Data!$AN:$AN,MarketProfile!A486,Data!$AS:$AS,"0")/1000</f>
        <v>0</v>
      </c>
      <c r="E486" s="371"/>
      <c r="F486" s="179">
        <f t="shared" ref="F486:F494" si="48">IFERROR(IF(OR(AND(D486="",C486=""),AND(D486=0,C486=0)),"",
IF(OR(D486="",D486=0),1,
IF(OR(D486&lt;&gt;"",D486&lt;&gt;0),(C486-D486)/ABS(D486)))),-1)</f>
        <v>1</v>
      </c>
      <c r="G486" s="371">
        <f>SUMIFS(Data!$BC:$BC,Data!$BB:$BB,MarketProfile!A486,Data!BG:BG,"0")/1000</f>
        <v>0</v>
      </c>
      <c r="H486" s="371"/>
      <c r="I486" s="179">
        <f t="shared" ref="I486:I494" si="49">IFERROR(IF(OR(AND(G486="",C486=""),AND(G486=0,C486=0)),"",
IF(OR(G486="",G486=0),1,
IF(OR(G486&lt;&gt;"",G486&lt;&gt;0),(C486-G486)/ABS(G486)))),-1)</f>
        <v>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43938.200680000002</v>
      </c>
      <c r="D487" s="371">
        <f>SUMIFS(Data!$AO:$AO,Data!$AN:$AN,MarketProfile!A487,Data!$AS:$AS,"0")/1000</f>
        <v>48885.299759999994</v>
      </c>
      <c r="E487" s="371"/>
      <c r="F487" s="179">
        <f t="shared" si="48"/>
        <v>-0.10119809235675215</v>
      </c>
      <c r="G487" s="371">
        <f>SUMIFS(Data!$BC:$BC,Data!$BB:$BB,MarketProfile!A487,Data!BG:BG,"0")/1000</f>
        <v>19173.865699999998</v>
      </c>
      <c r="H487" s="371"/>
      <c r="I487" s="179">
        <f t="shared" si="49"/>
        <v>1.2915671449602364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44840.94382</v>
      </c>
      <c r="D488" s="371">
        <f>SUMIFS(Data!$AO:$AO,Data!$AN:$AN,MarketProfile!A488,Data!$AS:$AS,"0")/1000</f>
        <v>42128.549650000001</v>
      </c>
      <c r="E488" s="371"/>
      <c r="F488" s="179">
        <f t="shared" si="48"/>
        <v>6.4383753832835774E-2</v>
      </c>
      <c r="G488" s="371">
        <f>SUMIFS(Data!$BC:$BC,Data!$BB:$BB,MarketProfile!A488,Data!BG:BG,"0")/1000</f>
        <v>34787.330780000004</v>
      </c>
      <c r="H488" s="371"/>
      <c r="I488" s="179">
        <f t="shared" si="49"/>
        <v>0.28900213999114982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1">
        <f>SUMIFS(Data!$AO:$AO,Data!$AN:$AN,MarketProfile!A489,Data!$AS:$AS,"0")/1000</f>
        <v>0</v>
      </c>
      <c r="E489" s="371"/>
      <c r="F489" s="179" t="str">
        <f t="shared" si="48"/>
        <v/>
      </c>
      <c r="G489" s="371">
        <f>SUMIFS(Data!$BC:$BC,Data!$BB:$BB,MarketProfile!A489,Data!BG:BG,"0")/1000</f>
        <v>0</v>
      </c>
      <c r="H489" s="371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45697.863600000004</v>
      </c>
      <c r="D490" s="371">
        <f>SUMIFS(Data!$AO:$AO,Data!$AN:$AN,MarketProfile!A490,Data!$AS:$AS,"0")/1000</f>
        <v>28584.925139999999</v>
      </c>
      <c r="E490" s="371"/>
      <c r="F490" s="179">
        <f t="shared" si="48"/>
        <v>0.5986700464033472</v>
      </c>
      <c r="G490" s="371">
        <f>SUMIFS(Data!$BC:$BC,Data!$BB:$BB,MarketProfile!A490,Data!BG:BG,"0")/1000</f>
        <v>37625.306700000001</v>
      </c>
      <c r="H490" s="371"/>
      <c r="I490" s="179">
        <f t="shared" si="49"/>
        <v>0.21455125839545655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170416.28653000001</v>
      </c>
      <c r="D491" s="371">
        <f>SUMIFS(Data!$AO:$AO,Data!$AN:$AN,MarketProfile!A491,Data!$AS:$AS,"0")/1000</f>
        <v>130398.43017000001</v>
      </c>
      <c r="E491" s="371"/>
      <c r="F491" s="179">
        <f>IFERROR(IF(OR(AND(D491="",C491=""),AND(D491=0,C491=0)),"",
IF(OR(D491="",D491=0),1,
IF(OR(D491&lt;&gt;"",D491&lt;&gt;0),(C491-D491)/ABS(D491)))),-1)</f>
        <v>0.30688909604071812</v>
      </c>
      <c r="G491" s="371">
        <f>SUMIFS(Data!$BC:$BC,Data!$BB:$BB,MarketProfile!A491,Data!BG:BG,"0")/1000</f>
        <v>661996.79708000005</v>
      </c>
      <c r="H491" s="371"/>
      <c r="I491" s="179">
        <f t="shared" si="49"/>
        <v>-0.74257233980332116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0</v>
      </c>
      <c r="D492" s="371">
        <f>SUMIFS(Data!$AO:$AO,Data!$AN:$AN,MarketProfile!A492,Data!$AS:$AS,"0")/1000</f>
        <v>31.760200000000001</v>
      </c>
      <c r="E492" s="371"/>
      <c r="F492" s="179">
        <f t="shared" si="48"/>
        <v>-1</v>
      </c>
      <c r="G492" s="371">
        <f>SUMIFS(Data!$BC:$BC,Data!$BB:$BB,MarketProfile!A492,Data!BG:BG,"0")/1000</f>
        <v>0</v>
      </c>
      <c r="H492" s="371"/>
      <c r="I492" s="179" t="str">
        <f t="shared" si="49"/>
        <v/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1">
        <f>SUMIFS(Data!$AO:$AO,Data!$AN:$AN,MarketProfile!A493,Data!$AS:$AS,"0")/1000</f>
        <v>0</v>
      </c>
      <c r="E493" s="371"/>
      <c r="F493" s="179" t="str">
        <f t="shared" si="48"/>
        <v/>
      </c>
      <c r="G493" s="371">
        <f>SUMIFS(Data!$BC:$BC,Data!$BB:$BB,MarketProfile!A493,Data!BG:BG,"0")/1000</f>
        <v>0</v>
      </c>
      <c r="H493" s="371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306408.37603000004</v>
      </c>
      <c r="D494" s="372">
        <f>SUM(D486:E493)</f>
        <v>250028.96492</v>
      </c>
      <c r="E494" s="372">
        <f>SUM(E486:E493)</f>
        <v>0</v>
      </c>
      <c r="F494" s="166">
        <f t="shared" si="48"/>
        <v>0.22549151906475862</v>
      </c>
      <c r="G494" s="372">
        <f>SUM(G486:H493)</f>
        <v>753583.30026000005</v>
      </c>
      <c r="H494" s="372">
        <f>SUM(H486:H493)</f>
        <v>0</v>
      </c>
      <c r="I494" s="166">
        <f t="shared" si="49"/>
        <v>-0.59339813405593844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18999</v>
      </c>
      <c r="D497" s="371">
        <f>SUMIFS(Data!$AY:$AY,Data!$AU:$AU,MarketProfile!A497,Data!$AZ:$AZ,"1")</f>
        <v>20228</v>
      </c>
      <c r="E497" s="371"/>
      <c r="F497" s="179">
        <f t="shared" ref="F497:F512" si="50">IFERROR(IF(OR(AND(D497="",C497=""),AND(D497=0,C497=0)),"",
IF(OR(D497="",D497=0),1,
IF(OR(D497&lt;&gt;"",D497&lt;&gt;0),(C497-D497)/ABS(D497)))),-1)</f>
        <v>-6.0757366027288907E-2</v>
      </c>
      <c r="G497" s="371">
        <f>SUMIFS(Data!$BL:$BL,Data!$BH:$BH,MarketProfile!A497,Data!$BM:$BM,"1")</f>
        <v>4217</v>
      </c>
      <c r="H497" s="371"/>
      <c r="I497" s="179">
        <f t="shared" ref="I497:I504" si="51">IFERROR(IF(OR(AND(G497="",C497=""),AND(G497=0,C497=0)),"",
IF(OR(G497="",G497=0),1,
IF(OR(G497&lt;&gt;"",G497&lt;&gt;0),(C497-G497)/ABS(G497)))),-1)</f>
        <v>3.5053355465971068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15832</v>
      </c>
      <c r="D498" s="371">
        <f>SUMIFS(Data!$AY:$AY,Data!$AU:$AU,MarketProfile!A498,Data!$AZ:$AZ,"1")</f>
        <v>18296</v>
      </c>
      <c r="E498" s="371"/>
      <c r="F498" s="179">
        <f t="shared" si="50"/>
        <v>-0.13467424573677306</v>
      </c>
      <c r="G498" s="371">
        <f>SUMIFS(Data!$BL:$BL,Data!$BH:$BH,MarketProfile!A498,Data!$BM:$BM,"1")</f>
        <v>4967</v>
      </c>
      <c r="H498" s="371"/>
      <c r="I498" s="179">
        <f t="shared" si="51"/>
        <v>2.187437084759412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24211</v>
      </c>
      <c r="D499" s="371">
        <f>SUMIFS(Data!$AY:$AY,Data!$AU:$AU,MarketProfile!A499,Data!$AZ:$AZ,"1")</f>
        <v>27368</v>
      </c>
      <c r="E499" s="371"/>
      <c r="F499" s="179">
        <f t="shared" si="50"/>
        <v>-0.11535369774919614</v>
      </c>
      <c r="G499" s="371">
        <f>SUMIFS(Data!$BL:$BL,Data!$BH:$BH,MarketProfile!A499,Data!$BM:$BM,"1")</f>
        <v>14267</v>
      </c>
      <c r="H499" s="371"/>
      <c r="I499" s="179">
        <f t="shared" si="51"/>
        <v>0.69699306090979185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1287</v>
      </c>
      <c r="D500" s="371">
        <f>SUMIFS(Data!$AY:$AY,Data!$AU:$AU,MarketProfile!A500,Data!$AZ:$AZ,"1")</f>
        <v>1308</v>
      </c>
      <c r="E500" s="371"/>
      <c r="F500" s="179">
        <f t="shared" si="50"/>
        <v>-1.6055045871559634E-2</v>
      </c>
      <c r="G500" s="371">
        <f>SUMIFS(Data!$BL:$BL,Data!$BH:$BH,MarketProfile!A500,Data!$BM:$BM,"1")</f>
        <v>28</v>
      </c>
      <c r="H500" s="371"/>
      <c r="I500" s="179">
        <f t="shared" si="51"/>
        <v>44.964285714285715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8991</v>
      </c>
      <c r="D501" s="371">
        <f>SUMIFS(Data!$AY:$AY,Data!$AU:$AU,MarketProfile!A501,Data!$AZ:$AZ,"1")</f>
        <v>11271</v>
      </c>
      <c r="E501" s="371"/>
      <c r="F501" s="179">
        <f t="shared" si="50"/>
        <v>-0.20228906042054831</v>
      </c>
      <c r="G501" s="371">
        <f>SUMIFS(Data!$BL:$BL,Data!$BH:$BH,MarketProfile!A501,Data!$BM:$BM,"1")</f>
        <v>4674</v>
      </c>
      <c r="H501" s="371"/>
      <c r="I501" s="179">
        <f t="shared" si="51"/>
        <v>0.92362002567394097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39399</v>
      </c>
      <c r="D502" s="371">
        <f>SUMIFS(Data!$AY:$AY,Data!$AU:$AU,MarketProfile!A502,Data!$AZ:$AZ,"1")</f>
        <v>41197</v>
      </c>
      <c r="E502" s="371"/>
      <c r="F502" s="179">
        <f t="shared" si="50"/>
        <v>-4.364395465689249E-2</v>
      </c>
      <c r="G502" s="371">
        <f>SUMIFS(Data!$BL:$BL,Data!$BH:$BH,MarketProfile!A502,Data!$BM:$BM,"1")</f>
        <v>17951</v>
      </c>
      <c r="H502" s="371"/>
      <c r="I502" s="179">
        <f t="shared" si="51"/>
        <v>1.1948080886858672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523</v>
      </c>
      <c r="D503" s="371">
        <f>SUMIFS(Data!$AY:$AY,Data!$AU:$AU,MarketProfile!A503,Data!$AZ:$AZ,"1")</f>
        <v>368</v>
      </c>
      <c r="E503" s="371"/>
      <c r="F503" s="179">
        <f t="shared" si="50"/>
        <v>0.42119565217391303</v>
      </c>
      <c r="G503" s="371">
        <f>SUMIFS(Data!$BL:$BL,Data!$BH:$BH,MarketProfile!A503,Data!$BM:$BM,"1")</f>
        <v>34</v>
      </c>
      <c r="H503" s="371"/>
      <c r="I503" s="179">
        <f t="shared" si="51"/>
        <v>14.382352941176471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6</v>
      </c>
      <c r="D504" s="371">
        <f>SUMIFS(Data!$AY:$AY,Data!$AU:$AU,MarketProfile!A504,Data!$AZ:$AZ,"1")</f>
        <v>4</v>
      </c>
      <c r="E504" s="371"/>
      <c r="F504" s="179">
        <f t="shared" si="50"/>
        <v>0.5</v>
      </c>
      <c r="G504" s="371">
        <f>SUMIFS(Data!$BL:$BL,Data!$BH:$BH,MarketProfile!A504,Data!$BM:$BM,"1")</f>
        <v>823</v>
      </c>
      <c r="H504" s="371"/>
      <c r="I504" s="179">
        <f t="shared" si="51"/>
        <v>-0.99270959902794653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220</v>
      </c>
      <c r="D506" s="371">
        <f>SUMIFS(Data!$AY:$AY,Data!$AU:$AU,MarketProfile!A506,Data!$AZ:$AZ,"0")</f>
        <v>0</v>
      </c>
      <c r="E506" s="371"/>
      <c r="F506" s="179">
        <f t="shared" si="50"/>
        <v>1</v>
      </c>
      <c r="G506" s="371">
        <f>SUMIFS(Data!$BL:$BL,Data!$BH:$BH,MarketProfile!A506,Data!$BM:$BM,"0")</f>
        <v>0</v>
      </c>
      <c r="H506" s="371"/>
      <c r="I506" s="179">
        <f t="shared" ref="I506:I513" si="52">IFERROR(IF(OR(AND(G506="",C506=""),AND(G506=0,C506=0)),"",
IF(OR(G506="",G506=0),1,
IF(OR(G506&lt;&gt;"",G506&lt;&gt;0),(C506-G506)/ABS(G506)))),-1)</f>
        <v>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3247</v>
      </c>
      <c r="D507" s="371">
        <f>SUMIFS(Data!$AY:$AY,Data!$AU:$AU,MarketProfile!A507,Data!$AZ:$AZ,"0")</f>
        <v>5047</v>
      </c>
      <c r="E507" s="371"/>
      <c r="F507" s="179">
        <f t="shared" si="50"/>
        <v>-0.35664751337428174</v>
      </c>
      <c r="G507" s="371">
        <f>SUMIFS(Data!$BL:$BL,Data!$BH:$BH,MarketProfile!A507,Data!$BM:$BM,"0")</f>
        <v>1433</v>
      </c>
      <c r="H507" s="371"/>
      <c r="I507" s="179">
        <f t="shared" si="52"/>
        <v>1.2658757850662945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8810</v>
      </c>
      <c r="D508" s="371">
        <f>SUMIFS(Data!$AY:$AY,Data!$AU:$AU,MarketProfile!A508,Data!$AZ:$AZ,"0")</f>
        <v>10871</v>
      </c>
      <c r="E508" s="371"/>
      <c r="F508" s="179">
        <f t="shared" si="50"/>
        <v>-0.18958697451936343</v>
      </c>
      <c r="G508" s="371">
        <f>SUMIFS(Data!$BL:$BL,Data!$BH:$BH,MarketProfile!A508,Data!$BM:$BM,"0")</f>
        <v>5863</v>
      </c>
      <c r="H508" s="371"/>
      <c r="I508" s="179">
        <f t="shared" si="52"/>
        <v>0.50264369776564899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1">
        <f>SUMIFS(Data!$AY:$AY,Data!$AU:$AU,MarketProfile!A509,Data!$AZ:$AZ,"0")</f>
        <v>0</v>
      </c>
      <c r="E509" s="371"/>
      <c r="F509" s="179" t="str">
        <f t="shared" si="50"/>
        <v/>
      </c>
      <c r="G509" s="371">
        <f>SUMIFS(Data!$BL:$BL,Data!$BH:$BH,MarketProfile!A509,Data!$BM:$BM,"0")</f>
        <v>0</v>
      </c>
      <c r="H509" s="371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3501</v>
      </c>
      <c r="D510" s="371">
        <f>SUMIFS(Data!$AY:$AY,Data!$AU:$AU,MarketProfile!A510,Data!$AZ:$AZ,"0")</f>
        <v>4855</v>
      </c>
      <c r="E510" s="371"/>
      <c r="F510" s="179">
        <f t="shared" si="50"/>
        <v>-0.27888774459320287</v>
      </c>
      <c r="G510" s="371">
        <f>SUMIFS(Data!$BL:$BL,Data!$BH:$BH,MarketProfile!A510,Data!$BM:$BM,"0")</f>
        <v>1437</v>
      </c>
      <c r="H510" s="371"/>
      <c r="I510" s="179">
        <f t="shared" si="52"/>
        <v>1.4363256784968685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31053</v>
      </c>
      <c r="D511" s="371">
        <f>SUMIFS(Data!$AY:$AY,Data!$AU:$AU,MarketProfile!A511,Data!$AZ:$AZ,"0")</f>
        <v>37354</v>
      </c>
      <c r="E511" s="371"/>
      <c r="F511" s="179">
        <f t="shared" si="50"/>
        <v>-0.16868340739947529</v>
      </c>
      <c r="G511" s="371">
        <f>SUMIFS(Data!$BL:$BL,Data!$BH:$BH,MarketProfile!A511,Data!$BM:$BM,"0")</f>
        <v>21163</v>
      </c>
      <c r="H511" s="371"/>
      <c r="I511" s="179">
        <f t="shared" si="52"/>
        <v>0.46732504843358691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60</v>
      </c>
      <c r="D512" s="371">
        <f>SUMIFS(Data!$AY:$AY,Data!$AU:$AU,MarketProfile!A512,Data!$AZ:$AZ,"0")</f>
        <v>60</v>
      </c>
      <c r="E512" s="371"/>
      <c r="F512" s="179">
        <f t="shared" si="50"/>
        <v>0</v>
      </c>
      <c r="G512" s="371">
        <f>SUMIFS(Data!$BL:$BL,Data!$BH:$BH,MarketProfile!A512,Data!$BM:$BM,"0")</f>
        <v>40</v>
      </c>
      <c r="H512" s="371"/>
      <c r="I512" s="179">
        <f t="shared" si="52"/>
        <v>0.5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1">
        <f>SUMIFS(Data!$AY:$AY,Data!$AU:$AU,MarketProfile!A513,Data!$AZ:$AZ,"0")</f>
        <v>0</v>
      </c>
      <c r="E513" s="371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1">
        <f>SUMIFS(Data!$BL:$BL,Data!$BH:$BH,MarketProfile!A513,Data!$BM:$BM,"0")</f>
        <v>0</v>
      </c>
      <c r="H513" s="371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6" max="16383" man="1"/>
    <brk id="169" max="16383" man="1"/>
    <brk id="254" max="16383" man="1"/>
    <brk id="339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BU1" zoomScaleNormal="100" workbookViewId="0">
      <selection activeCell="DL14" sqref="DL14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536</v>
      </c>
      <c r="C1" s="188" t="s">
        <v>537</v>
      </c>
      <c r="D1" s="188" t="s">
        <v>538</v>
      </c>
      <c r="E1" s="153" t="s">
        <v>217</v>
      </c>
      <c r="F1" s="211" t="s">
        <v>538</v>
      </c>
      <c r="G1" s="211" t="s">
        <v>536</v>
      </c>
      <c r="H1" s="211" t="s">
        <v>537</v>
      </c>
      <c r="I1" s="153" t="s">
        <v>218</v>
      </c>
      <c r="J1" s="153" t="s">
        <v>220</v>
      </c>
      <c r="K1" s="235" t="s">
        <v>539</v>
      </c>
      <c r="L1" s="235" t="s">
        <v>540</v>
      </c>
      <c r="M1" s="237" t="s">
        <v>537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563</v>
      </c>
      <c r="T1" s="257" t="s">
        <v>564</v>
      </c>
      <c r="U1" s="257" t="s">
        <v>565</v>
      </c>
      <c r="V1" s="257" t="s">
        <v>566</v>
      </c>
      <c r="W1" s="257" t="s">
        <v>567</v>
      </c>
      <c r="X1" s="257" t="s">
        <v>568</v>
      </c>
      <c r="Y1" s="252" t="s">
        <v>458</v>
      </c>
      <c r="Z1" s="254" t="s">
        <v>521</v>
      </c>
      <c r="AA1" s="254" t="s">
        <v>564</v>
      </c>
      <c r="AB1" s="254" t="s">
        <v>565</v>
      </c>
      <c r="AC1" s="254" t="s">
        <v>566</v>
      </c>
      <c r="AD1" s="254" t="s">
        <v>567</v>
      </c>
      <c r="AE1" s="254" t="s">
        <v>568</v>
      </c>
      <c r="AF1" s="252" t="s">
        <v>466</v>
      </c>
      <c r="AG1" s="254" t="s">
        <v>521</v>
      </c>
      <c r="AH1" s="254" t="s">
        <v>564</v>
      </c>
      <c r="AI1" s="254" t="s">
        <v>565</v>
      </c>
      <c r="AJ1" s="254" t="s">
        <v>566</v>
      </c>
      <c r="AK1" s="254" t="s">
        <v>567</v>
      </c>
      <c r="AL1" s="254" t="s">
        <v>568</v>
      </c>
      <c r="AM1" s="252" t="s">
        <v>460</v>
      </c>
      <c r="AN1" s="254" t="s">
        <v>521</v>
      </c>
      <c r="AO1" s="254" t="s">
        <v>564</v>
      </c>
      <c r="AP1" s="254" t="s">
        <v>565</v>
      </c>
      <c r="AQ1" s="254" t="s">
        <v>566</v>
      </c>
      <c r="AR1" s="254" t="s">
        <v>567</v>
      </c>
      <c r="AS1" s="254" t="s">
        <v>568</v>
      </c>
      <c r="AT1" s="252" t="s">
        <v>467</v>
      </c>
      <c r="AU1" s="254" t="s">
        <v>521</v>
      </c>
      <c r="AV1" s="254" t="s">
        <v>564</v>
      </c>
      <c r="AW1" s="254" t="s">
        <v>565</v>
      </c>
      <c r="AX1" s="254" t="s">
        <v>566</v>
      </c>
      <c r="AY1" s="254" t="s">
        <v>567</v>
      </c>
      <c r="AZ1" s="254" t="s">
        <v>568</v>
      </c>
      <c r="BA1" s="252" t="s">
        <v>459</v>
      </c>
      <c r="BB1" s="254" t="s">
        <v>521</v>
      </c>
      <c r="BC1" s="254" t="s">
        <v>564</v>
      </c>
      <c r="BD1" s="254" t="s">
        <v>565</v>
      </c>
      <c r="BE1" s="254" t="s">
        <v>566</v>
      </c>
      <c r="BF1" s="254" t="s">
        <v>567</v>
      </c>
      <c r="BG1" s="254" t="s">
        <v>568</v>
      </c>
      <c r="BH1" s="252" t="s">
        <v>521</v>
      </c>
      <c r="BI1" s="254" t="s">
        <v>564</v>
      </c>
      <c r="BJ1" s="254" t="s">
        <v>565</v>
      </c>
      <c r="BK1" s="254" t="s">
        <v>566</v>
      </c>
      <c r="BL1" s="254" t="s">
        <v>567</v>
      </c>
      <c r="BM1" s="254" t="s">
        <v>568</v>
      </c>
      <c r="BN1" s="254"/>
      <c r="BO1" s="252" t="s">
        <v>468</v>
      </c>
      <c r="BP1" s="264" t="s">
        <v>564</v>
      </c>
      <c r="BQ1" s="264" t="s">
        <v>565</v>
      </c>
      <c r="BR1" s="264" t="s">
        <v>566</v>
      </c>
      <c r="BS1" s="261" t="s">
        <v>501</v>
      </c>
      <c r="BT1" s="266" t="s">
        <v>624</v>
      </c>
      <c r="BU1" s="266" t="s">
        <v>625</v>
      </c>
      <c r="BV1" s="266" t="s">
        <v>626</v>
      </c>
      <c r="BW1" s="266" t="s">
        <v>627</v>
      </c>
      <c r="BX1" s="266" t="s">
        <v>628</v>
      </c>
      <c r="BY1" s="266" t="s">
        <v>629</v>
      </c>
      <c r="BZ1" s="266" t="s">
        <v>630</v>
      </c>
      <c r="CA1" s="266" t="s">
        <v>631</v>
      </c>
      <c r="CB1" s="266" t="s">
        <v>632</v>
      </c>
      <c r="CC1" s="267" t="s">
        <v>502</v>
      </c>
      <c r="CD1" s="268" t="s">
        <v>637</v>
      </c>
      <c r="CE1" s="268" t="s">
        <v>638</v>
      </c>
      <c r="CF1" s="267" t="s">
        <v>507</v>
      </c>
      <c r="CG1" s="266" t="s">
        <v>6</v>
      </c>
      <c r="CH1" s="266" t="s">
        <v>639</v>
      </c>
      <c r="CI1" s="267" t="s">
        <v>509</v>
      </c>
      <c r="CJ1" s="247" t="s">
        <v>117</v>
      </c>
      <c r="CK1" s="247">
        <v>29702</v>
      </c>
      <c r="CL1" s="267" t="s">
        <v>512</v>
      </c>
      <c r="CM1" s="247" t="s">
        <v>117</v>
      </c>
      <c r="CN1" s="247">
        <v>13107</v>
      </c>
      <c r="CO1" s="267" t="s">
        <v>515</v>
      </c>
      <c r="CP1" s="247" t="s">
        <v>117</v>
      </c>
      <c r="CQ1" s="247">
        <v>813</v>
      </c>
      <c r="CR1" s="267" t="s">
        <v>518</v>
      </c>
      <c r="CS1" s="276" t="s">
        <v>643</v>
      </c>
      <c r="CT1" s="275" t="s">
        <v>644</v>
      </c>
      <c r="CU1" s="275" t="s">
        <v>645</v>
      </c>
      <c r="CV1" s="275" t="s">
        <v>646</v>
      </c>
      <c r="CW1" s="275" t="s">
        <v>647</v>
      </c>
      <c r="CX1" s="275" t="s">
        <v>648</v>
      </c>
      <c r="CY1" s="275" t="s">
        <v>649</v>
      </c>
      <c r="CZ1" s="275" t="s">
        <v>650</v>
      </c>
      <c r="DA1" s="275" t="s">
        <v>651</v>
      </c>
      <c r="DB1" s="275" t="s">
        <v>652</v>
      </c>
      <c r="DC1" s="275" t="s">
        <v>653</v>
      </c>
      <c r="DD1" s="275" t="s">
        <v>654</v>
      </c>
      <c r="DF1" s="356" t="s">
        <v>529</v>
      </c>
      <c r="DG1" s="347" t="s">
        <v>664</v>
      </c>
      <c r="DH1" s="347" t="s">
        <v>665</v>
      </c>
      <c r="DI1" s="356" t="s">
        <v>530</v>
      </c>
      <c r="DJ1" s="354" t="s">
        <v>664</v>
      </c>
      <c r="DK1" s="354" t="s">
        <v>665</v>
      </c>
      <c r="DL1" s="356" t="s">
        <v>531</v>
      </c>
      <c r="DM1" s="349" t="s">
        <v>664</v>
      </c>
      <c r="DN1" s="349" t="s">
        <v>665</v>
      </c>
    </row>
    <row r="2" spans="1:118" x14ac:dyDescent="0.2">
      <c r="B2" s="188">
        <v>6956310368</v>
      </c>
      <c r="C2" s="188">
        <v>509629879848.16071</v>
      </c>
      <c r="D2" s="188">
        <v>5250451</v>
      </c>
      <c r="E2" s="209"/>
      <c r="F2" s="211">
        <v>3434</v>
      </c>
      <c r="G2" s="211">
        <v>551414643</v>
      </c>
      <c r="H2" s="211">
        <v>33111699837.510674</v>
      </c>
      <c r="J2" s="152" t="str">
        <f>K2&amp;L2</f>
        <v>ABuy</v>
      </c>
      <c r="K2" s="234" t="s">
        <v>541</v>
      </c>
      <c r="L2" s="234" t="s">
        <v>542</v>
      </c>
      <c r="M2" s="238">
        <v>228781067550.06284</v>
      </c>
      <c r="O2" s="241">
        <v>106803731335.92</v>
      </c>
      <c r="P2" s="241">
        <v>-105344863827.44</v>
      </c>
      <c r="Q2" s="241">
        <v>1458867508.48</v>
      </c>
      <c r="S2" s="253" t="s">
        <v>446</v>
      </c>
      <c r="T2" s="258">
        <v>330629494777.86688</v>
      </c>
      <c r="U2" s="258">
        <v>926523</v>
      </c>
      <c r="V2" s="258">
        <v>235349</v>
      </c>
      <c r="W2" s="258">
        <v>696149</v>
      </c>
      <c r="X2" s="258">
        <v>1</v>
      </c>
      <c r="Y2" s="245"/>
      <c r="Z2" s="253" t="s">
        <v>570</v>
      </c>
      <c r="AA2" s="253">
        <v>0</v>
      </c>
      <c r="AB2" s="253">
        <v>0</v>
      </c>
      <c r="AC2" s="253">
        <v>0</v>
      </c>
      <c r="AD2" s="253">
        <v>0</v>
      </c>
      <c r="AE2" s="253">
        <v>1</v>
      </c>
      <c r="AF2" s="253"/>
      <c r="AG2" s="253" t="s">
        <v>570</v>
      </c>
      <c r="AH2" s="253">
        <v>0</v>
      </c>
      <c r="AI2" s="253">
        <v>0</v>
      </c>
      <c r="AJ2" s="253">
        <v>0</v>
      </c>
      <c r="AK2" s="253">
        <v>0</v>
      </c>
      <c r="AL2" s="253">
        <v>1</v>
      </c>
      <c r="AM2" s="245"/>
      <c r="AN2" s="253" t="s">
        <v>571</v>
      </c>
      <c r="AO2" s="253">
        <v>0</v>
      </c>
      <c r="AP2" s="253">
        <v>0</v>
      </c>
      <c r="AQ2" s="253">
        <v>0</v>
      </c>
      <c r="AR2" s="253">
        <v>0</v>
      </c>
      <c r="AS2" s="253">
        <v>0</v>
      </c>
      <c r="AT2" s="245"/>
      <c r="AU2" s="253" t="s">
        <v>571</v>
      </c>
      <c r="AV2" s="253">
        <v>0</v>
      </c>
      <c r="AW2" s="253">
        <v>0</v>
      </c>
      <c r="AX2" s="253">
        <v>0</v>
      </c>
      <c r="AY2" s="253">
        <v>0</v>
      </c>
      <c r="AZ2" s="253">
        <v>0</v>
      </c>
      <c r="BA2" s="245"/>
      <c r="BB2" s="253" t="s">
        <v>571</v>
      </c>
      <c r="BC2" s="253">
        <v>0</v>
      </c>
      <c r="BD2" s="253">
        <v>0</v>
      </c>
      <c r="BE2" s="253">
        <v>0</v>
      </c>
      <c r="BF2" s="253">
        <v>0</v>
      </c>
      <c r="BG2" s="253">
        <v>0</v>
      </c>
      <c r="BH2" s="247" t="s">
        <v>571</v>
      </c>
      <c r="BI2" s="253">
        <v>0</v>
      </c>
      <c r="BJ2" s="253">
        <v>0</v>
      </c>
      <c r="BK2" s="253">
        <v>0</v>
      </c>
      <c r="BL2" s="253">
        <v>0</v>
      </c>
      <c r="BM2" s="253">
        <v>0</v>
      </c>
      <c r="BN2" s="253"/>
      <c r="BO2" s="245"/>
      <c r="BP2" s="263">
        <v>5281603442304.0303</v>
      </c>
      <c r="BQ2" s="263">
        <v>252686017</v>
      </c>
      <c r="BR2" s="263">
        <v>2932391</v>
      </c>
      <c r="BS2" s="245"/>
      <c r="BT2" s="265" t="s">
        <v>139</v>
      </c>
      <c r="BU2" s="265">
        <v>51</v>
      </c>
      <c r="BV2" s="265">
        <v>0</v>
      </c>
      <c r="BW2" s="265">
        <v>1</v>
      </c>
      <c r="BX2" s="265">
        <v>0</v>
      </c>
      <c r="BY2" s="265">
        <v>0</v>
      </c>
      <c r="BZ2" s="265">
        <v>50</v>
      </c>
      <c r="CA2" s="265">
        <v>39</v>
      </c>
      <c r="CB2" s="265">
        <v>12</v>
      </c>
      <c r="CC2" s="245"/>
      <c r="CD2" s="269">
        <v>811</v>
      </c>
      <c r="CE2" s="269">
        <v>15908872317115.9</v>
      </c>
      <c r="CF2" s="245"/>
      <c r="CG2" s="265">
        <v>2017</v>
      </c>
      <c r="CH2" s="265">
        <v>22</v>
      </c>
      <c r="CI2" s="245"/>
      <c r="CJ2" s="247" t="s">
        <v>641</v>
      </c>
      <c r="CK2" s="247">
        <v>922912918770</v>
      </c>
      <c r="CL2" s="247"/>
      <c r="CM2" s="247" t="s">
        <v>641</v>
      </c>
      <c r="CN2" s="247">
        <v>1700349963780</v>
      </c>
      <c r="CO2" s="247"/>
      <c r="CP2" s="247" t="s">
        <v>641</v>
      </c>
      <c r="CQ2" s="247">
        <v>95141798915</v>
      </c>
      <c r="CR2" s="245"/>
      <c r="CS2" s="277">
        <v>2017</v>
      </c>
      <c r="CT2" s="275">
        <v>46</v>
      </c>
      <c r="CU2" s="275" t="s">
        <v>655</v>
      </c>
      <c r="CV2" s="275">
        <v>0</v>
      </c>
      <c r="CW2" s="275">
        <v>31641160883</v>
      </c>
      <c r="CX2" s="275">
        <v>4106</v>
      </c>
      <c r="CY2" s="275">
        <v>0</v>
      </c>
      <c r="CZ2" s="275">
        <v>198543525048</v>
      </c>
      <c r="DA2" s="275">
        <v>2242</v>
      </c>
      <c r="DB2" s="275">
        <v>0</v>
      </c>
      <c r="DC2" s="275">
        <v>166902364165</v>
      </c>
      <c r="DD2" s="275">
        <v>1864</v>
      </c>
      <c r="DG2" s="348" t="s">
        <v>666</v>
      </c>
      <c r="DH2" s="346">
        <v>111574927.2</v>
      </c>
      <c r="DJ2" s="352" t="s">
        <v>666</v>
      </c>
      <c r="DK2" s="350">
        <v>23172200616.68</v>
      </c>
      <c r="DM2" s="351" t="s">
        <v>666</v>
      </c>
      <c r="DN2" s="353">
        <v>11979861545.940001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543</v>
      </c>
      <c r="L3" s="234" t="s">
        <v>542</v>
      </c>
      <c r="M3" s="238">
        <v>280848812298.09784</v>
      </c>
      <c r="N3" s="136"/>
      <c r="O3" s="239"/>
      <c r="P3" s="239"/>
      <c r="Q3" s="239"/>
      <c r="S3" s="253" t="s">
        <v>451</v>
      </c>
      <c r="T3" s="258">
        <v>326019858.29000002</v>
      </c>
      <c r="U3" s="258">
        <v>194423</v>
      </c>
      <c r="V3" s="258">
        <v>226</v>
      </c>
      <c r="W3" s="258">
        <v>286090</v>
      </c>
      <c r="X3" s="258">
        <v>0</v>
      </c>
      <c r="Y3" s="245"/>
      <c r="Z3" s="253" t="s">
        <v>571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571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572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572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572</v>
      </c>
      <c r="BC3" s="253">
        <v>0</v>
      </c>
      <c r="BD3" s="253">
        <v>0</v>
      </c>
      <c r="BE3" s="253">
        <v>0</v>
      </c>
      <c r="BF3" s="253">
        <v>5058</v>
      </c>
      <c r="BG3" s="253">
        <v>0</v>
      </c>
      <c r="BH3" s="247" t="s">
        <v>572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633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2016</v>
      </c>
      <c r="CH3" s="265">
        <v>22</v>
      </c>
      <c r="CI3" s="245"/>
      <c r="CJ3" s="247" t="s">
        <v>642</v>
      </c>
      <c r="CK3" s="247">
        <v>925705903728.16919</v>
      </c>
      <c r="CL3" s="247"/>
      <c r="CM3" s="247" t="s">
        <v>642</v>
      </c>
      <c r="CN3" s="247">
        <v>1627477677916.9507</v>
      </c>
      <c r="CO3" s="247"/>
      <c r="CP3" s="247" t="s">
        <v>642</v>
      </c>
      <c r="CQ3" s="247">
        <v>28827620834.269997</v>
      </c>
      <c r="CR3" s="245"/>
      <c r="CS3" s="277">
        <v>2017</v>
      </c>
      <c r="CT3" s="275">
        <v>3</v>
      </c>
      <c r="CU3" s="275" t="s">
        <v>656</v>
      </c>
      <c r="CV3" s="275">
        <v>294276509.67000002</v>
      </c>
      <c r="CW3" s="275">
        <v>299810000</v>
      </c>
      <c r="CX3" s="275">
        <v>3</v>
      </c>
      <c r="CY3" s="275">
        <v>294888623.24000001</v>
      </c>
      <c r="CZ3" s="275">
        <v>300110000</v>
      </c>
      <c r="DA3" s="275">
        <v>2</v>
      </c>
      <c r="DB3" s="275">
        <v>612113.56999999995</v>
      </c>
      <c r="DC3" s="275">
        <v>300000</v>
      </c>
      <c r="DD3" s="275">
        <v>1</v>
      </c>
      <c r="DG3" s="348" t="s">
        <v>667</v>
      </c>
      <c r="DH3" s="346">
        <v>1378266731.1700001</v>
      </c>
      <c r="DJ3" s="352" t="s">
        <v>667</v>
      </c>
      <c r="DK3" s="350">
        <v>17779608414.860001</v>
      </c>
      <c r="DM3" s="351" t="s">
        <v>667</v>
      </c>
      <c r="DN3" s="353">
        <v>26673249026.07</v>
      </c>
    </row>
    <row r="4" spans="1:118" x14ac:dyDescent="0.2">
      <c r="A4" s="148" t="s">
        <v>211</v>
      </c>
      <c r="B4" s="188" t="s">
        <v>536</v>
      </c>
      <c r="C4" s="188" t="s">
        <v>537</v>
      </c>
      <c r="D4" s="188" t="s">
        <v>538</v>
      </c>
      <c r="E4" s="209"/>
      <c r="F4" s="211" t="s">
        <v>538</v>
      </c>
      <c r="G4" s="211" t="s">
        <v>536</v>
      </c>
      <c r="H4" s="211" t="s">
        <v>537</v>
      </c>
      <c r="J4" s="152" t="str">
        <f t="shared" si="0"/>
        <v>ASell</v>
      </c>
      <c r="K4" s="234" t="s">
        <v>541</v>
      </c>
      <c r="L4" s="234" t="s">
        <v>544</v>
      </c>
      <c r="M4" s="238">
        <v>240159525089.68982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446</v>
      </c>
      <c r="T4" s="258">
        <v>2173846562.4899998</v>
      </c>
      <c r="U4" s="258">
        <v>421785</v>
      </c>
      <c r="V4" s="258">
        <v>552</v>
      </c>
      <c r="W4" s="258">
        <v>1207622</v>
      </c>
      <c r="X4" s="258">
        <v>0</v>
      </c>
      <c r="Y4" s="245"/>
      <c r="Z4" s="253" t="s">
        <v>572</v>
      </c>
      <c r="AA4" s="253">
        <v>1515081.4</v>
      </c>
      <c r="AB4" s="253">
        <v>220</v>
      </c>
      <c r="AC4" s="253">
        <v>3</v>
      </c>
      <c r="AD4" s="253">
        <v>4180</v>
      </c>
      <c r="AE4" s="253">
        <v>0</v>
      </c>
      <c r="AF4" s="253"/>
      <c r="AG4" s="253" t="s">
        <v>572</v>
      </c>
      <c r="AH4" s="253">
        <v>0</v>
      </c>
      <c r="AI4" s="253">
        <v>0</v>
      </c>
      <c r="AJ4" s="253">
        <v>0</v>
      </c>
      <c r="AK4" s="253">
        <v>220</v>
      </c>
      <c r="AL4" s="253">
        <v>0</v>
      </c>
      <c r="AM4" s="245"/>
      <c r="AN4" s="253" t="s">
        <v>573</v>
      </c>
      <c r="AO4" s="253">
        <v>48885299.759999998</v>
      </c>
      <c r="AP4" s="253">
        <v>3830</v>
      </c>
      <c r="AQ4" s="253">
        <v>258</v>
      </c>
      <c r="AR4" s="253">
        <v>93454</v>
      </c>
      <c r="AS4" s="253">
        <v>0</v>
      </c>
      <c r="AT4" s="245"/>
      <c r="AU4" s="253" t="s">
        <v>573</v>
      </c>
      <c r="AV4" s="253">
        <v>3072021.8</v>
      </c>
      <c r="AW4" s="253">
        <v>271</v>
      </c>
      <c r="AX4" s="253">
        <v>20</v>
      </c>
      <c r="AY4" s="253">
        <v>5047</v>
      </c>
      <c r="AZ4" s="253">
        <v>0</v>
      </c>
      <c r="BA4" s="245"/>
      <c r="BB4" s="253" t="s">
        <v>618</v>
      </c>
      <c r="BC4" s="253">
        <v>0</v>
      </c>
      <c r="BD4" s="253">
        <v>0</v>
      </c>
      <c r="BE4" s="253">
        <v>0</v>
      </c>
      <c r="BF4" s="253">
        <v>0</v>
      </c>
      <c r="BG4" s="253">
        <v>1</v>
      </c>
      <c r="BH4" s="247" t="s">
        <v>573</v>
      </c>
      <c r="BI4" s="253">
        <v>0</v>
      </c>
      <c r="BJ4" s="253">
        <v>0</v>
      </c>
      <c r="BK4" s="253">
        <v>0</v>
      </c>
      <c r="BL4" s="253">
        <v>1433</v>
      </c>
      <c r="BM4" s="253">
        <v>0</v>
      </c>
      <c r="BN4" s="253"/>
      <c r="BO4" s="252" t="s">
        <v>469</v>
      </c>
      <c r="BP4" s="264" t="s">
        <v>564</v>
      </c>
      <c r="BQ4" s="264" t="s">
        <v>565</v>
      </c>
      <c r="BR4" s="264" t="s">
        <v>566</v>
      </c>
      <c r="BS4" s="245"/>
      <c r="BT4" s="265" t="s">
        <v>634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637</v>
      </c>
      <c r="CE4" s="270" t="s">
        <v>638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2017</v>
      </c>
      <c r="CT4" s="275">
        <v>26</v>
      </c>
      <c r="CU4" s="275" t="s">
        <v>657</v>
      </c>
      <c r="CV4" s="275">
        <v>-217586731760.71988</v>
      </c>
      <c r="CW4" s="275">
        <v>-160609606773</v>
      </c>
      <c r="CX4" s="275">
        <v>8268</v>
      </c>
      <c r="CY4" s="275">
        <v>460762578247.22076</v>
      </c>
      <c r="CZ4" s="275">
        <v>490788835000</v>
      </c>
      <c r="DA4" s="275">
        <v>5514</v>
      </c>
      <c r="DB4" s="275">
        <v>678349310007.94019</v>
      </c>
      <c r="DC4" s="275">
        <v>651398441773</v>
      </c>
      <c r="DD4" s="275">
        <v>2754</v>
      </c>
      <c r="DG4" s="348" t="s">
        <v>668</v>
      </c>
      <c r="DH4" s="346">
        <v>262929658.50999999</v>
      </c>
      <c r="DJ4" s="352" t="s">
        <v>668</v>
      </c>
      <c r="DK4" s="350">
        <v>10616037387.74</v>
      </c>
      <c r="DM4" s="351" t="s">
        <v>668</v>
      </c>
      <c r="DN4" s="353">
        <v>39225779234.089996</v>
      </c>
    </row>
    <row r="5" spans="1:118" x14ac:dyDescent="0.2">
      <c r="B5" s="188">
        <v>75336883144</v>
      </c>
      <c r="C5" s="188">
        <v>4904835679311.9277</v>
      </c>
      <c r="D5" s="194">
        <v>62126590</v>
      </c>
      <c r="E5" s="209"/>
      <c r="F5" s="211">
        <v>32973</v>
      </c>
      <c r="G5" s="211">
        <v>7866637461</v>
      </c>
      <c r="H5" s="225">
        <v>357440522855.05707</v>
      </c>
      <c r="J5" s="152" t="str">
        <f t="shared" si="0"/>
        <v>PSell</v>
      </c>
      <c r="K5" s="234" t="s">
        <v>543</v>
      </c>
      <c r="L5" s="234" t="s">
        <v>544</v>
      </c>
      <c r="M5" s="238">
        <v>269470354758.47086</v>
      </c>
      <c r="N5" s="136"/>
      <c r="O5" s="241">
        <v>862419212686.03003</v>
      </c>
      <c r="P5" s="241">
        <v>-941482062578.68994</v>
      </c>
      <c r="Q5" s="241">
        <v>-79062849892.660004</v>
      </c>
      <c r="S5" s="253" t="s">
        <v>448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573</v>
      </c>
      <c r="AA5" s="253">
        <v>43938200.68</v>
      </c>
      <c r="AB5" s="253">
        <v>5295</v>
      </c>
      <c r="AC5" s="253">
        <v>384</v>
      </c>
      <c r="AD5" s="253">
        <v>104517</v>
      </c>
      <c r="AE5" s="253">
        <v>0</v>
      </c>
      <c r="AF5" s="253"/>
      <c r="AG5" s="253" t="s">
        <v>573</v>
      </c>
      <c r="AH5" s="253">
        <v>6240273.3200000003</v>
      </c>
      <c r="AI5" s="253">
        <v>632</v>
      </c>
      <c r="AJ5" s="253">
        <v>15</v>
      </c>
      <c r="AK5" s="253">
        <v>3247</v>
      </c>
      <c r="AL5" s="253">
        <v>0</v>
      </c>
      <c r="AM5" s="245"/>
      <c r="AN5" s="253" t="s">
        <v>574</v>
      </c>
      <c r="AO5" s="253">
        <v>422011163.61000001</v>
      </c>
      <c r="AP5" s="253">
        <v>5218</v>
      </c>
      <c r="AQ5" s="253">
        <v>100</v>
      </c>
      <c r="AR5" s="253">
        <v>43302</v>
      </c>
      <c r="AS5" s="253">
        <v>1</v>
      </c>
      <c r="AT5" s="245"/>
      <c r="AU5" s="253" t="s">
        <v>574</v>
      </c>
      <c r="AV5" s="253">
        <v>43699097.630000003</v>
      </c>
      <c r="AW5" s="253">
        <v>512</v>
      </c>
      <c r="AX5" s="253">
        <v>18</v>
      </c>
      <c r="AY5" s="253">
        <v>2966</v>
      </c>
      <c r="AZ5" s="253">
        <v>1</v>
      </c>
      <c r="BA5" s="245"/>
      <c r="BB5" s="253" t="s">
        <v>573</v>
      </c>
      <c r="BC5" s="253">
        <v>19173865.699999999</v>
      </c>
      <c r="BD5" s="253">
        <v>1859</v>
      </c>
      <c r="BE5" s="253">
        <v>49</v>
      </c>
      <c r="BF5" s="253">
        <v>51714</v>
      </c>
      <c r="BG5" s="253">
        <v>0</v>
      </c>
      <c r="BH5" s="247" t="s">
        <v>618</v>
      </c>
      <c r="BI5" s="253">
        <v>0</v>
      </c>
      <c r="BJ5" s="253">
        <v>0</v>
      </c>
      <c r="BK5" s="253">
        <v>0</v>
      </c>
      <c r="BL5" s="253">
        <v>0</v>
      </c>
      <c r="BM5" s="253">
        <v>1</v>
      </c>
      <c r="BN5" s="253"/>
      <c r="BO5" s="245"/>
      <c r="BP5" s="263">
        <v>38629274677.309998</v>
      </c>
      <c r="BQ5" s="263">
        <v>17181228</v>
      </c>
      <c r="BR5" s="263">
        <v>22581</v>
      </c>
      <c r="BS5" s="245"/>
      <c r="BT5" s="265" t="s">
        <v>635</v>
      </c>
      <c r="BU5" s="265">
        <v>319</v>
      </c>
      <c r="BV5" s="265">
        <v>1</v>
      </c>
      <c r="BW5" s="265">
        <v>2</v>
      </c>
      <c r="BX5" s="265">
        <v>0</v>
      </c>
      <c r="BY5" s="265">
        <v>0</v>
      </c>
      <c r="BZ5" s="265">
        <v>318</v>
      </c>
      <c r="CA5" s="265">
        <v>257</v>
      </c>
      <c r="CB5" s="265">
        <v>62</v>
      </c>
      <c r="CC5" s="245"/>
      <c r="CD5" s="271">
        <v>810</v>
      </c>
      <c r="CE5" s="271">
        <v>13395412390934.27</v>
      </c>
      <c r="CF5" s="267" t="s">
        <v>508</v>
      </c>
      <c r="CG5" s="266" t="s">
        <v>6</v>
      </c>
      <c r="CH5" s="266" t="s">
        <v>639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2017</v>
      </c>
      <c r="CT5" s="275">
        <v>26</v>
      </c>
      <c r="CU5" s="275" t="s">
        <v>658</v>
      </c>
      <c r="CV5" s="275">
        <v>209748138873.12955</v>
      </c>
      <c r="CW5" s="275">
        <v>153786386626</v>
      </c>
      <c r="CX5" s="275">
        <v>8171</v>
      </c>
      <c r="CY5" s="275">
        <v>664647542119.01953</v>
      </c>
      <c r="CZ5" s="275">
        <v>638040221626</v>
      </c>
      <c r="DA5" s="275">
        <v>2718</v>
      </c>
      <c r="DB5" s="275">
        <v>454899403245.88898</v>
      </c>
      <c r="DC5" s="275">
        <v>484253835000</v>
      </c>
      <c r="DD5" s="275">
        <v>5453</v>
      </c>
      <c r="DG5" s="348" t="s">
        <v>669</v>
      </c>
      <c r="DH5" s="346">
        <v>97565773.790000007</v>
      </c>
      <c r="DJ5" s="352" t="s">
        <v>669</v>
      </c>
      <c r="DK5" s="350">
        <v>895512793.74000001</v>
      </c>
      <c r="DM5" s="351" t="s">
        <v>669</v>
      </c>
      <c r="DN5" s="353">
        <v>2183037007.77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447</v>
      </c>
      <c r="T6" s="258">
        <v>19103791876.112</v>
      </c>
      <c r="U6" s="258">
        <v>1468029</v>
      </c>
      <c r="V6" s="258">
        <v>4263</v>
      </c>
      <c r="W6" s="258">
        <v>1395445</v>
      </c>
      <c r="X6" s="258">
        <v>1</v>
      </c>
      <c r="Y6" s="245"/>
      <c r="Z6" s="253" t="s">
        <v>574</v>
      </c>
      <c r="AA6" s="253">
        <v>57226905.229999997</v>
      </c>
      <c r="AB6" s="253">
        <v>648</v>
      </c>
      <c r="AC6" s="253">
        <v>26</v>
      </c>
      <c r="AD6" s="253">
        <v>66813</v>
      </c>
      <c r="AE6" s="253">
        <v>1</v>
      </c>
      <c r="AF6" s="253"/>
      <c r="AG6" s="253" t="s">
        <v>574</v>
      </c>
      <c r="AH6" s="253">
        <v>19686639.949999999</v>
      </c>
      <c r="AI6" s="253">
        <v>227</v>
      </c>
      <c r="AJ6" s="253">
        <v>5</v>
      </c>
      <c r="AK6" s="253">
        <v>2898</v>
      </c>
      <c r="AL6" s="253">
        <v>1</v>
      </c>
      <c r="AM6" s="245"/>
      <c r="AN6" s="253" t="s">
        <v>575</v>
      </c>
      <c r="AO6" s="253">
        <v>140488187.34999999</v>
      </c>
      <c r="AP6" s="253">
        <v>4632</v>
      </c>
      <c r="AQ6" s="253">
        <v>6</v>
      </c>
      <c r="AR6" s="253">
        <v>50052</v>
      </c>
      <c r="AS6" s="253">
        <v>1</v>
      </c>
      <c r="AT6" s="245"/>
      <c r="AU6" s="253" t="s">
        <v>575</v>
      </c>
      <c r="AV6" s="253">
        <v>2967556.5</v>
      </c>
      <c r="AW6" s="253">
        <v>90</v>
      </c>
      <c r="AX6" s="253">
        <v>1</v>
      </c>
      <c r="AY6" s="253">
        <v>2361</v>
      </c>
      <c r="AZ6" s="253">
        <v>1</v>
      </c>
      <c r="BA6" s="245"/>
      <c r="BB6" s="253" t="s">
        <v>574</v>
      </c>
      <c r="BC6" s="253">
        <v>157752901.94</v>
      </c>
      <c r="BD6" s="253">
        <v>2301</v>
      </c>
      <c r="BE6" s="253">
        <v>67</v>
      </c>
      <c r="BF6" s="253">
        <v>14225</v>
      </c>
      <c r="BG6" s="253">
        <v>1</v>
      </c>
      <c r="BH6" s="247" t="s">
        <v>574</v>
      </c>
      <c r="BI6" s="253">
        <v>445880</v>
      </c>
      <c r="BJ6" s="253">
        <v>6</v>
      </c>
      <c r="BK6" s="253">
        <v>4</v>
      </c>
      <c r="BL6" s="253">
        <v>1161</v>
      </c>
      <c r="BM6" s="253">
        <v>1</v>
      </c>
      <c r="BN6" s="253"/>
      <c r="BO6" s="247"/>
      <c r="BP6" s="263"/>
      <c r="BQ6" s="263"/>
      <c r="BR6" s="263"/>
      <c r="BS6" s="245"/>
      <c r="BT6" s="265" t="s">
        <v>636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2017</v>
      </c>
      <c r="CH6" s="265">
        <v>230</v>
      </c>
      <c r="CI6" s="267" t="s">
        <v>510</v>
      </c>
      <c r="CJ6" s="247" t="s">
        <v>117</v>
      </c>
      <c r="CK6" s="247">
        <v>274168</v>
      </c>
      <c r="CL6" s="267" t="s">
        <v>513</v>
      </c>
      <c r="CM6" s="247" t="s">
        <v>117</v>
      </c>
      <c r="CN6" s="247">
        <v>146307</v>
      </c>
      <c r="CO6" s="267" t="s">
        <v>516</v>
      </c>
      <c r="CP6" s="247" t="s">
        <v>117</v>
      </c>
      <c r="CQ6" s="247">
        <v>8190</v>
      </c>
      <c r="CR6" s="245"/>
      <c r="CS6" s="277">
        <v>2017</v>
      </c>
      <c r="CT6" s="275">
        <v>557</v>
      </c>
      <c r="CU6" s="275" t="s">
        <v>659</v>
      </c>
      <c r="CV6" s="275">
        <v>-43514746937.799934</v>
      </c>
      <c r="CW6" s="275">
        <v>-42998477340</v>
      </c>
      <c r="CX6" s="275">
        <v>9282</v>
      </c>
      <c r="CY6" s="275">
        <v>110620138331.15999</v>
      </c>
      <c r="CZ6" s="275">
        <v>110109035381</v>
      </c>
      <c r="DA6" s="275">
        <v>5180</v>
      </c>
      <c r="DB6" s="275">
        <v>154134885268.9599</v>
      </c>
      <c r="DC6" s="275">
        <v>153107512721</v>
      </c>
      <c r="DD6" s="275">
        <v>4102</v>
      </c>
      <c r="DG6" s="348" t="s">
        <v>670</v>
      </c>
      <c r="DH6" s="346">
        <v>452024252.33999997</v>
      </c>
      <c r="DJ6" s="352" t="s">
        <v>670</v>
      </c>
      <c r="DK6" s="350">
        <v>7773623581.1199999</v>
      </c>
      <c r="DM6" s="351" t="s">
        <v>670</v>
      </c>
      <c r="DN6" s="353">
        <v>6153508294.5699997</v>
      </c>
    </row>
    <row r="7" spans="1:118" x14ac:dyDescent="0.2">
      <c r="A7" s="148" t="s">
        <v>212</v>
      </c>
      <c r="B7" s="188" t="s">
        <v>536</v>
      </c>
      <c r="C7" s="188" t="s">
        <v>537</v>
      </c>
      <c r="D7" s="188" t="s">
        <v>538</v>
      </c>
      <c r="E7" s="209"/>
      <c r="F7" s="211" t="s">
        <v>538</v>
      </c>
      <c r="G7" s="211" t="s">
        <v>536</v>
      </c>
      <c r="H7" s="211" t="s">
        <v>537</v>
      </c>
      <c r="I7" s="153" t="s">
        <v>219</v>
      </c>
      <c r="J7" s="148" t="s">
        <v>220</v>
      </c>
      <c r="K7" s="235" t="s">
        <v>539</v>
      </c>
      <c r="L7" s="235" t="s">
        <v>540</v>
      </c>
      <c r="M7" s="237" t="s">
        <v>537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449</v>
      </c>
      <c r="T7" s="258">
        <v>1328911540.6788001</v>
      </c>
      <c r="U7" s="258">
        <v>2716798</v>
      </c>
      <c r="V7" s="258">
        <v>159</v>
      </c>
      <c r="W7" s="258">
        <v>10661603</v>
      </c>
      <c r="X7" s="258">
        <v>1</v>
      </c>
      <c r="Y7" s="245"/>
      <c r="Z7" s="253" t="s">
        <v>575</v>
      </c>
      <c r="AA7" s="253">
        <v>122204</v>
      </c>
      <c r="AB7" s="253">
        <v>4</v>
      </c>
      <c r="AC7" s="253">
        <v>1</v>
      </c>
      <c r="AD7" s="253">
        <v>51854</v>
      </c>
      <c r="AE7" s="253">
        <v>1</v>
      </c>
      <c r="AF7" s="253"/>
      <c r="AG7" s="253" t="s">
        <v>575</v>
      </c>
      <c r="AH7" s="253">
        <v>0</v>
      </c>
      <c r="AI7" s="253">
        <v>0</v>
      </c>
      <c r="AJ7" s="253">
        <v>0</v>
      </c>
      <c r="AK7" s="253">
        <v>2357</v>
      </c>
      <c r="AL7" s="253">
        <v>1</v>
      </c>
      <c r="AM7" s="245"/>
      <c r="AN7" s="253" t="s">
        <v>576</v>
      </c>
      <c r="AO7" s="253">
        <v>224400</v>
      </c>
      <c r="AP7" s="253">
        <v>2</v>
      </c>
      <c r="AQ7" s="253">
        <v>1</v>
      </c>
      <c r="AR7" s="253">
        <v>1212</v>
      </c>
      <c r="AS7" s="253">
        <v>1</v>
      </c>
      <c r="AT7" s="245"/>
      <c r="AU7" s="253" t="s">
        <v>576</v>
      </c>
      <c r="AV7" s="253">
        <v>0</v>
      </c>
      <c r="AW7" s="253">
        <v>0</v>
      </c>
      <c r="AX7" s="253">
        <v>0</v>
      </c>
      <c r="AY7" s="253">
        <v>55</v>
      </c>
      <c r="AZ7" s="253">
        <v>1</v>
      </c>
      <c r="BA7" s="245"/>
      <c r="BB7" s="253" t="s">
        <v>575</v>
      </c>
      <c r="BC7" s="253">
        <v>92849466.799999997</v>
      </c>
      <c r="BD7" s="253">
        <v>3753</v>
      </c>
      <c r="BE7" s="253">
        <v>11</v>
      </c>
      <c r="BF7" s="253">
        <v>10825</v>
      </c>
      <c r="BG7" s="253">
        <v>1</v>
      </c>
      <c r="BH7" s="247" t="s">
        <v>575</v>
      </c>
      <c r="BI7" s="253">
        <v>27117.5</v>
      </c>
      <c r="BJ7" s="253">
        <v>1</v>
      </c>
      <c r="BK7" s="253">
        <v>1</v>
      </c>
      <c r="BL7" s="253">
        <v>24</v>
      </c>
      <c r="BM7" s="253">
        <v>1</v>
      </c>
      <c r="BN7" s="253"/>
      <c r="BO7" s="252" t="s">
        <v>471</v>
      </c>
      <c r="BP7" s="264" t="s">
        <v>564</v>
      </c>
      <c r="BQ7" s="264" t="s">
        <v>565</v>
      </c>
      <c r="BR7" s="264" t="s">
        <v>566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2016</v>
      </c>
      <c r="CH7" s="265">
        <v>230</v>
      </c>
      <c r="CI7" s="245"/>
      <c r="CJ7" s="247" t="s">
        <v>641</v>
      </c>
      <c r="CK7" s="247">
        <v>7384617289848</v>
      </c>
      <c r="CL7" s="247"/>
      <c r="CM7" s="247" t="s">
        <v>641</v>
      </c>
      <c r="CN7" s="247">
        <v>18029181295436</v>
      </c>
      <c r="CO7" s="247"/>
      <c r="CP7" s="247" t="s">
        <v>641</v>
      </c>
      <c r="CQ7" s="247">
        <v>695645125118</v>
      </c>
      <c r="CR7" s="245"/>
      <c r="CS7" s="277">
        <v>2017</v>
      </c>
      <c r="CT7" s="275">
        <v>223</v>
      </c>
      <c r="CU7" s="275" t="s">
        <v>660</v>
      </c>
      <c r="CV7" s="275">
        <v>95996631624.329926</v>
      </c>
      <c r="CW7" s="275">
        <v>98990608579</v>
      </c>
      <c r="CX7" s="275">
        <v>31457</v>
      </c>
      <c r="CY7" s="275">
        <v>911151124956.47827</v>
      </c>
      <c r="CZ7" s="275">
        <v>883821746105</v>
      </c>
      <c r="DA7" s="275">
        <v>17221</v>
      </c>
      <c r="DB7" s="275">
        <v>815154493332.14929</v>
      </c>
      <c r="DC7" s="275">
        <v>784831137526</v>
      </c>
      <c r="DD7" s="275">
        <v>14236</v>
      </c>
      <c r="DG7" s="10" t="s">
        <v>671</v>
      </c>
      <c r="DH7" s="366">
        <v>3014438289.46</v>
      </c>
      <c r="DJ7" s="10" t="s">
        <v>671</v>
      </c>
      <c r="DK7" s="366">
        <v>31588284984.630001</v>
      </c>
      <c r="DM7" s="10" t="s">
        <v>671</v>
      </c>
      <c r="DN7" s="366">
        <v>22126264795.48</v>
      </c>
    </row>
    <row r="8" spans="1:118" x14ac:dyDescent="0.2">
      <c r="B8" s="188">
        <v>74017664127</v>
      </c>
      <c r="C8" s="188">
        <v>5525148339355.5596</v>
      </c>
      <c r="D8" s="194">
        <v>66067361</v>
      </c>
      <c r="E8" s="209"/>
      <c r="F8" s="211">
        <v>35783</v>
      </c>
      <c r="G8" s="211">
        <v>6303475422</v>
      </c>
      <c r="H8" s="225">
        <v>357357117297.60486</v>
      </c>
      <c r="J8" s="152" t="str">
        <f>K8&amp;L8</f>
        <v>ABuy</v>
      </c>
      <c r="K8" s="234" t="s">
        <v>541</v>
      </c>
      <c r="L8" s="234" t="s">
        <v>542</v>
      </c>
      <c r="M8" s="238">
        <v>230238020312.45709</v>
      </c>
      <c r="O8" s="244">
        <v>945502198544.87</v>
      </c>
      <c r="P8" s="244">
        <v>-1065385065140.48</v>
      </c>
      <c r="Q8" s="241">
        <v>-119882866595.61</v>
      </c>
      <c r="S8" s="253" t="s">
        <v>182</v>
      </c>
      <c r="T8" s="258">
        <v>98604662.569000006</v>
      </c>
      <c r="U8" s="258">
        <v>958648</v>
      </c>
      <c r="V8" s="258">
        <v>568</v>
      </c>
      <c r="W8" s="258">
        <v>1020901</v>
      </c>
      <c r="X8" s="258">
        <v>1</v>
      </c>
      <c r="Y8" s="245"/>
      <c r="Z8" s="253" t="s">
        <v>576</v>
      </c>
      <c r="AA8" s="253">
        <v>25687530.055</v>
      </c>
      <c r="AB8" s="253">
        <v>232</v>
      </c>
      <c r="AC8" s="253">
        <v>47</v>
      </c>
      <c r="AD8" s="253">
        <v>1980</v>
      </c>
      <c r="AE8" s="253">
        <v>1</v>
      </c>
      <c r="AF8" s="253"/>
      <c r="AG8" s="253" t="s">
        <v>576</v>
      </c>
      <c r="AH8" s="253">
        <v>0</v>
      </c>
      <c r="AI8" s="253">
        <v>0</v>
      </c>
      <c r="AJ8" s="253">
        <v>0</v>
      </c>
      <c r="AK8" s="253">
        <v>104</v>
      </c>
      <c r="AL8" s="253">
        <v>1</v>
      </c>
      <c r="AM8" s="245"/>
      <c r="AN8" s="253" t="s">
        <v>577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577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576</v>
      </c>
      <c r="BC8" s="253">
        <v>1214059.98</v>
      </c>
      <c r="BD8" s="253">
        <v>12</v>
      </c>
      <c r="BE8" s="253">
        <v>5</v>
      </c>
      <c r="BF8" s="253">
        <v>228</v>
      </c>
      <c r="BG8" s="253">
        <v>1</v>
      </c>
      <c r="BH8" s="247" t="s">
        <v>576</v>
      </c>
      <c r="BI8" s="253">
        <v>0</v>
      </c>
      <c r="BJ8" s="253">
        <v>0</v>
      </c>
      <c r="BK8" s="253">
        <v>0</v>
      </c>
      <c r="BL8" s="253">
        <v>0</v>
      </c>
      <c r="BM8" s="253">
        <v>1</v>
      </c>
      <c r="BN8" s="253"/>
      <c r="BO8" s="247"/>
      <c r="BP8" s="263">
        <v>6021974794932.9854</v>
      </c>
      <c r="BQ8" s="263">
        <v>325183113</v>
      </c>
      <c r="BR8" s="263">
        <v>3335874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638</v>
      </c>
      <c r="CE8" s="266" t="s">
        <v>640</v>
      </c>
      <c r="CF8" s="245"/>
      <c r="CG8" s="245"/>
      <c r="CH8" s="245"/>
      <c r="CI8" s="245"/>
      <c r="CJ8" s="247" t="s">
        <v>642</v>
      </c>
      <c r="CK8" s="247">
        <v>7699673903466.3203</v>
      </c>
      <c r="CL8" s="247"/>
      <c r="CM8" s="247" t="s">
        <v>642</v>
      </c>
      <c r="CN8" s="247">
        <v>17544198937239.344</v>
      </c>
      <c r="CO8" s="247"/>
      <c r="CP8" s="247" t="s">
        <v>642</v>
      </c>
      <c r="CQ8" s="247">
        <v>290287341193.58997</v>
      </c>
      <c r="CR8" s="245"/>
      <c r="CS8" s="277">
        <v>2017</v>
      </c>
      <c r="CT8" s="275">
        <v>27</v>
      </c>
      <c r="CU8" s="275" t="s">
        <v>661</v>
      </c>
      <c r="CV8" s="275">
        <v>-11765046553.619999</v>
      </c>
      <c r="CW8" s="275">
        <v>-12053082076</v>
      </c>
      <c r="CX8" s="275">
        <v>926</v>
      </c>
      <c r="CY8" s="275">
        <v>32470462320.60001</v>
      </c>
      <c r="CZ8" s="275">
        <v>33797893771</v>
      </c>
      <c r="DA8" s="275">
        <v>380</v>
      </c>
      <c r="DB8" s="275">
        <v>44235508874.219955</v>
      </c>
      <c r="DC8" s="275">
        <v>45850975847</v>
      </c>
      <c r="DD8" s="275">
        <v>546</v>
      </c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543</v>
      </c>
      <c r="L9" s="234" t="s">
        <v>542</v>
      </c>
      <c r="M9" s="238">
        <v>251263694755.23767</v>
      </c>
      <c r="N9" s="19"/>
      <c r="O9" s="239"/>
      <c r="P9" s="239"/>
      <c r="Q9" s="239"/>
      <c r="S9" s="253" t="s">
        <v>569</v>
      </c>
      <c r="T9" s="258">
        <v>0</v>
      </c>
      <c r="U9" s="258">
        <v>0</v>
      </c>
      <c r="V9" s="258">
        <v>0</v>
      </c>
      <c r="W9" s="258">
        <v>0</v>
      </c>
      <c r="X9" s="258">
        <v>1</v>
      </c>
      <c r="Y9" s="245"/>
      <c r="Z9" s="253" t="s">
        <v>577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577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578</v>
      </c>
      <c r="AO9" s="253">
        <v>1001195260.39</v>
      </c>
      <c r="AP9" s="253">
        <v>1945</v>
      </c>
      <c r="AQ9" s="253">
        <v>204</v>
      </c>
      <c r="AR9" s="253">
        <v>14396</v>
      </c>
      <c r="AS9" s="253">
        <v>1</v>
      </c>
      <c r="AT9" s="245"/>
      <c r="AU9" s="253" t="s">
        <v>578</v>
      </c>
      <c r="AV9" s="253">
        <v>13395299.98</v>
      </c>
      <c r="AW9" s="253">
        <v>25</v>
      </c>
      <c r="AX9" s="253">
        <v>6</v>
      </c>
      <c r="AY9" s="253">
        <v>781</v>
      </c>
      <c r="AZ9" s="253">
        <v>1</v>
      </c>
      <c r="BA9" s="245"/>
      <c r="BB9" s="253" t="s">
        <v>577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577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624</v>
      </c>
      <c r="BU9" s="266" t="s">
        <v>625</v>
      </c>
      <c r="BV9" s="266" t="s">
        <v>626</v>
      </c>
      <c r="BW9" s="266" t="s">
        <v>627</v>
      </c>
      <c r="BX9" s="266" t="s">
        <v>628</v>
      </c>
      <c r="BY9" s="266" t="s">
        <v>629</v>
      </c>
      <c r="BZ9" s="266" t="s">
        <v>630</v>
      </c>
      <c r="CA9" s="266" t="s">
        <v>631</v>
      </c>
      <c r="CB9" s="266" t="s">
        <v>632</v>
      </c>
      <c r="CC9" s="245"/>
      <c r="CD9" s="269">
        <v>352549547459428.75</v>
      </c>
      <c r="CE9" s="272">
        <v>501730536033.37567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541</v>
      </c>
      <c r="L10" s="234" t="s">
        <v>544</v>
      </c>
      <c r="M10" s="238">
        <v>241865750260.38068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451</v>
      </c>
      <c r="T10" s="258">
        <v>2802888497.842</v>
      </c>
      <c r="U10" s="258">
        <v>102570</v>
      </c>
      <c r="V10" s="258">
        <v>207</v>
      </c>
      <c r="W10" s="258">
        <v>465788</v>
      </c>
      <c r="X10" s="258">
        <v>1</v>
      </c>
      <c r="Y10" s="245"/>
      <c r="Z10" s="253" t="s">
        <v>578</v>
      </c>
      <c r="AA10" s="253">
        <v>373439216.38</v>
      </c>
      <c r="AB10" s="253">
        <v>703</v>
      </c>
      <c r="AC10" s="253">
        <v>208</v>
      </c>
      <c r="AD10" s="253">
        <v>15829</v>
      </c>
      <c r="AE10" s="253">
        <v>1</v>
      </c>
      <c r="AF10" s="253"/>
      <c r="AG10" s="253" t="s">
        <v>578</v>
      </c>
      <c r="AH10" s="253">
        <v>32505440.09</v>
      </c>
      <c r="AI10" s="253">
        <v>63</v>
      </c>
      <c r="AJ10" s="253">
        <v>8</v>
      </c>
      <c r="AK10" s="253">
        <v>656</v>
      </c>
      <c r="AL10" s="253">
        <v>1</v>
      </c>
      <c r="AM10" s="245"/>
      <c r="AN10" s="253" t="s">
        <v>579</v>
      </c>
      <c r="AO10" s="253">
        <v>2215000</v>
      </c>
      <c r="AP10" s="253">
        <v>20</v>
      </c>
      <c r="AQ10" s="253">
        <v>1</v>
      </c>
      <c r="AR10" s="253">
        <v>6886</v>
      </c>
      <c r="AS10" s="253">
        <v>1</v>
      </c>
      <c r="AT10" s="245"/>
      <c r="AU10" s="253" t="s">
        <v>579</v>
      </c>
      <c r="AV10" s="253">
        <v>2215000</v>
      </c>
      <c r="AW10" s="253">
        <v>20</v>
      </c>
      <c r="AX10" s="253">
        <v>1</v>
      </c>
      <c r="AY10" s="253">
        <v>313</v>
      </c>
      <c r="AZ10" s="253">
        <v>1</v>
      </c>
      <c r="BA10" s="245"/>
      <c r="BB10" s="253" t="s">
        <v>578</v>
      </c>
      <c r="BC10" s="253">
        <v>352309973.82999998</v>
      </c>
      <c r="BD10" s="253">
        <v>665</v>
      </c>
      <c r="BE10" s="253">
        <v>58</v>
      </c>
      <c r="BF10" s="253">
        <v>3456</v>
      </c>
      <c r="BG10" s="253">
        <v>1</v>
      </c>
      <c r="BH10" s="247" t="s">
        <v>578</v>
      </c>
      <c r="BI10" s="253">
        <v>0</v>
      </c>
      <c r="BJ10" s="253">
        <v>0</v>
      </c>
      <c r="BK10" s="253">
        <v>0</v>
      </c>
      <c r="BL10" s="253">
        <v>237</v>
      </c>
      <c r="BM10" s="253">
        <v>1</v>
      </c>
      <c r="BN10" s="253"/>
      <c r="BO10" s="252" t="s">
        <v>472</v>
      </c>
      <c r="BP10" s="264" t="s">
        <v>564</v>
      </c>
      <c r="BQ10" s="264" t="s">
        <v>565</v>
      </c>
      <c r="BR10" s="264" t="s">
        <v>566</v>
      </c>
      <c r="BS10" s="245"/>
      <c r="BT10" s="265" t="s">
        <v>139</v>
      </c>
      <c r="BU10" s="265">
        <v>51</v>
      </c>
      <c r="BV10" s="265">
        <v>6</v>
      </c>
      <c r="BW10" s="265">
        <v>12</v>
      </c>
      <c r="BX10" s="265">
        <v>4</v>
      </c>
      <c r="BY10" s="265">
        <v>0</v>
      </c>
      <c r="BZ10" s="265">
        <v>41</v>
      </c>
      <c r="CA10" s="265">
        <v>39</v>
      </c>
      <c r="CB10" s="265">
        <v>12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543</v>
      </c>
      <c r="L11" s="234" t="s">
        <v>544</v>
      </c>
      <c r="M11" s="238">
        <v>239635964807.31409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450</v>
      </c>
      <c r="T11" s="258">
        <v>8359.6</v>
      </c>
      <c r="U11" s="258">
        <v>2336589</v>
      </c>
      <c r="V11" s="258">
        <v>142</v>
      </c>
      <c r="W11" s="258">
        <v>10185479</v>
      </c>
      <c r="X11" s="258">
        <v>1</v>
      </c>
      <c r="Y11" s="245"/>
      <c r="Z11" s="253" t="s">
        <v>579</v>
      </c>
      <c r="AA11" s="253">
        <v>66592385</v>
      </c>
      <c r="AB11" s="253">
        <v>590</v>
      </c>
      <c r="AC11" s="253">
        <v>11</v>
      </c>
      <c r="AD11" s="253">
        <v>8152</v>
      </c>
      <c r="AE11" s="253">
        <v>1</v>
      </c>
      <c r="AF11" s="253"/>
      <c r="AG11" s="253" t="s">
        <v>579</v>
      </c>
      <c r="AH11" s="253">
        <v>0</v>
      </c>
      <c r="AI11" s="253">
        <v>0</v>
      </c>
      <c r="AJ11" s="253">
        <v>0</v>
      </c>
      <c r="AK11" s="253">
        <v>413</v>
      </c>
      <c r="AL11" s="253">
        <v>1</v>
      </c>
      <c r="AM11" s="245"/>
      <c r="AN11" s="253" t="s">
        <v>580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580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579</v>
      </c>
      <c r="BC11" s="253">
        <v>33249681.5</v>
      </c>
      <c r="BD11" s="253">
        <v>357</v>
      </c>
      <c r="BE11" s="253">
        <v>6</v>
      </c>
      <c r="BF11" s="253">
        <v>4218</v>
      </c>
      <c r="BG11" s="253">
        <v>1</v>
      </c>
      <c r="BH11" s="247" t="s">
        <v>579</v>
      </c>
      <c r="BI11" s="253">
        <v>0</v>
      </c>
      <c r="BJ11" s="253">
        <v>0</v>
      </c>
      <c r="BK11" s="253">
        <v>0</v>
      </c>
      <c r="BL11" s="253">
        <v>350</v>
      </c>
      <c r="BM11" s="253">
        <v>1</v>
      </c>
      <c r="BN11" s="253"/>
      <c r="BO11" s="247"/>
      <c r="BP11" s="263">
        <v>39557136400.32</v>
      </c>
      <c r="BQ11" s="263">
        <v>13905685</v>
      </c>
      <c r="BR11" s="263">
        <v>19424</v>
      </c>
      <c r="BS11" s="245"/>
      <c r="BT11" s="265" t="s">
        <v>633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638</v>
      </c>
      <c r="CE11" s="266" t="s">
        <v>640</v>
      </c>
      <c r="CF11" s="245"/>
      <c r="CG11" s="245"/>
      <c r="CH11" s="245"/>
      <c r="CI11" s="267" t="s">
        <v>511</v>
      </c>
      <c r="CJ11" s="247" t="s">
        <v>117</v>
      </c>
      <c r="CK11" s="247">
        <v>268618</v>
      </c>
      <c r="CL11" s="267" t="s">
        <v>514</v>
      </c>
      <c r="CM11" s="247" t="s">
        <v>117</v>
      </c>
      <c r="CN11" s="247">
        <v>162934</v>
      </c>
      <c r="CO11" s="267" t="s">
        <v>517</v>
      </c>
      <c r="CP11" s="247" t="s">
        <v>117</v>
      </c>
      <c r="CQ11" s="247">
        <v>7069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449</v>
      </c>
      <c r="T12" s="258">
        <v>0</v>
      </c>
      <c r="U12" s="258">
        <v>0</v>
      </c>
      <c r="V12" s="258">
        <v>0</v>
      </c>
      <c r="W12" s="258">
        <v>0</v>
      </c>
      <c r="X12" s="258">
        <v>0</v>
      </c>
      <c r="Y12" s="245"/>
      <c r="Z12" s="253" t="s">
        <v>580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580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581</v>
      </c>
      <c r="AO12" s="253">
        <v>7759898020.8000002</v>
      </c>
      <c r="AP12" s="253">
        <v>37435</v>
      </c>
      <c r="AQ12" s="253">
        <v>6166</v>
      </c>
      <c r="AR12" s="253">
        <v>635737</v>
      </c>
      <c r="AS12" s="253">
        <v>1</v>
      </c>
      <c r="AT12" s="245"/>
      <c r="AU12" s="253" t="s">
        <v>581</v>
      </c>
      <c r="AV12" s="253">
        <v>231248759.03999999</v>
      </c>
      <c r="AW12" s="253">
        <v>1083</v>
      </c>
      <c r="AX12" s="253">
        <v>363</v>
      </c>
      <c r="AY12" s="253">
        <v>27368</v>
      </c>
      <c r="AZ12" s="253">
        <v>1</v>
      </c>
      <c r="BA12" s="245"/>
      <c r="BB12" s="253" t="s">
        <v>580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580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634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3296485383977024.5</v>
      </c>
      <c r="CE12" s="272">
        <v>4830904301078.5869</v>
      </c>
      <c r="CF12" s="245"/>
      <c r="CG12" s="245"/>
      <c r="CH12" s="245"/>
      <c r="CI12" s="247"/>
      <c r="CJ12" s="247" t="s">
        <v>641</v>
      </c>
      <c r="CK12" s="247">
        <v>6978011935070</v>
      </c>
      <c r="CL12" s="247"/>
      <c r="CM12" s="247" t="s">
        <v>641</v>
      </c>
      <c r="CN12" s="247">
        <v>18867643392760</v>
      </c>
      <c r="CO12" s="247"/>
      <c r="CP12" s="247" t="s">
        <v>641</v>
      </c>
      <c r="CQ12" s="247">
        <v>706383704285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539</v>
      </c>
      <c r="L13" s="235" t="s">
        <v>540</v>
      </c>
      <c r="M13" s="237" t="s">
        <v>537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447</v>
      </c>
      <c r="T13" s="258">
        <v>935389867.02999997</v>
      </c>
      <c r="U13" s="258">
        <v>878141</v>
      </c>
      <c r="V13" s="258">
        <v>665</v>
      </c>
      <c r="W13" s="258">
        <v>2565650</v>
      </c>
      <c r="X13" s="258">
        <v>0</v>
      </c>
      <c r="Y13" s="245"/>
      <c r="Z13" s="253" t="s">
        <v>581</v>
      </c>
      <c r="AA13" s="253">
        <v>12959789263.74</v>
      </c>
      <c r="AB13" s="253">
        <v>60557</v>
      </c>
      <c r="AC13" s="253">
        <v>7835</v>
      </c>
      <c r="AD13" s="253">
        <v>575482</v>
      </c>
      <c r="AE13" s="253">
        <v>1</v>
      </c>
      <c r="AF13" s="253"/>
      <c r="AG13" s="253" t="s">
        <v>581</v>
      </c>
      <c r="AH13" s="253">
        <v>844998187.05999994</v>
      </c>
      <c r="AI13" s="253">
        <v>4176</v>
      </c>
      <c r="AJ13" s="253">
        <v>319</v>
      </c>
      <c r="AK13" s="253">
        <v>24211</v>
      </c>
      <c r="AL13" s="253">
        <v>1</v>
      </c>
      <c r="AM13" s="245"/>
      <c r="AN13" s="253" t="s">
        <v>582</v>
      </c>
      <c r="AO13" s="253">
        <v>0</v>
      </c>
      <c r="AP13" s="253">
        <v>0</v>
      </c>
      <c r="AQ13" s="253">
        <v>0</v>
      </c>
      <c r="AR13" s="253">
        <v>0</v>
      </c>
      <c r="AS13" s="253">
        <v>1</v>
      </c>
      <c r="AT13" s="245"/>
      <c r="AU13" s="253" t="s">
        <v>582</v>
      </c>
      <c r="AV13" s="253">
        <v>0</v>
      </c>
      <c r="AW13" s="253">
        <v>0</v>
      </c>
      <c r="AX13" s="253">
        <v>0</v>
      </c>
      <c r="AY13" s="253">
        <v>0</v>
      </c>
      <c r="AZ13" s="253">
        <v>1</v>
      </c>
      <c r="BA13" s="245"/>
      <c r="BB13" s="253" t="s">
        <v>581</v>
      </c>
      <c r="BC13" s="253">
        <v>12764114002.299999</v>
      </c>
      <c r="BD13" s="253">
        <v>41240</v>
      </c>
      <c r="BE13" s="253">
        <v>6955</v>
      </c>
      <c r="BF13" s="253">
        <v>360925</v>
      </c>
      <c r="BG13" s="253">
        <v>1</v>
      </c>
      <c r="BH13" s="247" t="s">
        <v>581</v>
      </c>
      <c r="BI13" s="253">
        <v>861829107.00999999</v>
      </c>
      <c r="BJ13" s="253">
        <v>2690</v>
      </c>
      <c r="BK13" s="253">
        <v>351</v>
      </c>
      <c r="BL13" s="253">
        <v>14267</v>
      </c>
      <c r="BM13" s="253">
        <v>1</v>
      </c>
      <c r="BN13" s="253"/>
      <c r="BO13" s="252" t="s">
        <v>484</v>
      </c>
      <c r="BP13" s="264" t="s">
        <v>567</v>
      </c>
      <c r="BQ13" s="263"/>
      <c r="BR13" s="263"/>
      <c r="BS13" s="245"/>
      <c r="BT13" s="265" t="s">
        <v>635</v>
      </c>
      <c r="BU13" s="265">
        <v>319</v>
      </c>
      <c r="BV13" s="265">
        <v>12</v>
      </c>
      <c r="BW13" s="265">
        <v>22</v>
      </c>
      <c r="BX13" s="265">
        <v>0</v>
      </c>
      <c r="BY13" s="265">
        <v>4</v>
      </c>
      <c r="BZ13" s="265">
        <v>313</v>
      </c>
      <c r="CA13" s="265">
        <v>257</v>
      </c>
      <c r="CB13" s="265">
        <v>62</v>
      </c>
      <c r="CC13" s="245"/>
      <c r="CD13" s="245"/>
      <c r="CE13" s="245"/>
      <c r="CF13" s="245"/>
      <c r="CG13" s="245"/>
      <c r="CH13" s="245"/>
      <c r="CI13" s="247"/>
      <c r="CJ13" s="247" t="s">
        <v>642</v>
      </c>
      <c r="CK13" s="247">
        <v>7220727165652.6064</v>
      </c>
      <c r="CL13" s="247"/>
      <c r="CM13" s="247" t="s">
        <v>642</v>
      </c>
      <c r="CN13" s="247">
        <v>18421794996243.508</v>
      </c>
      <c r="CO13" s="247"/>
      <c r="CP13" s="247" t="s">
        <v>642</v>
      </c>
      <c r="CQ13" s="247">
        <v>352492599681.80011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541</v>
      </c>
      <c r="L14" s="234" t="s">
        <v>542</v>
      </c>
      <c r="M14" s="238">
        <v>222423964285.70001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448</v>
      </c>
      <c r="T14" s="245">
        <v>390</v>
      </c>
      <c r="U14" s="245">
        <v>452104</v>
      </c>
      <c r="V14" s="245">
        <v>3871</v>
      </c>
      <c r="W14" s="245">
        <v>971285</v>
      </c>
      <c r="X14" s="245">
        <v>1</v>
      </c>
      <c r="Y14" s="245"/>
      <c r="Z14" s="253" t="s">
        <v>582</v>
      </c>
      <c r="AA14" s="253">
        <v>0</v>
      </c>
      <c r="AB14" s="253">
        <v>0</v>
      </c>
      <c r="AC14" s="253">
        <v>0</v>
      </c>
      <c r="AD14" s="253">
        <v>0</v>
      </c>
      <c r="AE14" s="253">
        <v>1</v>
      </c>
      <c r="AF14" s="253"/>
      <c r="AG14" s="253" t="s">
        <v>582</v>
      </c>
      <c r="AH14" s="253">
        <v>0</v>
      </c>
      <c r="AI14" s="253">
        <v>0</v>
      </c>
      <c r="AJ14" s="253">
        <v>0</v>
      </c>
      <c r="AK14" s="253">
        <v>0</v>
      </c>
      <c r="AL14" s="253">
        <v>1</v>
      </c>
      <c r="AM14" s="245"/>
      <c r="AN14" s="253" t="s">
        <v>583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583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582</v>
      </c>
      <c r="BC14" s="253">
        <v>0</v>
      </c>
      <c r="BD14" s="253">
        <v>0</v>
      </c>
      <c r="BE14" s="253">
        <v>0</v>
      </c>
      <c r="BF14" s="253">
        <v>0</v>
      </c>
      <c r="BG14" s="253">
        <v>1</v>
      </c>
      <c r="BH14" s="247" t="s">
        <v>582</v>
      </c>
      <c r="BI14" s="253">
        <v>0</v>
      </c>
      <c r="BJ14" s="253">
        <v>0</v>
      </c>
      <c r="BK14" s="253">
        <v>0</v>
      </c>
      <c r="BL14" s="253">
        <v>0</v>
      </c>
      <c r="BM14" s="253">
        <v>1</v>
      </c>
      <c r="BN14" s="253"/>
      <c r="BO14" s="247"/>
      <c r="BP14" s="263">
        <v>42435282</v>
      </c>
      <c r="BQ14" s="263"/>
      <c r="BR14" s="263"/>
      <c r="BS14" s="245"/>
      <c r="BT14" s="265" t="s">
        <v>636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638</v>
      </c>
      <c r="CE14" s="273" t="s">
        <v>640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662</v>
      </c>
      <c r="CT14" s="275" t="s">
        <v>644</v>
      </c>
      <c r="CU14" s="275" t="s">
        <v>645</v>
      </c>
      <c r="CV14" s="275" t="s">
        <v>646</v>
      </c>
      <c r="CW14" s="275" t="s">
        <v>647</v>
      </c>
      <c r="CX14" s="275" t="s">
        <v>648</v>
      </c>
      <c r="CY14" s="275" t="s">
        <v>649</v>
      </c>
      <c r="CZ14" s="275" t="s">
        <v>650</v>
      </c>
      <c r="DA14" s="275" t="s">
        <v>651</v>
      </c>
      <c r="DB14" s="275" t="s">
        <v>652</v>
      </c>
      <c r="DC14" s="275" t="s">
        <v>653</v>
      </c>
      <c r="DD14" s="275" t="s">
        <v>654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543</v>
      </c>
      <c r="L15" s="234" t="s">
        <v>542</v>
      </c>
      <c r="M15" s="238">
        <v>254094215724.95001</v>
      </c>
      <c r="N15" s="156"/>
      <c r="O15" s="240"/>
      <c r="P15" s="240"/>
      <c r="Q15" s="240"/>
      <c r="R15" s="153" t="s">
        <v>453</v>
      </c>
      <c r="S15" s="254" t="s">
        <v>563</v>
      </c>
      <c r="T15" s="257" t="s">
        <v>564</v>
      </c>
      <c r="U15" s="257" t="s">
        <v>565</v>
      </c>
      <c r="V15" s="257" t="s">
        <v>566</v>
      </c>
      <c r="W15" s="257" t="s">
        <v>567</v>
      </c>
      <c r="X15" s="257" t="s">
        <v>568</v>
      </c>
      <c r="Y15" s="245"/>
      <c r="Z15" s="253" t="s">
        <v>583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583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584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584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583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583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3354287122676651.5</v>
      </c>
      <c r="CE15" s="274">
        <v>5435776489404.0049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663</v>
      </c>
      <c r="CT15" s="275">
        <v>17</v>
      </c>
      <c r="CU15" s="275" t="s">
        <v>655</v>
      </c>
      <c r="CV15" s="275">
        <v>0</v>
      </c>
      <c r="CW15" s="275">
        <v>-881676860</v>
      </c>
      <c r="CX15" s="275">
        <v>401</v>
      </c>
      <c r="CY15" s="275">
        <v>0</v>
      </c>
      <c r="CZ15" s="275">
        <v>30518579960</v>
      </c>
      <c r="DA15" s="275">
        <v>192</v>
      </c>
      <c r="DB15" s="275">
        <v>0</v>
      </c>
      <c r="DC15" s="275">
        <v>31400256820</v>
      </c>
      <c r="DD15" s="275">
        <v>209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541</v>
      </c>
      <c r="L16" s="234" t="s">
        <v>544</v>
      </c>
      <c r="M16" s="238">
        <v>232728374549.85999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 t="s">
        <v>449</v>
      </c>
      <c r="T16" s="258">
        <v>4679467.67</v>
      </c>
      <c r="U16" s="258">
        <v>5200</v>
      </c>
      <c r="V16" s="258">
        <v>5</v>
      </c>
      <c r="W16" s="258">
        <v>10661603</v>
      </c>
      <c r="X16" s="258">
        <v>1</v>
      </c>
      <c r="Y16" s="245"/>
      <c r="Z16" s="253" t="s">
        <v>584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584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585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585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619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584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567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663</v>
      </c>
      <c r="CT16" s="275">
        <v>20</v>
      </c>
      <c r="CU16" s="275" t="s">
        <v>657</v>
      </c>
      <c r="CV16" s="275">
        <v>-93657018291.539978</v>
      </c>
      <c r="CW16" s="275">
        <v>-76935314202</v>
      </c>
      <c r="CX16" s="275">
        <v>939</v>
      </c>
      <c r="CY16" s="275">
        <v>54514823226.650002</v>
      </c>
      <c r="CZ16" s="275">
        <v>60971600000</v>
      </c>
      <c r="DA16" s="275">
        <v>615</v>
      </c>
      <c r="DB16" s="275">
        <v>148171841518.18997</v>
      </c>
      <c r="DC16" s="275">
        <v>137906914202</v>
      </c>
      <c r="DD16" s="275">
        <v>324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543</v>
      </c>
      <c r="L17" s="234" t="s">
        <v>544</v>
      </c>
      <c r="M17" s="238">
        <v>243789805460.79001</v>
      </c>
      <c r="N17" s="156"/>
      <c r="O17" s="344">
        <v>645668000000</v>
      </c>
      <c r="P17" s="344">
        <v>-645833000000</v>
      </c>
      <c r="Q17" s="344">
        <v>-165000000</v>
      </c>
      <c r="S17" s="253" t="s">
        <v>447</v>
      </c>
      <c r="T17" s="258">
        <v>30545695.34</v>
      </c>
      <c r="U17" s="258">
        <v>41909</v>
      </c>
      <c r="V17" s="258">
        <v>50</v>
      </c>
      <c r="W17" s="258">
        <v>2565650</v>
      </c>
      <c r="X17" s="258">
        <v>0</v>
      </c>
      <c r="Y17" s="245"/>
      <c r="Z17" s="253" t="s">
        <v>585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585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586</v>
      </c>
      <c r="AO17" s="253">
        <v>2726000</v>
      </c>
      <c r="AP17" s="253">
        <v>20</v>
      </c>
      <c r="AQ17" s="253">
        <v>1</v>
      </c>
      <c r="AR17" s="253">
        <v>5590</v>
      </c>
      <c r="AS17" s="253">
        <v>1</v>
      </c>
      <c r="AT17" s="245"/>
      <c r="AU17" s="253" t="s">
        <v>586</v>
      </c>
      <c r="AV17" s="253">
        <v>2726000</v>
      </c>
      <c r="AW17" s="253">
        <v>20</v>
      </c>
      <c r="AX17" s="253">
        <v>1</v>
      </c>
      <c r="AY17" s="253">
        <v>235</v>
      </c>
      <c r="AZ17" s="253">
        <v>1</v>
      </c>
      <c r="BA17" s="245"/>
      <c r="BB17" s="253" t="s">
        <v>584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585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3552784</v>
      </c>
      <c r="BQ17" s="263"/>
      <c r="BR17" s="263"/>
      <c r="BS17" s="256" t="s">
        <v>500</v>
      </c>
      <c r="BT17" s="266" t="s">
        <v>624</v>
      </c>
      <c r="BU17" s="266" t="s">
        <v>625</v>
      </c>
      <c r="BV17" s="266" t="s">
        <v>626</v>
      </c>
      <c r="BW17" s="266" t="s">
        <v>627</v>
      </c>
      <c r="BX17" s="266" t="s">
        <v>628</v>
      </c>
      <c r="BY17" s="266" t="s">
        <v>629</v>
      </c>
      <c r="BZ17" s="266" t="s">
        <v>630</v>
      </c>
      <c r="CA17" s="266" t="s">
        <v>631</v>
      </c>
      <c r="CB17" s="266" t="s">
        <v>632</v>
      </c>
      <c r="CC17" s="358" t="s">
        <v>528</v>
      </c>
      <c r="CD17" s="357" t="s">
        <v>638</v>
      </c>
      <c r="CE17" s="357" t="s">
        <v>640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663</v>
      </c>
      <c r="CT17" s="275">
        <v>20</v>
      </c>
      <c r="CU17" s="275" t="s">
        <v>658</v>
      </c>
      <c r="CV17" s="275">
        <v>91067457060.469986</v>
      </c>
      <c r="CW17" s="275">
        <v>74630094055</v>
      </c>
      <c r="CX17" s="275">
        <v>928</v>
      </c>
      <c r="CY17" s="275">
        <v>144851163354.54004</v>
      </c>
      <c r="CZ17" s="275">
        <v>134674694055</v>
      </c>
      <c r="DA17" s="275">
        <v>319</v>
      </c>
      <c r="DB17" s="275">
        <v>53783706294.069977</v>
      </c>
      <c r="DC17" s="275">
        <v>60044600000</v>
      </c>
      <c r="DD17" s="275">
        <v>609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0</v>
      </c>
      <c r="U18" s="258">
        <v>0</v>
      </c>
      <c r="V18" s="258">
        <v>0</v>
      </c>
      <c r="W18" s="258">
        <v>286090</v>
      </c>
      <c r="X18" s="258">
        <v>0</v>
      </c>
      <c r="Y18" s="245"/>
      <c r="Z18" s="253" t="s">
        <v>586</v>
      </c>
      <c r="AA18" s="253">
        <v>67176849.974999994</v>
      </c>
      <c r="AB18" s="253">
        <v>470</v>
      </c>
      <c r="AC18" s="253">
        <v>6</v>
      </c>
      <c r="AD18" s="253">
        <v>5170</v>
      </c>
      <c r="AE18" s="253">
        <v>1</v>
      </c>
      <c r="AF18" s="253"/>
      <c r="AG18" s="253" t="s">
        <v>586</v>
      </c>
      <c r="AH18" s="253">
        <v>0</v>
      </c>
      <c r="AI18" s="253">
        <v>0</v>
      </c>
      <c r="AJ18" s="253">
        <v>0</v>
      </c>
      <c r="AK18" s="253">
        <v>235</v>
      </c>
      <c r="AL18" s="253">
        <v>1</v>
      </c>
      <c r="AM18" s="245"/>
      <c r="AN18" s="253" t="s">
        <v>587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587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585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586</v>
      </c>
      <c r="BI18" s="253">
        <v>0</v>
      </c>
      <c r="BJ18" s="253">
        <v>0</v>
      </c>
      <c r="BK18" s="253">
        <v>0</v>
      </c>
      <c r="BL18" s="253">
        <v>320</v>
      </c>
      <c r="BM18" s="253">
        <v>1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59</v>
      </c>
      <c r="BV18" s="265">
        <v>5</v>
      </c>
      <c r="BW18" s="265">
        <v>7</v>
      </c>
      <c r="BX18" s="265">
        <v>3</v>
      </c>
      <c r="BY18" s="265">
        <v>0</v>
      </c>
      <c r="BZ18" s="265">
        <v>54</v>
      </c>
      <c r="CA18" s="265">
        <v>41</v>
      </c>
      <c r="CB18" s="265">
        <v>18</v>
      </c>
      <c r="CC18" s="355"/>
      <c r="CD18" s="359">
        <v>15713317634305.27</v>
      </c>
      <c r="CE18" s="360">
        <v>42812308490.541122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663</v>
      </c>
      <c r="CT18" s="275">
        <v>89</v>
      </c>
      <c r="CU18" s="275" t="s">
        <v>659</v>
      </c>
      <c r="CV18" s="275">
        <v>-8868689519.7499943</v>
      </c>
      <c r="CW18" s="275">
        <v>-9326754028</v>
      </c>
      <c r="CX18" s="275">
        <v>952</v>
      </c>
      <c r="CY18" s="275">
        <v>16535457292.709993</v>
      </c>
      <c r="CZ18" s="275">
        <v>16637724930</v>
      </c>
      <c r="DA18" s="275">
        <v>477</v>
      </c>
      <c r="DB18" s="275">
        <v>25404146812.460014</v>
      </c>
      <c r="DC18" s="275">
        <v>25964478958</v>
      </c>
      <c r="DD18" s="275">
        <v>475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539</v>
      </c>
      <c r="L19" s="235" t="s">
        <v>540</v>
      </c>
      <c r="M19" s="237" t="s">
        <v>537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587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587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588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588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586</v>
      </c>
      <c r="BC19" s="253">
        <v>32553929.543000001</v>
      </c>
      <c r="BD19" s="253">
        <v>320</v>
      </c>
      <c r="BE19" s="253">
        <v>3</v>
      </c>
      <c r="BF19" s="253">
        <v>3839</v>
      </c>
      <c r="BG19" s="253">
        <v>1</v>
      </c>
      <c r="BH19" s="247" t="s">
        <v>587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537</v>
      </c>
      <c r="BQ19" s="264" t="s">
        <v>565</v>
      </c>
      <c r="BR19" s="264" t="s">
        <v>566</v>
      </c>
      <c r="BS19" s="245"/>
      <c r="BT19" s="265" t="s">
        <v>633</v>
      </c>
      <c r="BU19" s="265">
        <v>3</v>
      </c>
      <c r="BV19" s="265">
        <v>1</v>
      </c>
      <c r="BW19" s="265">
        <v>0</v>
      </c>
      <c r="BX19" s="265">
        <v>0</v>
      </c>
      <c r="BY19" s="265">
        <v>0</v>
      </c>
      <c r="BZ19" s="265">
        <v>4</v>
      </c>
      <c r="CA19" s="265">
        <v>3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663</v>
      </c>
      <c r="CT19" s="275">
        <v>42</v>
      </c>
      <c r="CU19" s="275" t="s">
        <v>660</v>
      </c>
      <c r="CV19" s="275">
        <v>175771209.91000259</v>
      </c>
      <c r="CW19" s="275">
        <v>2524035032</v>
      </c>
      <c r="CX19" s="275">
        <v>3660</v>
      </c>
      <c r="CY19" s="275">
        <v>111131257687.89992</v>
      </c>
      <c r="CZ19" s="275">
        <v>112137716263</v>
      </c>
      <c r="DA19" s="275">
        <v>2048</v>
      </c>
      <c r="DB19" s="275">
        <v>110955486477.99004</v>
      </c>
      <c r="DC19" s="275">
        <v>109613681231</v>
      </c>
      <c r="DD19" s="275">
        <v>1612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541</v>
      </c>
      <c r="L20" s="234" t="s">
        <v>542</v>
      </c>
      <c r="M20" s="238">
        <v>199542424262.17999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43384558</v>
      </c>
      <c r="U20" s="258">
        <v>22792</v>
      </c>
      <c r="V20" s="258">
        <v>24</v>
      </c>
      <c r="W20" s="258">
        <v>1207622</v>
      </c>
      <c r="X20" s="258">
        <v>0</v>
      </c>
      <c r="Y20" s="245"/>
      <c r="Z20" s="253" t="s">
        <v>588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588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589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589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587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588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132547984144.32001</v>
      </c>
      <c r="BQ20" s="263">
        <v>1305932</v>
      </c>
      <c r="BR20" s="263">
        <v>1142</v>
      </c>
      <c r="BS20" s="245"/>
      <c r="BT20" s="265" t="s">
        <v>634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638</v>
      </c>
      <c r="CE20" s="357" t="s">
        <v>640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663</v>
      </c>
      <c r="CT20" s="275">
        <v>14</v>
      </c>
      <c r="CU20" s="275" t="s">
        <v>661</v>
      </c>
      <c r="CV20" s="275">
        <v>-2389450335.7699995</v>
      </c>
      <c r="CW20" s="275">
        <v>-2205202000</v>
      </c>
      <c r="CX20" s="275">
        <v>101</v>
      </c>
      <c r="CY20" s="275">
        <v>2765668131.4299998</v>
      </c>
      <c r="CZ20" s="275">
        <v>2849050000</v>
      </c>
      <c r="DA20" s="275">
        <v>34</v>
      </c>
      <c r="DB20" s="275">
        <v>5155118467.1999989</v>
      </c>
      <c r="DC20" s="275">
        <v>5054252000</v>
      </c>
      <c r="DD20" s="275">
        <v>67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543</v>
      </c>
      <c r="L21" s="234" t="s">
        <v>542</v>
      </c>
      <c r="M21" s="238">
        <v>226676858585.24997</v>
      </c>
      <c r="O21" s="239"/>
      <c r="P21" s="239"/>
      <c r="Q21" s="239"/>
      <c r="S21" s="253" t="s">
        <v>569</v>
      </c>
      <c r="T21" s="258">
        <v>0</v>
      </c>
      <c r="U21" s="258">
        <v>0</v>
      </c>
      <c r="V21" s="258">
        <v>0</v>
      </c>
      <c r="W21" s="258">
        <v>0</v>
      </c>
      <c r="X21" s="258">
        <v>1</v>
      </c>
      <c r="Y21" s="245"/>
      <c r="Z21" s="253" t="s">
        <v>589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589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590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590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588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589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635</v>
      </c>
      <c r="BU21" s="265">
        <v>323</v>
      </c>
      <c r="BV21" s="265">
        <v>9</v>
      </c>
      <c r="BW21" s="265">
        <v>16</v>
      </c>
      <c r="BX21" s="265">
        <v>0</v>
      </c>
      <c r="BY21" s="265">
        <v>4</v>
      </c>
      <c r="BZ21" s="265">
        <v>320</v>
      </c>
      <c r="CA21" s="265">
        <v>265</v>
      </c>
      <c r="CB21" s="265">
        <v>58</v>
      </c>
      <c r="CC21" s="355"/>
      <c r="CD21" s="359">
        <v>3557500072667717.5</v>
      </c>
      <c r="CE21" s="360">
        <v>5224200008483.9746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541</v>
      </c>
      <c r="L22" s="234" t="s">
        <v>544</v>
      </c>
      <c r="M22" s="238">
        <v>209145386696.16998</v>
      </c>
      <c r="O22" s="239"/>
      <c r="P22" s="239"/>
      <c r="Q22" s="239"/>
      <c r="S22" s="253" t="s">
        <v>447</v>
      </c>
      <c r="T22" s="258">
        <v>337257076.10000002</v>
      </c>
      <c r="U22" s="258">
        <v>61736</v>
      </c>
      <c r="V22" s="258">
        <v>234</v>
      </c>
      <c r="W22" s="258">
        <v>1395445</v>
      </c>
      <c r="X22" s="258">
        <v>1</v>
      </c>
      <c r="Y22" s="245"/>
      <c r="Z22" s="253" t="s">
        <v>590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590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591</v>
      </c>
      <c r="AO22" s="253">
        <v>28584925.140000001</v>
      </c>
      <c r="AP22" s="253">
        <v>3841</v>
      </c>
      <c r="AQ22" s="253">
        <v>269</v>
      </c>
      <c r="AR22" s="253">
        <v>106074</v>
      </c>
      <c r="AS22" s="253">
        <v>0</v>
      </c>
      <c r="AT22" s="245"/>
      <c r="AU22" s="253" t="s">
        <v>591</v>
      </c>
      <c r="AV22" s="253">
        <v>161114</v>
      </c>
      <c r="AW22" s="253">
        <v>27</v>
      </c>
      <c r="AX22" s="253">
        <v>15</v>
      </c>
      <c r="AY22" s="253">
        <v>4855</v>
      </c>
      <c r="AZ22" s="253">
        <v>0</v>
      </c>
      <c r="BA22" s="245"/>
      <c r="BB22" s="253" t="s">
        <v>589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590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537</v>
      </c>
      <c r="BQ22" s="264" t="s">
        <v>565</v>
      </c>
      <c r="BR22" s="264" t="s">
        <v>566</v>
      </c>
      <c r="BS22" s="245"/>
      <c r="BT22" s="245" t="s">
        <v>636</v>
      </c>
      <c r="BU22" s="265">
        <v>1</v>
      </c>
      <c r="BV22" s="245">
        <v>0</v>
      </c>
      <c r="BW22" s="245">
        <v>0</v>
      </c>
      <c r="BX22" s="245">
        <v>1</v>
      </c>
      <c r="BY22" s="245">
        <v>0</v>
      </c>
      <c r="BZ22" s="245">
        <v>0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554</v>
      </c>
      <c r="F23" s="227" t="s">
        <v>444</v>
      </c>
      <c r="G23" s="224" t="s">
        <v>226</v>
      </c>
      <c r="H23" s="224" t="s">
        <v>545</v>
      </c>
      <c r="I23" s="165"/>
      <c r="J23" s="152" t="str">
        <f>K23&amp;L23</f>
        <v>PSell</v>
      </c>
      <c r="K23" s="234" t="s">
        <v>543</v>
      </c>
      <c r="L23" s="234" t="s">
        <v>544</v>
      </c>
      <c r="M23" s="238">
        <v>217073896151.26001</v>
      </c>
      <c r="N23" s="163" t="s">
        <v>445</v>
      </c>
      <c r="O23" s="242" t="s">
        <v>226</v>
      </c>
      <c r="P23" s="242" t="s">
        <v>545</v>
      </c>
      <c r="Q23" s="239"/>
      <c r="S23" s="253" t="s">
        <v>182</v>
      </c>
      <c r="T23" s="258">
        <v>1358533.5449999999</v>
      </c>
      <c r="U23" s="258">
        <v>13539</v>
      </c>
      <c r="V23" s="258">
        <v>39</v>
      </c>
      <c r="W23" s="258">
        <v>1020901</v>
      </c>
      <c r="X23" s="258">
        <v>1</v>
      </c>
      <c r="Y23" s="245"/>
      <c r="Z23" s="253" t="s">
        <v>591</v>
      </c>
      <c r="AA23" s="253">
        <v>45697863.600000001</v>
      </c>
      <c r="AB23" s="253">
        <v>5074</v>
      </c>
      <c r="AC23" s="253">
        <v>472</v>
      </c>
      <c r="AD23" s="253">
        <v>105535</v>
      </c>
      <c r="AE23" s="253">
        <v>0</v>
      </c>
      <c r="AF23" s="253"/>
      <c r="AG23" s="253" t="s">
        <v>591</v>
      </c>
      <c r="AH23" s="253">
        <v>951341</v>
      </c>
      <c r="AI23" s="253">
        <v>99</v>
      </c>
      <c r="AJ23" s="253">
        <v>13</v>
      </c>
      <c r="AK23" s="253">
        <v>3501</v>
      </c>
      <c r="AL23" s="253">
        <v>0</v>
      </c>
      <c r="AM23" s="245"/>
      <c r="AN23" s="253" t="s">
        <v>592</v>
      </c>
      <c r="AO23" s="253">
        <v>4249945.5</v>
      </c>
      <c r="AP23" s="253">
        <v>1286</v>
      </c>
      <c r="AQ23" s="253">
        <v>85</v>
      </c>
      <c r="AR23" s="253">
        <v>93711</v>
      </c>
      <c r="AS23" s="253">
        <v>0</v>
      </c>
      <c r="AT23" s="245"/>
      <c r="AU23" s="253" t="s">
        <v>592</v>
      </c>
      <c r="AV23" s="253">
        <v>0</v>
      </c>
      <c r="AW23" s="253">
        <v>0</v>
      </c>
      <c r="AX23" s="253">
        <v>0</v>
      </c>
      <c r="AY23" s="253">
        <v>4521</v>
      </c>
      <c r="AZ23" s="253">
        <v>0</v>
      </c>
      <c r="BA23" s="245"/>
      <c r="BB23" s="253" t="s">
        <v>590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591</v>
      </c>
      <c r="BI23" s="253">
        <v>0</v>
      </c>
      <c r="BJ23" s="253">
        <v>0</v>
      </c>
      <c r="BK23" s="253">
        <v>0</v>
      </c>
      <c r="BL23" s="253">
        <v>1437</v>
      </c>
      <c r="BM23" s="253">
        <v>0</v>
      </c>
      <c r="BN23" s="253"/>
      <c r="BO23" s="247"/>
      <c r="BP23" s="263">
        <v>2940545682.23</v>
      </c>
      <c r="BQ23" s="263">
        <v>34036</v>
      </c>
      <c r="BR23" s="263">
        <v>119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271</v>
      </c>
      <c r="H24" s="223">
        <v>10935.746503079999</v>
      </c>
      <c r="I24" s="164"/>
      <c r="K24" s="231"/>
      <c r="L24" s="228"/>
      <c r="M24" s="228"/>
      <c r="O24" s="241" t="s">
        <v>271</v>
      </c>
      <c r="P24" s="241">
        <v>10845.773566059999</v>
      </c>
      <c r="Q24" s="239"/>
      <c r="S24" s="253" t="s">
        <v>449</v>
      </c>
      <c r="T24" s="258">
        <v>0</v>
      </c>
      <c r="U24" s="258">
        <v>0</v>
      </c>
      <c r="V24" s="258">
        <v>0</v>
      </c>
      <c r="W24" s="258">
        <v>0</v>
      </c>
      <c r="X24" s="258">
        <v>0</v>
      </c>
      <c r="Y24" s="245"/>
      <c r="Z24" s="253" t="s">
        <v>592</v>
      </c>
      <c r="AA24" s="253">
        <v>1092036.26</v>
      </c>
      <c r="AB24" s="253">
        <v>349</v>
      </c>
      <c r="AC24" s="253">
        <v>41</v>
      </c>
      <c r="AD24" s="253">
        <v>78927</v>
      </c>
      <c r="AE24" s="253">
        <v>0</v>
      </c>
      <c r="AF24" s="253"/>
      <c r="AG24" s="253" t="s">
        <v>592</v>
      </c>
      <c r="AH24" s="253">
        <v>9500</v>
      </c>
      <c r="AI24" s="253">
        <v>1</v>
      </c>
      <c r="AJ24" s="253">
        <v>1</v>
      </c>
      <c r="AK24" s="253">
        <v>309</v>
      </c>
      <c r="AL24" s="253">
        <v>0</v>
      </c>
      <c r="AM24" s="245"/>
      <c r="AN24" s="253" t="s">
        <v>593</v>
      </c>
      <c r="AO24" s="253">
        <v>14169646510.32</v>
      </c>
      <c r="AP24" s="253">
        <v>72180</v>
      </c>
      <c r="AQ24" s="253">
        <v>12590</v>
      </c>
      <c r="AR24" s="253">
        <v>919179</v>
      </c>
      <c r="AS24" s="253">
        <v>1</v>
      </c>
      <c r="AT24" s="245"/>
      <c r="AU24" s="253" t="s">
        <v>593</v>
      </c>
      <c r="AV24" s="253">
        <v>368597091.72000003</v>
      </c>
      <c r="AW24" s="253">
        <v>1822</v>
      </c>
      <c r="AX24" s="253">
        <v>559</v>
      </c>
      <c r="AY24" s="253">
        <v>41197</v>
      </c>
      <c r="AZ24" s="253">
        <v>1</v>
      </c>
      <c r="BA24" s="245"/>
      <c r="BB24" s="253" t="s">
        <v>591</v>
      </c>
      <c r="BC24" s="253">
        <v>37625306.700000003</v>
      </c>
      <c r="BD24" s="253">
        <v>2531</v>
      </c>
      <c r="BE24" s="253">
        <v>82</v>
      </c>
      <c r="BF24" s="253">
        <v>70633</v>
      </c>
      <c r="BG24" s="253">
        <v>0</v>
      </c>
      <c r="BH24" s="247" t="s">
        <v>592</v>
      </c>
      <c r="BI24" s="253">
        <v>0</v>
      </c>
      <c r="BJ24" s="253">
        <v>0</v>
      </c>
      <c r="BK24" s="253">
        <v>0</v>
      </c>
      <c r="BL24" s="253">
        <v>163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272</v>
      </c>
      <c r="H25" s="223">
        <v>11831.60830224</v>
      </c>
      <c r="I25" s="164"/>
      <c r="K25" s="231"/>
      <c r="L25" s="228"/>
      <c r="M25" s="228"/>
      <c r="O25" s="241" t="s">
        <v>272</v>
      </c>
      <c r="P25" s="241">
        <v>11473.55175608</v>
      </c>
      <c r="Q25" s="239"/>
      <c r="S25" s="253" t="s">
        <v>446</v>
      </c>
      <c r="T25" s="258">
        <v>16840645011.927099</v>
      </c>
      <c r="U25" s="258">
        <v>47650</v>
      </c>
      <c r="V25" s="258">
        <v>12591</v>
      </c>
      <c r="W25" s="258">
        <v>696149</v>
      </c>
      <c r="X25" s="258">
        <v>1</v>
      </c>
      <c r="Y25" s="245"/>
      <c r="Z25" s="253" t="s">
        <v>593</v>
      </c>
      <c r="AA25" s="253">
        <v>18011591897.630001</v>
      </c>
      <c r="AB25" s="253">
        <v>88003</v>
      </c>
      <c r="AC25" s="253">
        <v>15416</v>
      </c>
      <c r="AD25" s="253">
        <v>886997</v>
      </c>
      <c r="AE25" s="253">
        <v>1</v>
      </c>
      <c r="AF25" s="253"/>
      <c r="AG25" s="253" t="s">
        <v>593</v>
      </c>
      <c r="AH25" s="253">
        <v>1066468805.2</v>
      </c>
      <c r="AI25" s="253">
        <v>5487</v>
      </c>
      <c r="AJ25" s="253">
        <v>800</v>
      </c>
      <c r="AK25" s="253">
        <v>39399</v>
      </c>
      <c r="AL25" s="253">
        <v>1</v>
      </c>
      <c r="AM25" s="245"/>
      <c r="AN25" s="253" t="s">
        <v>594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594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592</v>
      </c>
      <c r="BC25" s="253">
        <v>1306385.21</v>
      </c>
      <c r="BD25" s="253">
        <v>277</v>
      </c>
      <c r="BE25" s="253">
        <v>17</v>
      </c>
      <c r="BF25" s="253">
        <v>69287</v>
      </c>
      <c r="BG25" s="253">
        <v>0</v>
      </c>
      <c r="BH25" s="247" t="s">
        <v>593</v>
      </c>
      <c r="BI25" s="253">
        <v>2265768008.5100002</v>
      </c>
      <c r="BJ25" s="253">
        <v>6237</v>
      </c>
      <c r="BK25" s="253">
        <v>858</v>
      </c>
      <c r="BL25" s="253">
        <v>17951</v>
      </c>
      <c r="BM25" s="253">
        <v>1</v>
      </c>
      <c r="BN25" s="253"/>
      <c r="BO25" s="256" t="s">
        <v>486</v>
      </c>
      <c r="BP25" s="264" t="s">
        <v>567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273</v>
      </c>
      <c r="H26" s="223">
        <v>21931.267721929999</v>
      </c>
      <c r="I26" s="164"/>
      <c r="J26" s="157"/>
      <c r="K26" s="232"/>
      <c r="L26" s="228"/>
      <c r="M26" s="228"/>
      <c r="O26" s="241" t="s">
        <v>273</v>
      </c>
      <c r="P26" s="241">
        <v>21265.76134008</v>
      </c>
      <c r="Q26" s="239"/>
      <c r="S26" s="253" t="s">
        <v>451</v>
      </c>
      <c r="T26" s="258">
        <v>0</v>
      </c>
      <c r="U26" s="258">
        <v>0</v>
      </c>
      <c r="V26" s="258">
        <v>0</v>
      </c>
      <c r="W26" s="258">
        <v>465788</v>
      </c>
      <c r="X26" s="258">
        <v>1</v>
      </c>
      <c r="Y26" s="245"/>
      <c r="Z26" s="253" t="s">
        <v>594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594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595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595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593</v>
      </c>
      <c r="BC26" s="253">
        <v>42846082980.659973</v>
      </c>
      <c r="BD26" s="253">
        <v>119773</v>
      </c>
      <c r="BE26" s="253">
        <v>19131</v>
      </c>
      <c r="BF26" s="253">
        <v>479537</v>
      </c>
      <c r="BG26" s="253">
        <v>1</v>
      </c>
      <c r="BH26" s="247" t="s">
        <v>594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1025641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274</v>
      </c>
      <c r="H27" s="223">
        <v>3188.39324115</v>
      </c>
      <c r="I27" s="164"/>
      <c r="J27" s="157"/>
      <c r="K27" s="231"/>
      <c r="L27" s="228"/>
      <c r="M27" s="228"/>
      <c r="O27" s="241" t="s">
        <v>274</v>
      </c>
      <c r="P27" s="241">
        <v>3226.7789191400002</v>
      </c>
      <c r="Q27" s="239"/>
      <c r="S27" s="253" t="s">
        <v>450</v>
      </c>
      <c r="T27" s="258">
        <v>0</v>
      </c>
      <c r="U27" s="258">
        <v>4435</v>
      </c>
      <c r="V27" s="258">
        <v>4</v>
      </c>
      <c r="W27" s="258">
        <v>10185479</v>
      </c>
      <c r="X27" s="258">
        <v>1</v>
      </c>
      <c r="Y27" s="245"/>
      <c r="Z27" s="253" t="s">
        <v>595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596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597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597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594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595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643</v>
      </c>
      <c r="CT27" s="275" t="s">
        <v>644</v>
      </c>
      <c r="CU27" s="275" t="s">
        <v>645</v>
      </c>
      <c r="CV27" s="275" t="s">
        <v>646</v>
      </c>
      <c r="CW27" s="275" t="s">
        <v>647</v>
      </c>
      <c r="CX27" s="275" t="s">
        <v>648</v>
      </c>
      <c r="CY27" s="275" t="s">
        <v>649</v>
      </c>
      <c r="CZ27" s="275" t="s">
        <v>650</v>
      </c>
      <c r="DA27" s="275" t="s">
        <v>651</v>
      </c>
      <c r="DB27" s="275" t="s">
        <v>652</v>
      </c>
      <c r="DC27" s="275" t="s">
        <v>653</v>
      </c>
      <c r="DD27" s="275" t="s">
        <v>654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275</v>
      </c>
      <c r="H28" s="223">
        <v>3417.2915853200002</v>
      </c>
      <c r="I28" s="164"/>
      <c r="J28" s="157"/>
      <c r="K28" s="231"/>
      <c r="L28" s="233"/>
      <c r="M28" s="236"/>
      <c r="O28" s="241" t="s">
        <v>275</v>
      </c>
      <c r="P28" s="241">
        <v>3443.65253747</v>
      </c>
      <c r="Q28" s="239"/>
      <c r="S28" s="245" t="s">
        <v>448</v>
      </c>
      <c r="T28" s="245">
        <v>0</v>
      </c>
      <c r="U28" s="245">
        <v>9598</v>
      </c>
      <c r="V28" s="245">
        <v>213</v>
      </c>
      <c r="W28" s="245">
        <v>971285</v>
      </c>
      <c r="X28" s="245">
        <v>1</v>
      </c>
      <c r="Y28" s="245"/>
      <c r="Z28" s="253" t="s">
        <v>596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595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598</v>
      </c>
      <c r="AO28" s="253">
        <v>3311000</v>
      </c>
      <c r="AP28" s="253">
        <v>13</v>
      </c>
      <c r="AQ28" s="253">
        <v>3</v>
      </c>
      <c r="AR28" s="253">
        <v>332</v>
      </c>
      <c r="AS28" s="253">
        <v>1</v>
      </c>
      <c r="AT28" s="245"/>
      <c r="AU28" s="253" t="s">
        <v>598</v>
      </c>
      <c r="AV28" s="253">
        <v>0</v>
      </c>
      <c r="AW28" s="253">
        <v>0</v>
      </c>
      <c r="AX28" s="253">
        <v>0</v>
      </c>
      <c r="AY28" s="253">
        <v>22</v>
      </c>
      <c r="AZ28" s="253">
        <v>1</v>
      </c>
      <c r="BA28" s="245"/>
      <c r="BB28" s="253" t="s">
        <v>595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597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567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2016</v>
      </c>
      <c r="CT28" s="275">
        <v>34</v>
      </c>
      <c r="CU28" s="275" t="s">
        <v>655</v>
      </c>
      <c r="CV28" s="275">
        <v>0</v>
      </c>
      <c r="CW28" s="275">
        <v>-10632811481</v>
      </c>
      <c r="CX28" s="275">
        <v>2259</v>
      </c>
      <c r="CY28" s="275">
        <v>0</v>
      </c>
      <c r="CZ28" s="275">
        <v>108339399399</v>
      </c>
      <c r="DA28" s="275">
        <v>1131</v>
      </c>
      <c r="DB28" s="275">
        <v>0</v>
      </c>
      <c r="DC28" s="275">
        <v>118972210880</v>
      </c>
      <c r="DD28" s="275">
        <v>1128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93</v>
      </c>
      <c r="H29" s="223">
        <v>3604.2282148700001</v>
      </c>
      <c r="I29" s="164"/>
      <c r="J29" s="157"/>
      <c r="K29" s="231"/>
      <c r="L29" s="228"/>
      <c r="M29" s="228"/>
      <c r="O29" s="241" t="s">
        <v>93</v>
      </c>
      <c r="P29" s="241">
        <v>3637.3370576100001</v>
      </c>
      <c r="Q29" s="239"/>
      <c r="S29" s="245"/>
      <c r="T29" s="245"/>
      <c r="U29" s="245"/>
      <c r="V29" s="245"/>
      <c r="W29" s="245"/>
      <c r="X29" s="245"/>
      <c r="Y29" s="245"/>
      <c r="Z29" s="253" t="s">
        <v>597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597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599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599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597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598</v>
      </c>
      <c r="BI29" s="253">
        <v>0</v>
      </c>
      <c r="BJ29" s="253">
        <v>0</v>
      </c>
      <c r="BK29" s="253">
        <v>0</v>
      </c>
      <c r="BL29" s="253">
        <v>9</v>
      </c>
      <c r="BM29" s="253">
        <v>1</v>
      </c>
      <c r="BN29" s="253"/>
      <c r="BO29" s="247"/>
      <c r="BP29" s="263">
        <v>84661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2016</v>
      </c>
      <c r="CT29" s="275">
        <v>10</v>
      </c>
      <c r="CU29" s="275" t="s">
        <v>656</v>
      </c>
      <c r="CV29" s="275">
        <v>1079168762.8900003</v>
      </c>
      <c r="CW29" s="275">
        <v>1136730000</v>
      </c>
      <c r="CX29" s="275">
        <v>14</v>
      </c>
      <c r="CY29" s="275">
        <v>1126919551.3500001</v>
      </c>
      <c r="CZ29" s="275">
        <v>1189730000</v>
      </c>
      <c r="DA29" s="275">
        <v>11</v>
      </c>
      <c r="DB29" s="275">
        <v>47750788.459999993</v>
      </c>
      <c r="DC29" s="275">
        <v>53000000</v>
      </c>
      <c r="DD29" s="275">
        <v>3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63</v>
      </c>
      <c r="H30" s="223">
        <v>1453.2233767099999</v>
      </c>
      <c r="I30" s="164"/>
      <c r="J30" s="157"/>
      <c r="K30" s="231"/>
      <c r="L30" s="228"/>
      <c r="M30" s="228"/>
      <c r="O30" s="241" t="s">
        <v>63</v>
      </c>
      <c r="P30" s="241">
        <v>1376.9296855600001</v>
      </c>
      <c r="Q30" s="239"/>
      <c r="R30" s="153" t="s">
        <v>454</v>
      </c>
      <c r="S30" s="254" t="s">
        <v>563</v>
      </c>
      <c r="T30" s="257" t="s">
        <v>564</v>
      </c>
      <c r="U30" s="257" t="s">
        <v>565</v>
      </c>
      <c r="V30" s="257" t="s">
        <v>566</v>
      </c>
      <c r="W30" s="257" t="s">
        <v>567</v>
      </c>
      <c r="X30" s="257" t="s">
        <v>568</v>
      </c>
      <c r="Y30" s="245"/>
      <c r="Z30" s="253" t="s">
        <v>598</v>
      </c>
      <c r="AA30" s="253">
        <v>4923000</v>
      </c>
      <c r="AB30" s="253">
        <v>18</v>
      </c>
      <c r="AC30" s="253">
        <v>2</v>
      </c>
      <c r="AD30" s="253">
        <v>484</v>
      </c>
      <c r="AE30" s="253">
        <v>1</v>
      </c>
      <c r="AF30" s="253"/>
      <c r="AG30" s="253" t="s">
        <v>598</v>
      </c>
      <c r="AH30" s="253">
        <v>0</v>
      </c>
      <c r="AI30" s="253">
        <v>0</v>
      </c>
      <c r="AJ30" s="253">
        <v>0</v>
      </c>
      <c r="AK30" s="253">
        <v>22</v>
      </c>
      <c r="AL30" s="253">
        <v>1</v>
      </c>
      <c r="AM30" s="245"/>
      <c r="AN30" s="253" t="s">
        <v>583</v>
      </c>
      <c r="AO30" s="253">
        <v>1470200.01</v>
      </c>
      <c r="AP30" s="253">
        <v>72</v>
      </c>
      <c r="AQ30" s="253">
        <v>3</v>
      </c>
      <c r="AR30" s="253">
        <v>129</v>
      </c>
      <c r="AS30" s="253">
        <v>1</v>
      </c>
      <c r="AT30" s="245"/>
      <c r="AU30" s="253" t="s">
        <v>583</v>
      </c>
      <c r="AV30" s="253">
        <v>0</v>
      </c>
      <c r="AW30" s="253">
        <v>0</v>
      </c>
      <c r="AX30" s="253">
        <v>0</v>
      </c>
      <c r="AY30" s="253">
        <v>10</v>
      </c>
      <c r="AZ30" s="253">
        <v>1</v>
      </c>
      <c r="BA30" s="245"/>
      <c r="BB30" s="253" t="s">
        <v>598</v>
      </c>
      <c r="BC30" s="253">
        <v>1071200</v>
      </c>
      <c r="BD30" s="253">
        <v>3</v>
      </c>
      <c r="BE30" s="253">
        <v>2</v>
      </c>
      <c r="BF30" s="253">
        <v>147</v>
      </c>
      <c r="BG30" s="253">
        <v>1</v>
      </c>
      <c r="BH30" s="247" t="s">
        <v>599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2016</v>
      </c>
      <c r="CT30" s="275">
        <v>27</v>
      </c>
      <c r="CU30" s="275" t="s">
        <v>657</v>
      </c>
      <c r="CV30" s="275">
        <v>79484006239.57988</v>
      </c>
      <c r="CW30" s="275">
        <v>81651963700</v>
      </c>
      <c r="CX30" s="275">
        <v>8195</v>
      </c>
      <c r="CY30" s="275">
        <v>595449537372.29089</v>
      </c>
      <c r="CZ30" s="275">
        <v>620752442000</v>
      </c>
      <c r="DA30" s="275">
        <v>4918</v>
      </c>
      <c r="DB30" s="275">
        <v>515965531132.7099</v>
      </c>
      <c r="DC30" s="275">
        <v>539100478300</v>
      </c>
      <c r="DD30" s="275">
        <v>3277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276</v>
      </c>
      <c r="H31" s="223">
        <v>18639.00753504</v>
      </c>
      <c r="I31" s="164"/>
      <c r="J31" s="158"/>
      <c r="K31" s="229"/>
      <c r="L31" s="228"/>
      <c r="M31" s="228"/>
      <c r="O31" s="241" t="s">
        <v>276</v>
      </c>
      <c r="P31" s="241">
        <v>18173.790852120001</v>
      </c>
      <c r="Q31" s="239"/>
      <c r="R31" s="157"/>
      <c r="S31" s="253" t="s">
        <v>449</v>
      </c>
      <c r="T31" s="258">
        <v>1069432232.693</v>
      </c>
      <c r="U31" s="258">
        <v>1182098</v>
      </c>
      <c r="V31" s="258">
        <v>186</v>
      </c>
      <c r="W31" s="258">
        <v>12027706</v>
      </c>
      <c r="X31" s="258">
        <v>1</v>
      </c>
      <c r="Y31" s="245"/>
      <c r="Z31" s="253" t="s">
        <v>599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599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600</v>
      </c>
      <c r="AO31" s="253">
        <v>0</v>
      </c>
      <c r="AP31" s="253">
        <v>0</v>
      </c>
      <c r="AQ31" s="253">
        <v>0</v>
      </c>
      <c r="AR31" s="253">
        <v>88</v>
      </c>
      <c r="AS31" s="253">
        <v>1</v>
      </c>
      <c r="AT31" s="245"/>
      <c r="AU31" s="253" t="s">
        <v>600</v>
      </c>
      <c r="AV31" s="253">
        <v>0</v>
      </c>
      <c r="AW31" s="253">
        <v>0</v>
      </c>
      <c r="AX31" s="253">
        <v>0</v>
      </c>
      <c r="AY31" s="253">
        <v>4</v>
      </c>
      <c r="AZ31" s="253">
        <v>1</v>
      </c>
      <c r="BA31" s="245"/>
      <c r="BB31" s="253" t="s">
        <v>599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583</v>
      </c>
      <c r="BI31" s="253">
        <v>0</v>
      </c>
      <c r="BJ31" s="253">
        <v>0</v>
      </c>
      <c r="BK31" s="253">
        <v>0</v>
      </c>
      <c r="BL31" s="253">
        <v>0</v>
      </c>
      <c r="BM31" s="253">
        <v>1</v>
      </c>
      <c r="BN31" s="253"/>
      <c r="BO31" s="256" t="s">
        <v>470</v>
      </c>
      <c r="BP31" s="264" t="s">
        <v>537</v>
      </c>
      <c r="BQ31" s="264" t="s">
        <v>565</v>
      </c>
      <c r="BR31" s="264" t="s">
        <v>566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2016</v>
      </c>
      <c r="CT31" s="275">
        <v>27</v>
      </c>
      <c r="CU31" s="275" t="s">
        <v>658</v>
      </c>
      <c r="CV31" s="275">
        <v>-88896273236.289795</v>
      </c>
      <c r="CW31" s="275">
        <v>-91087887700</v>
      </c>
      <c r="CX31" s="275">
        <v>8092</v>
      </c>
      <c r="CY31" s="275">
        <v>501047347294.20026</v>
      </c>
      <c r="CZ31" s="275">
        <v>523878754300</v>
      </c>
      <c r="DA31" s="275">
        <v>3216</v>
      </c>
      <c r="DB31" s="275">
        <v>589943620530.49133</v>
      </c>
      <c r="DC31" s="275">
        <v>614966642000</v>
      </c>
      <c r="DD31" s="275">
        <v>4876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106</v>
      </c>
      <c r="H32" s="223">
        <v>20.63863181</v>
      </c>
      <c r="I32" s="164"/>
      <c r="J32" s="157"/>
      <c r="K32" s="229"/>
      <c r="L32" s="228"/>
      <c r="M32" s="228"/>
      <c r="O32" s="241" t="s">
        <v>106</v>
      </c>
      <c r="P32" s="241">
        <v>22.084320389999998</v>
      </c>
      <c r="Q32" s="239"/>
      <c r="R32" s="157"/>
      <c r="S32" s="253" t="s">
        <v>447</v>
      </c>
      <c r="T32" s="258">
        <v>612870196.78999996</v>
      </c>
      <c r="U32" s="258">
        <v>585149</v>
      </c>
      <c r="V32" s="258">
        <v>411</v>
      </c>
      <c r="W32" s="258">
        <v>2073130</v>
      </c>
      <c r="X32" s="258">
        <v>0</v>
      </c>
      <c r="Y32" s="245"/>
      <c r="Z32" s="253" t="s">
        <v>583</v>
      </c>
      <c r="AA32" s="253">
        <v>209000</v>
      </c>
      <c r="AB32" s="253">
        <v>10</v>
      </c>
      <c r="AC32" s="253">
        <v>1</v>
      </c>
      <c r="AD32" s="253">
        <v>180</v>
      </c>
      <c r="AE32" s="253">
        <v>1</v>
      </c>
      <c r="AF32" s="253"/>
      <c r="AG32" s="253" t="s">
        <v>583</v>
      </c>
      <c r="AH32" s="253">
        <v>0</v>
      </c>
      <c r="AI32" s="253">
        <v>0</v>
      </c>
      <c r="AJ32" s="253">
        <v>0</v>
      </c>
      <c r="AK32" s="253">
        <v>0</v>
      </c>
      <c r="AL32" s="253">
        <v>1</v>
      </c>
      <c r="AM32" s="245"/>
      <c r="AN32" s="253" t="s">
        <v>602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602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583</v>
      </c>
      <c r="BC32" s="253">
        <v>0</v>
      </c>
      <c r="BD32" s="253">
        <v>0</v>
      </c>
      <c r="BE32" s="253">
        <v>0</v>
      </c>
      <c r="BF32" s="253">
        <v>0</v>
      </c>
      <c r="BG32" s="253">
        <v>1</v>
      </c>
      <c r="BH32" s="247" t="s">
        <v>600</v>
      </c>
      <c r="BI32" s="253">
        <v>0</v>
      </c>
      <c r="BJ32" s="253">
        <v>0</v>
      </c>
      <c r="BK32" s="253">
        <v>0</v>
      </c>
      <c r="BL32" s="253">
        <v>50</v>
      </c>
      <c r="BM32" s="253">
        <v>1</v>
      </c>
      <c r="BN32" s="253"/>
      <c r="BO32" s="245"/>
      <c r="BP32" s="263">
        <v>1311085283031.4502</v>
      </c>
      <c r="BQ32" s="263">
        <v>11766157</v>
      </c>
      <c r="BR32" s="263">
        <v>12376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2016</v>
      </c>
      <c r="CT32" s="275">
        <v>619</v>
      </c>
      <c r="CU32" s="275" t="s">
        <v>659</v>
      </c>
      <c r="CV32" s="275">
        <v>-53102951005.219833</v>
      </c>
      <c r="CW32" s="275">
        <v>-50529242204</v>
      </c>
      <c r="CX32" s="275">
        <v>10316</v>
      </c>
      <c r="CY32" s="275">
        <v>118405798487.15984</v>
      </c>
      <c r="CZ32" s="275">
        <v>119747797751</v>
      </c>
      <c r="DA32" s="275">
        <v>5924</v>
      </c>
      <c r="DB32" s="275">
        <v>171508749492.38016</v>
      </c>
      <c r="DC32" s="275">
        <v>170277039955</v>
      </c>
      <c r="DD32" s="275">
        <v>4392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108</v>
      </c>
      <c r="H33" s="223">
        <v>8204.3273430499994</v>
      </c>
      <c r="I33" s="164"/>
      <c r="J33" s="157"/>
      <c r="K33" s="228"/>
      <c r="L33" s="228"/>
      <c r="M33" s="228"/>
      <c r="O33" s="241" t="s">
        <v>108</v>
      </c>
      <c r="P33" s="241">
        <v>8530.8841339600003</v>
      </c>
      <c r="Q33" s="239"/>
      <c r="R33" s="157"/>
      <c r="S33" s="253" t="s">
        <v>451</v>
      </c>
      <c r="T33" s="258">
        <v>151927360.19999999</v>
      </c>
      <c r="U33" s="258">
        <v>116891</v>
      </c>
      <c r="V33" s="258">
        <v>157</v>
      </c>
      <c r="W33" s="258">
        <v>318663</v>
      </c>
      <c r="X33" s="258">
        <v>0</v>
      </c>
      <c r="Y33" s="245"/>
      <c r="Z33" s="253" t="s">
        <v>600</v>
      </c>
      <c r="AA33" s="253">
        <v>0</v>
      </c>
      <c r="AB33" s="253">
        <v>0</v>
      </c>
      <c r="AC33" s="253">
        <v>0</v>
      </c>
      <c r="AD33" s="253">
        <v>88</v>
      </c>
      <c r="AE33" s="253">
        <v>1</v>
      </c>
      <c r="AF33" s="253"/>
      <c r="AG33" s="253" t="s">
        <v>600</v>
      </c>
      <c r="AH33" s="253">
        <v>0</v>
      </c>
      <c r="AI33" s="253">
        <v>0</v>
      </c>
      <c r="AJ33" s="253">
        <v>0</v>
      </c>
      <c r="AK33" s="253">
        <v>4</v>
      </c>
      <c r="AL33" s="253">
        <v>1</v>
      </c>
      <c r="AM33" s="245"/>
      <c r="AN33" s="253" t="s">
        <v>603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603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600</v>
      </c>
      <c r="BC33" s="253">
        <v>310250</v>
      </c>
      <c r="BD33" s="253">
        <v>8</v>
      </c>
      <c r="BE33" s="253">
        <v>5</v>
      </c>
      <c r="BF33" s="253">
        <v>1048</v>
      </c>
      <c r="BG33" s="253">
        <v>1</v>
      </c>
      <c r="BH33" s="247" t="s">
        <v>602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2016</v>
      </c>
      <c r="CT33" s="275">
        <v>175</v>
      </c>
      <c r="CU33" s="275" t="s">
        <v>660</v>
      </c>
      <c r="CV33" s="275">
        <v>86256566713.740555</v>
      </c>
      <c r="CW33" s="275">
        <v>89522087681</v>
      </c>
      <c r="CX33" s="275">
        <v>31268</v>
      </c>
      <c r="CY33" s="275">
        <v>800706792054.71033</v>
      </c>
      <c r="CZ33" s="275">
        <v>789998903192</v>
      </c>
      <c r="DA33" s="275">
        <v>16381</v>
      </c>
      <c r="DB33" s="275">
        <v>714450225340.96912</v>
      </c>
      <c r="DC33" s="275">
        <v>700476815511</v>
      </c>
      <c r="DD33" s="275">
        <v>14887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279</v>
      </c>
      <c r="H34" s="223">
        <v>60082.264963260001</v>
      </c>
      <c r="I34" s="164"/>
      <c r="J34" s="157"/>
      <c r="K34" s="228"/>
      <c r="L34" s="228"/>
      <c r="M34" s="228"/>
      <c r="O34" s="241" t="s">
        <v>279</v>
      </c>
      <c r="P34" s="241">
        <v>61722.790885460003</v>
      </c>
      <c r="Q34" s="239"/>
      <c r="R34" s="157"/>
      <c r="S34" s="253" t="s">
        <v>448</v>
      </c>
      <c r="T34" s="258">
        <v>0</v>
      </c>
      <c r="U34" s="258">
        <v>0</v>
      </c>
      <c r="V34" s="258">
        <v>0</v>
      </c>
      <c r="W34" s="258">
        <v>0</v>
      </c>
      <c r="X34" s="258">
        <v>0</v>
      </c>
      <c r="Y34" s="245"/>
      <c r="Z34" s="253" t="s">
        <v>601</v>
      </c>
      <c r="AA34" s="253">
        <v>0</v>
      </c>
      <c r="AB34" s="253">
        <v>0</v>
      </c>
      <c r="AC34" s="253">
        <v>0</v>
      </c>
      <c r="AD34" s="253">
        <v>0</v>
      </c>
      <c r="AE34" s="253">
        <v>1</v>
      </c>
      <c r="AF34" s="253"/>
      <c r="AG34" s="253" t="s">
        <v>601</v>
      </c>
      <c r="AH34" s="253">
        <v>0</v>
      </c>
      <c r="AI34" s="253">
        <v>0</v>
      </c>
      <c r="AJ34" s="253">
        <v>0</v>
      </c>
      <c r="AK34" s="253">
        <v>0</v>
      </c>
      <c r="AL34" s="253">
        <v>1</v>
      </c>
      <c r="AM34" s="245"/>
      <c r="AN34" s="253" t="s">
        <v>584</v>
      </c>
      <c r="AO34" s="253">
        <v>2464557.9</v>
      </c>
      <c r="AP34" s="253">
        <v>35</v>
      </c>
      <c r="AQ34" s="253">
        <v>1</v>
      </c>
      <c r="AR34" s="253">
        <v>105</v>
      </c>
      <c r="AS34" s="253">
        <v>1</v>
      </c>
      <c r="AT34" s="245"/>
      <c r="AU34" s="253" t="s">
        <v>584</v>
      </c>
      <c r="AV34" s="253">
        <v>0</v>
      </c>
      <c r="AW34" s="253">
        <v>0</v>
      </c>
      <c r="AX34" s="253">
        <v>0</v>
      </c>
      <c r="AY34" s="253">
        <v>35</v>
      </c>
      <c r="AZ34" s="253">
        <v>1</v>
      </c>
      <c r="BA34" s="245"/>
      <c r="BB34" s="253" t="s">
        <v>602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603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537</v>
      </c>
      <c r="BQ34" s="264" t="s">
        <v>565</v>
      </c>
      <c r="BR34" s="264" t="s">
        <v>566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2016</v>
      </c>
      <c r="CT34" s="275">
        <v>35</v>
      </c>
      <c r="CU34" s="275" t="s">
        <v>661</v>
      </c>
      <c r="CV34" s="275">
        <v>-43391706443.320045</v>
      </c>
      <c r="CW34" s="275">
        <v>-47091265950</v>
      </c>
      <c r="CX34" s="275">
        <v>2868</v>
      </c>
      <c r="CY34" s="275">
        <v>110654231713.14006</v>
      </c>
      <c r="CZ34" s="275">
        <v>115006089814</v>
      </c>
      <c r="DA34" s="275">
        <v>1253</v>
      </c>
      <c r="DB34" s="275">
        <v>154045938156.46017</v>
      </c>
      <c r="DC34" s="275">
        <v>162097355764</v>
      </c>
      <c r="DD34" s="275">
        <v>1615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280</v>
      </c>
      <c r="H35" s="223">
        <v>17215.724437699999</v>
      </c>
      <c r="I35" s="164"/>
      <c r="J35" s="157"/>
      <c r="K35" s="228"/>
      <c r="L35" s="228"/>
      <c r="M35" s="228"/>
      <c r="O35" s="241" t="s">
        <v>280</v>
      </c>
      <c r="P35" s="241">
        <v>14925.09733542</v>
      </c>
      <c r="Q35" s="239"/>
      <c r="R35" s="157"/>
      <c r="S35" s="253" t="s">
        <v>446</v>
      </c>
      <c r="T35" s="258">
        <v>4022520551.1700001</v>
      </c>
      <c r="U35" s="258">
        <v>400869</v>
      </c>
      <c r="V35" s="258">
        <v>741</v>
      </c>
      <c r="W35" s="258">
        <v>1076998</v>
      </c>
      <c r="X35" s="258">
        <v>0</v>
      </c>
      <c r="Y35" s="245"/>
      <c r="Z35" s="253" t="s">
        <v>602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602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592</v>
      </c>
      <c r="AO35" s="253">
        <v>4631026024.2200003</v>
      </c>
      <c r="AP35" s="253">
        <v>22231</v>
      </c>
      <c r="AQ35" s="253">
        <v>3694</v>
      </c>
      <c r="AR35" s="253">
        <v>202891</v>
      </c>
      <c r="AS35" s="253">
        <v>1</v>
      </c>
      <c r="AT35" s="245"/>
      <c r="AU35" s="253" t="s">
        <v>592</v>
      </c>
      <c r="AV35" s="253">
        <v>214770241.22999999</v>
      </c>
      <c r="AW35" s="253">
        <v>1022</v>
      </c>
      <c r="AX35" s="253">
        <v>131</v>
      </c>
      <c r="AY35" s="253">
        <v>9289</v>
      </c>
      <c r="AZ35" s="253">
        <v>1</v>
      </c>
      <c r="BA35" s="245"/>
      <c r="BB35" s="253" t="s">
        <v>603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584</v>
      </c>
      <c r="BI35" s="253">
        <v>0</v>
      </c>
      <c r="BJ35" s="253">
        <v>0</v>
      </c>
      <c r="BK35" s="253">
        <v>0</v>
      </c>
      <c r="BL35" s="253">
        <v>0</v>
      </c>
      <c r="BM35" s="253">
        <v>1</v>
      </c>
      <c r="BN35" s="253"/>
      <c r="BO35" s="251"/>
      <c r="BP35" s="263">
        <v>22142250442.779999</v>
      </c>
      <c r="BQ35" s="263">
        <v>243904</v>
      </c>
      <c r="BR35" s="263">
        <v>688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281</v>
      </c>
      <c r="H36" s="223">
        <v>27411.77177729</v>
      </c>
      <c r="I36" s="164"/>
      <c r="J36" s="157"/>
      <c r="K36" s="228"/>
      <c r="L36" s="228"/>
      <c r="M36" s="228"/>
      <c r="O36" s="241" t="s">
        <v>281</v>
      </c>
      <c r="P36" s="241">
        <v>28171.432073389999</v>
      </c>
      <c r="Q36" s="239"/>
      <c r="R36" s="157"/>
      <c r="S36" s="253" t="s">
        <v>569</v>
      </c>
      <c r="T36" s="258">
        <v>0</v>
      </c>
      <c r="U36" s="258">
        <v>0</v>
      </c>
      <c r="V36" s="258">
        <v>0</v>
      </c>
      <c r="W36" s="258">
        <v>0</v>
      </c>
      <c r="X36" s="258">
        <v>1</v>
      </c>
      <c r="Y36" s="245"/>
      <c r="Z36" s="253" t="s">
        <v>603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/>
      <c r="AG36" s="253" t="s">
        <v>603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617</v>
      </c>
      <c r="AO36" s="253">
        <v>0</v>
      </c>
      <c r="AP36" s="253">
        <v>0</v>
      </c>
      <c r="AQ36" s="253">
        <v>0</v>
      </c>
      <c r="AR36" s="253">
        <v>0</v>
      </c>
      <c r="AS36" s="253">
        <v>1</v>
      </c>
      <c r="AT36" s="245"/>
      <c r="AU36" s="253" t="s">
        <v>572</v>
      </c>
      <c r="AV36" s="253">
        <v>45155559.210000001</v>
      </c>
      <c r="AW36" s="253">
        <v>217</v>
      </c>
      <c r="AX36" s="253">
        <v>24</v>
      </c>
      <c r="AY36" s="253">
        <v>20228</v>
      </c>
      <c r="AZ36" s="253">
        <v>1</v>
      </c>
      <c r="BA36" s="245"/>
      <c r="BB36" s="253" t="s">
        <v>584</v>
      </c>
      <c r="BC36" s="253">
        <v>0</v>
      </c>
      <c r="BD36" s="253">
        <v>0</v>
      </c>
      <c r="BE36" s="253">
        <v>0</v>
      </c>
      <c r="BF36" s="253">
        <v>0</v>
      </c>
      <c r="BG36" s="253">
        <v>1</v>
      </c>
      <c r="BH36" s="247" t="s">
        <v>592</v>
      </c>
      <c r="BI36" s="253">
        <v>1008915692.8099999</v>
      </c>
      <c r="BJ36" s="253">
        <v>5072</v>
      </c>
      <c r="BK36" s="253">
        <v>197</v>
      </c>
      <c r="BL36" s="253">
        <v>15241</v>
      </c>
      <c r="BM36" s="253">
        <v>1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56</v>
      </c>
      <c r="H37" s="223">
        <v>53269.834753410003</v>
      </c>
      <c r="I37" s="164"/>
      <c r="J37" s="157"/>
      <c r="K37" s="228"/>
      <c r="L37" s="228"/>
      <c r="M37" s="228"/>
      <c r="O37" s="241" t="s">
        <v>56</v>
      </c>
      <c r="P37" s="241">
        <v>52570.202037770003</v>
      </c>
      <c r="Q37" s="239"/>
      <c r="R37" s="157"/>
      <c r="S37" s="253" t="s">
        <v>447</v>
      </c>
      <c r="T37" s="258">
        <v>12766778916.794001</v>
      </c>
      <c r="U37" s="258">
        <v>563214</v>
      </c>
      <c r="V37" s="258">
        <v>3480</v>
      </c>
      <c r="W37" s="258">
        <v>1211214</v>
      </c>
      <c r="X37" s="258">
        <v>1</v>
      </c>
      <c r="Y37" s="245"/>
      <c r="Z37" s="253" t="s">
        <v>584</v>
      </c>
      <c r="AA37" s="253">
        <v>0</v>
      </c>
      <c r="AB37" s="253">
        <v>0</v>
      </c>
      <c r="AC37" s="253">
        <v>0</v>
      </c>
      <c r="AD37" s="253">
        <v>770</v>
      </c>
      <c r="AE37" s="253">
        <v>1</v>
      </c>
      <c r="AF37" s="253"/>
      <c r="AG37" s="253" t="s">
        <v>584</v>
      </c>
      <c r="AH37" s="253">
        <v>0</v>
      </c>
      <c r="AI37" s="253">
        <v>0</v>
      </c>
      <c r="AJ37" s="253">
        <v>0</v>
      </c>
      <c r="AK37" s="253">
        <v>35</v>
      </c>
      <c r="AL37" s="253">
        <v>1</v>
      </c>
      <c r="AM37" s="245"/>
      <c r="AN37" s="253" t="s">
        <v>572</v>
      </c>
      <c r="AO37" s="253">
        <v>2094453178.47</v>
      </c>
      <c r="AP37" s="253">
        <v>10163</v>
      </c>
      <c r="AQ37" s="253">
        <v>748</v>
      </c>
      <c r="AR37" s="253">
        <v>433774</v>
      </c>
      <c r="AS37" s="253">
        <v>1</v>
      </c>
      <c r="AT37" s="245"/>
      <c r="AU37" s="253" t="s">
        <v>604</v>
      </c>
      <c r="AV37" s="253">
        <v>0</v>
      </c>
      <c r="AW37" s="253">
        <v>0</v>
      </c>
      <c r="AX37" s="253">
        <v>0</v>
      </c>
      <c r="AY37" s="253">
        <v>0</v>
      </c>
      <c r="AZ37" s="253">
        <v>0</v>
      </c>
      <c r="BA37" s="245"/>
      <c r="BB37" s="253" t="s">
        <v>592</v>
      </c>
      <c r="BC37" s="253">
        <v>15215219911.030001</v>
      </c>
      <c r="BD37" s="253">
        <v>76062</v>
      </c>
      <c r="BE37" s="253">
        <v>4809</v>
      </c>
      <c r="BF37" s="253">
        <v>284602</v>
      </c>
      <c r="BG37" s="253">
        <v>1</v>
      </c>
      <c r="BH37" s="247" t="s">
        <v>617</v>
      </c>
      <c r="BI37" s="253">
        <v>0</v>
      </c>
      <c r="BJ37" s="253">
        <v>0</v>
      </c>
      <c r="BK37" s="253">
        <v>0</v>
      </c>
      <c r="BL37" s="253">
        <v>0</v>
      </c>
      <c r="BM37" s="253">
        <v>1</v>
      </c>
      <c r="BN37" s="253"/>
      <c r="BO37" s="256" t="s">
        <v>473</v>
      </c>
      <c r="BP37" s="264" t="s">
        <v>537</v>
      </c>
      <c r="BQ37" s="264" t="s">
        <v>565</v>
      </c>
      <c r="BR37" s="264" t="s">
        <v>566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45</v>
      </c>
      <c r="H38" s="223">
        <v>76810.243040340007</v>
      </c>
      <c r="I38" s="164"/>
      <c r="J38" s="157"/>
      <c r="K38" s="228"/>
      <c r="L38" s="228"/>
      <c r="M38" s="228"/>
      <c r="O38" s="241" t="s">
        <v>45</v>
      </c>
      <c r="P38" s="241">
        <v>75145.479720689997</v>
      </c>
      <c r="Q38" s="239"/>
      <c r="R38" s="157"/>
      <c r="S38" s="253" t="s">
        <v>182</v>
      </c>
      <c r="T38" s="258">
        <v>48999400.664999999</v>
      </c>
      <c r="U38" s="258">
        <v>1063504</v>
      </c>
      <c r="V38" s="258">
        <v>362</v>
      </c>
      <c r="W38" s="258">
        <v>1536119</v>
      </c>
      <c r="X38" s="258">
        <v>1</v>
      </c>
      <c r="Y38" s="245"/>
      <c r="Z38" s="253" t="s">
        <v>592</v>
      </c>
      <c r="AA38" s="253">
        <v>10120315687.4</v>
      </c>
      <c r="AB38" s="253">
        <v>48093</v>
      </c>
      <c r="AC38" s="253">
        <v>5245</v>
      </c>
      <c r="AD38" s="253">
        <v>225725</v>
      </c>
      <c r="AE38" s="253">
        <v>1</v>
      </c>
      <c r="AF38" s="253"/>
      <c r="AG38" s="253" t="s">
        <v>592</v>
      </c>
      <c r="AH38" s="253">
        <v>819362514.73000002</v>
      </c>
      <c r="AI38" s="253">
        <v>3970</v>
      </c>
      <c r="AJ38" s="253">
        <v>219</v>
      </c>
      <c r="AK38" s="253">
        <v>9936</v>
      </c>
      <c r="AL38" s="253">
        <v>1</v>
      </c>
      <c r="AM38" s="245"/>
      <c r="AN38" s="253" t="s">
        <v>604</v>
      </c>
      <c r="AO38" s="253">
        <v>0</v>
      </c>
      <c r="AP38" s="253">
        <v>0</v>
      </c>
      <c r="AQ38" s="253">
        <v>0</v>
      </c>
      <c r="AR38" s="253">
        <v>0</v>
      </c>
      <c r="AS38" s="253">
        <v>0</v>
      </c>
      <c r="AT38" s="245"/>
      <c r="AU38" s="253" t="s">
        <v>605</v>
      </c>
      <c r="AV38" s="253">
        <v>0</v>
      </c>
      <c r="AW38" s="253">
        <v>0</v>
      </c>
      <c r="AX38" s="253">
        <v>0</v>
      </c>
      <c r="AY38" s="253">
        <v>0</v>
      </c>
      <c r="AZ38" s="253">
        <v>1</v>
      </c>
      <c r="BA38" s="245"/>
      <c r="BB38" s="253" t="s">
        <v>617</v>
      </c>
      <c r="BC38" s="253">
        <v>0</v>
      </c>
      <c r="BD38" s="253">
        <v>0</v>
      </c>
      <c r="BE38" s="253">
        <v>0</v>
      </c>
      <c r="BF38" s="253">
        <v>0</v>
      </c>
      <c r="BG38" s="253">
        <v>1</v>
      </c>
      <c r="BH38" s="247" t="s">
        <v>572</v>
      </c>
      <c r="BI38" s="253">
        <v>84780781.480000004</v>
      </c>
      <c r="BJ38" s="253">
        <v>409</v>
      </c>
      <c r="BK38" s="253">
        <v>14</v>
      </c>
      <c r="BL38" s="253">
        <v>4217</v>
      </c>
      <c r="BM38" s="253">
        <v>1</v>
      </c>
      <c r="BN38" s="253"/>
      <c r="BO38" s="247"/>
      <c r="BP38" s="263">
        <v>1065315685617.65</v>
      </c>
      <c r="BQ38" s="263">
        <v>9142934</v>
      </c>
      <c r="BR38" s="263">
        <v>14259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47</v>
      </c>
      <c r="H39" s="223">
        <v>59049.723690539999</v>
      </c>
      <c r="I39" s="164"/>
      <c r="J39" s="157"/>
      <c r="K39" s="228"/>
      <c r="L39" s="228"/>
      <c r="M39" s="228"/>
      <c r="O39" s="241" t="s">
        <v>47</v>
      </c>
      <c r="P39" s="241">
        <v>61039.046541449999</v>
      </c>
      <c r="Q39" s="239"/>
      <c r="R39" s="157"/>
      <c r="S39" s="253" t="s">
        <v>449</v>
      </c>
      <c r="T39" s="258">
        <v>0</v>
      </c>
      <c r="U39" s="258">
        <v>0</v>
      </c>
      <c r="V39" s="258">
        <v>0</v>
      </c>
      <c r="W39" s="258">
        <v>0</v>
      </c>
      <c r="X39" s="258">
        <v>0</v>
      </c>
      <c r="Y39" s="245"/>
      <c r="Z39" s="253" t="s">
        <v>572</v>
      </c>
      <c r="AA39" s="253">
        <v>4498448332.5100002</v>
      </c>
      <c r="AB39" s="253">
        <v>21977</v>
      </c>
      <c r="AC39" s="253">
        <v>1169</v>
      </c>
      <c r="AD39" s="253">
        <v>419877</v>
      </c>
      <c r="AE39" s="253">
        <v>1</v>
      </c>
      <c r="AF39" s="253"/>
      <c r="AG39" s="253" t="s">
        <v>572</v>
      </c>
      <c r="AH39" s="253">
        <v>58970852.030000001</v>
      </c>
      <c r="AI39" s="253">
        <v>286</v>
      </c>
      <c r="AJ39" s="253">
        <v>36</v>
      </c>
      <c r="AK39" s="253">
        <v>18999</v>
      </c>
      <c r="AL39" s="253">
        <v>1</v>
      </c>
      <c r="AM39" s="245"/>
      <c r="AN39" s="253" t="s">
        <v>605</v>
      </c>
      <c r="AO39" s="253">
        <v>0</v>
      </c>
      <c r="AP39" s="253">
        <v>0</v>
      </c>
      <c r="AQ39" s="253">
        <v>0</v>
      </c>
      <c r="AR39" s="253">
        <v>0</v>
      </c>
      <c r="AS39" s="253">
        <v>1</v>
      </c>
      <c r="AT39" s="245"/>
      <c r="AU39" s="253" t="s">
        <v>606</v>
      </c>
      <c r="AV39" s="253">
        <v>0</v>
      </c>
      <c r="AW39" s="253">
        <v>0</v>
      </c>
      <c r="AX39" s="253">
        <v>0</v>
      </c>
      <c r="AY39" s="253">
        <v>2265</v>
      </c>
      <c r="AZ39" s="253">
        <v>1</v>
      </c>
      <c r="BA39" s="245"/>
      <c r="BB39" s="253" t="s">
        <v>572</v>
      </c>
      <c r="BC39" s="253">
        <v>2817618450.2600002</v>
      </c>
      <c r="BD39" s="253">
        <v>14245</v>
      </c>
      <c r="BE39" s="253">
        <v>700</v>
      </c>
      <c r="BF39" s="253">
        <v>70521</v>
      </c>
      <c r="BG39" s="253">
        <v>1</v>
      </c>
      <c r="BH39" s="247" t="s">
        <v>604</v>
      </c>
      <c r="BI39" s="253">
        <v>0</v>
      </c>
      <c r="BJ39" s="253">
        <v>0</v>
      </c>
      <c r="BK39" s="253">
        <v>0</v>
      </c>
      <c r="BL39" s="253">
        <v>0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43</v>
      </c>
      <c r="H40" s="223">
        <v>59772.834150750001</v>
      </c>
      <c r="I40" s="164"/>
      <c r="J40" s="157"/>
      <c r="K40" s="228"/>
      <c r="L40" s="228"/>
      <c r="M40" s="228"/>
      <c r="O40" s="241" t="s">
        <v>43</v>
      </c>
      <c r="P40" s="241">
        <v>58980.107623830001</v>
      </c>
      <c r="Q40" s="239"/>
      <c r="R40" s="157"/>
      <c r="S40" s="253" t="s">
        <v>446</v>
      </c>
      <c r="T40" s="258">
        <v>328786336550.04089</v>
      </c>
      <c r="U40" s="258">
        <v>888403</v>
      </c>
      <c r="V40" s="258">
        <v>231904</v>
      </c>
      <c r="W40" s="258">
        <v>671733</v>
      </c>
      <c r="X40" s="258">
        <v>1</v>
      </c>
      <c r="Y40" s="245"/>
      <c r="Z40" s="253" t="s">
        <v>604</v>
      </c>
      <c r="AA40" s="253">
        <v>0</v>
      </c>
      <c r="AB40" s="253">
        <v>0</v>
      </c>
      <c r="AC40" s="253">
        <v>0</v>
      </c>
      <c r="AD40" s="253">
        <v>0</v>
      </c>
      <c r="AE40" s="253">
        <v>0</v>
      </c>
      <c r="AF40" s="253"/>
      <c r="AG40" s="253" t="s">
        <v>604</v>
      </c>
      <c r="AH40" s="253">
        <v>0</v>
      </c>
      <c r="AI40" s="253">
        <v>0</v>
      </c>
      <c r="AJ40" s="253">
        <v>0</v>
      </c>
      <c r="AK40" s="253">
        <v>0</v>
      </c>
      <c r="AL40" s="253">
        <v>0</v>
      </c>
      <c r="AM40" s="245"/>
      <c r="AN40" s="253" t="s">
        <v>606</v>
      </c>
      <c r="AO40" s="253">
        <v>31267948.850000001</v>
      </c>
      <c r="AP40" s="253">
        <v>1770</v>
      </c>
      <c r="AQ40" s="253">
        <v>36</v>
      </c>
      <c r="AR40" s="253">
        <v>55179</v>
      </c>
      <c r="AS40" s="253">
        <v>1</v>
      </c>
      <c r="AT40" s="245"/>
      <c r="AU40" s="253" t="s">
        <v>607</v>
      </c>
      <c r="AV40" s="253">
        <v>0</v>
      </c>
      <c r="AW40" s="253">
        <v>0</v>
      </c>
      <c r="AX40" s="253">
        <v>0</v>
      </c>
      <c r="AY40" s="253">
        <v>10</v>
      </c>
      <c r="AZ40" s="253">
        <v>1</v>
      </c>
      <c r="BA40" s="245"/>
      <c r="BB40" s="253" t="s">
        <v>604</v>
      </c>
      <c r="BC40" s="253">
        <v>0</v>
      </c>
      <c r="BD40" s="253">
        <v>0</v>
      </c>
      <c r="BE40" s="253">
        <v>0</v>
      </c>
      <c r="BF40" s="253">
        <v>0</v>
      </c>
      <c r="BG40" s="253">
        <v>0</v>
      </c>
      <c r="BH40" s="247" t="s">
        <v>606</v>
      </c>
      <c r="BI40" s="253">
        <v>792125</v>
      </c>
      <c r="BJ40" s="253">
        <v>45</v>
      </c>
      <c r="BK40" s="253">
        <v>6</v>
      </c>
      <c r="BL40" s="253">
        <v>267</v>
      </c>
      <c r="BM40" s="253">
        <v>1</v>
      </c>
      <c r="BN40" s="253"/>
      <c r="BO40" s="256" t="s">
        <v>474</v>
      </c>
      <c r="BP40" s="264" t="s">
        <v>537</v>
      </c>
      <c r="BQ40" s="264" t="s">
        <v>565</v>
      </c>
      <c r="BR40" s="264" t="s">
        <v>566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49</v>
      </c>
      <c r="H41" s="223">
        <v>7577.9131695899996</v>
      </c>
      <c r="I41" s="164"/>
      <c r="J41" s="157"/>
      <c r="K41" s="228"/>
      <c r="L41" s="228"/>
      <c r="M41" s="228"/>
      <c r="O41" s="241" t="s">
        <v>49</v>
      </c>
      <c r="P41" s="241">
        <v>7566.4797655599996</v>
      </c>
      <c r="Q41" s="239"/>
      <c r="R41" s="157"/>
      <c r="S41" s="253" t="s">
        <v>451</v>
      </c>
      <c r="T41" s="258">
        <v>5293694384.1020002</v>
      </c>
      <c r="U41" s="258">
        <v>229356</v>
      </c>
      <c r="V41" s="258">
        <v>366</v>
      </c>
      <c r="W41" s="258">
        <v>472686</v>
      </c>
      <c r="X41" s="258">
        <v>1</v>
      </c>
      <c r="Y41" s="245"/>
      <c r="Z41" s="253" t="s">
        <v>605</v>
      </c>
      <c r="AA41" s="253">
        <v>15960000</v>
      </c>
      <c r="AB41" s="253">
        <v>250</v>
      </c>
      <c r="AC41" s="253">
        <v>1</v>
      </c>
      <c r="AD41" s="253">
        <v>0</v>
      </c>
      <c r="AE41" s="253">
        <v>1</v>
      </c>
      <c r="AF41" s="253"/>
      <c r="AG41" s="253" t="s">
        <v>605</v>
      </c>
      <c r="AH41" s="253">
        <v>0</v>
      </c>
      <c r="AI41" s="253">
        <v>0</v>
      </c>
      <c r="AJ41" s="253">
        <v>0</v>
      </c>
      <c r="AK41" s="253">
        <v>0</v>
      </c>
      <c r="AL41" s="253">
        <v>1</v>
      </c>
      <c r="AM41" s="245"/>
      <c r="AN41" s="253" t="s">
        <v>607</v>
      </c>
      <c r="AO41" s="253">
        <v>635768</v>
      </c>
      <c r="AP41" s="253">
        <v>40</v>
      </c>
      <c r="AQ41" s="253">
        <v>7</v>
      </c>
      <c r="AR41" s="253">
        <v>320</v>
      </c>
      <c r="AS41" s="253">
        <v>1</v>
      </c>
      <c r="AT41" s="245"/>
      <c r="AU41" s="253" t="s">
        <v>577</v>
      </c>
      <c r="AV41" s="253">
        <v>3720000</v>
      </c>
      <c r="AW41" s="253">
        <v>29</v>
      </c>
      <c r="AX41" s="253">
        <v>8</v>
      </c>
      <c r="AY41" s="253">
        <v>74</v>
      </c>
      <c r="AZ41" s="253">
        <v>1</v>
      </c>
      <c r="BA41" s="245"/>
      <c r="BB41" s="253" t="s">
        <v>605</v>
      </c>
      <c r="BC41" s="253">
        <v>0</v>
      </c>
      <c r="BD41" s="253">
        <v>0</v>
      </c>
      <c r="BE41" s="253">
        <v>0</v>
      </c>
      <c r="BF41" s="253">
        <v>0</v>
      </c>
      <c r="BG41" s="253">
        <v>1</v>
      </c>
      <c r="BH41" s="247" t="s">
        <v>607</v>
      </c>
      <c r="BI41" s="253">
        <v>0</v>
      </c>
      <c r="BJ41" s="253">
        <v>0</v>
      </c>
      <c r="BK41" s="253">
        <v>0</v>
      </c>
      <c r="BL41" s="253">
        <v>0</v>
      </c>
      <c r="BM41" s="253">
        <v>1</v>
      </c>
      <c r="BN41" s="253"/>
      <c r="BO41" s="245"/>
      <c r="BP41" s="263">
        <v>21981832472.619999</v>
      </c>
      <c r="BQ41" s="263">
        <v>205489</v>
      </c>
      <c r="BR41" s="263">
        <v>824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546</v>
      </c>
      <c r="H42" s="223">
        <v>59081.707680619998</v>
      </c>
      <c r="I42" s="164"/>
      <c r="J42" s="157"/>
      <c r="K42" s="228"/>
      <c r="L42" s="228"/>
      <c r="M42" s="228"/>
      <c r="O42" s="241" t="s">
        <v>546</v>
      </c>
      <c r="P42" s="241">
        <v>58274.584006370002</v>
      </c>
      <c r="Q42" s="239"/>
      <c r="R42" s="157"/>
      <c r="S42" s="253" t="s">
        <v>450</v>
      </c>
      <c r="T42" s="258">
        <v>279729.71999999997</v>
      </c>
      <c r="U42" s="258">
        <v>950585</v>
      </c>
      <c r="V42" s="258">
        <v>177</v>
      </c>
      <c r="W42" s="258">
        <v>11531907</v>
      </c>
      <c r="X42" s="258">
        <v>1</v>
      </c>
      <c r="Y42" s="245"/>
      <c r="Z42" s="253" t="s">
        <v>606</v>
      </c>
      <c r="AA42" s="253">
        <v>46234375.200000003</v>
      </c>
      <c r="AB42" s="253">
        <v>2665</v>
      </c>
      <c r="AC42" s="253">
        <v>49</v>
      </c>
      <c r="AD42" s="253">
        <v>22870</v>
      </c>
      <c r="AE42" s="253">
        <v>1</v>
      </c>
      <c r="AF42" s="253"/>
      <c r="AG42" s="253" t="s">
        <v>606</v>
      </c>
      <c r="AH42" s="253">
        <v>176625</v>
      </c>
      <c r="AI42" s="253">
        <v>10</v>
      </c>
      <c r="AJ42" s="253">
        <v>1</v>
      </c>
      <c r="AK42" s="253">
        <v>798</v>
      </c>
      <c r="AL42" s="253">
        <v>1</v>
      </c>
      <c r="AM42" s="245"/>
      <c r="AN42" s="253" t="s">
        <v>577</v>
      </c>
      <c r="AO42" s="253">
        <v>13535900</v>
      </c>
      <c r="AP42" s="253">
        <v>105</v>
      </c>
      <c r="AQ42" s="253">
        <v>30</v>
      </c>
      <c r="AR42" s="253">
        <v>1213</v>
      </c>
      <c r="AS42" s="253">
        <v>1</v>
      </c>
      <c r="AT42" s="245"/>
      <c r="AU42" s="253" t="s">
        <v>578</v>
      </c>
      <c r="AV42" s="253">
        <v>0</v>
      </c>
      <c r="AW42" s="253">
        <v>0</v>
      </c>
      <c r="AX42" s="253">
        <v>0</v>
      </c>
      <c r="AY42" s="253">
        <v>0</v>
      </c>
      <c r="AZ42" s="253">
        <v>0</v>
      </c>
      <c r="BA42" s="245"/>
      <c r="BB42" s="253" t="s">
        <v>606</v>
      </c>
      <c r="BC42" s="253">
        <v>45526603.600000001</v>
      </c>
      <c r="BD42" s="253">
        <v>2578</v>
      </c>
      <c r="BE42" s="253">
        <v>37</v>
      </c>
      <c r="BF42" s="253">
        <v>10779</v>
      </c>
      <c r="BG42" s="253">
        <v>1</v>
      </c>
      <c r="BH42" s="247" t="s">
        <v>577</v>
      </c>
      <c r="BI42" s="253">
        <v>118700</v>
      </c>
      <c r="BJ42" s="253">
        <v>1</v>
      </c>
      <c r="BK42" s="253">
        <v>1</v>
      </c>
      <c r="BL42" s="253">
        <v>90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58051.98864566</v>
      </c>
      <c r="I43" s="164"/>
      <c r="J43" s="157"/>
      <c r="K43" s="228"/>
      <c r="L43" s="228"/>
      <c r="M43" s="228"/>
      <c r="O43" s="241" t="s">
        <v>547</v>
      </c>
      <c r="P43" s="241">
        <v>57200.756514009998</v>
      </c>
      <c r="Q43" s="239"/>
      <c r="S43" s="245" t="s">
        <v>448</v>
      </c>
      <c r="T43" s="245">
        <v>17511</v>
      </c>
      <c r="U43" s="245">
        <v>256705</v>
      </c>
      <c r="V43" s="245">
        <v>3149</v>
      </c>
      <c r="W43" s="245">
        <v>830042</v>
      </c>
      <c r="X43" s="245">
        <v>1</v>
      </c>
      <c r="Y43" s="245"/>
      <c r="Z43" s="253" t="s">
        <v>607</v>
      </c>
      <c r="AA43" s="253">
        <v>661584</v>
      </c>
      <c r="AB43" s="253">
        <v>40</v>
      </c>
      <c r="AC43" s="253">
        <v>6</v>
      </c>
      <c r="AD43" s="253">
        <v>290</v>
      </c>
      <c r="AE43" s="253">
        <v>1</v>
      </c>
      <c r="AF43" s="253"/>
      <c r="AG43" s="253" t="s">
        <v>607</v>
      </c>
      <c r="AH43" s="253">
        <v>0</v>
      </c>
      <c r="AI43" s="253">
        <v>0</v>
      </c>
      <c r="AJ43" s="253">
        <v>0</v>
      </c>
      <c r="AK43" s="253">
        <v>10</v>
      </c>
      <c r="AL43" s="253">
        <v>1</v>
      </c>
      <c r="AM43" s="245"/>
      <c r="AN43" s="253" t="s">
        <v>578</v>
      </c>
      <c r="AO43" s="253">
        <v>0</v>
      </c>
      <c r="AP43" s="253">
        <v>0</v>
      </c>
      <c r="AQ43" s="253">
        <v>0</v>
      </c>
      <c r="AR43" s="253">
        <v>0</v>
      </c>
      <c r="AS43" s="253">
        <v>0</v>
      </c>
      <c r="AT43" s="245"/>
      <c r="AU43" s="253" t="s">
        <v>579</v>
      </c>
      <c r="AV43" s="253">
        <v>0</v>
      </c>
      <c r="AW43" s="253">
        <v>0</v>
      </c>
      <c r="AX43" s="253">
        <v>0</v>
      </c>
      <c r="AY43" s="253">
        <v>0</v>
      </c>
      <c r="AZ43" s="253">
        <v>0</v>
      </c>
      <c r="BA43" s="245"/>
      <c r="BB43" s="253" t="s">
        <v>607</v>
      </c>
      <c r="BC43" s="253">
        <v>0</v>
      </c>
      <c r="BD43" s="253">
        <v>0</v>
      </c>
      <c r="BE43" s="253">
        <v>0</v>
      </c>
      <c r="BF43" s="253">
        <v>0</v>
      </c>
      <c r="BG43" s="253">
        <v>1</v>
      </c>
      <c r="BH43" s="247" t="s">
        <v>578</v>
      </c>
      <c r="BI43" s="253">
        <v>0</v>
      </c>
      <c r="BJ43" s="253">
        <v>0</v>
      </c>
      <c r="BK43" s="253">
        <v>0</v>
      </c>
      <c r="BL43" s="253">
        <v>0</v>
      </c>
      <c r="BM43" s="253">
        <v>0</v>
      </c>
      <c r="BN43" s="253"/>
      <c r="BO43" s="252" t="s">
        <v>488</v>
      </c>
      <c r="BP43" s="264" t="s">
        <v>567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282</v>
      </c>
      <c r="H44" s="223">
        <v>4197.3061305600004</v>
      </c>
      <c r="I44" s="164"/>
      <c r="J44" s="157"/>
      <c r="K44" s="228"/>
      <c r="L44" s="228"/>
      <c r="M44" s="228"/>
      <c r="O44" s="241" t="s">
        <v>282</v>
      </c>
      <c r="P44" s="241">
        <v>3996.0885612400002</v>
      </c>
      <c r="Q44" s="239"/>
      <c r="S44" s="245"/>
      <c r="T44" s="245"/>
      <c r="U44" s="245"/>
      <c r="V44" s="245"/>
      <c r="W44" s="245"/>
      <c r="X44" s="245"/>
      <c r="Y44" s="245"/>
      <c r="Z44" s="253" t="s">
        <v>577</v>
      </c>
      <c r="AA44" s="253">
        <v>5906560</v>
      </c>
      <c r="AB44" s="253">
        <v>46</v>
      </c>
      <c r="AC44" s="253">
        <v>8</v>
      </c>
      <c r="AD44" s="253">
        <v>1624</v>
      </c>
      <c r="AE44" s="253">
        <v>1</v>
      </c>
      <c r="AF44" s="253"/>
      <c r="AG44" s="253" t="s">
        <v>577</v>
      </c>
      <c r="AH44" s="253">
        <v>0</v>
      </c>
      <c r="AI44" s="253">
        <v>0</v>
      </c>
      <c r="AJ44" s="253">
        <v>0</v>
      </c>
      <c r="AK44" s="253">
        <v>74</v>
      </c>
      <c r="AL44" s="253">
        <v>1</v>
      </c>
      <c r="AM44" s="245"/>
      <c r="AN44" s="253" t="s">
        <v>579</v>
      </c>
      <c r="AO44" s="253">
        <v>0</v>
      </c>
      <c r="AP44" s="253">
        <v>0</v>
      </c>
      <c r="AQ44" s="253">
        <v>0</v>
      </c>
      <c r="AR44" s="253">
        <v>0</v>
      </c>
      <c r="AS44" s="253">
        <v>0</v>
      </c>
      <c r="AT44" s="245"/>
      <c r="AU44" s="253" t="s">
        <v>580</v>
      </c>
      <c r="AV44" s="253">
        <v>0</v>
      </c>
      <c r="AW44" s="253">
        <v>0</v>
      </c>
      <c r="AX44" s="253">
        <v>0</v>
      </c>
      <c r="AY44" s="253">
        <v>264</v>
      </c>
      <c r="AZ44" s="253">
        <v>1</v>
      </c>
      <c r="BA44" s="245"/>
      <c r="BB44" s="253" t="s">
        <v>577</v>
      </c>
      <c r="BC44" s="253">
        <v>52448170.049999997</v>
      </c>
      <c r="BD44" s="253">
        <v>411</v>
      </c>
      <c r="BE44" s="253">
        <v>77</v>
      </c>
      <c r="BF44" s="253">
        <v>2233</v>
      </c>
      <c r="BG44" s="253">
        <v>1</v>
      </c>
      <c r="BH44" s="247" t="s">
        <v>579</v>
      </c>
      <c r="BI44" s="253">
        <v>0</v>
      </c>
      <c r="BJ44" s="253">
        <v>0</v>
      </c>
      <c r="BK44" s="253">
        <v>0</v>
      </c>
      <c r="BL44" s="253">
        <v>0</v>
      </c>
      <c r="BM44" s="253">
        <v>0</v>
      </c>
      <c r="BN44" s="253"/>
      <c r="BO44" s="247"/>
      <c r="BP44" s="263">
        <v>807290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61</v>
      </c>
      <c r="H45" s="223">
        <v>36681.777078599996</v>
      </c>
      <c r="I45" s="164"/>
      <c r="J45" s="157"/>
      <c r="K45" s="228"/>
      <c r="L45" s="228"/>
      <c r="M45" s="228"/>
      <c r="O45" s="241" t="s">
        <v>61</v>
      </c>
      <c r="P45" s="241">
        <v>37247.063513059999</v>
      </c>
      <c r="Q45" s="239"/>
      <c r="R45" s="153" t="s">
        <v>455</v>
      </c>
      <c r="S45" s="254" t="s">
        <v>563</v>
      </c>
      <c r="T45" s="257" t="s">
        <v>564</v>
      </c>
      <c r="U45" s="257" t="s">
        <v>565</v>
      </c>
      <c r="V45" s="257" t="s">
        <v>566</v>
      </c>
      <c r="W45" s="257" t="s">
        <v>567</v>
      </c>
      <c r="X45" s="257" t="s">
        <v>568</v>
      </c>
      <c r="Y45" s="245"/>
      <c r="Z45" s="253" t="s">
        <v>578</v>
      </c>
      <c r="AA45" s="253">
        <v>0</v>
      </c>
      <c r="AB45" s="253">
        <v>0</v>
      </c>
      <c r="AC45" s="253">
        <v>0</v>
      </c>
      <c r="AD45" s="253">
        <v>0</v>
      </c>
      <c r="AE45" s="253">
        <v>0</v>
      </c>
      <c r="AF45" s="253"/>
      <c r="AG45" s="253" t="s">
        <v>578</v>
      </c>
      <c r="AH45" s="253">
        <v>0</v>
      </c>
      <c r="AI45" s="253">
        <v>0</v>
      </c>
      <c r="AJ45" s="253">
        <v>0</v>
      </c>
      <c r="AK45" s="253">
        <v>0</v>
      </c>
      <c r="AL45" s="253">
        <v>0</v>
      </c>
      <c r="AM45" s="245"/>
      <c r="AN45" s="253" t="s">
        <v>580</v>
      </c>
      <c r="AO45" s="253">
        <v>34779569.909999996</v>
      </c>
      <c r="AP45" s="253">
        <v>318</v>
      </c>
      <c r="AQ45" s="253">
        <v>23</v>
      </c>
      <c r="AR45" s="253">
        <v>4292</v>
      </c>
      <c r="AS45" s="253">
        <v>1</v>
      </c>
      <c r="AT45" s="245"/>
      <c r="AU45" s="253" t="s">
        <v>582</v>
      </c>
      <c r="AV45" s="253">
        <v>0</v>
      </c>
      <c r="AW45" s="253">
        <v>0</v>
      </c>
      <c r="AX45" s="253">
        <v>0</v>
      </c>
      <c r="AY45" s="253">
        <v>0</v>
      </c>
      <c r="AZ45" s="253">
        <v>0</v>
      </c>
      <c r="BA45" s="245"/>
      <c r="BB45" s="253" t="s">
        <v>578</v>
      </c>
      <c r="BC45" s="253">
        <v>0</v>
      </c>
      <c r="BD45" s="253">
        <v>0</v>
      </c>
      <c r="BE45" s="253">
        <v>0</v>
      </c>
      <c r="BF45" s="253">
        <v>0</v>
      </c>
      <c r="BG45" s="253">
        <v>0</v>
      </c>
      <c r="BH45" s="247" t="s">
        <v>580</v>
      </c>
      <c r="BI45" s="253">
        <v>0</v>
      </c>
      <c r="BJ45" s="253">
        <v>0</v>
      </c>
      <c r="BK45" s="253">
        <v>0</v>
      </c>
      <c r="BL45" s="253">
        <v>45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65</v>
      </c>
      <c r="H46" s="223">
        <v>83064.406764390005</v>
      </c>
      <c r="I46" s="164"/>
      <c r="J46" s="157"/>
      <c r="K46" s="228"/>
      <c r="L46" s="228"/>
      <c r="M46" s="228"/>
      <c r="O46" s="241" t="s">
        <v>65</v>
      </c>
      <c r="P46" s="241">
        <v>81849.656670650002</v>
      </c>
      <c r="Q46" s="239"/>
      <c r="S46" s="253" t="s">
        <v>449</v>
      </c>
      <c r="T46" s="258">
        <v>129632755.516</v>
      </c>
      <c r="U46" s="258">
        <v>113328</v>
      </c>
      <c r="V46" s="258">
        <v>18</v>
      </c>
      <c r="W46" s="258">
        <v>12027706</v>
      </c>
      <c r="X46" s="258">
        <v>1</v>
      </c>
      <c r="Y46" s="245"/>
      <c r="Z46" s="253" t="s">
        <v>579</v>
      </c>
      <c r="AA46" s="253">
        <v>0</v>
      </c>
      <c r="AB46" s="253">
        <v>0</v>
      </c>
      <c r="AC46" s="253">
        <v>0</v>
      </c>
      <c r="AD46" s="253">
        <v>0</v>
      </c>
      <c r="AE46" s="253">
        <v>0</v>
      </c>
      <c r="AF46" s="253"/>
      <c r="AG46" s="253" t="s">
        <v>579</v>
      </c>
      <c r="AH46" s="253">
        <v>0</v>
      </c>
      <c r="AI46" s="253">
        <v>0</v>
      </c>
      <c r="AJ46" s="253">
        <v>0</v>
      </c>
      <c r="AK46" s="253">
        <v>0</v>
      </c>
      <c r="AL46" s="253">
        <v>0</v>
      </c>
      <c r="AM46" s="245"/>
      <c r="AN46" s="253" t="s">
        <v>582</v>
      </c>
      <c r="AO46" s="253">
        <v>0</v>
      </c>
      <c r="AP46" s="253">
        <v>0</v>
      </c>
      <c r="AQ46" s="253">
        <v>0</v>
      </c>
      <c r="AR46" s="253">
        <v>0</v>
      </c>
      <c r="AS46" s="253">
        <v>0</v>
      </c>
      <c r="AT46" s="245"/>
      <c r="AU46" s="253" t="s">
        <v>581</v>
      </c>
      <c r="AV46" s="253">
        <v>0</v>
      </c>
      <c r="AW46" s="253">
        <v>0</v>
      </c>
      <c r="AX46" s="253">
        <v>0</v>
      </c>
      <c r="AY46" s="253">
        <v>10871</v>
      </c>
      <c r="AZ46" s="253">
        <v>0</v>
      </c>
      <c r="BA46" s="245"/>
      <c r="BB46" s="253" t="s">
        <v>579</v>
      </c>
      <c r="BC46" s="253">
        <v>0</v>
      </c>
      <c r="BD46" s="253">
        <v>0</v>
      </c>
      <c r="BE46" s="253">
        <v>0</v>
      </c>
      <c r="BF46" s="253">
        <v>0</v>
      </c>
      <c r="BG46" s="253">
        <v>0</v>
      </c>
      <c r="BH46" s="247" t="s">
        <v>582</v>
      </c>
      <c r="BI46" s="253">
        <v>0</v>
      </c>
      <c r="BJ46" s="253">
        <v>0</v>
      </c>
      <c r="BK46" s="253">
        <v>0</v>
      </c>
      <c r="BL46" s="253">
        <v>0</v>
      </c>
      <c r="BM46" s="253">
        <v>0</v>
      </c>
      <c r="BN46" s="253"/>
      <c r="BO46" s="260" t="s">
        <v>489</v>
      </c>
      <c r="BP46" s="264" t="s">
        <v>567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67</v>
      </c>
      <c r="H47" s="223">
        <v>16303.26933139</v>
      </c>
      <c r="I47" s="164"/>
      <c r="J47" s="159"/>
      <c r="K47" s="228"/>
      <c r="L47" s="228"/>
      <c r="M47" s="228"/>
      <c r="O47" s="241" t="s">
        <v>67</v>
      </c>
      <c r="P47" s="241">
        <v>15423.4513668</v>
      </c>
      <c r="Q47" s="239"/>
      <c r="S47" s="253" t="s">
        <v>447</v>
      </c>
      <c r="T47" s="258">
        <v>183692478.03</v>
      </c>
      <c r="U47" s="258">
        <v>12850</v>
      </c>
      <c r="V47" s="258">
        <v>19</v>
      </c>
      <c r="W47" s="258">
        <v>2073130</v>
      </c>
      <c r="X47" s="258">
        <v>0</v>
      </c>
      <c r="Y47" s="245"/>
      <c r="Z47" s="253" t="s">
        <v>580</v>
      </c>
      <c r="AA47" s="253">
        <v>102221980.33499999</v>
      </c>
      <c r="AB47" s="253">
        <v>920</v>
      </c>
      <c r="AC47" s="253">
        <v>41</v>
      </c>
      <c r="AD47" s="253">
        <v>6373</v>
      </c>
      <c r="AE47" s="253">
        <v>1</v>
      </c>
      <c r="AF47" s="253"/>
      <c r="AG47" s="253" t="s">
        <v>580</v>
      </c>
      <c r="AH47" s="253">
        <v>661945</v>
      </c>
      <c r="AI47" s="253">
        <v>6</v>
      </c>
      <c r="AJ47" s="253">
        <v>2</v>
      </c>
      <c r="AK47" s="253">
        <v>306</v>
      </c>
      <c r="AL47" s="253">
        <v>1</v>
      </c>
      <c r="AM47" s="245"/>
      <c r="AN47" s="253" t="s">
        <v>581</v>
      </c>
      <c r="AO47" s="253">
        <v>42128549.649999999</v>
      </c>
      <c r="AP47" s="253">
        <v>4523</v>
      </c>
      <c r="AQ47" s="253">
        <v>467</v>
      </c>
      <c r="AR47" s="253">
        <v>220119</v>
      </c>
      <c r="AS47" s="253">
        <v>0</v>
      </c>
      <c r="AT47" s="245"/>
      <c r="AU47" s="253" t="s">
        <v>608</v>
      </c>
      <c r="AV47" s="253">
        <v>0</v>
      </c>
      <c r="AW47" s="253">
        <v>0</v>
      </c>
      <c r="AX47" s="253">
        <v>0</v>
      </c>
      <c r="AY47" s="253">
        <v>240</v>
      </c>
      <c r="AZ47" s="253">
        <v>0</v>
      </c>
      <c r="BA47" s="245"/>
      <c r="BB47" s="253" t="s">
        <v>580</v>
      </c>
      <c r="BC47" s="253">
        <v>2828565</v>
      </c>
      <c r="BD47" s="253">
        <v>26</v>
      </c>
      <c r="BE47" s="253">
        <v>13</v>
      </c>
      <c r="BF47" s="253">
        <v>1014</v>
      </c>
      <c r="BG47" s="253">
        <v>1</v>
      </c>
      <c r="BH47" s="247" t="s">
        <v>581</v>
      </c>
      <c r="BI47" s="253">
        <v>598354</v>
      </c>
      <c r="BJ47" s="253">
        <v>68</v>
      </c>
      <c r="BK47" s="253">
        <v>13</v>
      </c>
      <c r="BL47" s="253">
        <v>5863</v>
      </c>
      <c r="BM47" s="253">
        <v>0</v>
      </c>
      <c r="BN47" s="253"/>
      <c r="BO47" s="247"/>
      <c r="BP47" s="263">
        <v>37005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42195</v>
      </c>
      <c r="D48" s="190">
        <v>67821.078360950007</v>
      </c>
      <c r="E48" s="223">
        <v>1</v>
      </c>
      <c r="F48" s="217"/>
      <c r="G48" s="223" t="s">
        <v>69</v>
      </c>
      <c r="H48" s="223">
        <v>85369.564851050003</v>
      </c>
      <c r="I48" s="164"/>
      <c r="J48" s="159"/>
      <c r="K48" s="228"/>
      <c r="L48" s="228"/>
      <c r="M48" s="228"/>
      <c r="O48" s="241" t="s">
        <v>69</v>
      </c>
      <c r="P48" s="241">
        <v>83437.390650419999</v>
      </c>
      <c r="Q48" s="239"/>
      <c r="S48" s="253" t="s">
        <v>451</v>
      </c>
      <c r="T48" s="258">
        <v>19221836.920000002</v>
      </c>
      <c r="U48" s="258">
        <v>33017</v>
      </c>
      <c r="V48" s="258">
        <v>10</v>
      </c>
      <c r="W48" s="258">
        <v>318663</v>
      </c>
      <c r="X48" s="258">
        <v>0</v>
      </c>
      <c r="Y48" s="245"/>
      <c r="Z48" s="253" t="s">
        <v>582</v>
      </c>
      <c r="AA48" s="253">
        <v>0</v>
      </c>
      <c r="AB48" s="253">
        <v>0</v>
      </c>
      <c r="AC48" s="253">
        <v>0</v>
      </c>
      <c r="AD48" s="253">
        <v>0</v>
      </c>
      <c r="AE48" s="253">
        <v>0</v>
      </c>
      <c r="AF48" s="253"/>
      <c r="AG48" s="253" t="s">
        <v>582</v>
      </c>
      <c r="AH48" s="253">
        <v>0</v>
      </c>
      <c r="AI48" s="253">
        <v>0</v>
      </c>
      <c r="AJ48" s="253">
        <v>0</v>
      </c>
      <c r="AK48" s="253">
        <v>0</v>
      </c>
      <c r="AL48" s="253">
        <v>0</v>
      </c>
      <c r="AM48" s="245"/>
      <c r="AN48" s="253" t="s">
        <v>608</v>
      </c>
      <c r="AO48" s="253">
        <v>0</v>
      </c>
      <c r="AP48" s="253">
        <v>0</v>
      </c>
      <c r="AQ48" s="253">
        <v>0</v>
      </c>
      <c r="AR48" s="253">
        <v>5280</v>
      </c>
      <c r="AS48" s="253">
        <v>0</v>
      </c>
      <c r="AT48" s="245"/>
      <c r="AU48" s="253" t="s">
        <v>604</v>
      </c>
      <c r="AV48" s="253">
        <v>0</v>
      </c>
      <c r="AW48" s="253">
        <v>0</v>
      </c>
      <c r="AX48" s="253">
        <v>0</v>
      </c>
      <c r="AY48" s="253">
        <v>28</v>
      </c>
      <c r="AZ48" s="253">
        <v>1</v>
      </c>
      <c r="BA48" s="245"/>
      <c r="BB48" s="253" t="s">
        <v>582</v>
      </c>
      <c r="BC48" s="253">
        <v>0</v>
      </c>
      <c r="BD48" s="253">
        <v>0</v>
      </c>
      <c r="BE48" s="253">
        <v>0</v>
      </c>
      <c r="BF48" s="253">
        <v>0</v>
      </c>
      <c r="BG48" s="253">
        <v>0</v>
      </c>
      <c r="BH48" s="247" t="s">
        <v>604</v>
      </c>
      <c r="BI48" s="253">
        <v>467600</v>
      </c>
      <c r="BJ48" s="253">
        <v>9</v>
      </c>
      <c r="BK48" s="253">
        <v>4</v>
      </c>
      <c r="BL48" s="253">
        <v>185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115</v>
      </c>
      <c r="H49" s="223">
        <v>1179.7630766299999</v>
      </c>
      <c r="I49" s="164"/>
      <c r="J49" s="159"/>
      <c r="K49" s="228"/>
      <c r="L49" s="228"/>
      <c r="M49" s="228"/>
      <c r="O49" s="241" t="s">
        <v>115</v>
      </c>
      <c r="P49" s="241">
        <v>1182.6942294600001</v>
      </c>
      <c r="Q49" s="239"/>
      <c r="S49" s="253" t="s">
        <v>448</v>
      </c>
      <c r="T49" s="258">
        <v>0</v>
      </c>
      <c r="U49" s="258">
        <v>0</v>
      </c>
      <c r="V49" s="258">
        <v>0</v>
      </c>
      <c r="W49" s="258">
        <v>0</v>
      </c>
      <c r="X49" s="258">
        <v>0</v>
      </c>
      <c r="Y49" s="245"/>
      <c r="Z49" s="253" t="s">
        <v>581</v>
      </c>
      <c r="AA49" s="253">
        <v>44840943.82</v>
      </c>
      <c r="AB49" s="253">
        <v>4063</v>
      </c>
      <c r="AC49" s="253">
        <v>503</v>
      </c>
      <c r="AD49" s="253">
        <v>242937</v>
      </c>
      <c r="AE49" s="253">
        <v>0</v>
      </c>
      <c r="AF49" s="253"/>
      <c r="AG49" s="253" t="s">
        <v>581</v>
      </c>
      <c r="AH49" s="253">
        <v>784346.23</v>
      </c>
      <c r="AI49" s="253">
        <v>76</v>
      </c>
      <c r="AJ49" s="253">
        <v>5</v>
      </c>
      <c r="AK49" s="253">
        <v>8810</v>
      </c>
      <c r="AL49" s="253">
        <v>0</v>
      </c>
      <c r="AM49" s="245"/>
      <c r="AN49" s="253" t="s">
        <v>604</v>
      </c>
      <c r="AO49" s="253">
        <v>2035750</v>
      </c>
      <c r="AP49" s="253">
        <v>35</v>
      </c>
      <c r="AQ49" s="253">
        <v>3</v>
      </c>
      <c r="AR49" s="253">
        <v>586</v>
      </c>
      <c r="AS49" s="253">
        <v>1</v>
      </c>
      <c r="AT49" s="245"/>
      <c r="AU49" s="253" t="s">
        <v>609</v>
      </c>
      <c r="AV49" s="253">
        <v>0</v>
      </c>
      <c r="AW49" s="253">
        <v>0</v>
      </c>
      <c r="AX49" s="253">
        <v>0</v>
      </c>
      <c r="AY49" s="253">
        <v>4</v>
      </c>
      <c r="AZ49" s="253">
        <v>1</v>
      </c>
      <c r="BA49" s="245"/>
      <c r="BB49" s="253" t="s">
        <v>581</v>
      </c>
      <c r="BC49" s="253">
        <v>34787330.780000001</v>
      </c>
      <c r="BD49" s="253">
        <v>3280</v>
      </c>
      <c r="BE49" s="253">
        <v>400</v>
      </c>
      <c r="BF49" s="253">
        <v>302504</v>
      </c>
      <c r="BG49" s="253">
        <v>0</v>
      </c>
      <c r="BH49" s="247" t="s">
        <v>619</v>
      </c>
      <c r="BI49" s="253">
        <v>0</v>
      </c>
      <c r="BJ49" s="253">
        <v>0</v>
      </c>
      <c r="BK49" s="253">
        <v>0</v>
      </c>
      <c r="BL49" s="253">
        <v>0</v>
      </c>
      <c r="BM49" s="253">
        <v>1</v>
      </c>
      <c r="BN49" s="253"/>
      <c r="BO49" s="256" t="s">
        <v>491</v>
      </c>
      <c r="BP49" s="264" t="s">
        <v>537</v>
      </c>
      <c r="BQ49" s="264" t="s">
        <v>565</v>
      </c>
      <c r="BR49" s="264" t="s">
        <v>566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283</v>
      </c>
      <c r="H50" s="223">
        <v>378.13509511000001</v>
      </c>
      <c r="I50" s="164"/>
      <c r="J50" s="159"/>
      <c r="K50" s="228"/>
      <c r="L50" s="228"/>
      <c r="M50" s="228"/>
      <c r="O50" s="241" t="s">
        <v>283</v>
      </c>
      <c r="P50" s="241">
        <v>391.22878906</v>
      </c>
      <c r="Q50" s="239"/>
      <c r="S50" s="253" t="s">
        <v>446</v>
      </c>
      <c r="T50" s="258">
        <v>3728663.25</v>
      </c>
      <c r="U50" s="258">
        <v>679</v>
      </c>
      <c r="V50" s="258">
        <v>3</v>
      </c>
      <c r="W50" s="258">
        <v>1076998</v>
      </c>
      <c r="X50" s="258">
        <v>0</v>
      </c>
      <c r="Y50" s="245"/>
      <c r="Z50" s="253" t="s">
        <v>608</v>
      </c>
      <c r="AA50" s="253">
        <v>0</v>
      </c>
      <c r="AB50" s="253">
        <v>0</v>
      </c>
      <c r="AC50" s="253">
        <v>0</v>
      </c>
      <c r="AD50" s="253">
        <v>4560</v>
      </c>
      <c r="AE50" s="253">
        <v>0</v>
      </c>
      <c r="AF50" s="253"/>
      <c r="AG50" s="253" t="s">
        <v>604</v>
      </c>
      <c r="AH50" s="253">
        <v>928500</v>
      </c>
      <c r="AI50" s="253">
        <v>15</v>
      </c>
      <c r="AJ50" s="253">
        <v>1</v>
      </c>
      <c r="AK50" s="253">
        <v>0</v>
      </c>
      <c r="AL50" s="253">
        <v>1</v>
      </c>
      <c r="AM50" s="245"/>
      <c r="AN50" s="253" t="s">
        <v>609</v>
      </c>
      <c r="AO50" s="253">
        <v>0</v>
      </c>
      <c r="AP50" s="253">
        <v>0</v>
      </c>
      <c r="AQ50" s="253">
        <v>0</v>
      </c>
      <c r="AR50" s="253">
        <v>88</v>
      </c>
      <c r="AS50" s="253">
        <v>1</v>
      </c>
      <c r="AT50" s="245"/>
      <c r="AU50" s="253" t="s">
        <v>587</v>
      </c>
      <c r="AV50" s="253">
        <v>0</v>
      </c>
      <c r="AW50" s="253">
        <v>0</v>
      </c>
      <c r="AX50" s="253">
        <v>0</v>
      </c>
      <c r="AY50" s="253">
        <v>73</v>
      </c>
      <c r="AZ50" s="253">
        <v>1</v>
      </c>
      <c r="BA50" s="245"/>
      <c r="BB50" s="253" t="s">
        <v>604</v>
      </c>
      <c r="BC50" s="253">
        <v>17761030</v>
      </c>
      <c r="BD50" s="253">
        <v>362</v>
      </c>
      <c r="BE50" s="253">
        <v>59</v>
      </c>
      <c r="BF50" s="253">
        <v>3461</v>
      </c>
      <c r="BG50" s="253">
        <v>1</v>
      </c>
      <c r="BH50" s="247" t="s">
        <v>587</v>
      </c>
      <c r="BI50" s="253">
        <v>0</v>
      </c>
      <c r="BJ50" s="253">
        <v>0</v>
      </c>
      <c r="BK50" s="253">
        <v>0</v>
      </c>
      <c r="BL50" s="253">
        <v>0</v>
      </c>
      <c r="BM50" s="253">
        <v>1</v>
      </c>
      <c r="BN50" s="253"/>
      <c r="BO50" s="247"/>
      <c r="BP50" s="263">
        <v>38517533390.800003</v>
      </c>
      <c r="BQ50" s="263">
        <v>2656250</v>
      </c>
      <c r="BR50" s="263">
        <v>5872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284</v>
      </c>
      <c r="H51" s="223">
        <v>21.729184660000001</v>
      </c>
      <c r="I51" s="164"/>
      <c r="J51" s="157"/>
      <c r="K51" s="228"/>
      <c r="L51" s="228"/>
      <c r="M51" s="228"/>
      <c r="O51" s="241" t="s">
        <v>284</v>
      </c>
      <c r="P51" s="241">
        <v>22.546053560000001</v>
      </c>
      <c r="Q51" s="239"/>
      <c r="S51" s="253" t="s">
        <v>569</v>
      </c>
      <c r="T51" s="258">
        <v>0</v>
      </c>
      <c r="U51" s="258">
        <v>0</v>
      </c>
      <c r="V51" s="258">
        <v>0</v>
      </c>
      <c r="W51" s="258">
        <v>0</v>
      </c>
      <c r="X51" s="258">
        <v>1</v>
      </c>
      <c r="Y51" s="245"/>
      <c r="Z51" s="253" t="s">
        <v>604</v>
      </c>
      <c r="AA51" s="253">
        <v>2979710</v>
      </c>
      <c r="AB51" s="253">
        <v>48</v>
      </c>
      <c r="AC51" s="253">
        <v>5</v>
      </c>
      <c r="AD51" s="253">
        <v>439</v>
      </c>
      <c r="AE51" s="253">
        <v>1</v>
      </c>
      <c r="AF51" s="253"/>
      <c r="AG51" s="253" t="s">
        <v>609</v>
      </c>
      <c r="AH51" s="253">
        <v>0</v>
      </c>
      <c r="AI51" s="253">
        <v>0</v>
      </c>
      <c r="AJ51" s="253">
        <v>0</v>
      </c>
      <c r="AK51" s="253">
        <v>4</v>
      </c>
      <c r="AL51" s="253">
        <v>1</v>
      </c>
      <c r="AM51" s="245"/>
      <c r="AN51" s="253" t="s">
        <v>587</v>
      </c>
      <c r="AO51" s="253">
        <v>2147325</v>
      </c>
      <c r="AP51" s="253">
        <v>45</v>
      </c>
      <c r="AQ51" s="253">
        <v>8</v>
      </c>
      <c r="AR51" s="253">
        <v>1721</v>
      </c>
      <c r="AS51" s="253">
        <v>1</v>
      </c>
      <c r="AT51" s="245"/>
      <c r="AU51" s="253" t="s">
        <v>588</v>
      </c>
      <c r="AV51" s="253">
        <v>0</v>
      </c>
      <c r="AW51" s="253">
        <v>0</v>
      </c>
      <c r="AX51" s="253">
        <v>0</v>
      </c>
      <c r="AY51" s="253">
        <v>0</v>
      </c>
      <c r="AZ51" s="253">
        <v>1</v>
      </c>
      <c r="BA51" s="245"/>
      <c r="BB51" s="253" t="s">
        <v>619</v>
      </c>
      <c r="BC51" s="253">
        <v>0</v>
      </c>
      <c r="BD51" s="253">
        <v>0</v>
      </c>
      <c r="BE51" s="253">
        <v>0</v>
      </c>
      <c r="BF51" s="253">
        <v>0</v>
      </c>
      <c r="BG51" s="253">
        <v>1</v>
      </c>
      <c r="BH51" s="247" t="s">
        <v>588</v>
      </c>
      <c r="BI51" s="253">
        <v>0</v>
      </c>
      <c r="BJ51" s="253">
        <v>0</v>
      </c>
      <c r="BK51" s="253">
        <v>0</v>
      </c>
      <c r="BL51" s="253">
        <v>0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285</v>
      </c>
      <c r="H52" s="223">
        <v>360.8837934</v>
      </c>
      <c r="I52" s="164"/>
      <c r="J52" s="157"/>
      <c r="K52" s="228"/>
      <c r="L52" s="228"/>
      <c r="M52" s="228"/>
      <c r="O52" s="241" t="s">
        <v>285</v>
      </c>
      <c r="P52" s="241">
        <v>366.75347362999997</v>
      </c>
      <c r="Q52" s="239"/>
      <c r="S52" s="253" t="s">
        <v>447</v>
      </c>
      <c r="T52" s="258">
        <v>1014704232.5</v>
      </c>
      <c r="U52" s="258">
        <v>14224</v>
      </c>
      <c r="V52" s="258">
        <v>132</v>
      </c>
      <c r="W52" s="258">
        <v>1211214</v>
      </c>
      <c r="X52" s="258">
        <v>1</v>
      </c>
      <c r="Y52" s="245"/>
      <c r="Z52" s="253" t="s">
        <v>609</v>
      </c>
      <c r="AA52" s="253">
        <v>0</v>
      </c>
      <c r="AB52" s="253">
        <v>0</v>
      </c>
      <c r="AC52" s="253">
        <v>0</v>
      </c>
      <c r="AD52" s="253">
        <v>88</v>
      </c>
      <c r="AE52" s="253">
        <v>1</v>
      </c>
      <c r="AF52" s="253"/>
      <c r="AG52" s="253" t="s">
        <v>587</v>
      </c>
      <c r="AH52" s="253">
        <v>247537.5</v>
      </c>
      <c r="AI52" s="253">
        <v>5</v>
      </c>
      <c r="AJ52" s="253">
        <v>1</v>
      </c>
      <c r="AK52" s="253">
        <v>25</v>
      </c>
      <c r="AL52" s="253">
        <v>1</v>
      </c>
      <c r="AM52" s="245"/>
      <c r="AN52" s="253" t="s">
        <v>588</v>
      </c>
      <c r="AO52" s="253">
        <v>0</v>
      </c>
      <c r="AP52" s="253">
        <v>0</v>
      </c>
      <c r="AQ52" s="253">
        <v>0</v>
      </c>
      <c r="AR52" s="253">
        <v>0</v>
      </c>
      <c r="AS52" s="253">
        <v>1</v>
      </c>
      <c r="AT52" s="245"/>
      <c r="AU52" s="253" t="s">
        <v>610</v>
      </c>
      <c r="AV52" s="253">
        <v>0</v>
      </c>
      <c r="AW52" s="253">
        <v>0</v>
      </c>
      <c r="AX52" s="253">
        <v>0</v>
      </c>
      <c r="AY52" s="253">
        <v>0</v>
      </c>
      <c r="AZ52" s="253">
        <v>1</v>
      </c>
      <c r="BA52" s="245"/>
      <c r="BB52" s="253" t="s">
        <v>587</v>
      </c>
      <c r="BC52" s="253">
        <v>4392000</v>
      </c>
      <c r="BD52" s="253">
        <v>73</v>
      </c>
      <c r="BE52" s="253">
        <v>7</v>
      </c>
      <c r="BF52" s="253">
        <v>335</v>
      </c>
      <c r="BG52" s="253">
        <v>1</v>
      </c>
      <c r="BH52" s="247" t="s">
        <v>590</v>
      </c>
      <c r="BI52" s="253">
        <v>0</v>
      </c>
      <c r="BJ52" s="253">
        <v>0</v>
      </c>
      <c r="BK52" s="253">
        <v>0</v>
      </c>
      <c r="BL52" s="253">
        <v>0</v>
      </c>
      <c r="BM52" s="253">
        <v>1</v>
      </c>
      <c r="BN52" s="253"/>
      <c r="BO52" s="259" t="s">
        <v>492</v>
      </c>
      <c r="BP52" s="264" t="s">
        <v>537</v>
      </c>
      <c r="BQ52" s="264" t="s">
        <v>565</v>
      </c>
      <c r="BR52" s="264" t="s">
        <v>566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286</v>
      </c>
      <c r="H53" s="223">
        <v>263.79132168000001</v>
      </c>
      <c r="I53" s="164"/>
      <c r="J53" s="157"/>
      <c r="K53" s="228"/>
      <c r="L53" s="228"/>
      <c r="M53" s="228"/>
      <c r="O53" s="241" t="s">
        <v>286</v>
      </c>
      <c r="P53" s="241">
        <v>270.89462634</v>
      </c>
      <c r="Q53" s="239"/>
      <c r="S53" s="253" t="s">
        <v>182</v>
      </c>
      <c r="T53" s="258">
        <v>696170.68299999996</v>
      </c>
      <c r="U53" s="258">
        <v>2133</v>
      </c>
      <c r="V53" s="258">
        <v>5</v>
      </c>
      <c r="W53" s="258">
        <v>1536119</v>
      </c>
      <c r="X53" s="258">
        <v>1</v>
      </c>
      <c r="Y53" s="245"/>
      <c r="Z53" s="253" t="s">
        <v>587</v>
      </c>
      <c r="AA53" s="253">
        <v>3488684.25</v>
      </c>
      <c r="AB53" s="253">
        <v>72</v>
      </c>
      <c r="AC53" s="253">
        <v>12</v>
      </c>
      <c r="AD53" s="253">
        <v>1123</v>
      </c>
      <c r="AE53" s="253">
        <v>1</v>
      </c>
      <c r="AF53" s="253"/>
      <c r="AG53" s="253" t="s">
        <v>588</v>
      </c>
      <c r="AH53" s="253">
        <v>0</v>
      </c>
      <c r="AI53" s="253">
        <v>0</v>
      </c>
      <c r="AJ53" s="253">
        <v>0</v>
      </c>
      <c r="AK53" s="253">
        <v>30</v>
      </c>
      <c r="AL53" s="253">
        <v>1</v>
      </c>
      <c r="AM53" s="245"/>
      <c r="AN53" s="253" t="s">
        <v>610</v>
      </c>
      <c r="AO53" s="253">
        <v>0</v>
      </c>
      <c r="AP53" s="253">
        <v>0</v>
      </c>
      <c r="AQ53" s="253">
        <v>0</v>
      </c>
      <c r="AR53" s="253">
        <v>0</v>
      </c>
      <c r="AS53" s="253">
        <v>1</v>
      </c>
      <c r="AT53" s="245"/>
      <c r="AU53" s="253" t="s">
        <v>590</v>
      </c>
      <c r="AV53" s="253">
        <v>0</v>
      </c>
      <c r="AW53" s="253">
        <v>0</v>
      </c>
      <c r="AX53" s="253">
        <v>0</v>
      </c>
      <c r="AY53" s="253">
        <v>104</v>
      </c>
      <c r="AZ53" s="253">
        <v>1</v>
      </c>
      <c r="BA53" s="245"/>
      <c r="BB53" s="253" t="s">
        <v>588</v>
      </c>
      <c r="BC53" s="253">
        <v>0</v>
      </c>
      <c r="BD53" s="253">
        <v>0</v>
      </c>
      <c r="BE53" s="253">
        <v>0</v>
      </c>
      <c r="BF53" s="253">
        <v>0</v>
      </c>
      <c r="BG53" s="253">
        <v>1</v>
      </c>
      <c r="BH53" s="247" t="s">
        <v>589</v>
      </c>
      <c r="BI53" s="253">
        <v>0</v>
      </c>
      <c r="BJ53" s="253">
        <v>0</v>
      </c>
      <c r="BK53" s="253">
        <v>0</v>
      </c>
      <c r="BL53" s="253">
        <v>28</v>
      </c>
      <c r="BM53" s="253">
        <v>1</v>
      </c>
      <c r="BN53" s="253"/>
      <c r="BO53" s="251"/>
      <c r="BP53" s="263">
        <v>39430009471.099998</v>
      </c>
      <c r="BQ53" s="263">
        <v>2605518</v>
      </c>
      <c r="BR53" s="263">
        <v>1051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287</v>
      </c>
      <c r="H54" s="223">
        <v>210.45997077999999</v>
      </c>
      <c r="I54" s="164"/>
      <c r="J54" s="157"/>
      <c r="K54" s="228"/>
      <c r="L54" s="228"/>
      <c r="M54" s="228"/>
      <c r="O54" s="241" t="s">
        <v>287</v>
      </c>
      <c r="P54" s="241">
        <v>213.80273879999999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588</v>
      </c>
      <c r="AA54" s="253">
        <v>945600</v>
      </c>
      <c r="AB54" s="253">
        <v>30</v>
      </c>
      <c r="AC54" s="253">
        <v>1</v>
      </c>
      <c r="AD54" s="253">
        <v>570</v>
      </c>
      <c r="AE54" s="253">
        <v>1</v>
      </c>
      <c r="AF54" s="253"/>
      <c r="AG54" s="253" t="s">
        <v>610</v>
      </c>
      <c r="AH54" s="253">
        <v>0</v>
      </c>
      <c r="AI54" s="253">
        <v>0</v>
      </c>
      <c r="AJ54" s="253">
        <v>0</v>
      </c>
      <c r="AK54" s="253">
        <v>0</v>
      </c>
      <c r="AL54" s="253">
        <v>1</v>
      </c>
      <c r="AM54" s="245"/>
      <c r="AN54" s="253" t="s">
        <v>590</v>
      </c>
      <c r="AO54" s="253">
        <v>17775149.98</v>
      </c>
      <c r="AP54" s="253">
        <v>37</v>
      </c>
      <c r="AQ54" s="253">
        <v>8</v>
      </c>
      <c r="AR54" s="253">
        <v>2688</v>
      </c>
      <c r="AS54" s="253">
        <v>1</v>
      </c>
      <c r="AT54" s="245"/>
      <c r="AU54" s="253" t="s">
        <v>589</v>
      </c>
      <c r="AV54" s="253">
        <v>4537500</v>
      </c>
      <c r="AW54" s="253">
        <v>25</v>
      </c>
      <c r="AX54" s="253">
        <v>1</v>
      </c>
      <c r="AY54" s="253">
        <v>1308</v>
      </c>
      <c r="AZ54" s="253">
        <v>1</v>
      </c>
      <c r="BA54" s="245"/>
      <c r="BB54" s="253" t="s">
        <v>590</v>
      </c>
      <c r="BC54" s="253">
        <v>0</v>
      </c>
      <c r="BD54" s="253">
        <v>0</v>
      </c>
      <c r="BE54" s="253">
        <v>0</v>
      </c>
      <c r="BF54" s="253">
        <v>0</v>
      </c>
      <c r="BG54" s="253">
        <v>1</v>
      </c>
      <c r="BH54" s="247" t="s">
        <v>585</v>
      </c>
      <c r="BI54" s="253">
        <v>0</v>
      </c>
      <c r="BJ54" s="253">
        <v>0</v>
      </c>
      <c r="BK54" s="253">
        <v>0</v>
      </c>
      <c r="BL54" s="253">
        <v>50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288</v>
      </c>
      <c r="H55" s="223">
        <v>465.42816227999998</v>
      </c>
      <c r="I55" s="164"/>
      <c r="J55" s="157"/>
      <c r="K55" s="228"/>
      <c r="L55" s="228"/>
      <c r="M55" s="228"/>
      <c r="O55" s="241" t="s">
        <v>288</v>
      </c>
      <c r="P55" s="241">
        <v>472.29321517</v>
      </c>
      <c r="Q55" s="239"/>
      <c r="S55" s="253" t="s">
        <v>446</v>
      </c>
      <c r="T55" s="258">
        <v>14896664239.100201</v>
      </c>
      <c r="U55" s="258">
        <v>47192</v>
      </c>
      <c r="V55" s="258">
        <v>9353</v>
      </c>
      <c r="W55" s="258">
        <v>671733</v>
      </c>
      <c r="X55" s="258">
        <v>1</v>
      </c>
      <c r="Y55" s="245"/>
      <c r="Z55" s="253" t="s">
        <v>610</v>
      </c>
      <c r="AA55" s="253">
        <v>0</v>
      </c>
      <c r="AB55" s="253">
        <v>0</v>
      </c>
      <c r="AC55" s="253">
        <v>0</v>
      </c>
      <c r="AD55" s="253">
        <v>0</v>
      </c>
      <c r="AE55" s="253">
        <v>1</v>
      </c>
      <c r="AF55" s="253"/>
      <c r="AG55" s="253" t="s">
        <v>590</v>
      </c>
      <c r="AH55" s="253">
        <v>0</v>
      </c>
      <c r="AI55" s="253">
        <v>0</v>
      </c>
      <c r="AJ55" s="253">
        <v>0</v>
      </c>
      <c r="AK55" s="253">
        <v>76</v>
      </c>
      <c r="AL55" s="253">
        <v>1</v>
      </c>
      <c r="AM55" s="245"/>
      <c r="AN55" s="253" t="s">
        <v>589</v>
      </c>
      <c r="AO55" s="253">
        <v>16739540</v>
      </c>
      <c r="AP55" s="253">
        <v>94</v>
      </c>
      <c r="AQ55" s="253">
        <v>14</v>
      </c>
      <c r="AR55" s="253">
        <v>29062</v>
      </c>
      <c r="AS55" s="253">
        <v>1</v>
      </c>
      <c r="AT55" s="245"/>
      <c r="AU55" s="253" t="s">
        <v>585</v>
      </c>
      <c r="AV55" s="253">
        <v>0</v>
      </c>
      <c r="AW55" s="253">
        <v>0</v>
      </c>
      <c r="AX55" s="253">
        <v>0</v>
      </c>
      <c r="AY55" s="253">
        <v>16</v>
      </c>
      <c r="AZ55" s="253">
        <v>1</v>
      </c>
      <c r="BA55" s="245"/>
      <c r="BB55" s="253" t="s">
        <v>589</v>
      </c>
      <c r="BC55" s="253">
        <v>19389469.998</v>
      </c>
      <c r="BD55" s="253">
        <v>111</v>
      </c>
      <c r="BE55" s="253">
        <v>30</v>
      </c>
      <c r="BF55" s="253">
        <v>847</v>
      </c>
      <c r="BG55" s="253">
        <v>1</v>
      </c>
      <c r="BH55" s="247" t="s">
        <v>611</v>
      </c>
      <c r="BI55" s="253">
        <v>0</v>
      </c>
      <c r="BJ55" s="253">
        <v>0</v>
      </c>
      <c r="BK55" s="253">
        <v>0</v>
      </c>
      <c r="BL55" s="253">
        <v>26</v>
      </c>
      <c r="BM55" s="253">
        <v>1</v>
      </c>
      <c r="BN55" s="253"/>
      <c r="BO55" s="256" t="s">
        <v>493</v>
      </c>
      <c r="BP55" s="264" t="s">
        <v>621</v>
      </c>
      <c r="BQ55" s="264" t="s">
        <v>567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289</v>
      </c>
      <c r="H56" s="223">
        <v>8776.3617498500007</v>
      </c>
      <c r="I56" s="164"/>
      <c r="J56" s="157"/>
      <c r="K56" s="228"/>
      <c r="L56" s="228"/>
      <c r="M56" s="228"/>
      <c r="O56" s="241" t="s">
        <v>289</v>
      </c>
      <c r="P56" s="241">
        <v>8591.8043031699999</v>
      </c>
      <c r="Q56" s="239"/>
      <c r="S56" s="253" t="s">
        <v>451</v>
      </c>
      <c r="T56" s="258">
        <v>518339222.92400002</v>
      </c>
      <c r="U56" s="258">
        <v>32746</v>
      </c>
      <c r="V56" s="258">
        <v>99</v>
      </c>
      <c r="W56" s="258">
        <v>472686</v>
      </c>
      <c r="X56" s="258">
        <v>1</v>
      </c>
      <c r="Y56" s="245"/>
      <c r="Z56" s="253" t="s">
        <v>590</v>
      </c>
      <c r="AA56" s="253">
        <v>13931100</v>
      </c>
      <c r="AB56" s="253">
        <v>28</v>
      </c>
      <c r="AC56" s="253">
        <v>9</v>
      </c>
      <c r="AD56" s="253">
        <v>1991</v>
      </c>
      <c r="AE56" s="253">
        <v>1</v>
      </c>
      <c r="AF56" s="253"/>
      <c r="AG56" s="253" t="s">
        <v>589</v>
      </c>
      <c r="AH56" s="253">
        <v>3221640</v>
      </c>
      <c r="AI56" s="253">
        <v>18</v>
      </c>
      <c r="AJ56" s="253">
        <v>1</v>
      </c>
      <c r="AK56" s="253">
        <v>1287</v>
      </c>
      <c r="AL56" s="253">
        <v>1</v>
      </c>
      <c r="AM56" s="245"/>
      <c r="AN56" s="253" t="s">
        <v>585</v>
      </c>
      <c r="AO56" s="253">
        <v>0</v>
      </c>
      <c r="AP56" s="253">
        <v>0</v>
      </c>
      <c r="AQ56" s="253">
        <v>0</v>
      </c>
      <c r="AR56" s="253">
        <v>352</v>
      </c>
      <c r="AS56" s="253">
        <v>1</v>
      </c>
      <c r="AT56" s="245"/>
      <c r="AU56" s="253" t="s">
        <v>611</v>
      </c>
      <c r="AV56" s="253">
        <v>0</v>
      </c>
      <c r="AW56" s="253">
        <v>0</v>
      </c>
      <c r="AX56" s="253">
        <v>0</v>
      </c>
      <c r="AY56" s="253">
        <v>136</v>
      </c>
      <c r="AZ56" s="253">
        <v>1</v>
      </c>
      <c r="BA56" s="245"/>
      <c r="BB56" s="253" t="s">
        <v>585</v>
      </c>
      <c r="BC56" s="253">
        <v>21156942</v>
      </c>
      <c r="BD56" s="253">
        <v>231</v>
      </c>
      <c r="BE56" s="253">
        <v>14</v>
      </c>
      <c r="BF56" s="253">
        <v>1753</v>
      </c>
      <c r="BG56" s="253">
        <v>1</v>
      </c>
      <c r="BH56" s="247" t="s">
        <v>594</v>
      </c>
      <c r="BI56" s="253">
        <v>0</v>
      </c>
      <c r="BJ56" s="253">
        <v>0</v>
      </c>
      <c r="BK56" s="253">
        <v>0</v>
      </c>
      <c r="BL56" s="253">
        <v>0</v>
      </c>
      <c r="BM56" s="253">
        <v>1</v>
      </c>
      <c r="BN56" s="253"/>
      <c r="BO56" s="247"/>
      <c r="BP56" s="263" t="s">
        <v>622</v>
      </c>
      <c r="BQ56" s="263">
        <v>4656660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290</v>
      </c>
      <c r="H57" s="223">
        <v>833.98206474000006</v>
      </c>
      <c r="I57" s="164"/>
      <c r="J57" s="157"/>
      <c r="K57" s="228"/>
      <c r="L57" s="228"/>
      <c r="M57" s="228"/>
      <c r="O57" s="241" t="s">
        <v>290</v>
      </c>
      <c r="P57" s="241">
        <v>850.48650082999995</v>
      </c>
      <c r="Q57" s="239"/>
      <c r="S57" s="253" t="s">
        <v>450</v>
      </c>
      <c r="T57" s="258">
        <v>0</v>
      </c>
      <c r="U57" s="258">
        <v>52432</v>
      </c>
      <c r="V57" s="258">
        <v>17</v>
      </c>
      <c r="W57" s="258">
        <v>11531907</v>
      </c>
      <c r="X57" s="258">
        <v>1</v>
      </c>
      <c r="Y57" s="245"/>
      <c r="Z57" s="253" t="s">
        <v>589</v>
      </c>
      <c r="AA57" s="253">
        <v>486454098.85000002</v>
      </c>
      <c r="AB57" s="253">
        <v>2601</v>
      </c>
      <c r="AC57" s="253">
        <v>14</v>
      </c>
      <c r="AD57" s="253">
        <v>28721</v>
      </c>
      <c r="AE57" s="253">
        <v>1</v>
      </c>
      <c r="AF57" s="253"/>
      <c r="AG57" s="253" t="s">
        <v>585</v>
      </c>
      <c r="AH57" s="253">
        <v>0</v>
      </c>
      <c r="AI57" s="253">
        <v>0</v>
      </c>
      <c r="AJ57" s="253">
        <v>0</v>
      </c>
      <c r="AK57" s="253">
        <v>31</v>
      </c>
      <c r="AL57" s="253">
        <v>1</v>
      </c>
      <c r="AM57" s="245"/>
      <c r="AN57" s="253" t="s">
        <v>611</v>
      </c>
      <c r="AO57" s="253">
        <v>10018569.91</v>
      </c>
      <c r="AP57" s="253">
        <v>108</v>
      </c>
      <c r="AQ57" s="253">
        <v>39</v>
      </c>
      <c r="AR57" s="253">
        <v>2250</v>
      </c>
      <c r="AS57" s="253">
        <v>1</v>
      </c>
      <c r="AT57" s="245"/>
      <c r="AU57" s="253" t="s">
        <v>594</v>
      </c>
      <c r="AV57" s="253">
        <v>0</v>
      </c>
      <c r="AW57" s="253">
        <v>0</v>
      </c>
      <c r="AX57" s="253">
        <v>0</v>
      </c>
      <c r="AY57" s="253">
        <v>84</v>
      </c>
      <c r="AZ57" s="253">
        <v>1</v>
      </c>
      <c r="BA57" s="245"/>
      <c r="BB57" s="253" t="s">
        <v>611</v>
      </c>
      <c r="BC57" s="253">
        <v>2787830</v>
      </c>
      <c r="BD57" s="253">
        <v>28</v>
      </c>
      <c r="BE57" s="253">
        <v>8</v>
      </c>
      <c r="BF57" s="253">
        <v>538</v>
      </c>
      <c r="BG57" s="253">
        <v>1</v>
      </c>
      <c r="BH57" s="247" t="s">
        <v>595</v>
      </c>
      <c r="BI57" s="253">
        <v>0</v>
      </c>
      <c r="BJ57" s="253">
        <v>0</v>
      </c>
      <c r="BK57" s="253">
        <v>0</v>
      </c>
      <c r="BL57" s="253">
        <v>4</v>
      </c>
      <c r="BM57" s="253">
        <v>1</v>
      </c>
      <c r="BN57" s="253"/>
      <c r="BO57" s="247"/>
      <c r="BP57" s="263" t="s">
        <v>623</v>
      </c>
      <c r="BQ57" s="263">
        <v>1935672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95</v>
      </c>
      <c r="H58" s="223">
        <v>668.88208016999999</v>
      </c>
      <c r="I58" s="164"/>
      <c r="J58" s="157"/>
      <c r="K58" s="228"/>
      <c r="L58" s="228"/>
      <c r="M58" s="228"/>
      <c r="O58" s="241" t="s">
        <v>95</v>
      </c>
      <c r="P58" s="241">
        <v>661.35102070000005</v>
      </c>
      <c r="Q58" s="239"/>
      <c r="S58" s="245" t="s">
        <v>448</v>
      </c>
      <c r="T58" s="245">
        <v>0</v>
      </c>
      <c r="U58" s="245">
        <v>4945</v>
      </c>
      <c r="V58" s="245">
        <v>120</v>
      </c>
      <c r="W58" s="245">
        <v>830042</v>
      </c>
      <c r="X58" s="245">
        <v>1</v>
      </c>
      <c r="Y58" s="245"/>
      <c r="Z58" s="253" t="s">
        <v>585</v>
      </c>
      <c r="AA58" s="253">
        <v>3991675</v>
      </c>
      <c r="AB58" s="253">
        <v>47</v>
      </c>
      <c r="AC58" s="253">
        <v>3</v>
      </c>
      <c r="AD58" s="253">
        <v>382</v>
      </c>
      <c r="AE58" s="253">
        <v>1</v>
      </c>
      <c r="AF58" s="253"/>
      <c r="AG58" s="253" t="s">
        <v>611</v>
      </c>
      <c r="AH58" s="253">
        <v>0</v>
      </c>
      <c r="AI58" s="253">
        <v>0</v>
      </c>
      <c r="AJ58" s="253">
        <v>0</v>
      </c>
      <c r="AK58" s="253">
        <v>39</v>
      </c>
      <c r="AL58" s="253">
        <v>1</v>
      </c>
      <c r="AM58" s="245"/>
      <c r="AN58" s="253" t="s">
        <v>594</v>
      </c>
      <c r="AO58" s="253">
        <v>11955124.99</v>
      </c>
      <c r="AP58" s="253">
        <v>47</v>
      </c>
      <c r="AQ58" s="253">
        <v>5</v>
      </c>
      <c r="AR58" s="253">
        <v>1914</v>
      </c>
      <c r="AS58" s="253">
        <v>1</v>
      </c>
      <c r="AT58" s="245"/>
      <c r="AU58" s="253" t="s">
        <v>595</v>
      </c>
      <c r="AV58" s="253">
        <v>0</v>
      </c>
      <c r="AW58" s="253">
        <v>0</v>
      </c>
      <c r="AX58" s="253">
        <v>0</v>
      </c>
      <c r="AY58" s="253">
        <v>1</v>
      </c>
      <c r="AZ58" s="253">
        <v>1</v>
      </c>
      <c r="BA58" s="245"/>
      <c r="BB58" s="253" t="s">
        <v>594</v>
      </c>
      <c r="BC58" s="253">
        <v>1566175</v>
      </c>
      <c r="BD58" s="253">
        <v>6</v>
      </c>
      <c r="BE58" s="253">
        <v>4</v>
      </c>
      <c r="BF58" s="253">
        <v>3</v>
      </c>
      <c r="BG58" s="253">
        <v>1</v>
      </c>
      <c r="BH58" s="247" t="s">
        <v>571</v>
      </c>
      <c r="BI58" s="253">
        <v>0</v>
      </c>
      <c r="BJ58" s="253">
        <v>0</v>
      </c>
      <c r="BK58" s="253">
        <v>0</v>
      </c>
      <c r="BL58" s="253">
        <v>0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97</v>
      </c>
      <c r="H59" s="223">
        <v>533.49892829999999</v>
      </c>
      <c r="I59" s="164"/>
      <c r="J59" s="157"/>
      <c r="K59" s="228"/>
      <c r="L59" s="228"/>
      <c r="M59" s="228"/>
      <c r="O59" s="241" t="s">
        <v>97</v>
      </c>
      <c r="P59" s="241">
        <v>533.61438437000004</v>
      </c>
      <c r="Q59" s="239"/>
      <c r="S59" s="245"/>
      <c r="T59" s="245"/>
      <c r="U59" s="245"/>
      <c r="V59" s="245"/>
      <c r="W59" s="245"/>
      <c r="X59" s="245"/>
      <c r="Y59" s="245"/>
      <c r="Z59" s="253" t="s">
        <v>611</v>
      </c>
      <c r="AA59" s="253">
        <v>16789640.010000002</v>
      </c>
      <c r="AB59" s="253">
        <v>179</v>
      </c>
      <c r="AC59" s="253">
        <v>34</v>
      </c>
      <c r="AD59" s="253">
        <v>1655</v>
      </c>
      <c r="AE59" s="253">
        <v>1</v>
      </c>
      <c r="AF59" s="253"/>
      <c r="AG59" s="253" t="s">
        <v>594</v>
      </c>
      <c r="AH59" s="253">
        <v>0</v>
      </c>
      <c r="AI59" s="253">
        <v>0</v>
      </c>
      <c r="AJ59" s="253">
        <v>0</v>
      </c>
      <c r="AK59" s="253">
        <v>59</v>
      </c>
      <c r="AL59" s="253">
        <v>1</v>
      </c>
      <c r="AM59" s="245"/>
      <c r="AN59" s="253" t="s">
        <v>595</v>
      </c>
      <c r="AO59" s="253">
        <v>0</v>
      </c>
      <c r="AP59" s="253">
        <v>0</v>
      </c>
      <c r="AQ59" s="253">
        <v>0</v>
      </c>
      <c r="AR59" s="253">
        <v>22</v>
      </c>
      <c r="AS59" s="253">
        <v>1</v>
      </c>
      <c r="AT59" s="245"/>
      <c r="AU59" s="253" t="s">
        <v>571</v>
      </c>
      <c r="AV59" s="253">
        <v>0</v>
      </c>
      <c r="AW59" s="253">
        <v>0</v>
      </c>
      <c r="AX59" s="253">
        <v>0</v>
      </c>
      <c r="AY59" s="253">
        <v>6</v>
      </c>
      <c r="AZ59" s="253">
        <v>1</v>
      </c>
      <c r="BA59" s="245"/>
      <c r="BB59" s="253" t="s">
        <v>595</v>
      </c>
      <c r="BC59" s="253">
        <v>973562.5</v>
      </c>
      <c r="BD59" s="253">
        <v>19</v>
      </c>
      <c r="BE59" s="253">
        <v>8</v>
      </c>
      <c r="BF59" s="253">
        <v>44</v>
      </c>
      <c r="BG59" s="253">
        <v>1</v>
      </c>
      <c r="BH59" s="247" t="s">
        <v>586</v>
      </c>
      <c r="BI59" s="253">
        <v>0</v>
      </c>
      <c r="BJ59" s="253">
        <v>0</v>
      </c>
      <c r="BK59" s="253">
        <v>0</v>
      </c>
      <c r="BL59" s="253">
        <v>0</v>
      </c>
      <c r="BM59" s="253">
        <v>0</v>
      </c>
      <c r="BN59" s="253"/>
      <c r="BO59" s="256" t="s">
        <v>475</v>
      </c>
      <c r="BP59" s="264" t="s">
        <v>537</v>
      </c>
      <c r="BQ59" s="264" t="s">
        <v>565</v>
      </c>
      <c r="BR59" s="264" t="s">
        <v>566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293</v>
      </c>
      <c r="H60" s="223">
        <v>90874.300211919995</v>
      </c>
      <c r="I60" s="164"/>
      <c r="J60" s="157"/>
      <c r="K60" s="228"/>
      <c r="L60" s="228"/>
      <c r="M60" s="228"/>
      <c r="O60" s="241" t="s">
        <v>293</v>
      </c>
      <c r="P60" s="241">
        <v>89715.106960820005</v>
      </c>
      <c r="Q60" s="239"/>
      <c r="R60" s="153" t="s">
        <v>456</v>
      </c>
      <c r="S60" s="254" t="s">
        <v>563</v>
      </c>
      <c r="T60" s="257" t="s">
        <v>564</v>
      </c>
      <c r="U60" s="257" t="s">
        <v>565</v>
      </c>
      <c r="V60" s="257" t="s">
        <v>566</v>
      </c>
      <c r="W60" s="257" t="s">
        <v>567</v>
      </c>
      <c r="X60" s="257" t="s">
        <v>568</v>
      </c>
      <c r="Y60" s="245"/>
      <c r="Z60" s="253" t="s">
        <v>594</v>
      </c>
      <c r="AA60" s="253">
        <v>10195924.9925</v>
      </c>
      <c r="AB60" s="253">
        <v>38</v>
      </c>
      <c r="AC60" s="253">
        <v>5</v>
      </c>
      <c r="AD60" s="253">
        <v>1677</v>
      </c>
      <c r="AE60" s="253">
        <v>1</v>
      </c>
      <c r="AF60" s="253"/>
      <c r="AG60" s="253" t="s">
        <v>595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571</v>
      </c>
      <c r="AO60" s="253">
        <v>471675</v>
      </c>
      <c r="AP60" s="253">
        <v>6</v>
      </c>
      <c r="AQ60" s="253">
        <v>1</v>
      </c>
      <c r="AR60" s="253">
        <v>84</v>
      </c>
      <c r="AS60" s="253">
        <v>1</v>
      </c>
      <c r="AT60" s="245"/>
      <c r="AU60" s="253" t="s">
        <v>586</v>
      </c>
      <c r="AV60" s="253">
        <v>0</v>
      </c>
      <c r="AW60" s="253">
        <v>0</v>
      </c>
      <c r="AX60" s="253">
        <v>0</v>
      </c>
      <c r="AY60" s="253">
        <v>0</v>
      </c>
      <c r="AZ60" s="253">
        <v>0</v>
      </c>
      <c r="BA60" s="245"/>
      <c r="BB60" s="253" t="s">
        <v>571</v>
      </c>
      <c r="BC60" s="253">
        <v>1392725</v>
      </c>
      <c r="BD60" s="253">
        <v>22</v>
      </c>
      <c r="BE60" s="253">
        <v>11</v>
      </c>
      <c r="BF60" s="253">
        <v>16</v>
      </c>
      <c r="BG60" s="253">
        <v>1</v>
      </c>
      <c r="BH60" s="247" t="s">
        <v>574</v>
      </c>
      <c r="BI60" s="253">
        <v>0</v>
      </c>
      <c r="BJ60" s="253">
        <v>0</v>
      </c>
      <c r="BK60" s="253">
        <v>0</v>
      </c>
      <c r="BL60" s="253">
        <v>0</v>
      </c>
      <c r="BM60" s="253">
        <v>0</v>
      </c>
      <c r="BN60" s="253"/>
      <c r="BO60" s="247"/>
      <c r="BP60" s="263">
        <v>566301514725.19995</v>
      </c>
      <c r="BQ60" s="263">
        <v>41401950</v>
      </c>
      <c r="BR60" s="263">
        <v>59154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99</v>
      </c>
      <c r="H61" s="223">
        <v>20788.864259229998</v>
      </c>
      <c r="I61" s="164"/>
      <c r="J61" s="157"/>
      <c r="K61" s="228"/>
      <c r="L61" s="228"/>
      <c r="M61" s="228"/>
      <c r="O61" s="241" t="s">
        <v>99</v>
      </c>
      <c r="P61" s="241">
        <v>21127.838248880002</v>
      </c>
      <c r="Q61" s="239"/>
      <c r="R61" s="157"/>
      <c r="S61" s="253" t="s">
        <v>449</v>
      </c>
      <c r="T61" s="258">
        <v>878663969.66100001</v>
      </c>
      <c r="U61" s="258">
        <v>1137765</v>
      </c>
      <c r="V61" s="258">
        <v>242</v>
      </c>
      <c r="W61" s="258">
        <v>18975404</v>
      </c>
      <c r="X61" s="258">
        <v>1</v>
      </c>
      <c r="Y61" s="245"/>
      <c r="Z61" s="253" t="s">
        <v>595</v>
      </c>
      <c r="AA61" s="253">
        <v>50012.5</v>
      </c>
      <c r="AB61" s="253">
        <v>1</v>
      </c>
      <c r="AC61" s="253">
        <v>1</v>
      </c>
      <c r="AD61" s="253">
        <v>19</v>
      </c>
      <c r="AE61" s="253">
        <v>1</v>
      </c>
      <c r="AF61" s="253"/>
      <c r="AG61" s="253" t="s">
        <v>571</v>
      </c>
      <c r="AH61" s="253">
        <v>0</v>
      </c>
      <c r="AI61" s="253">
        <v>0</v>
      </c>
      <c r="AJ61" s="253">
        <v>0</v>
      </c>
      <c r="AK61" s="253">
        <v>0</v>
      </c>
      <c r="AL61" s="253">
        <v>1</v>
      </c>
      <c r="AM61" s="245"/>
      <c r="AN61" s="253" t="s">
        <v>586</v>
      </c>
      <c r="AO61" s="253">
        <v>0</v>
      </c>
      <c r="AP61" s="253">
        <v>0</v>
      </c>
      <c r="AQ61" s="253">
        <v>0</v>
      </c>
      <c r="AR61" s="253">
        <v>0</v>
      </c>
      <c r="AS61" s="253">
        <v>0</v>
      </c>
      <c r="AT61" s="245"/>
      <c r="AU61" s="253" t="s">
        <v>574</v>
      </c>
      <c r="AV61" s="253">
        <v>0</v>
      </c>
      <c r="AW61" s="253">
        <v>0</v>
      </c>
      <c r="AX61" s="253">
        <v>0</v>
      </c>
      <c r="AY61" s="253">
        <v>0</v>
      </c>
      <c r="AZ61" s="253">
        <v>0</v>
      </c>
      <c r="BA61" s="245"/>
      <c r="BB61" s="253" t="s">
        <v>586</v>
      </c>
      <c r="BC61" s="253">
        <v>0</v>
      </c>
      <c r="BD61" s="253">
        <v>0</v>
      </c>
      <c r="BE61" s="253">
        <v>0</v>
      </c>
      <c r="BF61" s="253">
        <v>0</v>
      </c>
      <c r="BG61" s="253">
        <v>0</v>
      </c>
      <c r="BH61" s="247" t="s">
        <v>612</v>
      </c>
      <c r="BI61" s="253">
        <v>0</v>
      </c>
      <c r="BJ61" s="253">
        <v>0</v>
      </c>
      <c r="BK61" s="253">
        <v>0</v>
      </c>
      <c r="BL61" s="253">
        <v>40</v>
      </c>
      <c r="BM61" s="253">
        <v>0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294</v>
      </c>
      <c r="H62" s="223">
        <v>235.21026885000001</v>
      </c>
      <c r="I62" s="164"/>
      <c r="J62" s="157"/>
      <c r="K62" s="228"/>
      <c r="L62" s="228"/>
      <c r="M62" s="228"/>
      <c r="O62" s="241" t="s">
        <v>294</v>
      </c>
      <c r="P62" s="241">
        <v>222.04568696999999</v>
      </c>
      <c r="Q62" s="239"/>
      <c r="R62" s="157"/>
      <c r="S62" s="253" t="s">
        <v>447</v>
      </c>
      <c r="T62" s="258">
        <v>191827297.06</v>
      </c>
      <c r="U62" s="258">
        <v>516465</v>
      </c>
      <c r="V62" s="258">
        <v>427</v>
      </c>
      <c r="W62" s="258">
        <v>2011752</v>
      </c>
      <c r="X62" s="258">
        <v>0</v>
      </c>
      <c r="Y62" s="245"/>
      <c r="Z62" s="253" t="s">
        <v>571</v>
      </c>
      <c r="AA62" s="253">
        <v>472200</v>
      </c>
      <c r="AB62" s="253">
        <v>6</v>
      </c>
      <c r="AC62" s="253">
        <v>1</v>
      </c>
      <c r="AD62" s="253">
        <v>108</v>
      </c>
      <c r="AE62" s="253">
        <v>1</v>
      </c>
      <c r="AF62" s="253"/>
      <c r="AG62" s="253" t="s">
        <v>586</v>
      </c>
      <c r="AH62" s="253">
        <v>0</v>
      </c>
      <c r="AI62" s="253">
        <v>0</v>
      </c>
      <c r="AJ62" s="253">
        <v>0</v>
      </c>
      <c r="AK62" s="253">
        <v>0</v>
      </c>
      <c r="AL62" s="253">
        <v>0</v>
      </c>
      <c r="AM62" s="245"/>
      <c r="AN62" s="253" t="s">
        <v>574</v>
      </c>
      <c r="AO62" s="253">
        <v>0</v>
      </c>
      <c r="AP62" s="253">
        <v>0</v>
      </c>
      <c r="AQ62" s="253">
        <v>0</v>
      </c>
      <c r="AR62" s="253">
        <v>0</v>
      </c>
      <c r="AS62" s="253">
        <v>0</v>
      </c>
      <c r="AT62" s="245"/>
      <c r="AU62" s="253" t="s">
        <v>612</v>
      </c>
      <c r="AV62" s="253">
        <v>0</v>
      </c>
      <c r="AW62" s="253">
        <v>0</v>
      </c>
      <c r="AX62" s="253">
        <v>0</v>
      </c>
      <c r="AY62" s="253">
        <v>60</v>
      </c>
      <c r="AZ62" s="253">
        <v>0</v>
      </c>
      <c r="BA62" s="245"/>
      <c r="BB62" s="253" t="s">
        <v>574</v>
      </c>
      <c r="BC62" s="253">
        <v>0</v>
      </c>
      <c r="BD62" s="253">
        <v>0</v>
      </c>
      <c r="BE62" s="253">
        <v>0</v>
      </c>
      <c r="BF62" s="253">
        <v>0</v>
      </c>
      <c r="BG62" s="253">
        <v>0</v>
      </c>
      <c r="BH62" s="247" t="s">
        <v>613</v>
      </c>
      <c r="BI62" s="253">
        <v>0</v>
      </c>
      <c r="BJ62" s="253">
        <v>0</v>
      </c>
      <c r="BK62" s="253">
        <v>0</v>
      </c>
      <c r="BL62" s="253">
        <v>0</v>
      </c>
      <c r="BM62" s="253">
        <v>0</v>
      </c>
      <c r="BN62" s="253"/>
      <c r="BO62" s="256" t="s">
        <v>490</v>
      </c>
      <c r="BP62" s="264" t="s">
        <v>537</v>
      </c>
      <c r="BQ62" s="264" t="s">
        <v>565</v>
      </c>
      <c r="BR62" s="264" t="s">
        <v>566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295</v>
      </c>
      <c r="H63" s="223">
        <v>10945.385188030001</v>
      </c>
      <c r="I63" s="164"/>
      <c r="J63" s="157"/>
      <c r="K63" s="228"/>
      <c r="L63" s="228"/>
      <c r="M63" s="228"/>
      <c r="O63" s="241" t="s">
        <v>295</v>
      </c>
      <c r="P63" s="241">
        <v>10815.769217429999</v>
      </c>
      <c r="Q63" s="239"/>
      <c r="R63" s="157"/>
      <c r="S63" s="253" t="s">
        <v>451</v>
      </c>
      <c r="T63" s="258">
        <v>108513736.87</v>
      </c>
      <c r="U63" s="258">
        <v>100396</v>
      </c>
      <c r="V63" s="258">
        <v>58</v>
      </c>
      <c r="W63" s="258">
        <v>479873</v>
      </c>
      <c r="X63" s="258">
        <v>0</v>
      </c>
      <c r="Y63" s="245"/>
      <c r="Z63" s="253" t="s">
        <v>586</v>
      </c>
      <c r="AA63" s="253">
        <v>0</v>
      </c>
      <c r="AB63" s="253">
        <v>0</v>
      </c>
      <c r="AC63" s="253">
        <v>0</v>
      </c>
      <c r="AD63" s="253">
        <v>0</v>
      </c>
      <c r="AE63" s="253">
        <v>0</v>
      </c>
      <c r="AF63" s="253"/>
      <c r="AG63" s="253" t="s">
        <v>574</v>
      </c>
      <c r="AH63" s="253">
        <v>0</v>
      </c>
      <c r="AI63" s="253">
        <v>0</v>
      </c>
      <c r="AJ63" s="253">
        <v>0</v>
      </c>
      <c r="AK63" s="253">
        <v>0</v>
      </c>
      <c r="AL63" s="253">
        <v>0</v>
      </c>
      <c r="AM63" s="245"/>
      <c r="AN63" s="253" t="s">
        <v>612</v>
      </c>
      <c r="AO63" s="253">
        <v>31760.2</v>
      </c>
      <c r="AP63" s="253">
        <v>20</v>
      </c>
      <c r="AQ63" s="253">
        <v>2</v>
      </c>
      <c r="AR63" s="253">
        <v>1060</v>
      </c>
      <c r="AS63" s="253">
        <v>0</v>
      </c>
      <c r="AT63" s="245"/>
      <c r="AU63" s="253" t="s">
        <v>613</v>
      </c>
      <c r="AV63" s="253">
        <v>0</v>
      </c>
      <c r="AW63" s="253">
        <v>0</v>
      </c>
      <c r="AX63" s="253">
        <v>0</v>
      </c>
      <c r="AY63" s="253">
        <v>0</v>
      </c>
      <c r="AZ63" s="253">
        <v>0</v>
      </c>
      <c r="BA63" s="245"/>
      <c r="BB63" s="253" t="s">
        <v>612</v>
      </c>
      <c r="BC63" s="253">
        <v>0</v>
      </c>
      <c r="BD63" s="253">
        <v>0</v>
      </c>
      <c r="BE63" s="253">
        <v>0</v>
      </c>
      <c r="BF63" s="253">
        <v>880</v>
      </c>
      <c r="BG63" s="253">
        <v>0</v>
      </c>
      <c r="BH63" s="247" t="s">
        <v>575</v>
      </c>
      <c r="BI63" s="253">
        <v>0</v>
      </c>
      <c r="BJ63" s="253">
        <v>0</v>
      </c>
      <c r="BK63" s="253">
        <v>0</v>
      </c>
      <c r="BL63" s="253">
        <v>0</v>
      </c>
      <c r="BM63" s="253">
        <v>0</v>
      </c>
      <c r="BN63" s="253"/>
      <c r="BO63" s="251"/>
      <c r="BP63" s="263">
        <v>218499703898.20001</v>
      </c>
      <c r="BQ63" s="263">
        <v>15461525</v>
      </c>
      <c r="BR63" s="263">
        <v>3794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296</v>
      </c>
      <c r="H64" s="223">
        <v>10281.204257130001</v>
      </c>
      <c r="I64" s="164"/>
      <c r="J64" s="3"/>
      <c r="K64" s="228"/>
      <c r="L64" s="228"/>
      <c r="M64" s="228"/>
      <c r="O64" s="241" t="s">
        <v>296</v>
      </c>
      <c r="P64" s="241">
        <v>10183.398783279999</v>
      </c>
      <c r="Q64" s="239"/>
      <c r="R64" s="157"/>
      <c r="S64" s="253" t="s">
        <v>446</v>
      </c>
      <c r="T64" s="258">
        <v>2584899170.8600001</v>
      </c>
      <c r="U64" s="258">
        <v>314103</v>
      </c>
      <c r="V64" s="258">
        <v>1487</v>
      </c>
      <c r="W64" s="258">
        <v>1061159</v>
      </c>
      <c r="X64" s="258">
        <v>0</v>
      </c>
      <c r="Y64" s="245"/>
      <c r="Z64" s="253" t="s">
        <v>574</v>
      </c>
      <c r="AA64" s="253">
        <v>0</v>
      </c>
      <c r="AB64" s="253">
        <v>0</v>
      </c>
      <c r="AC64" s="253">
        <v>0</v>
      </c>
      <c r="AD64" s="253">
        <v>0</v>
      </c>
      <c r="AE64" s="253">
        <v>0</v>
      </c>
      <c r="AF64" s="253"/>
      <c r="AG64" s="253" t="s">
        <v>612</v>
      </c>
      <c r="AH64" s="253">
        <v>0</v>
      </c>
      <c r="AI64" s="253">
        <v>0</v>
      </c>
      <c r="AJ64" s="253">
        <v>0</v>
      </c>
      <c r="AK64" s="253">
        <v>60</v>
      </c>
      <c r="AL64" s="253">
        <v>0</v>
      </c>
      <c r="AM64" s="245"/>
      <c r="AN64" s="253" t="s">
        <v>613</v>
      </c>
      <c r="AO64" s="253">
        <v>0</v>
      </c>
      <c r="AP64" s="253">
        <v>0</v>
      </c>
      <c r="AQ64" s="253">
        <v>0</v>
      </c>
      <c r="AR64" s="253">
        <v>0</v>
      </c>
      <c r="AS64" s="253">
        <v>0</v>
      </c>
      <c r="AT64" s="245"/>
      <c r="AU64" s="253" t="s">
        <v>575</v>
      </c>
      <c r="AV64" s="253">
        <v>0</v>
      </c>
      <c r="AW64" s="253">
        <v>0</v>
      </c>
      <c r="AX64" s="253">
        <v>0</v>
      </c>
      <c r="AY64" s="253">
        <v>0</v>
      </c>
      <c r="AZ64" s="253">
        <v>0</v>
      </c>
      <c r="BA64" s="245"/>
      <c r="BB64" s="253" t="s">
        <v>613</v>
      </c>
      <c r="BC64" s="253">
        <v>0</v>
      </c>
      <c r="BD64" s="253">
        <v>0</v>
      </c>
      <c r="BE64" s="253">
        <v>0</v>
      </c>
      <c r="BF64" s="253">
        <v>0</v>
      </c>
      <c r="BG64" s="253">
        <v>0</v>
      </c>
      <c r="BH64" s="247" t="s">
        <v>614</v>
      </c>
      <c r="BI64" s="253">
        <v>0</v>
      </c>
      <c r="BJ64" s="253">
        <v>0</v>
      </c>
      <c r="BK64" s="253">
        <v>0</v>
      </c>
      <c r="BL64" s="253">
        <v>0</v>
      </c>
      <c r="BM64" s="253">
        <v>0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297</v>
      </c>
      <c r="H65" s="223">
        <v>188.59446162</v>
      </c>
      <c r="I65" s="164"/>
      <c r="J65" s="3"/>
      <c r="K65" s="228"/>
      <c r="L65" s="228"/>
      <c r="M65" s="228"/>
      <c r="O65" s="241" t="s">
        <v>297</v>
      </c>
      <c r="P65" s="241">
        <v>180.94251070999999</v>
      </c>
      <c r="Q65" s="239"/>
      <c r="R65" s="157"/>
      <c r="S65" s="253" t="s">
        <v>569</v>
      </c>
      <c r="T65" s="258">
        <v>0</v>
      </c>
      <c r="U65" s="258">
        <v>0</v>
      </c>
      <c r="V65" s="258">
        <v>0</v>
      </c>
      <c r="W65" s="258">
        <v>0</v>
      </c>
      <c r="X65" s="258">
        <v>1</v>
      </c>
      <c r="Y65" s="245"/>
      <c r="Z65" s="253" t="s">
        <v>612</v>
      </c>
      <c r="AA65" s="253">
        <v>0</v>
      </c>
      <c r="AB65" s="253">
        <v>0</v>
      </c>
      <c r="AC65" s="253">
        <v>0</v>
      </c>
      <c r="AD65" s="253">
        <v>1320</v>
      </c>
      <c r="AE65" s="253">
        <v>0</v>
      </c>
      <c r="AF65" s="253"/>
      <c r="AG65" s="253" t="s">
        <v>613</v>
      </c>
      <c r="AH65" s="253">
        <v>0</v>
      </c>
      <c r="AI65" s="253">
        <v>0</v>
      </c>
      <c r="AJ65" s="253">
        <v>0</v>
      </c>
      <c r="AK65" s="253">
        <v>0</v>
      </c>
      <c r="AL65" s="253">
        <v>0</v>
      </c>
      <c r="AM65" s="245"/>
      <c r="AN65" s="253" t="s">
        <v>575</v>
      </c>
      <c r="AO65" s="253">
        <v>0</v>
      </c>
      <c r="AP65" s="253">
        <v>0</v>
      </c>
      <c r="AQ65" s="253">
        <v>0</v>
      </c>
      <c r="AR65" s="253">
        <v>0</v>
      </c>
      <c r="AS65" s="253">
        <v>0</v>
      </c>
      <c r="AT65" s="245"/>
      <c r="AU65" s="253" t="s">
        <v>614</v>
      </c>
      <c r="AV65" s="253">
        <v>0</v>
      </c>
      <c r="AW65" s="253">
        <v>0</v>
      </c>
      <c r="AX65" s="253">
        <v>0</v>
      </c>
      <c r="AY65" s="253">
        <v>0</v>
      </c>
      <c r="AZ65" s="253">
        <v>0</v>
      </c>
      <c r="BA65" s="245"/>
      <c r="BB65" s="253" t="s">
        <v>575</v>
      </c>
      <c r="BC65" s="253">
        <v>0</v>
      </c>
      <c r="BD65" s="253">
        <v>0</v>
      </c>
      <c r="BE65" s="253">
        <v>0</v>
      </c>
      <c r="BF65" s="253">
        <v>0</v>
      </c>
      <c r="BG65" s="253">
        <v>0</v>
      </c>
      <c r="BH65" s="247" t="s">
        <v>576</v>
      </c>
      <c r="BI65" s="253">
        <v>0</v>
      </c>
      <c r="BJ65" s="253">
        <v>0</v>
      </c>
      <c r="BK65" s="253">
        <v>0</v>
      </c>
      <c r="BL65" s="253">
        <v>0</v>
      </c>
      <c r="BM65" s="253">
        <v>0</v>
      </c>
      <c r="BN65" s="253"/>
      <c r="BO65" s="256" t="s">
        <v>476</v>
      </c>
      <c r="BP65" s="264" t="s">
        <v>537</v>
      </c>
      <c r="BQ65" s="264" t="s">
        <v>565</v>
      </c>
      <c r="BR65" s="264" t="s">
        <v>566</v>
      </c>
    </row>
    <row r="66" spans="1:70" x14ac:dyDescent="0.2">
      <c r="A66" s="83"/>
      <c r="B66" s="190" t="s">
        <v>271</v>
      </c>
      <c r="C66" s="193">
        <v>43045</v>
      </c>
      <c r="D66" s="190">
        <v>11008.815449440001</v>
      </c>
      <c r="E66" s="223">
        <v>1</v>
      </c>
      <c r="F66" s="220"/>
      <c r="G66" s="223" t="s">
        <v>298</v>
      </c>
      <c r="H66" s="223">
        <v>11942.621519050001</v>
      </c>
      <c r="I66" s="164"/>
      <c r="J66" s="3"/>
      <c r="K66" s="228"/>
      <c r="L66" s="228"/>
      <c r="M66" s="228"/>
      <c r="O66" s="241" t="s">
        <v>298</v>
      </c>
      <c r="P66" s="241">
        <v>13032.42337099</v>
      </c>
      <c r="Q66" s="239"/>
      <c r="R66" s="157"/>
      <c r="S66" s="253" t="s">
        <v>447</v>
      </c>
      <c r="T66" s="258">
        <v>10484193485.124001</v>
      </c>
      <c r="U66" s="258">
        <v>810059</v>
      </c>
      <c r="V66" s="258">
        <v>4883</v>
      </c>
      <c r="W66" s="258">
        <v>951251</v>
      </c>
      <c r="X66" s="258">
        <v>1</v>
      </c>
      <c r="Y66" s="245"/>
      <c r="Z66" s="253" t="s">
        <v>613</v>
      </c>
      <c r="AA66" s="253">
        <v>0</v>
      </c>
      <c r="AB66" s="253">
        <v>0</v>
      </c>
      <c r="AC66" s="253">
        <v>0</v>
      </c>
      <c r="AD66" s="253">
        <v>0</v>
      </c>
      <c r="AE66" s="253">
        <v>0</v>
      </c>
      <c r="AF66" s="253"/>
      <c r="AG66" s="253" t="s">
        <v>575</v>
      </c>
      <c r="AH66" s="253">
        <v>0</v>
      </c>
      <c r="AI66" s="253">
        <v>0</v>
      </c>
      <c r="AJ66" s="253">
        <v>0</v>
      </c>
      <c r="AK66" s="253">
        <v>0</v>
      </c>
      <c r="AL66" s="253">
        <v>0</v>
      </c>
      <c r="AM66" s="245"/>
      <c r="AN66" s="253" t="s">
        <v>614</v>
      </c>
      <c r="AO66" s="253">
        <v>0</v>
      </c>
      <c r="AP66" s="253">
        <v>0</v>
      </c>
      <c r="AQ66" s="253">
        <v>0</v>
      </c>
      <c r="AR66" s="253">
        <v>0</v>
      </c>
      <c r="AS66" s="253">
        <v>0</v>
      </c>
      <c r="AT66" s="245"/>
      <c r="AU66" s="253" t="s">
        <v>576</v>
      </c>
      <c r="AV66" s="253">
        <v>0</v>
      </c>
      <c r="AW66" s="253">
        <v>0</v>
      </c>
      <c r="AX66" s="253">
        <v>0</v>
      </c>
      <c r="AY66" s="253">
        <v>0</v>
      </c>
      <c r="AZ66" s="253">
        <v>0</v>
      </c>
      <c r="BA66" s="245"/>
      <c r="BB66" s="253" t="s">
        <v>614</v>
      </c>
      <c r="BC66" s="253">
        <v>0</v>
      </c>
      <c r="BD66" s="253">
        <v>0</v>
      </c>
      <c r="BE66" s="253">
        <v>0</v>
      </c>
      <c r="BF66" s="253">
        <v>0</v>
      </c>
      <c r="BG66" s="253">
        <v>0</v>
      </c>
      <c r="BH66" s="247" t="s">
        <v>620</v>
      </c>
      <c r="BI66" s="253">
        <v>0</v>
      </c>
      <c r="BJ66" s="253">
        <v>0</v>
      </c>
      <c r="BK66" s="253">
        <v>0</v>
      </c>
      <c r="BL66" s="253">
        <v>0</v>
      </c>
      <c r="BM66" s="253">
        <v>1</v>
      </c>
      <c r="BN66" s="253"/>
      <c r="BO66" s="247"/>
      <c r="BP66" s="263">
        <v>486617209811.10004</v>
      </c>
      <c r="BQ66" s="263">
        <v>31786534</v>
      </c>
      <c r="BR66" s="263">
        <v>62913</v>
      </c>
    </row>
    <row r="67" spans="1:70" x14ac:dyDescent="0.2">
      <c r="A67" s="83"/>
      <c r="B67" s="190" t="s">
        <v>272</v>
      </c>
      <c r="C67" s="193">
        <v>43060</v>
      </c>
      <c r="D67" s="190">
        <v>12160.34447849</v>
      </c>
      <c r="E67" s="223">
        <v>1</v>
      </c>
      <c r="F67" s="213"/>
      <c r="G67" s="223" t="s">
        <v>299</v>
      </c>
      <c r="H67" s="223">
        <v>6149.9780468299996</v>
      </c>
      <c r="I67" s="164"/>
      <c r="J67" s="3"/>
      <c r="K67" s="228"/>
      <c r="L67" s="228"/>
      <c r="M67" s="228"/>
      <c r="O67" s="241" t="s">
        <v>299</v>
      </c>
      <c r="P67" s="241">
        <v>6619.9861922600003</v>
      </c>
      <c r="Q67" s="239"/>
      <c r="R67" s="157"/>
      <c r="S67" s="253" t="s">
        <v>182</v>
      </c>
      <c r="T67" s="258">
        <v>54738774.129000001</v>
      </c>
      <c r="U67" s="258">
        <v>659456</v>
      </c>
      <c r="V67" s="258">
        <v>241</v>
      </c>
      <c r="W67" s="258">
        <v>1618739</v>
      </c>
      <c r="X67" s="258">
        <v>1</v>
      </c>
      <c r="Y67" s="245"/>
      <c r="Z67" s="253" t="s">
        <v>575</v>
      </c>
      <c r="AA67" s="253">
        <v>0</v>
      </c>
      <c r="AB67" s="253">
        <v>0</v>
      </c>
      <c r="AC67" s="253">
        <v>0</v>
      </c>
      <c r="AD67" s="253">
        <v>0</v>
      </c>
      <c r="AE67" s="253">
        <v>0</v>
      </c>
      <c r="AF67" s="253"/>
      <c r="AG67" s="253" t="s">
        <v>614</v>
      </c>
      <c r="AH67" s="253">
        <v>0</v>
      </c>
      <c r="AI67" s="253">
        <v>0</v>
      </c>
      <c r="AJ67" s="253">
        <v>0</v>
      </c>
      <c r="AK67" s="253">
        <v>0</v>
      </c>
      <c r="AL67" s="253">
        <v>0</v>
      </c>
      <c r="AM67" s="245"/>
      <c r="AN67" s="253" t="s">
        <v>576</v>
      </c>
      <c r="AO67" s="253">
        <v>0</v>
      </c>
      <c r="AP67" s="253">
        <v>0</v>
      </c>
      <c r="AQ67" s="253">
        <v>0</v>
      </c>
      <c r="AR67" s="253">
        <v>0</v>
      </c>
      <c r="AS67" s="253">
        <v>0</v>
      </c>
      <c r="AT67" s="245"/>
      <c r="AU67" s="253" t="s">
        <v>615</v>
      </c>
      <c r="AV67" s="253">
        <v>0</v>
      </c>
      <c r="AW67" s="253">
        <v>0</v>
      </c>
      <c r="AX67" s="253">
        <v>0</v>
      </c>
      <c r="AY67" s="253">
        <v>0</v>
      </c>
      <c r="AZ67" s="253">
        <v>1</v>
      </c>
      <c r="BA67" s="245"/>
      <c r="BB67" s="253" t="s">
        <v>576</v>
      </c>
      <c r="BC67" s="253">
        <v>0</v>
      </c>
      <c r="BD67" s="253">
        <v>0</v>
      </c>
      <c r="BE67" s="253">
        <v>0</v>
      </c>
      <c r="BF67" s="253">
        <v>0</v>
      </c>
      <c r="BG67" s="253">
        <v>0</v>
      </c>
      <c r="BH67" s="247" t="s">
        <v>613</v>
      </c>
      <c r="BI67" s="253">
        <v>0</v>
      </c>
      <c r="BJ67" s="253">
        <v>0</v>
      </c>
      <c r="BK67" s="253">
        <v>0</v>
      </c>
      <c r="BL67" s="253">
        <v>19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41967</v>
      </c>
      <c r="D68" s="190">
        <v>25297.640064309999</v>
      </c>
      <c r="E68" s="223">
        <v>1</v>
      </c>
      <c r="F68" s="213"/>
      <c r="G68" s="223" t="s">
        <v>300</v>
      </c>
      <c r="H68" s="223">
        <v>196.49601161000001</v>
      </c>
      <c r="I68" s="164"/>
      <c r="J68" s="3"/>
      <c r="K68" s="228"/>
      <c r="L68" s="228"/>
      <c r="M68" s="228"/>
      <c r="O68" s="241" t="s">
        <v>300</v>
      </c>
      <c r="P68" s="241">
        <v>184.15571331999999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614</v>
      </c>
      <c r="AA68" s="253">
        <v>0</v>
      </c>
      <c r="AB68" s="253">
        <v>0</v>
      </c>
      <c r="AC68" s="253">
        <v>0</v>
      </c>
      <c r="AD68" s="253">
        <v>0</v>
      </c>
      <c r="AE68" s="253">
        <v>0</v>
      </c>
      <c r="AF68" s="253"/>
      <c r="AG68" s="253" t="s">
        <v>576</v>
      </c>
      <c r="AH68" s="253">
        <v>0</v>
      </c>
      <c r="AI68" s="253">
        <v>0</v>
      </c>
      <c r="AJ68" s="253">
        <v>0</v>
      </c>
      <c r="AK68" s="253">
        <v>0</v>
      </c>
      <c r="AL68" s="253">
        <v>0</v>
      </c>
      <c r="AM68" s="245"/>
      <c r="AN68" s="253" t="s">
        <v>615</v>
      </c>
      <c r="AO68" s="253">
        <v>0</v>
      </c>
      <c r="AP68" s="253">
        <v>0</v>
      </c>
      <c r="AQ68" s="253">
        <v>0</v>
      </c>
      <c r="AR68" s="253">
        <v>0</v>
      </c>
      <c r="AS68" s="253">
        <v>1</v>
      </c>
      <c r="AT68" s="245"/>
      <c r="AU68" s="253" t="s">
        <v>613</v>
      </c>
      <c r="AV68" s="253">
        <v>598000</v>
      </c>
      <c r="AW68" s="253">
        <v>5</v>
      </c>
      <c r="AX68" s="253">
        <v>1</v>
      </c>
      <c r="AY68" s="253">
        <v>560</v>
      </c>
      <c r="AZ68" s="253">
        <v>1</v>
      </c>
      <c r="BA68" s="245"/>
      <c r="BB68" s="253" t="s">
        <v>620</v>
      </c>
      <c r="BC68" s="253">
        <v>0</v>
      </c>
      <c r="BD68" s="253">
        <v>0</v>
      </c>
      <c r="BE68" s="253">
        <v>0</v>
      </c>
      <c r="BF68" s="253">
        <v>0</v>
      </c>
      <c r="BG68" s="253">
        <v>1</v>
      </c>
      <c r="BH68" s="247" t="s">
        <v>612</v>
      </c>
      <c r="BI68" s="253">
        <v>514660</v>
      </c>
      <c r="BJ68" s="253">
        <v>4</v>
      </c>
      <c r="BK68" s="253">
        <v>2</v>
      </c>
      <c r="BL68" s="253">
        <v>34</v>
      </c>
      <c r="BM68" s="253">
        <v>1</v>
      </c>
      <c r="BN68" s="253"/>
      <c r="BO68" s="256" t="s">
        <v>477</v>
      </c>
      <c r="BP68" s="264" t="s">
        <v>537</v>
      </c>
      <c r="BQ68" s="264" t="s">
        <v>565</v>
      </c>
      <c r="BR68" s="264" t="s">
        <v>566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301</v>
      </c>
      <c r="H69" s="223">
        <v>2141.7932525299998</v>
      </c>
      <c r="I69" s="164"/>
      <c r="J69" s="3"/>
      <c r="K69" s="228"/>
      <c r="L69" s="228"/>
      <c r="M69" s="228"/>
      <c r="O69" s="241" t="s">
        <v>301</v>
      </c>
      <c r="P69" s="241">
        <v>1969.3837946000001</v>
      </c>
      <c r="Q69" s="239"/>
      <c r="R69" s="157"/>
      <c r="S69" s="253" t="s">
        <v>446</v>
      </c>
      <c r="T69" s="258">
        <v>392168746195.87769</v>
      </c>
      <c r="U69" s="258">
        <v>1468614</v>
      </c>
      <c r="V69" s="258">
        <v>287083</v>
      </c>
      <c r="W69" s="258">
        <v>871305</v>
      </c>
      <c r="X69" s="258">
        <v>1</v>
      </c>
      <c r="Y69" s="245"/>
      <c r="Z69" s="253" t="s">
        <v>576</v>
      </c>
      <c r="AA69" s="253">
        <v>0</v>
      </c>
      <c r="AB69" s="253">
        <v>0</v>
      </c>
      <c r="AC69" s="253">
        <v>0</v>
      </c>
      <c r="AD69" s="253">
        <v>0</v>
      </c>
      <c r="AE69" s="253">
        <v>0</v>
      </c>
      <c r="AF69" s="253"/>
      <c r="AG69" s="253" t="s">
        <v>615</v>
      </c>
      <c r="AH69" s="253">
        <v>0</v>
      </c>
      <c r="AI69" s="253">
        <v>0</v>
      </c>
      <c r="AJ69" s="253">
        <v>0</v>
      </c>
      <c r="AK69" s="253">
        <v>0</v>
      </c>
      <c r="AL69" s="253">
        <v>1</v>
      </c>
      <c r="AM69" s="245"/>
      <c r="AN69" s="253" t="s">
        <v>613</v>
      </c>
      <c r="AO69" s="253">
        <v>3323500</v>
      </c>
      <c r="AP69" s="253">
        <v>28</v>
      </c>
      <c r="AQ69" s="253">
        <v>2</v>
      </c>
      <c r="AR69" s="253">
        <v>12195</v>
      </c>
      <c r="AS69" s="253">
        <v>1</v>
      </c>
      <c r="AT69" s="245"/>
      <c r="AU69" s="253" t="s">
        <v>612</v>
      </c>
      <c r="AV69" s="253">
        <v>19761380.050000001</v>
      </c>
      <c r="AW69" s="253">
        <v>151</v>
      </c>
      <c r="AX69" s="253">
        <v>2</v>
      </c>
      <c r="AY69" s="253">
        <v>368</v>
      </c>
      <c r="AZ69" s="253">
        <v>1</v>
      </c>
      <c r="BA69" s="245"/>
      <c r="BB69" s="253" t="s">
        <v>613</v>
      </c>
      <c r="BC69" s="253">
        <v>727950</v>
      </c>
      <c r="BD69" s="253">
        <v>6</v>
      </c>
      <c r="BE69" s="253">
        <v>5</v>
      </c>
      <c r="BF69" s="253">
        <v>442</v>
      </c>
      <c r="BG69" s="253">
        <v>1</v>
      </c>
      <c r="BH69" s="247" t="s">
        <v>606</v>
      </c>
      <c r="BI69" s="253">
        <v>0</v>
      </c>
      <c r="BJ69" s="253">
        <v>0</v>
      </c>
      <c r="BK69" s="253">
        <v>0</v>
      </c>
      <c r="BL69" s="253">
        <v>0</v>
      </c>
      <c r="BM69" s="253">
        <v>0</v>
      </c>
      <c r="BN69" s="253"/>
      <c r="BO69" s="247"/>
      <c r="BP69" s="263">
        <v>204476425907</v>
      </c>
      <c r="BQ69" s="263">
        <v>13483856</v>
      </c>
      <c r="BR69" s="263">
        <v>3127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302</v>
      </c>
      <c r="H70" s="223">
        <v>10744.315747279999</v>
      </c>
      <c r="I70" s="164"/>
      <c r="J70" s="3"/>
      <c r="K70" s="228"/>
      <c r="L70" s="228"/>
      <c r="M70" s="228"/>
      <c r="O70" s="241" t="s">
        <v>302</v>
      </c>
      <c r="P70" s="241">
        <v>10630.16340935</v>
      </c>
      <c r="Q70" s="239"/>
      <c r="R70" s="157"/>
      <c r="S70" s="253" t="s">
        <v>451</v>
      </c>
      <c r="T70" s="258">
        <v>1648891776</v>
      </c>
      <c r="U70" s="258">
        <v>97427</v>
      </c>
      <c r="V70" s="258">
        <v>103</v>
      </c>
      <c r="W70" s="258">
        <v>846821</v>
      </c>
      <c r="X70" s="258">
        <v>1</v>
      </c>
      <c r="Y70" s="245"/>
      <c r="Z70" s="253" t="s">
        <v>615</v>
      </c>
      <c r="AA70" s="253">
        <v>0</v>
      </c>
      <c r="AB70" s="253">
        <v>0</v>
      </c>
      <c r="AC70" s="253">
        <v>0</v>
      </c>
      <c r="AD70" s="253">
        <v>0</v>
      </c>
      <c r="AE70" s="253">
        <v>1</v>
      </c>
      <c r="AF70" s="253"/>
      <c r="AG70" s="253" t="s">
        <v>613</v>
      </c>
      <c r="AH70" s="253">
        <v>0</v>
      </c>
      <c r="AI70" s="253">
        <v>0</v>
      </c>
      <c r="AJ70" s="253">
        <v>0</v>
      </c>
      <c r="AK70" s="253">
        <v>680</v>
      </c>
      <c r="AL70" s="253">
        <v>1</v>
      </c>
      <c r="AM70" s="245"/>
      <c r="AN70" s="253" t="s">
        <v>612</v>
      </c>
      <c r="AO70" s="253">
        <v>40253525.100000001</v>
      </c>
      <c r="AP70" s="253">
        <v>311</v>
      </c>
      <c r="AQ70" s="253">
        <v>11</v>
      </c>
      <c r="AR70" s="253">
        <v>12287</v>
      </c>
      <c r="AS70" s="253">
        <v>1</v>
      </c>
      <c r="AT70" s="245"/>
      <c r="AU70" s="253" t="s">
        <v>606</v>
      </c>
      <c r="AV70" s="253">
        <v>0</v>
      </c>
      <c r="AW70" s="253">
        <v>0</v>
      </c>
      <c r="AX70" s="253">
        <v>0</v>
      </c>
      <c r="AY70" s="253">
        <v>0</v>
      </c>
      <c r="AZ70" s="253">
        <v>0</v>
      </c>
      <c r="BA70" s="245"/>
      <c r="BB70" s="253" t="s">
        <v>612</v>
      </c>
      <c r="BC70" s="253">
        <v>7982160.0039999997</v>
      </c>
      <c r="BD70" s="253">
        <v>59</v>
      </c>
      <c r="BE70" s="253">
        <v>34</v>
      </c>
      <c r="BF70" s="253">
        <v>603</v>
      </c>
      <c r="BG70" s="253">
        <v>1</v>
      </c>
      <c r="BH70" s="247" t="s">
        <v>607</v>
      </c>
      <c r="BI70" s="253">
        <v>0</v>
      </c>
      <c r="BJ70" s="253">
        <v>0</v>
      </c>
      <c r="BK70" s="253">
        <v>0</v>
      </c>
      <c r="BL70" s="253">
        <v>0</v>
      </c>
      <c r="BM70" s="253">
        <v>0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303</v>
      </c>
      <c r="H71" s="223">
        <v>12246.388999999999</v>
      </c>
      <c r="I71" s="164"/>
      <c r="J71" s="3"/>
      <c r="K71" s="228"/>
      <c r="L71" s="228"/>
      <c r="M71" s="228"/>
      <c r="O71" s="241" t="s">
        <v>303</v>
      </c>
      <c r="P71" s="241">
        <v>12194.408100000001</v>
      </c>
      <c r="Q71" s="239"/>
      <c r="R71" s="157"/>
      <c r="S71" s="253" t="s">
        <v>450</v>
      </c>
      <c r="T71" s="258">
        <v>346704.27</v>
      </c>
      <c r="U71" s="258">
        <v>810896</v>
      </c>
      <c r="V71" s="258">
        <v>194</v>
      </c>
      <c r="W71" s="258">
        <v>18511843</v>
      </c>
      <c r="X71" s="258">
        <v>1</v>
      </c>
      <c r="Y71" s="245"/>
      <c r="Z71" s="253" t="s">
        <v>613</v>
      </c>
      <c r="AA71" s="253">
        <v>135538394.80000001</v>
      </c>
      <c r="AB71" s="253">
        <v>1082</v>
      </c>
      <c r="AC71" s="253">
        <v>9</v>
      </c>
      <c r="AD71" s="253">
        <v>13790</v>
      </c>
      <c r="AE71" s="253">
        <v>1</v>
      </c>
      <c r="AF71" s="253"/>
      <c r="AG71" s="253" t="s">
        <v>612</v>
      </c>
      <c r="AH71" s="253">
        <v>1168680</v>
      </c>
      <c r="AI71" s="253">
        <v>9</v>
      </c>
      <c r="AJ71" s="253">
        <v>3</v>
      </c>
      <c r="AK71" s="253">
        <v>523</v>
      </c>
      <c r="AL71" s="253">
        <v>1</v>
      </c>
      <c r="AM71" s="245"/>
      <c r="AN71" s="253" t="s">
        <v>606</v>
      </c>
      <c r="AO71" s="253">
        <v>0</v>
      </c>
      <c r="AP71" s="253">
        <v>0</v>
      </c>
      <c r="AQ71" s="253">
        <v>0</v>
      </c>
      <c r="AR71" s="253">
        <v>0</v>
      </c>
      <c r="AS71" s="253">
        <v>0</v>
      </c>
      <c r="AT71" s="245"/>
      <c r="AU71" s="253" t="s">
        <v>605</v>
      </c>
      <c r="AV71" s="253">
        <v>0</v>
      </c>
      <c r="AW71" s="253">
        <v>0</v>
      </c>
      <c r="AX71" s="253">
        <v>0</v>
      </c>
      <c r="AY71" s="253">
        <v>700</v>
      </c>
      <c r="AZ71" s="253">
        <v>0</v>
      </c>
      <c r="BA71" s="245"/>
      <c r="BB71" s="253" t="s">
        <v>606</v>
      </c>
      <c r="BC71" s="253">
        <v>0</v>
      </c>
      <c r="BD71" s="253">
        <v>0</v>
      </c>
      <c r="BE71" s="253">
        <v>0</v>
      </c>
      <c r="BF71" s="253">
        <v>0</v>
      </c>
      <c r="BG71" s="253">
        <v>0</v>
      </c>
      <c r="BH71" s="247" t="s">
        <v>591</v>
      </c>
      <c r="BI71" s="253">
        <v>490877259.82499999</v>
      </c>
      <c r="BJ71" s="253">
        <v>1651</v>
      </c>
      <c r="BK71" s="253">
        <v>93</v>
      </c>
      <c r="BL71" s="253">
        <v>4674</v>
      </c>
      <c r="BM71" s="253">
        <v>1</v>
      </c>
      <c r="BN71" s="253"/>
      <c r="BO71" s="256" t="s">
        <v>494</v>
      </c>
      <c r="BP71" s="264" t="s">
        <v>621</v>
      </c>
      <c r="BQ71" s="264" t="s">
        <v>567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304</v>
      </c>
      <c r="H72" s="223">
        <v>25409.54159592</v>
      </c>
      <c r="I72" s="164"/>
      <c r="J72" s="3"/>
      <c r="K72" s="228"/>
      <c r="L72" s="228"/>
      <c r="M72" s="228"/>
      <c r="O72" s="241" t="s">
        <v>304</v>
      </c>
      <c r="P72" s="241">
        <v>24876.591253930001</v>
      </c>
      <c r="Q72" s="239"/>
      <c r="R72" s="157"/>
      <c r="S72" s="253" t="s">
        <v>448</v>
      </c>
      <c r="T72" s="258">
        <v>527364180</v>
      </c>
      <c r="U72" s="258">
        <v>362442</v>
      </c>
      <c r="V72" s="258">
        <v>4700</v>
      </c>
      <c r="W72" s="258">
        <v>659919</v>
      </c>
      <c r="X72" s="258">
        <v>1</v>
      </c>
      <c r="Y72" s="245"/>
      <c r="Z72" s="253" t="s">
        <v>612</v>
      </c>
      <c r="AA72" s="253">
        <v>114255870.316</v>
      </c>
      <c r="AB72" s="253">
        <v>839</v>
      </c>
      <c r="AC72" s="253">
        <v>15</v>
      </c>
      <c r="AD72" s="253">
        <v>10844</v>
      </c>
      <c r="AE72" s="253">
        <v>1</v>
      </c>
      <c r="AF72" s="253"/>
      <c r="AG72" s="253" t="s">
        <v>606</v>
      </c>
      <c r="AH72" s="253">
        <v>0</v>
      </c>
      <c r="AI72" s="253">
        <v>0</v>
      </c>
      <c r="AJ72" s="253">
        <v>0</v>
      </c>
      <c r="AK72" s="253">
        <v>0</v>
      </c>
      <c r="AL72" s="253">
        <v>0</v>
      </c>
      <c r="AM72" s="245"/>
      <c r="AN72" s="253" t="s">
        <v>605</v>
      </c>
      <c r="AO72" s="253">
        <v>0</v>
      </c>
      <c r="AP72" s="253">
        <v>0</v>
      </c>
      <c r="AQ72" s="253">
        <v>0</v>
      </c>
      <c r="AR72" s="253">
        <v>15400</v>
      </c>
      <c r="AS72" s="253">
        <v>0</v>
      </c>
      <c r="AT72" s="245"/>
      <c r="AU72" s="253" t="s">
        <v>607</v>
      </c>
      <c r="AV72" s="253">
        <v>0</v>
      </c>
      <c r="AW72" s="253">
        <v>0</v>
      </c>
      <c r="AX72" s="253">
        <v>0</v>
      </c>
      <c r="AY72" s="253">
        <v>0</v>
      </c>
      <c r="AZ72" s="253">
        <v>0</v>
      </c>
      <c r="BA72" s="245"/>
      <c r="BB72" s="253" t="s">
        <v>605</v>
      </c>
      <c r="BC72" s="253">
        <v>656900</v>
      </c>
      <c r="BD72" s="253">
        <v>240</v>
      </c>
      <c r="BE72" s="253">
        <v>4</v>
      </c>
      <c r="BF72" s="253">
        <v>16700</v>
      </c>
      <c r="BG72" s="253">
        <v>0</v>
      </c>
      <c r="BH72" s="247" t="s">
        <v>614</v>
      </c>
      <c r="BI72" s="253">
        <v>73700</v>
      </c>
      <c r="BJ72" s="253">
        <v>1</v>
      </c>
      <c r="BK72" s="253">
        <v>1</v>
      </c>
      <c r="BL72" s="253">
        <v>823</v>
      </c>
      <c r="BM72" s="253">
        <v>1</v>
      </c>
      <c r="BN72" s="253"/>
      <c r="BO72" s="247"/>
      <c r="BP72" s="263" t="s">
        <v>622</v>
      </c>
      <c r="BQ72" s="263">
        <v>2653275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58</v>
      </c>
      <c r="H73" s="223">
        <v>27269.443174249998</v>
      </c>
      <c r="I73" s="164"/>
      <c r="J73" s="3"/>
      <c r="K73" s="228"/>
      <c r="L73" s="228"/>
      <c r="M73" s="228"/>
      <c r="O73" s="241" t="s">
        <v>58</v>
      </c>
      <c r="P73" s="241">
        <v>27094.229882489999</v>
      </c>
      <c r="Q73" s="239"/>
      <c r="R73" s="157"/>
      <c r="S73" s="247"/>
      <c r="T73" s="247"/>
      <c r="U73" s="247"/>
      <c r="V73" s="247"/>
      <c r="W73" s="247"/>
      <c r="X73" s="247"/>
      <c r="Y73" s="245"/>
      <c r="Z73" s="253" t="s">
        <v>606</v>
      </c>
      <c r="AA73" s="253">
        <v>0</v>
      </c>
      <c r="AB73" s="253">
        <v>0</v>
      </c>
      <c r="AC73" s="253">
        <v>0</v>
      </c>
      <c r="AD73" s="253">
        <v>0</v>
      </c>
      <c r="AE73" s="253">
        <v>0</v>
      </c>
      <c r="AF73" s="253"/>
      <c r="AG73" s="253" t="s">
        <v>605</v>
      </c>
      <c r="AH73" s="253">
        <v>0</v>
      </c>
      <c r="AI73" s="253">
        <v>0</v>
      </c>
      <c r="AJ73" s="253">
        <v>0</v>
      </c>
      <c r="AK73" s="253">
        <v>0</v>
      </c>
      <c r="AL73" s="253">
        <v>0</v>
      </c>
      <c r="AM73" s="245"/>
      <c r="AN73" s="253" t="s">
        <v>607</v>
      </c>
      <c r="AO73" s="253">
        <v>0</v>
      </c>
      <c r="AP73" s="253">
        <v>0</v>
      </c>
      <c r="AQ73" s="253">
        <v>0</v>
      </c>
      <c r="AR73" s="253">
        <v>0</v>
      </c>
      <c r="AS73" s="253">
        <v>0</v>
      </c>
      <c r="AT73" s="245"/>
      <c r="AU73" s="253" t="s">
        <v>591</v>
      </c>
      <c r="AV73" s="253">
        <v>533155962.17500001</v>
      </c>
      <c r="AW73" s="253">
        <v>2363</v>
      </c>
      <c r="AX73" s="253">
        <v>190</v>
      </c>
      <c r="AY73" s="253">
        <v>11271</v>
      </c>
      <c r="AZ73" s="253">
        <v>1</v>
      </c>
      <c r="BA73" s="245"/>
      <c r="BB73" s="253" t="s">
        <v>607</v>
      </c>
      <c r="BC73" s="253">
        <v>0</v>
      </c>
      <c r="BD73" s="253">
        <v>0</v>
      </c>
      <c r="BE73" s="253">
        <v>0</v>
      </c>
      <c r="BF73" s="253">
        <v>0</v>
      </c>
      <c r="BG73" s="253">
        <v>0</v>
      </c>
      <c r="BH73" s="247" t="s">
        <v>597</v>
      </c>
      <c r="BI73" s="253">
        <v>0</v>
      </c>
      <c r="BJ73" s="253">
        <v>0</v>
      </c>
      <c r="BK73" s="253">
        <v>0</v>
      </c>
      <c r="BL73" s="253">
        <v>0</v>
      </c>
      <c r="BM73" s="253">
        <v>1</v>
      </c>
      <c r="BN73" s="253"/>
      <c r="BO73" s="247"/>
      <c r="BP73" s="263" t="s">
        <v>623</v>
      </c>
      <c r="BQ73" s="263">
        <v>1192282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51</v>
      </c>
      <c r="H74" s="223">
        <v>29707.395571960002</v>
      </c>
      <c r="I74" s="164"/>
      <c r="J74" s="3"/>
      <c r="K74" s="228"/>
      <c r="L74" s="228"/>
      <c r="M74" s="228"/>
      <c r="O74" s="241" t="s">
        <v>51</v>
      </c>
      <c r="P74" s="241">
        <v>29476.61313052</v>
      </c>
      <c r="Q74" s="239"/>
      <c r="R74" s="157"/>
      <c r="S74" s="247"/>
      <c r="T74" s="247"/>
      <c r="U74" s="247"/>
      <c r="V74" s="247"/>
      <c r="W74" s="247"/>
      <c r="X74" s="247"/>
      <c r="Y74" s="245"/>
      <c r="Z74" s="253" t="s">
        <v>605</v>
      </c>
      <c r="AA74" s="253">
        <v>0</v>
      </c>
      <c r="AB74" s="253">
        <v>0</v>
      </c>
      <c r="AC74" s="253">
        <v>0</v>
      </c>
      <c r="AD74" s="253">
        <v>13300</v>
      </c>
      <c r="AE74" s="253">
        <v>0</v>
      </c>
      <c r="AF74" s="253"/>
      <c r="AG74" s="253" t="s">
        <v>607</v>
      </c>
      <c r="AH74" s="253">
        <v>0</v>
      </c>
      <c r="AI74" s="253">
        <v>0</v>
      </c>
      <c r="AJ74" s="253">
        <v>0</v>
      </c>
      <c r="AK74" s="253">
        <v>0</v>
      </c>
      <c r="AL74" s="253">
        <v>0</v>
      </c>
      <c r="AM74" s="245"/>
      <c r="AN74" s="253" t="s">
        <v>591</v>
      </c>
      <c r="AO74" s="253">
        <v>5960042647.6549997</v>
      </c>
      <c r="AP74" s="253">
        <v>25790</v>
      </c>
      <c r="AQ74" s="253">
        <v>2798</v>
      </c>
      <c r="AR74" s="253">
        <v>275826</v>
      </c>
      <c r="AS74" s="253">
        <v>1</v>
      </c>
      <c r="AT74" s="245"/>
      <c r="AU74" s="253" t="s">
        <v>614</v>
      </c>
      <c r="AV74" s="253">
        <v>0</v>
      </c>
      <c r="AW74" s="253">
        <v>0</v>
      </c>
      <c r="AX74" s="253">
        <v>0</v>
      </c>
      <c r="AY74" s="253">
        <v>4</v>
      </c>
      <c r="AZ74" s="253">
        <v>1</v>
      </c>
      <c r="BA74" s="245"/>
      <c r="BB74" s="253" t="s">
        <v>591</v>
      </c>
      <c r="BC74" s="253">
        <v>5295150481.4300003</v>
      </c>
      <c r="BD74" s="253">
        <v>17659</v>
      </c>
      <c r="BE74" s="253">
        <v>2109</v>
      </c>
      <c r="BF74" s="253">
        <v>117423</v>
      </c>
      <c r="BG74" s="253">
        <v>1</v>
      </c>
      <c r="BH74" s="247" t="s">
        <v>593</v>
      </c>
      <c r="BI74" s="253">
        <v>23818579.91</v>
      </c>
      <c r="BJ74" s="253">
        <v>1985</v>
      </c>
      <c r="BK74" s="253">
        <v>200</v>
      </c>
      <c r="BL74" s="253">
        <v>21163</v>
      </c>
      <c r="BM74" s="253">
        <v>0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305</v>
      </c>
      <c r="H75" s="223">
        <v>13532.2</v>
      </c>
      <c r="I75" s="164"/>
      <c r="J75" s="3"/>
      <c r="K75" s="228"/>
      <c r="L75" s="228"/>
      <c r="M75" s="228"/>
      <c r="O75" s="241" t="s">
        <v>305</v>
      </c>
      <c r="P75" s="241">
        <v>13719.97</v>
      </c>
      <c r="Q75" s="239"/>
      <c r="R75" s="153" t="s">
        <v>457</v>
      </c>
      <c r="S75" s="254" t="s">
        <v>563</v>
      </c>
      <c r="T75" s="257" t="s">
        <v>564</v>
      </c>
      <c r="U75" s="257" t="s">
        <v>565</v>
      </c>
      <c r="V75" s="257" t="s">
        <v>566</v>
      </c>
      <c r="W75" s="257" t="s">
        <v>567</v>
      </c>
      <c r="X75" s="257" t="s">
        <v>568</v>
      </c>
      <c r="Y75" s="245"/>
      <c r="Z75" s="253" t="s">
        <v>607</v>
      </c>
      <c r="AA75" s="253">
        <v>0</v>
      </c>
      <c r="AB75" s="253">
        <v>0</v>
      </c>
      <c r="AC75" s="253">
        <v>0</v>
      </c>
      <c r="AD75" s="253">
        <v>0</v>
      </c>
      <c r="AE75" s="253">
        <v>0</v>
      </c>
      <c r="AF75" s="253"/>
      <c r="AG75" s="253" t="s">
        <v>591</v>
      </c>
      <c r="AH75" s="253">
        <v>608350328.44500005</v>
      </c>
      <c r="AI75" s="253">
        <v>2731</v>
      </c>
      <c r="AJ75" s="253">
        <v>227</v>
      </c>
      <c r="AK75" s="253">
        <v>8991</v>
      </c>
      <c r="AL75" s="253">
        <v>1</v>
      </c>
      <c r="AM75" s="245"/>
      <c r="AN75" s="253" t="s">
        <v>614</v>
      </c>
      <c r="AO75" s="253">
        <v>573000</v>
      </c>
      <c r="AP75" s="253">
        <v>8</v>
      </c>
      <c r="AQ75" s="253">
        <v>3</v>
      </c>
      <c r="AR75" s="253">
        <v>112</v>
      </c>
      <c r="AS75" s="253">
        <v>1</v>
      </c>
      <c r="AT75" s="245"/>
      <c r="AU75" s="253" t="s">
        <v>597</v>
      </c>
      <c r="AV75" s="253">
        <v>0</v>
      </c>
      <c r="AW75" s="253">
        <v>0</v>
      </c>
      <c r="AX75" s="253">
        <v>0</v>
      </c>
      <c r="AY75" s="253">
        <v>0</v>
      </c>
      <c r="AZ75" s="253">
        <v>1</v>
      </c>
      <c r="BA75" s="245"/>
      <c r="BB75" s="253" t="s">
        <v>614</v>
      </c>
      <c r="BC75" s="253">
        <v>142008092.19999999</v>
      </c>
      <c r="BD75" s="253">
        <v>1980</v>
      </c>
      <c r="BE75" s="253">
        <v>58</v>
      </c>
      <c r="BF75" s="253">
        <v>7606</v>
      </c>
      <c r="BG75" s="253">
        <v>1</v>
      </c>
      <c r="BH75" s="247" t="s">
        <v>598</v>
      </c>
      <c r="BI75" s="253">
        <v>0</v>
      </c>
      <c r="BJ75" s="253">
        <v>0</v>
      </c>
      <c r="BK75" s="253">
        <v>0</v>
      </c>
      <c r="BL75" s="253">
        <v>0</v>
      </c>
      <c r="BM75" s="253">
        <v>0</v>
      </c>
      <c r="BN75" s="253"/>
      <c r="BO75" s="256" t="s">
        <v>478</v>
      </c>
      <c r="BP75" s="264" t="s">
        <v>564</v>
      </c>
      <c r="BQ75" s="264" t="s">
        <v>565</v>
      </c>
      <c r="BR75" s="264" t="s">
        <v>566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548</v>
      </c>
      <c r="H76" s="223">
        <v>81808.511682440003</v>
      </c>
      <c r="I76" s="164"/>
      <c r="J76" s="3"/>
      <c r="K76" s="228"/>
      <c r="L76" s="228"/>
      <c r="M76" s="228"/>
      <c r="O76" s="241" t="s">
        <v>548</v>
      </c>
      <c r="P76" s="241">
        <v>80949.805875420003</v>
      </c>
      <c r="Q76" s="239"/>
      <c r="R76" s="157"/>
      <c r="S76" s="253" t="s">
        <v>449</v>
      </c>
      <c r="T76" s="258">
        <v>22184668</v>
      </c>
      <c r="U76" s="258">
        <v>46400</v>
      </c>
      <c r="V76" s="258">
        <v>2</v>
      </c>
      <c r="W76" s="258">
        <v>18975404</v>
      </c>
      <c r="X76" s="258">
        <v>1</v>
      </c>
      <c r="Y76" s="245"/>
      <c r="Z76" s="253" t="s">
        <v>591</v>
      </c>
      <c r="AA76" s="253">
        <v>8615622979.7199993</v>
      </c>
      <c r="AB76" s="253">
        <v>36599</v>
      </c>
      <c r="AC76" s="253">
        <v>4715</v>
      </c>
      <c r="AD76" s="253">
        <v>229672</v>
      </c>
      <c r="AE76" s="253">
        <v>1</v>
      </c>
      <c r="AF76" s="253"/>
      <c r="AG76" s="253" t="s">
        <v>614</v>
      </c>
      <c r="AH76" s="253">
        <v>0</v>
      </c>
      <c r="AI76" s="253">
        <v>0</v>
      </c>
      <c r="AJ76" s="253">
        <v>0</v>
      </c>
      <c r="AK76" s="253">
        <v>6</v>
      </c>
      <c r="AL76" s="253">
        <v>1</v>
      </c>
      <c r="AM76" s="245"/>
      <c r="AN76" s="253" t="s">
        <v>597</v>
      </c>
      <c r="AO76" s="253">
        <v>0</v>
      </c>
      <c r="AP76" s="253">
        <v>0</v>
      </c>
      <c r="AQ76" s="253">
        <v>0</v>
      </c>
      <c r="AR76" s="253">
        <v>0</v>
      </c>
      <c r="AS76" s="253">
        <v>1</v>
      </c>
      <c r="AT76" s="245"/>
      <c r="AU76" s="253" t="s">
        <v>593</v>
      </c>
      <c r="AV76" s="253">
        <v>2781212</v>
      </c>
      <c r="AW76" s="253">
        <v>284</v>
      </c>
      <c r="AX76" s="253">
        <v>73</v>
      </c>
      <c r="AY76" s="253">
        <v>37354</v>
      </c>
      <c r="AZ76" s="253">
        <v>0</v>
      </c>
      <c r="BA76" s="245"/>
      <c r="BB76" s="253" t="s">
        <v>597</v>
      </c>
      <c r="BC76" s="253">
        <v>3664395</v>
      </c>
      <c r="BD76" s="253">
        <v>55</v>
      </c>
      <c r="BE76" s="253">
        <v>5</v>
      </c>
      <c r="BF76" s="253">
        <v>187</v>
      </c>
      <c r="BG76" s="253">
        <v>1</v>
      </c>
      <c r="BH76" s="245" t="s">
        <v>573</v>
      </c>
      <c r="BI76" s="253">
        <v>523940300.28500003</v>
      </c>
      <c r="BJ76" s="253">
        <v>1622</v>
      </c>
      <c r="BK76" s="253">
        <v>70</v>
      </c>
      <c r="BL76" s="253">
        <v>4967</v>
      </c>
      <c r="BM76" s="253">
        <v>1</v>
      </c>
      <c r="BN76" s="253"/>
      <c r="BO76" s="247"/>
      <c r="BP76" s="263">
        <v>531785251385.51837</v>
      </c>
      <c r="BQ76" s="263">
        <v>2541852</v>
      </c>
      <c r="BR76" s="263">
        <v>323086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101</v>
      </c>
      <c r="H77" s="223">
        <v>381.93185382000001</v>
      </c>
      <c r="I77" s="164"/>
      <c r="J77" s="3"/>
      <c r="K77" s="228"/>
      <c r="L77" s="228"/>
      <c r="M77" s="228"/>
      <c r="O77" s="241" t="s">
        <v>101</v>
      </c>
      <c r="P77" s="241">
        <v>378.60535348000002</v>
      </c>
      <c r="Q77" s="239"/>
      <c r="R77" s="157"/>
      <c r="S77" s="253" t="s">
        <v>447</v>
      </c>
      <c r="T77" s="258">
        <v>23240595.550000001</v>
      </c>
      <c r="U77" s="258">
        <v>80297</v>
      </c>
      <c r="V77" s="258">
        <v>40</v>
      </c>
      <c r="W77" s="258">
        <v>2011752</v>
      </c>
      <c r="X77" s="258">
        <v>0</v>
      </c>
      <c r="Y77" s="245"/>
      <c r="Z77" s="253" t="s">
        <v>614</v>
      </c>
      <c r="AA77" s="253">
        <v>827900</v>
      </c>
      <c r="AB77" s="253">
        <v>10</v>
      </c>
      <c r="AC77" s="253">
        <v>3</v>
      </c>
      <c r="AD77" s="253">
        <v>118</v>
      </c>
      <c r="AE77" s="253">
        <v>1</v>
      </c>
      <c r="AF77" s="253"/>
      <c r="AG77" s="253" t="s">
        <v>597</v>
      </c>
      <c r="AH77" s="253">
        <v>0</v>
      </c>
      <c r="AI77" s="253">
        <v>0</v>
      </c>
      <c r="AJ77" s="253">
        <v>0</v>
      </c>
      <c r="AK77" s="253">
        <v>0</v>
      </c>
      <c r="AL77" s="253">
        <v>1</v>
      </c>
      <c r="AM77" s="245"/>
      <c r="AN77" s="253" t="s">
        <v>593</v>
      </c>
      <c r="AO77" s="253">
        <v>130398430.17</v>
      </c>
      <c r="AP77" s="253">
        <v>13472</v>
      </c>
      <c r="AQ77" s="253">
        <v>1776</v>
      </c>
      <c r="AR77" s="253">
        <v>763235</v>
      </c>
      <c r="AS77" s="253">
        <v>0</v>
      </c>
      <c r="AT77" s="245"/>
      <c r="AU77" s="253" t="s">
        <v>598</v>
      </c>
      <c r="AV77" s="253">
        <v>0</v>
      </c>
      <c r="AW77" s="253">
        <v>0</v>
      </c>
      <c r="AX77" s="253">
        <v>0</v>
      </c>
      <c r="AY77" s="253">
        <v>0</v>
      </c>
      <c r="AZ77" s="253">
        <v>0</v>
      </c>
      <c r="BA77" s="245"/>
      <c r="BB77" s="253" t="s">
        <v>593</v>
      </c>
      <c r="BC77" s="253">
        <v>661996797.08000004</v>
      </c>
      <c r="BD77" s="253">
        <v>20837</v>
      </c>
      <c r="BE77" s="253">
        <v>2643</v>
      </c>
      <c r="BF77" s="253">
        <v>864726</v>
      </c>
      <c r="BG77" s="253">
        <v>0</v>
      </c>
      <c r="BH77" s="245" t="s">
        <v>599</v>
      </c>
      <c r="BI77" s="253">
        <v>0</v>
      </c>
      <c r="BJ77" s="253">
        <v>0</v>
      </c>
      <c r="BK77" s="253">
        <v>0</v>
      </c>
      <c r="BL77" s="253">
        <v>70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43012</v>
      </c>
      <c r="D78" s="190">
        <v>67708.833138410002</v>
      </c>
      <c r="E78" s="223">
        <v>1</v>
      </c>
      <c r="F78" s="209"/>
      <c r="G78" s="223" t="s">
        <v>103</v>
      </c>
      <c r="H78" s="223">
        <v>711.99703021000005</v>
      </c>
      <c r="I78" s="164"/>
      <c r="J78" s="63"/>
      <c r="K78" s="228"/>
      <c r="L78" s="228"/>
      <c r="M78" s="228"/>
      <c r="O78" s="241" t="s">
        <v>103</v>
      </c>
      <c r="P78" s="241">
        <v>701.13539513000001</v>
      </c>
      <c r="Q78" s="239"/>
      <c r="R78" s="157"/>
      <c r="S78" s="253" t="s">
        <v>451</v>
      </c>
      <c r="T78" s="258">
        <v>36534504.450000003</v>
      </c>
      <c r="U78" s="258">
        <v>31441</v>
      </c>
      <c r="V78" s="258">
        <v>13</v>
      </c>
      <c r="W78" s="258">
        <v>479873</v>
      </c>
      <c r="X78" s="258">
        <v>0</v>
      </c>
      <c r="Y78" s="245"/>
      <c r="Z78" s="253" t="s">
        <v>597</v>
      </c>
      <c r="AA78" s="253">
        <v>0</v>
      </c>
      <c r="AB78" s="253">
        <v>0</v>
      </c>
      <c r="AC78" s="253">
        <v>0</v>
      </c>
      <c r="AD78" s="253">
        <v>0</v>
      </c>
      <c r="AE78" s="253">
        <v>1</v>
      </c>
      <c r="AF78" s="253"/>
      <c r="AG78" s="253" t="s">
        <v>593</v>
      </c>
      <c r="AH78" s="253">
        <v>4626360.1399999997</v>
      </c>
      <c r="AI78" s="253">
        <v>429</v>
      </c>
      <c r="AJ78" s="253">
        <v>37</v>
      </c>
      <c r="AK78" s="253">
        <v>31053</v>
      </c>
      <c r="AL78" s="253">
        <v>0</v>
      </c>
      <c r="AM78" s="245"/>
      <c r="AN78" s="253" t="s">
        <v>598</v>
      </c>
      <c r="AO78" s="253">
        <v>0</v>
      </c>
      <c r="AP78" s="253">
        <v>0</v>
      </c>
      <c r="AQ78" s="253">
        <v>0</v>
      </c>
      <c r="AR78" s="253">
        <v>0</v>
      </c>
      <c r="AS78" s="253">
        <v>0</v>
      </c>
      <c r="AT78" s="245"/>
      <c r="AU78" s="253" t="s">
        <v>616</v>
      </c>
      <c r="AV78" s="253">
        <v>0</v>
      </c>
      <c r="AW78" s="253">
        <v>0</v>
      </c>
      <c r="AX78" s="253">
        <v>0</v>
      </c>
      <c r="AY78" s="253">
        <v>0</v>
      </c>
      <c r="AZ78" s="253">
        <v>1</v>
      </c>
      <c r="BA78" s="245"/>
      <c r="BB78" s="253" t="s">
        <v>596</v>
      </c>
      <c r="BC78" s="253">
        <v>0</v>
      </c>
      <c r="BD78" s="253">
        <v>0</v>
      </c>
      <c r="BE78" s="253">
        <v>0</v>
      </c>
      <c r="BF78" s="253">
        <v>0</v>
      </c>
      <c r="BG78" s="253">
        <v>1</v>
      </c>
      <c r="BH78" s="245" t="s">
        <v>603</v>
      </c>
      <c r="BI78" s="253">
        <v>0</v>
      </c>
      <c r="BJ78" s="253">
        <v>0</v>
      </c>
      <c r="BK78" s="253">
        <v>0</v>
      </c>
      <c r="BL78" s="253">
        <v>0</v>
      </c>
      <c r="BM78" s="253">
        <v>1</v>
      </c>
      <c r="BN78" s="253"/>
      <c r="BO78" s="256" t="s">
        <v>497</v>
      </c>
      <c r="BP78" s="264" t="s">
        <v>564</v>
      </c>
      <c r="BQ78" s="264" t="s">
        <v>565</v>
      </c>
      <c r="BR78" s="264" t="s">
        <v>566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306</v>
      </c>
      <c r="H79" s="223">
        <v>4404.3718256299999</v>
      </c>
      <c r="I79" s="164"/>
      <c r="J79" s="63"/>
      <c r="K79" s="228"/>
      <c r="L79" s="228"/>
      <c r="M79" s="228"/>
      <c r="O79" s="241" t="s">
        <v>306</v>
      </c>
      <c r="P79" s="241">
        <v>4300.2067336099999</v>
      </c>
      <c r="Q79" s="239"/>
      <c r="R79" s="157"/>
      <c r="S79" s="253" t="s">
        <v>446</v>
      </c>
      <c r="T79" s="258">
        <v>49001713</v>
      </c>
      <c r="U79" s="258">
        <v>3499</v>
      </c>
      <c r="V79" s="258">
        <v>181</v>
      </c>
      <c r="W79" s="258">
        <v>1061159</v>
      </c>
      <c r="X79" s="258">
        <v>0</v>
      </c>
      <c r="Y79" s="245"/>
      <c r="Z79" s="253" t="s">
        <v>593</v>
      </c>
      <c r="AA79" s="253">
        <v>170416286.53</v>
      </c>
      <c r="AB79" s="253">
        <v>16157</v>
      </c>
      <c r="AC79" s="253">
        <v>2808</v>
      </c>
      <c r="AD79" s="253">
        <v>833419</v>
      </c>
      <c r="AE79" s="253">
        <v>0</v>
      </c>
      <c r="AF79" s="253"/>
      <c r="AG79" s="253" t="s">
        <v>570</v>
      </c>
      <c r="AH79" s="253">
        <v>0</v>
      </c>
      <c r="AI79" s="253">
        <v>0</v>
      </c>
      <c r="AJ79" s="253">
        <v>0</v>
      </c>
      <c r="AK79" s="253">
        <v>0</v>
      </c>
      <c r="AL79" s="253">
        <v>0</v>
      </c>
      <c r="AM79" s="245"/>
      <c r="AN79" s="253" t="s">
        <v>616</v>
      </c>
      <c r="AO79" s="253">
        <v>0</v>
      </c>
      <c r="AP79" s="253">
        <v>0</v>
      </c>
      <c r="AQ79" s="253">
        <v>0</v>
      </c>
      <c r="AR79" s="253">
        <v>0</v>
      </c>
      <c r="AS79" s="253">
        <v>1</v>
      </c>
      <c r="AT79" s="245"/>
      <c r="AU79" s="253" t="s">
        <v>608</v>
      </c>
      <c r="AV79" s="253">
        <v>0</v>
      </c>
      <c r="AW79" s="253">
        <v>0</v>
      </c>
      <c r="AX79" s="253">
        <v>0</v>
      </c>
      <c r="AY79" s="253">
        <v>0</v>
      </c>
      <c r="AZ79" s="253">
        <v>1</v>
      </c>
      <c r="BA79" s="245"/>
      <c r="BB79" s="253" t="s">
        <v>598</v>
      </c>
      <c r="BC79" s="253">
        <v>0</v>
      </c>
      <c r="BD79" s="253">
        <v>0</v>
      </c>
      <c r="BE79" s="253">
        <v>0</v>
      </c>
      <c r="BF79" s="253">
        <v>0</v>
      </c>
      <c r="BG79" s="253">
        <v>0</v>
      </c>
      <c r="BH79" s="245" t="s">
        <v>602</v>
      </c>
      <c r="BI79" s="253">
        <v>0</v>
      </c>
      <c r="BJ79" s="253">
        <v>0</v>
      </c>
      <c r="BK79" s="253">
        <v>0</v>
      </c>
      <c r="BL79" s="253">
        <v>0</v>
      </c>
      <c r="BM79" s="253">
        <v>1</v>
      </c>
      <c r="BN79" s="253"/>
      <c r="BO79" s="251"/>
      <c r="BP79" s="263">
        <v>3039688705.1499901</v>
      </c>
      <c r="BQ79" s="263">
        <v>274121</v>
      </c>
      <c r="BR79" s="263">
        <v>28236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307</v>
      </c>
      <c r="H80" s="223">
        <v>210.42569061</v>
      </c>
      <c r="I80" s="164"/>
      <c r="J80" s="3"/>
      <c r="K80" s="228"/>
      <c r="L80" s="228"/>
      <c r="M80" s="228"/>
      <c r="O80" s="241" t="s">
        <v>307</v>
      </c>
      <c r="P80" s="241">
        <v>213.49580293</v>
      </c>
      <c r="Q80" s="239"/>
      <c r="R80" s="157"/>
      <c r="S80" s="253" t="s">
        <v>569</v>
      </c>
      <c r="T80" s="258">
        <v>0</v>
      </c>
      <c r="U80" s="258">
        <v>0</v>
      </c>
      <c r="V80" s="258">
        <v>0</v>
      </c>
      <c r="W80" s="258">
        <v>0</v>
      </c>
      <c r="X80" s="258">
        <v>1</v>
      </c>
      <c r="Y80" s="245"/>
      <c r="Z80" s="245" t="s">
        <v>570</v>
      </c>
      <c r="AA80" s="245">
        <v>0</v>
      </c>
      <c r="AB80" s="245">
        <v>0</v>
      </c>
      <c r="AC80" s="245">
        <v>0</v>
      </c>
      <c r="AD80" s="245">
        <v>0</v>
      </c>
      <c r="AE80" s="245">
        <v>0</v>
      </c>
      <c r="AF80" s="245"/>
      <c r="AG80" s="245" t="s">
        <v>596</v>
      </c>
      <c r="AH80" s="245">
        <v>0</v>
      </c>
      <c r="AI80" s="245">
        <v>0</v>
      </c>
      <c r="AJ80" s="245">
        <v>0</v>
      </c>
      <c r="AK80" s="245">
        <v>0</v>
      </c>
      <c r="AL80" s="245">
        <v>1</v>
      </c>
      <c r="AM80" s="245"/>
      <c r="AN80" s="245" t="s">
        <v>608</v>
      </c>
      <c r="AO80" s="245">
        <v>0</v>
      </c>
      <c r="AP80" s="245">
        <v>0</v>
      </c>
      <c r="AQ80" s="245">
        <v>0</v>
      </c>
      <c r="AR80" s="245">
        <v>0</v>
      </c>
      <c r="AS80" s="245">
        <v>1</v>
      </c>
      <c r="AT80" s="245"/>
      <c r="AU80" s="245" t="s">
        <v>573</v>
      </c>
      <c r="AV80" s="245">
        <v>369225021.22000003</v>
      </c>
      <c r="AW80" s="245">
        <v>1507</v>
      </c>
      <c r="AX80" s="245">
        <v>123</v>
      </c>
      <c r="AY80" s="245">
        <v>18296</v>
      </c>
      <c r="AZ80" s="245">
        <v>1</v>
      </c>
      <c r="BA80" s="245"/>
      <c r="BB80" s="245" t="s">
        <v>573</v>
      </c>
      <c r="BC80" s="245">
        <v>5397546340.7200003</v>
      </c>
      <c r="BD80" s="245">
        <v>16765</v>
      </c>
      <c r="BE80" s="245">
        <v>1455</v>
      </c>
      <c r="BF80" s="245">
        <v>133450</v>
      </c>
      <c r="BG80" s="245">
        <v>1</v>
      </c>
      <c r="BH80" s="245" t="s">
        <v>611</v>
      </c>
      <c r="BI80" s="245">
        <v>0</v>
      </c>
      <c r="BJ80" s="245">
        <v>0</v>
      </c>
      <c r="BK80" s="245">
        <v>0</v>
      </c>
      <c r="BL80" s="245">
        <v>0</v>
      </c>
      <c r="BM80" s="245">
        <v>0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308</v>
      </c>
      <c r="H81" s="223">
        <v>9854.0594212899996</v>
      </c>
      <c r="I81" s="164"/>
      <c r="J81" s="3"/>
      <c r="K81" s="228"/>
      <c r="L81" s="228"/>
      <c r="M81" s="228"/>
      <c r="O81" s="241" t="s">
        <v>308</v>
      </c>
      <c r="P81" s="241">
        <v>9405.8387017299992</v>
      </c>
      <c r="Q81" s="239"/>
      <c r="R81" s="157"/>
      <c r="S81" s="253" t="s">
        <v>447</v>
      </c>
      <c r="T81" s="258">
        <v>531754728.62</v>
      </c>
      <c r="U81" s="258">
        <v>40103</v>
      </c>
      <c r="V81" s="258">
        <v>222</v>
      </c>
      <c r="W81" s="258">
        <v>951251</v>
      </c>
      <c r="X81" s="258">
        <v>1</v>
      </c>
      <c r="Y81" s="245"/>
      <c r="Z81" s="245" t="s">
        <v>596</v>
      </c>
      <c r="AA81" s="245">
        <v>0</v>
      </c>
      <c r="AB81" s="245">
        <v>0</v>
      </c>
      <c r="AC81" s="245">
        <v>0</v>
      </c>
      <c r="AD81" s="245">
        <v>0</v>
      </c>
      <c r="AE81" s="245">
        <v>1</v>
      </c>
      <c r="AF81" s="245"/>
      <c r="AG81" s="245" t="s">
        <v>598</v>
      </c>
      <c r="AH81" s="245">
        <v>0</v>
      </c>
      <c r="AI81" s="245">
        <v>0</v>
      </c>
      <c r="AJ81" s="245">
        <v>0</v>
      </c>
      <c r="AK81" s="245">
        <v>0</v>
      </c>
      <c r="AL81" s="245">
        <v>0</v>
      </c>
      <c r="AM81" s="245"/>
      <c r="AN81" s="245" t="s">
        <v>573</v>
      </c>
      <c r="AO81" s="245">
        <v>5756310838.0799999</v>
      </c>
      <c r="AP81" s="245">
        <v>23629</v>
      </c>
      <c r="AQ81" s="245">
        <v>2943</v>
      </c>
      <c r="AR81" s="245">
        <v>388981</v>
      </c>
      <c r="AS81" s="245">
        <v>1</v>
      </c>
      <c r="AT81" s="245"/>
      <c r="AU81" s="245" t="s">
        <v>599</v>
      </c>
      <c r="AV81" s="245">
        <v>0</v>
      </c>
      <c r="AW81" s="245">
        <v>0</v>
      </c>
      <c r="AX81" s="245">
        <v>0</v>
      </c>
      <c r="AY81" s="245">
        <v>0</v>
      </c>
      <c r="AZ81" s="245">
        <v>1</v>
      </c>
      <c r="BA81" s="245"/>
      <c r="BB81" s="245" t="s">
        <v>599</v>
      </c>
      <c r="BC81" s="245">
        <v>605145</v>
      </c>
      <c r="BD81" s="245">
        <v>17</v>
      </c>
      <c r="BE81" s="245">
        <v>2</v>
      </c>
      <c r="BF81" s="245">
        <v>1437</v>
      </c>
      <c r="BG81" s="245">
        <v>1</v>
      </c>
      <c r="BH81" s="245"/>
      <c r="BI81" s="245"/>
      <c r="BJ81" s="245"/>
      <c r="BK81" s="245"/>
      <c r="BL81" s="245"/>
      <c r="BM81" s="245"/>
      <c r="BN81" s="245"/>
      <c r="BO81" s="256" t="s">
        <v>479</v>
      </c>
      <c r="BP81" s="264" t="s">
        <v>564</v>
      </c>
      <c r="BQ81" s="264" t="s">
        <v>565</v>
      </c>
      <c r="BR81" s="264" t="s">
        <v>566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309</v>
      </c>
      <c r="H82" s="223">
        <v>386.10056675999999</v>
      </c>
      <c r="I82" s="164"/>
      <c r="J82" s="157"/>
      <c r="K82" s="228"/>
      <c r="L82" s="228"/>
      <c r="M82" s="228"/>
      <c r="O82" s="241" t="s">
        <v>309</v>
      </c>
      <c r="P82" s="241">
        <v>421.44393538000003</v>
      </c>
      <c r="Q82" s="239"/>
      <c r="R82" s="157"/>
      <c r="S82" s="253" t="s">
        <v>182</v>
      </c>
      <c r="T82" s="258">
        <v>4967390.5</v>
      </c>
      <c r="U82" s="258">
        <v>297400</v>
      </c>
      <c r="V82" s="258">
        <v>34</v>
      </c>
      <c r="W82" s="258">
        <v>1618739</v>
      </c>
      <c r="X82" s="258">
        <v>1</v>
      </c>
      <c r="Y82" s="245"/>
      <c r="Z82" s="245" t="s">
        <v>598</v>
      </c>
      <c r="AA82" s="245">
        <v>0</v>
      </c>
      <c r="AB82" s="245">
        <v>0</v>
      </c>
      <c r="AC82" s="245">
        <v>0</v>
      </c>
      <c r="AD82" s="245">
        <v>0</v>
      </c>
      <c r="AE82" s="245">
        <v>0</v>
      </c>
      <c r="AF82" s="245"/>
      <c r="AG82" s="245" t="s">
        <v>573</v>
      </c>
      <c r="AH82" s="245">
        <v>832582841.48500001</v>
      </c>
      <c r="AI82" s="245">
        <v>3407</v>
      </c>
      <c r="AJ82" s="245">
        <v>177</v>
      </c>
      <c r="AK82" s="245">
        <v>15832</v>
      </c>
      <c r="AL82" s="245">
        <v>1</v>
      </c>
      <c r="AM82" s="245"/>
      <c r="AN82" s="245" t="s">
        <v>599</v>
      </c>
      <c r="AO82" s="245">
        <v>340000</v>
      </c>
      <c r="AP82" s="245">
        <v>10</v>
      </c>
      <c r="AQ82" s="245">
        <v>1</v>
      </c>
      <c r="AR82" s="245">
        <v>90</v>
      </c>
      <c r="AS82" s="245">
        <v>1</v>
      </c>
      <c r="AT82" s="245"/>
      <c r="AU82" s="245" t="s">
        <v>603</v>
      </c>
      <c r="AV82" s="245">
        <v>0</v>
      </c>
      <c r="AW82" s="245">
        <v>0</v>
      </c>
      <c r="AX82" s="245">
        <v>0</v>
      </c>
      <c r="AY82" s="245">
        <v>0</v>
      </c>
      <c r="AZ82" s="245">
        <v>1</v>
      </c>
      <c r="BA82" s="245"/>
      <c r="BB82" s="245" t="s">
        <v>603</v>
      </c>
      <c r="BC82" s="245">
        <v>0</v>
      </c>
      <c r="BD82" s="245">
        <v>0</v>
      </c>
      <c r="BE82" s="245">
        <v>0</v>
      </c>
      <c r="BF82" s="245">
        <v>0</v>
      </c>
      <c r="BG82" s="245">
        <v>1</v>
      </c>
      <c r="BH82" s="245"/>
      <c r="BI82" s="245"/>
      <c r="BJ82" s="245"/>
      <c r="BK82" s="245"/>
      <c r="BL82" s="245"/>
      <c r="BM82" s="245"/>
      <c r="BN82" s="245"/>
      <c r="BO82" s="247"/>
      <c r="BP82" s="263">
        <v>899101443798.93494</v>
      </c>
      <c r="BQ82" s="263">
        <v>2798678</v>
      </c>
      <c r="BR82" s="263">
        <v>322959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311</v>
      </c>
      <c r="H83" s="223">
        <v>1168.7525658100001</v>
      </c>
      <c r="I83" s="164"/>
      <c r="J83" s="157"/>
      <c r="K83" s="228"/>
      <c r="L83" s="228"/>
      <c r="M83" s="228"/>
      <c r="O83" s="241" t="s">
        <v>311</v>
      </c>
      <c r="P83" s="241">
        <v>1301.7878091600001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 t="s">
        <v>616</v>
      </c>
      <c r="AA83" s="245">
        <v>0</v>
      </c>
      <c r="AB83" s="245">
        <v>0</v>
      </c>
      <c r="AC83" s="245">
        <v>0</v>
      </c>
      <c r="AD83" s="245">
        <v>0</v>
      </c>
      <c r="AE83" s="245">
        <v>1</v>
      </c>
      <c r="AF83" s="245"/>
      <c r="AG83" s="245" t="s">
        <v>599</v>
      </c>
      <c r="AH83" s="245">
        <v>0</v>
      </c>
      <c r="AI83" s="245">
        <v>0</v>
      </c>
      <c r="AJ83" s="245">
        <v>0</v>
      </c>
      <c r="AK83" s="245">
        <v>0</v>
      </c>
      <c r="AL83" s="245">
        <v>1</v>
      </c>
      <c r="AM83" s="245"/>
      <c r="AN83" s="245" t="s">
        <v>603</v>
      </c>
      <c r="AO83" s="245">
        <v>0</v>
      </c>
      <c r="AP83" s="245">
        <v>0</v>
      </c>
      <c r="AQ83" s="245">
        <v>0</v>
      </c>
      <c r="AR83" s="245">
        <v>0</v>
      </c>
      <c r="AS83" s="245">
        <v>1</v>
      </c>
      <c r="AT83" s="245"/>
      <c r="AU83" s="245" t="s">
        <v>602</v>
      </c>
      <c r="AV83" s="245">
        <v>0</v>
      </c>
      <c r="AW83" s="245">
        <v>0</v>
      </c>
      <c r="AX83" s="245">
        <v>0</v>
      </c>
      <c r="AY83" s="245">
        <v>61</v>
      </c>
      <c r="AZ83" s="245">
        <v>1</v>
      </c>
      <c r="BA83" s="245"/>
      <c r="BB83" s="245" t="s">
        <v>602</v>
      </c>
      <c r="BC83" s="245">
        <v>0</v>
      </c>
      <c r="BD83" s="245">
        <v>0</v>
      </c>
      <c r="BE83" s="245">
        <v>0</v>
      </c>
      <c r="BF83" s="245">
        <v>0</v>
      </c>
      <c r="BG83" s="245">
        <v>1</v>
      </c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43060</v>
      </c>
      <c r="D84" s="190">
        <v>61211.524443169998</v>
      </c>
      <c r="E84" s="223">
        <v>1</v>
      </c>
      <c r="F84" s="213"/>
      <c r="G84" s="223" t="s">
        <v>312</v>
      </c>
      <c r="H84" s="223">
        <v>11194.252548119999</v>
      </c>
      <c r="I84" s="164"/>
      <c r="J84" s="157"/>
      <c r="K84" s="228"/>
      <c r="L84" s="228"/>
      <c r="M84" s="228"/>
      <c r="O84" s="241" t="s">
        <v>312</v>
      </c>
      <c r="P84" s="241">
        <v>11628.201701739999</v>
      </c>
      <c r="Q84" s="239"/>
      <c r="R84" s="157"/>
      <c r="S84" s="253" t="s">
        <v>446</v>
      </c>
      <c r="T84" s="258">
        <v>19992552891.3158</v>
      </c>
      <c r="U84" s="258">
        <v>105971</v>
      </c>
      <c r="V84" s="258">
        <v>11855</v>
      </c>
      <c r="W84" s="258">
        <v>871305</v>
      </c>
      <c r="X84" s="258">
        <v>1</v>
      </c>
      <c r="Y84" s="245"/>
      <c r="Z84" s="245" t="s">
        <v>608</v>
      </c>
      <c r="AA84" s="245">
        <v>10355200</v>
      </c>
      <c r="AB84" s="245">
        <v>80</v>
      </c>
      <c r="AC84" s="245">
        <v>1</v>
      </c>
      <c r="AD84" s="245">
        <v>0</v>
      </c>
      <c r="AE84" s="245">
        <v>1</v>
      </c>
      <c r="AF84" s="245"/>
      <c r="AG84" s="245" t="s">
        <v>603</v>
      </c>
      <c r="AH84" s="245">
        <v>0</v>
      </c>
      <c r="AI84" s="245">
        <v>0</v>
      </c>
      <c r="AJ84" s="245">
        <v>0</v>
      </c>
      <c r="AK84" s="245">
        <v>0</v>
      </c>
      <c r="AL84" s="245">
        <v>1</v>
      </c>
      <c r="AM84" s="245"/>
      <c r="AN84" s="245" t="s">
        <v>602</v>
      </c>
      <c r="AO84" s="245">
        <v>0</v>
      </c>
      <c r="AP84" s="245">
        <v>0</v>
      </c>
      <c r="AQ84" s="245">
        <v>0</v>
      </c>
      <c r="AR84" s="245">
        <v>1342</v>
      </c>
      <c r="AS84" s="245">
        <v>1</v>
      </c>
      <c r="AT84" s="245"/>
      <c r="AU84" s="245" t="s">
        <v>611</v>
      </c>
      <c r="AV84" s="245">
        <v>0</v>
      </c>
      <c r="AW84" s="245">
        <v>0</v>
      </c>
      <c r="AX84" s="245">
        <v>0</v>
      </c>
      <c r="AY84" s="245">
        <v>0</v>
      </c>
      <c r="AZ84" s="245">
        <v>0</v>
      </c>
      <c r="BA84" s="245"/>
      <c r="BB84" s="245" t="s">
        <v>611</v>
      </c>
      <c r="BC84" s="245">
        <v>0</v>
      </c>
      <c r="BD84" s="245">
        <v>0</v>
      </c>
      <c r="BE84" s="245">
        <v>0</v>
      </c>
      <c r="BF84" s="245">
        <v>0</v>
      </c>
      <c r="BG84" s="245">
        <v>0</v>
      </c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564</v>
      </c>
      <c r="BQ84" s="264" t="s">
        <v>565</v>
      </c>
      <c r="BR84" s="264" t="s">
        <v>566</v>
      </c>
    </row>
    <row r="85" spans="1:70" x14ac:dyDescent="0.2">
      <c r="A85" s="149"/>
      <c r="B85" s="190" t="s">
        <v>555</v>
      </c>
      <c r="C85" s="193">
        <v>42115</v>
      </c>
      <c r="D85" s="190">
        <v>1374.4866460000001</v>
      </c>
      <c r="E85" s="223">
        <v>1</v>
      </c>
      <c r="F85" s="213"/>
      <c r="G85" s="223" t="s">
        <v>313</v>
      </c>
      <c r="H85" s="223">
        <v>1181.19137404</v>
      </c>
      <c r="I85" s="164"/>
      <c r="J85" s="157"/>
      <c r="K85" s="228"/>
      <c r="L85" s="228"/>
      <c r="M85" s="228"/>
      <c r="O85" s="241" t="s">
        <v>313</v>
      </c>
      <c r="P85" s="241">
        <v>1182.00672964</v>
      </c>
      <c r="Q85" s="239"/>
      <c r="R85" s="157"/>
      <c r="S85" s="253" t="s">
        <v>451</v>
      </c>
      <c r="T85" s="258">
        <v>40800681.200000003</v>
      </c>
      <c r="U85" s="258">
        <v>12244</v>
      </c>
      <c r="V85" s="258">
        <v>38</v>
      </c>
      <c r="W85" s="258">
        <v>846821</v>
      </c>
      <c r="X85" s="258">
        <v>1</v>
      </c>
      <c r="Y85" s="245"/>
      <c r="Z85" s="245" t="s">
        <v>573</v>
      </c>
      <c r="AA85" s="245">
        <v>10841293826.555</v>
      </c>
      <c r="AB85" s="245">
        <v>42572</v>
      </c>
      <c r="AC85" s="245">
        <v>4325</v>
      </c>
      <c r="AD85" s="245">
        <v>382280</v>
      </c>
      <c r="AE85" s="245">
        <v>1</v>
      </c>
      <c r="AF85" s="245"/>
      <c r="AG85" s="245" t="s">
        <v>602</v>
      </c>
      <c r="AH85" s="245">
        <v>1479200</v>
      </c>
      <c r="AI85" s="245">
        <v>4</v>
      </c>
      <c r="AJ85" s="245">
        <v>1</v>
      </c>
      <c r="AK85" s="245">
        <v>52</v>
      </c>
      <c r="AL85" s="245">
        <v>1</v>
      </c>
      <c r="AM85" s="245"/>
      <c r="AN85" s="245" t="s">
        <v>611</v>
      </c>
      <c r="AO85" s="245">
        <v>0</v>
      </c>
      <c r="AP85" s="245">
        <v>0</v>
      </c>
      <c r="AQ85" s="245">
        <v>0</v>
      </c>
      <c r="AR85" s="245">
        <v>0</v>
      </c>
      <c r="AS85" s="245">
        <v>0</v>
      </c>
      <c r="AT85" s="245"/>
      <c r="AU85" s="245"/>
      <c r="AV85" s="245"/>
      <c r="AW85" s="245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14033979812.860001</v>
      </c>
      <c r="BQ85" s="263">
        <v>450315</v>
      </c>
      <c r="BR85" s="263">
        <v>40936</v>
      </c>
    </row>
    <row r="86" spans="1:70" x14ac:dyDescent="0.2">
      <c r="A86" s="149"/>
      <c r="B86" s="190" t="s">
        <v>556</v>
      </c>
      <c r="C86" s="193">
        <v>42118</v>
      </c>
      <c r="D86" s="190">
        <v>1225.1600000000001</v>
      </c>
      <c r="E86" s="223">
        <v>1</v>
      </c>
      <c r="F86" s="213"/>
      <c r="G86" s="223" t="s">
        <v>60</v>
      </c>
      <c r="H86" s="223">
        <v>12122.237928500001</v>
      </c>
      <c r="I86" s="164"/>
      <c r="J86" s="157"/>
      <c r="K86" s="228"/>
      <c r="L86" s="228"/>
      <c r="M86" s="228"/>
      <c r="O86" s="241" t="s">
        <v>60</v>
      </c>
      <c r="P86" s="241">
        <v>11717.33356284</v>
      </c>
      <c r="Q86" s="239"/>
      <c r="R86" s="157"/>
      <c r="S86" s="253" t="s">
        <v>450</v>
      </c>
      <c r="T86" s="258">
        <v>0</v>
      </c>
      <c r="U86" s="258">
        <v>39440</v>
      </c>
      <c r="V86" s="258">
        <v>2</v>
      </c>
      <c r="W86" s="258">
        <v>18511843</v>
      </c>
      <c r="X86" s="258">
        <v>1</v>
      </c>
      <c r="Y86" s="245"/>
      <c r="Z86" s="245" t="s">
        <v>599</v>
      </c>
      <c r="AA86" s="245">
        <v>0</v>
      </c>
      <c r="AB86" s="245">
        <v>0</v>
      </c>
      <c r="AC86" s="245">
        <v>0</v>
      </c>
      <c r="AD86" s="245">
        <v>0</v>
      </c>
      <c r="AE86" s="245">
        <v>1</v>
      </c>
      <c r="AF86" s="245"/>
      <c r="AG86" s="245" t="s">
        <v>611</v>
      </c>
      <c r="AH86" s="245">
        <v>0</v>
      </c>
      <c r="AI86" s="245">
        <v>0</v>
      </c>
      <c r="AJ86" s="245">
        <v>0</v>
      </c>
      <c r="AK86" s="245">
        <v>0</v>
      </c>
      <c r="AL86" s="245">
        <v>0</v>
      </c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557</v>
      </c>
      <c r="C87" s="193">
        <v>42143</v>
      </c>
      <c r="D87" s="190">
        <v>1310.1099999999999</v>
      </c>
      <c r="E87" s="223">
        <v>1</v>
      </c>
      <c r="F87" s="213"/>
      <c r="G87" s="223" t="s">
        <v>53</v>
      </c>
      <c r="H87" s="223">
        <v>13329.57474412</v>
      </c>
      <c r="I87" s="164"/>
      <c r="J87" s="157"/>
      <c r="K87" s="228"/>
      <c r="L87" s="228"/>
      <c r="M87" s="228"/>
      <c r="O87" s="241" t="s">
        <v>53</v>
      </c>
      <c r="P87" s="241">
        <v>12946.927274510001</v>
      </c>
      <c r="Q87" s="239"/>
      <c r="R87" s="157"/>
      <c r="S87" s="253" t="s">
        <v>448</v>
      </c>
      <c r="T87" s="258">
        <v>0</v>
      </c>
      <c r="U87" s="258">
        <v>16081</v>
      </c>
      <c r="V87" s="258">
        <v>209</v>
      </c>
      <c r="W87" s="258">
        <v>659919</v>
      </c>
      <c r="X87" s="258">
        <v>1</v>
      </c>
      <c r="Y87" s="245"/>
      <c r="Z87" s="245" t="s">
        <v>603</v>
      </c>
      <c r="AA87" s="245">
        <v>0</v>
      </c>
      <c r="AB87" s="245">
        <v>0</v>
      </c>
      <c r="AC87" s="245">
        <v>0</v>
      </c>
      <c r="AD87" s="245">
        <v>0</v>
      </c>
      <c r="AE87" s="245">
        <v>1</v>
      </c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567</v>
      </c>
      <c r="BQ87" s="245"/>
      <c r="BR87" s="245"/>
    </row>
    <row r="88" spans="1:70" x14ac:dyDescent="0.2">
      <c r="A88" s="151"/>
      <c r="B88" s="190" t="s">
        <v>558</v>
      </c>
      <c r="C88" s="193">
        <v>42312</v>
      </c>
      <c r="D88" s="190">
        <v>1315.4607390000001</v>
      </c>
      <c r="E88" s="223">
        <v>1</v>
      </c>
      <c r="F88" s="209"/>
      <c r="G88" s="223" t="s">
        <v>549</v>
      </c>
      <c r="H88" s="223">
        <v>18785.163051380001</v>
      </c>
      <c r="I88" s="164"/>
      <c r="J88" s="157"/>
      <c r="K88" s="228"/>
      <c r="L88" s="228"/>
      <c r="M88" s="228"/>
      <c r="O88" s="241" t="s">
        <v>549</v>
      </c>
      <c r="P88" s="241">
        <v>18319.751832829999</v>
      </c>
      <c r="Q88" s="239"/>
      <c r="R88" s="157"/>
      <c r="S88" s="247"/>
      <c r="T88" s="247"/>
      <c r="U88" s="247"/>
      <c r="V88" s="247"/>
      <c r="W88" s="247"/>
      <c r="X88" s="247"/>
      <c r="Y88" s="245"/>
      <c r="Z88" s="245" t="s">
        <v>602</v>
      </c>
      <c r="AA88" s="245">
        <v>3328200</v>
      </c>
      <c r="AB88" s="245">
        <v>9</v>
      </c>
      <c r="AC88" s="245">
        <v>2</v>
      </c>
      <c r="AD88" s="245">
        <v>1293</v>
      </c>
      <c r="AE88" s="245">
        <v>1</v>
      </c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65109</v>
      </c>
      <c r="BQ88" s="245"/>
      <c r="BR88" s="245"/>
    </row>
    <row r="89" spans="1:70" x14ac:dyDescent="0.2">
      <c r="A89" s="14"/>
      <c r="B89" s="190" t="s">
        <v>559</v>
      </c>
      <c r="C89" s="193">
        <v>42312</v>
      </c>
      <c r="D89" s="190">
        <v>1209.71</v>
      </c>
      <c r="E89" s="223">
        <v>1</v>
      </c>
      <c r="F89" s="209"/>
      <c r="G89" s="223" t="s">
        <v>550</v>
      </c>
      <c r="H89" s="223">
        <v>19499.211750409999</v>
      </c>
      <c r="I89" s="164"/>
      <c r="J89" s="157"/>
      <c r="K89" s="228"/>
      <c r="L89" s="228"/>
      <c r="M89" s="228"/>
      <c r="O89" s="241" t="s">
        <v>550</v>
      </c>
      <c r="P89" s="241">
        <v>19060.730076150001</v>
      </c>
      <c r="Q89" s="239"/>
      <c r="S89" s="245"/>
      <c r="T89" s="245"/>
      <c r="U89" s="245"/>
      <c r="V89" s="245"/>
      <c r="W89" s="245"/>
      <c r="X89" s="245"/>
      <c r="Y89" s="245"/>
      <c r="Z89" s="245" t="s">
        <v>611</v>
      </c>
      <c r="AA89" s="245">
        <v>0</v>
      </c>
      <c r="AB89" s="245">
        <v>0</v>
      </c>
      <c r="AC89" s="245">
        <v>0</v>
      </c>
      <c r="AD89" s="245">
        <v>0</v>
      </c>
      <c r="AE89" s="245">
        <v>0</v>
      </c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560</v>
      </c>
      <c r="C90" s="193">
        <v>42594</v>
      </c>
      <c r="D90" s="190">
        <v>1327.18</v>
      </c>
      <c r="E90" s="223">
        <v>1</v>
      </c>
      <c r="F90" s="213"/>
      <c r="G90" s="223" t="s">
        <v>314</v>
      </c>
      <c r="H90" s="223">
        <v>7147.3733963599998</v>
      </c>
      <c r="I90" s="164"/>
      <c r="J90" s="157"/>
      <c r="K90" s="228"/>
      <c r="L90" s="228"/>
      <c r="M90" s="228"/>
      <c r="O90" s="241" t="s">
        <v>314</v>
      </c>
      <c r="P90" s="241">
        <v>7576.5495361000003</v>
      </c>
      <c r="Q90" s="239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567</v>
      </c>
      <c r="BQ90" s="245"/>
      <c r="BR90" s="245"/>
    </row>
    <row r="91" spans="1:70" x14ac:dyDescent="0.2">
      <c r="A91" s="149"/>
      <c r="B91" s="190" t="s">
        <v>561</v>
      </c>
      <c r="C91" s="193">
        <v>42118</v>
      </c>
      <c r="D91" s="190">
        <v>1238.74</v>
      </c>
      <c r="E91" s="223">
        <v>1</v>
      </c>
      <c r="F91" s="213"/>
      <c r="G91" s="223" t="s">
        <v>315</v>
      </c>
      <c r="H91" s="223">
        <v>30232.127040359999</v>
      </c>
      <c r="I91" s="164"/>
      <c r="J91" s="157"/>
      <c r="K91" s="228"/>
      <c r="L91" s="228"/>
      <c r="M91" s="228"/>
      <c r="O91" s="241" t="s">
        <v>315</v>
      </c>
      <c r="P91" s="241">
        <v>31654.9029667</v>
      </c>
      <c r="Q91" s="239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30099</v>
      </c>
      <c r="BQ91" s="245"/>
      <c r="BR91" s="245"/>
    </row>
    <row r="92" spans="1:70" x14ac:dyDescent="0.2">
      <c r="A92" s="149"/>
      <c r="B92" s="190" t="s">
        <v>562</v>
      </c>
      <c r="C92" s="193">
        <v>42118</v>
      </c>
      <c r="D92" s="190">
        <v>1315.36</v>
      </c>
      <c r="E92" s="223">
        <v>1</v>
      </c>
      <c r="F92" s="213"/>
      <c r="G92" s="223" t="s">
        <v>316</v>
      </c>
      <c r="H92" s="223">
        <v>5486.2587541599996</v>
      </c>
      <c r="I92" s="164"/>
      <c r="J92" s="157"/>
      <c r="K92" s="228"/>
      <c r="L92" s="228"/>
      <c r="M92" s="228"/>
      <c r="O92" s="241" t="s">
        <v>316</v>
      </c>
      <c r="P92" s="241">
        <v>5210.3087568000001</v>
      </c>
      <c r="Q92" s="239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74</v>
      </c>
      <c r="H93" s="223">
        <v>26054.52811358</v>
      </c>
      <c r="I93" s="164"/>
      <c r="J93" s="157"/>
      <c r="K93" s="228"/>
      <c r="L93" s="228"/>
      <c r="M93" s="228"/>
      <c r="O93" s="241" t="s">
        <v>74</v>
      </c>
      <c r="P93" s="241">
        <v>26479.361679900001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546</v>
      </c>
      <c r="C94" s="193">
        <v>43060</v>
      </c>
      <c r="D94" s="190">
        <v>61066.919248099999</v>
      </c>
      <c r="E94" s="223">
        <v>1</v>
      </c>
      <c r="F94" s="209"/>
      <c r="G94" s="223" t="s">
        <v>76</v>
      </c>
      <c r="H94" s="223">
        <v>50408.856334670003</v>
      </c>
      <c r="I94" s="164"/>
      <c r="J94" s="157"/>
      <c r="K94" s="228"/>
      <c r="L94" s="228"/>
      <c r="M94" s="228"/>
      <c r="O94" s="241" t="s">
        <v>76</v>
      </c>
      <c r="P94" s="241">
        <v>48646.015366580003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547</v>
      </c>
      <c r="C95" s="193">
        <v>43060</v>
      </c>
      <c r="D95" s="190">
        <v>59510.364153100003</v>
      </c>
      <c r="E95" s="223">
        <v>1</v>
      </c>
      <c r="F95" s="209"/>
      <c r="G95" s="223" t="s">
        <v>78</v>
      </c>
      <c r="H95" s="223">
        <v>78095.616144319996</v>
      </c>
      <c r="I95" s="164"/>
      <c r="J95" s="157"/>
      <c r="K95" s="228"/>
      <c r="L95" s="228"/>
      <c r="M95" s="228"/>
      <c r="O95" s="241" t="s">
        <v>78</v>
      </c>
      <c r="P95" s="241">
        <v>83717.139951110003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40662</v>
      </c>
      <c r="D96" s="190">
        <v>4825.42</v>
      </c>
      <c r="E96" s="223">
        <v>1</v>
      </c>
      <c r="F96" s="213"/>
      <c r="G96" s="223" t="s">
        <v>317</v>
      </c>
      <c r="H96" s="223">
        <v>12132.161286729999</v>
      </c>
      <c r="I96" s="164"/>
      <c r="J96" s="157"/>
      <c r="K96" s="228"/>
      <c r="L96" s="228"/>
      <c r="M96" s="228"/>
      <c r="O96" s="241" t="s">
        <v>317</v>
      </c>
      <c r="P96" s="241">
        <v>11481.96890199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318</v>
      </c>
      <c r="H97" s="223">
        <v>6937.6313862799998</v>
      </c>
      <c r="I97" s="164"/>
      <c r="K97" s="228"/>
      <c r="L97" s="228"/>
      <c r="M97" s="228"/>
      <c r="O97" s="241" t="s">
        <v>318</v>
      </c>
      <c r="P97" s="241">
        <v>6398.3000686200003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88</v>
      </c>
      <c r="H98" s="223">
        <v>7253.6511961899996</v>
      </c>
      <c r="I98" s="164"/>
      <c r="K98" s="228"/>
      <c r="L98" s="228"/>
      <c r="M98" s="228"/>
      <c r="O98" s="241" t="s">
        <v>88</v>
      </c>
      <c r="P98" s="241">
        <v>7640.7974108300004</v>
      </c>
    </row>
    <row r="99" spans="1:16" x14ac:dyDescent="0.2">
      <c r="A99" s="149"/>
      <c r="B99" s="190" t="s">
        <v>67</v>
      </c>
      <c r="C99" s="193">
        <v>42118</v>
      </c>
      <c r="D99" s="190">
        <v>17911.36431723</v>
      </c>
      <c r="E99" s="223">
        <v>1</v>
      </c>
      <c r="F99" s="213"/>
      <c r="G99" s="223" t="s">
        <v>80</v>
      </c>
      <c r="H99" s="223">
        <v>26196.89243462</v>
      </c>
      <c r="I99" s="164"/>
      <c r="K99" s="228"/>
      <c r="L99" s="228"/>
      <c r="M99" s="228"/>
      <c r="O99" s="241" t="s">
        <v>80</v>
      </c>
      <c r="P99" s="241">
        <v>24511.453546370001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319</v>
      </c>
      <c r="H100" s="223">
        <v>801.76625789000002</v>
      </c>
      <c r="I100" s="164"/>
      <c r="K100" s="228"/>
      <c r="L100" s="228"/>
      <c r="M100" s="228"/>
      <c r="O100" s="241" t="s">
        <v>319</v>
      </c>
      <c r="P100" s="241">
        <v>749.31359893000001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86</v>
      </c>
      <c r="H101" s="223">
        <v>6900.2494641000003</v>
      </c>
      <c r="I101" s="164"/>
      <c r="K101" s="228"/>
      <c r="L101" s="228"/>
      <c r="M101" s="228"/>
      <c r="O101" s="241" t="s">
        <v>86</v>
      </c>
      <c r="P101" s="241">
        <v>6798.3794076800004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320</v>
      </c>
      <c r="H102" s="223">
        <v>4538.0596582400003</v>
      </c>
      <c r="I102" s="164"/>
      <c r="K102" s="228"/>
      <c r="L102" s="228"/>
      <c r="M102" s="228"/>
      <c r="O102" s="241" t="s">
        <v>320</v>
      </c>
      <c r="P102" s="241">
        <v>4447.5571100799998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82</v>
      </c>
      <c r="H103" s="223">
        <v>43872.687603749997</v>
      </c>
      <c r="I103" s="164"/>
      <c r="K103" s="228"/>
      <c r="L103" s="228"/>
      <c r="M103" s="228"/>
      <c r="O103" s="241" t="s">
        <v>82</v>
      </c>
      <c r="P103" s="241">
        <v>42102.197569540003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84</v>
      </c>
      <c r="H104" s="223">
        <v>42471.138721449999</v>
      </c>
      <c r="I104" s="164"/>
      <c r="K104" s="228"/>
      <c r="L104" s="228"/>
      <c r="M104" s="228"/>
      <c r="O104" s="241" t="s">
        <v>84</v>
      </c>
      <c r="P104" s="241">
        <v>48436.714270420001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321</v>
      </c>
      <c r="H105" s="223">
        <v>9294.4542084900004</v>
      </c>
      <c r="I105" s="164"/>
      <c r="K105" s="228"/>
      <c r="L105" s="228"/>
      <c r="M105" s="228"/>
      <c r="O105" s="241" t="s">
        <v>321</v>
      </c>
      <c r="P105" s="241">
        <v>8977.3827696200005</v>
      </c>
    </row>
    <row r="106" spans="1:16" x14ac:dyDescent="0.2">
      <c r="B106" s="190" t="s">
        <v>285</v>
      </c>
      <c r="C106" s="193">
        <v>43052</v>
      </c>
      <c r="D106" s="190">
        <v>376.15467045999998</v>
      </c>
      <c r="E106" s="223">
        <v>1</v>
      </c>
      <c r="F106" s="213"/>
      <c r="G106" s="223" t="s">
        <v>322</v>
      </c>
      <c r="H106" s="223">
        <v>1590.7939539500001</v>
      </c>
      <c r="I106" s="164"/>
      <c r="K106" s="228"/>
      <c r="L106" s="228"/>
      <c r="M106" s="228"/>
      <c r="O106" s="241" t="s">
        <v>322</v>
      </c>
      <c r="P106" s="241">
        <v>1699.92832529</v>
      </c>
    </row>
    <row r="107" spans="1:16" x14ac:dyDescent="0.2">
      <c r="B107" s="190" t="s">
        <v>286</v>
      </c>
      <c r="C107" s="193">
        <v>43052</v>
      </c>
      <c r="D107" s="190">
        <v>280.31799875000002</v>
      </c>
      <c r="E107" s="223">
        <v>1</v>
      </c>
      <c r="F107" s="213"/>
      <c r="G107" s="223" t="s">
        <v>323</v>
      </c>
      <c r="H107" s="223">
        <v>228.46993857999999</v>
      </c>
      <c r="I107" s="164"/>
      <c r="K107" s="228"/>
      <c r="L107" s="228"/>
      <c r="M107" s="228"/>
      <c r="O107" s="241" t="s">
        <v>323</v>
      </c>
      <c r="P107" s="241">
        <v>224.21259785000001</v>
      </c>
    </row>
    <row r="108" spans="1:16" x14ac:dyDescent="0.2">
      <c r="B108" s="190" t="s">
        <v>287</v>
      </c>
      <c r="C108" s="193">
        <v>43052</v>
      </c>
      <c r="D108" s="190">
        <v>217.9566356</v>
      </c>
      <c r="E108" s="223">
        <v>1</v>
      </c>
      <c r="F108" s="209"/>
      <c r="G108" s="223" t="s">
        <v>551</v>
      </c>
      <c r="H108" s="223">
        <v>17879.784957659998</v>
      </c>
      <c r="I108" s="164"/>
      <c r="K108" s="228"/>
      <c r="L108" s="228"/>
      <c r="M108" s="228"/>
      <c r="O108" s="241" t="s">
        <v>324</v>
      </c>
      <c r="P108" s="241">
        <v>7707.7742410800001</v>
      </c>
    </row>
    <row r="109" spans="1:16" x14ac:dyDescent="0.2">
      <c r="B109" s="190" t="s">
        <v>288</v>
      </c>
      <c r="C109" s="193">
        <v>43052</v>
      </c>
      <c r="D109" s="190">
        <v>484.68717138</v>
      </c>
      <c r="E109" s="223">
        <v>1</v>
      </c>
      <c r="F109" s="209"/>
      <c r="G109" s="223" t="s">
        <v>552</v>
      </c>
      <c r="H109" s="223">
        <v>17009.075507270001</v>
      </c>
      <c r="I109" s="164"/>
      <c r="K109" s="228"/>
      <c r="L109" s="228"/>
      <c r="M109" s="228"/>
      <c r="O109" s="241" t="s">
        <v>325</v>
      </c>
      <c r="P109" s="241">
        <v>66554.982836990006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553</v>
      </c>
      <c r="H110" s="223">
        <v>12786.21739272</v>
      </c>
      <c r="I110" s="164"/>
      <c r="K110" s="228"/>
      <c r="L110" s="228"/>
      <c r="M110" s="228"/>
      <c r="O110" s="241" t="s">
        <v>326</v>
      </c>
      <c r="P110" s="241">
        <v>38273.291624639998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324</v>
      </c>
      <c r="H111" s="223">
        <v>8346.5325458999996</v>
      </c>
      <c r="I111" s="164"/>
      <c r="K111" s="228"/>
      <c r="L111" s="228"/>
      <c r="M111" s="228"/>
      <c r="O111" s="241" t="s">
        <v>327</v>
      </c>
      <c r="P111" s="241">
        <v>1606.8170928100001</v>
      </c>
    </row>
    <row r="112" spans="1:16" x14ac:dyDescent="0.2">
      <c r="B112" s="190" t="s">
        <v>95</v>
      </c>
      <c r="C112" s="193">
        <v>42578</v>
      </c>
      <c r="D112" s="190">
        <v>678.08424324999999</v>
      </c>
      <c r="E112" s="223">
        <v>1</v>
      </c>
      <c r="F112" s="209"/>
      <c r="G112" s="223" t="s">
        <v>325</v>
      </c>
      <c r="H112" s="223">
        <v>68405.200787180001</v>
      </c>
      <c r="I112" s="164"/>
      <c r="K112" s="228"/>
      <c r="L112" s="228"/>
      <c r="M112" s="228"/>
      <c r="O112" s="241" t="s">
        <v>190</v>
      </c>
      <c r="P112" s="241">
        <v>896.66783926999994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326</v>
      </c>
      <c r="H113" s="223">
        <v>40759.57463263</v>
      </c>
      <c r="I113" s="164"/>
      <c r="K113" s="228"/>
      <c r="L113" s="228"/>
      <c r="M113" s="228"/>
      <c r="O113" s="241" t="s">
        <v>329</v>
      </c>
      <c r="P113" s="241">
        <v>3807.9464629499998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327</v>
      </c>
      <c r="H114" s="223">
        <v>1661.9916482399999</v>
      </c>
      <c r="I114" s="164"/>
      <c r="K114" s="228"/>
      <c r="L114" s="228"/>
      <c r="M114" s="228"/>
      <c r="O114" s="241" t="s">
        <v>330</v>
      </c>
      <c r="P114" s="241">
        <v>5000.6896731799998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190</v>
      </c>
      <c r="H115" s="223">
        <v>881.60414109999999</v>
      </c>
      <c r="I115" s="164"/>
      <c r="K115" s="228"/>
      <c r="L115" s="228"/>
      <c r="M115" s="228"/>
      <c r="O115" s="241" t="s">
        <v>331</v>
      </c>
      <c r="P115" s="241">
        <v>1038.3953444599999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329</v>
      </c>
      <c r="H116" s="223">
        <v>3855.2266097699999</v>
      </c>
      <c r="I116" s="164"/>
      <c r="K116" s="228"/>
      <c r="L116" s="228"/>
      <c r="M116" s="228"/>
      <c r="O116" s="241" t="s">
        <v>333</v>
      </c>
      <c r="P116" s="241">
        <v>71.864702230000006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330</v>
      </c>
      <c r="H117" s="223">
        <v>4820.2833771200003</v>
      </c>
      <c r="I117" s="164"/>
      <c r="K117" s="228"/>
      <c r="L117" s="228"/>
      <c r="M117" s="228"/>
      <c r="O117" s="241" t="s">
        <v>334</v>
      </c>
      <c r="P117" s="241">
        <v>131.65940959</v>
      </c>
    </row>
    <row r="118" spans="2:16" x14ac:dyDescent="0.2">
      <c r="B118" s="190" t="s">
        <v>294</v>
      </c>
      <c r="C118" s="193">
        <v>42048</v>
      </c>
      <c r="D118" s="190">
        <v>246.82307969999999</v>
      </c>
      <c r="E118" s="223">
        <v>1</v>
      </c>
      <c r="F118" s="209"/>
      <c r="G118" s="223" t="s">
        <v>331</v>
      </c>
      <c r="H118" s="223">
        <v>910.50421950999998</v>
      </c>
      <c r="I118" s="164"/>
      <c r="K118" s="228"/>
      <c r="L118" s="228"/>
      <c r="M118" s="228"/>
      <c r="O118" s="241" t="s">
        <v>335</v>
      </c>
      <c r="P118" s="241">
        <v>52.4816687</v>
      </c>
    </row>
    <row r="119" spans="2:16" x14ac:dyDescent="0.2">
      <c r="B119" s="190" t="s">
        <v>295</v>
      </c>
      <c r="C119" s="193">
        <v>43061</v>
      </c>
      <c r="D119" s="190">
        <v>11096.63004772</v>
      </c>
      <c r="E119" s="223">
        <v>1</v>
      </c>
      <c r="F119" s="209"/>
      <c r="G119" s="223" t="s">
        <v>333</v>
      </c>
      <c r="H119" s="223">
        <v>74.075500570000003</v>
      </c>
      <c r="I119" s="164"/>
      <c r="K119" s="228"/>
      <c r="L119" s="228"/>
      <c r="M119" s="228"/>
      <c r="O119" s="241" t="s">
        <v>336</v>
      </c>
      <c r="P119" s="241">
        <v>92.143265389999996</v>
      </c>
    </row>
    <row r="120" spans="2:16" x14ac:dyDescent="0.2">
      <c r="B120" s="190" t="s">
        <v>296</v>
      </c>
      <c r="C120" s="193">
        <v>43047</v>
      </c>
      <c r="D120" s="190">
        <v>10420.779033479999</v>
      </c>
      <c r="E120" s="223">
        <v>1</v>
      </c>
      <c r="F120" s="209"/>
      <c r="G120" s="223" t="s">
        <v>334</v>
      </c>
      <c r="H120" s="223">
        <v>130.92332611</v>
      </c>
      <c r="I120" s="164"/>
      <c r="K120" s="228"/>
      <c r="L120" s="228"/>
      <c r="M120" s="228"/>
      <c r="O120" s="241" t="s">
        <v>337</v>
      </c>
      <c r="P120" s="241">
        <v>52570.202037770003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335</v>
      </c>
      <c r="H121" s="223">
        <v>53.752865569999997</v>
      </c>
      <c r="I121" s="164"/>
      <c r="K121" s="228"/>
      <c r="L121" s="228"/>
      <c r="M121" s="228"/>
      <c r="O121" s="241" t="s">
        <v>338</v>
      </c>
      <c r="P121" s="241">
        <v>3996.0885612400002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336</v>
      </c>
      <c r="H122" s="223">
        <v>91.04660312</v>
      </c>
      <c r="I122" s="164"/>
      <c r="K122" s="228"/>
      <c r="L122" s="228"/>
      <c r="M122" s="228"/>
      <c r="O122" s="241" t="s">
        <v>339</v>
      </c>
      <c r="P122" s="241">
        <v>58980.107623830001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337</v>
      </c>
      <c r="H123" s="223">
        <v>53269.834753410003</v>
      </c>
      <c r="I123" s="164"/>
      <c r="K123" s="228"/>
      <c r="L123" s="228"/>
      <c r="M123" s="228"/>
      <c r="O123" s="241" t="s">
        <v>340</v>
      </c>
      <c r="P123" s="241">
        <v>12946.927274510001</v>
      </c>
    </row>
    <row r="124" spans="2:16" x14ac:dyDescent="0.2">
      <c r="B124" s="190" t="s">
        <v>300</v>
      </c>
      <c r="C124" s="193">
        <v>41800</v>
      </c>
      <c r="D124" s="190">
        <v>210.35973263</v>
      </c>
      <c r="E124" s="223">
        <v>1</v>
      </c>
      <c r="F124" s="209"/>
      <c r="G124" s="223" t="s">
        <v>338</v>
      </c>
      <c r="H124" s="223">
        <v>4197.3061305600004</v>
      </c>
      <c r="I124" s="164"/>
      <c r="K124" s="228"/>
      <c r="L124" s="228"/>
      <c r="M124" s="228"/>
      <c r="O124" s="241" t="s">
        <v>341</v>
      </c>
      <c r="P124" s="241">
        <v>850.48650082999995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339</v>
      </c>
      <c r="H125" s="223">
        <v>59772.834150750001</v>
      </c>
      <c r="I125" s="164"/>
      <c r="K125" s="228"/>
      <c r="L125" s="228"/>
      <c r="M125" s="228"/>
      <c r="O125" s="241" t="s">
        <v>342</v>
      </c>
      <c r="P125" s="241">
        <v>10815.769217429999</v>
      </c>
    </row>
    <row r="126" spans="2:16" x14ac:dyDescent="0.2">
      <c r="B126" s="190" t="s">
        <v>302</v>
      </c>
      <c r="C126" s="193">
        <v>43047</v>
      </c>
      <c r="D126" s="190">
        <v>10866.550756209999</v>
      </c>
      <c r="E126" s="223">
        <v>1</v>
      </c>
      <c r="F126" s="209"/>
      <c r="G126" s="223" t="s">
        <v>340</v>
      </c>
      <c r="H126" s="223">
        <v>13329.57474412</v>
      </c>
      <c r="I126" s="164"/>
      <c r="K126" s="228"/>
      <c r="L126" s="228"/>
      <c r="M126" s="228"/>
      <c r="O126" s="241" t="s">
        <v>343</v>
      </c>
      <c r="P126" s="241">
        <v>3226.7789191400002</v>
      </c>
    </row>
    <row r="127" spans="2:16" x14ac:dyDescent="0.2">
      <c r="B127" s="190" t="s">
        <v>303</v>
      </c>
      <c r="C127" s="193">
        <v>43068</v>
      </c>
      <c r="D127" s="190">
        <v>12246.388999999999</v>
      </c>
      <c r="E127" s="223">
        <v>1</v>
      </c>
      <c r="F127" s="209"/>
      <c r="G127" s="223" t="s">
        <v>341</v>
      </c>
      <c r="H127" s="223">
        <v>833.98206474000006</v>
      </c>
      <c r="I127" s="164"/>
      <c r="K127" s="228"/>
      <c r="L127" s="228"/>
      <c r="M127" s="228"/>
      <c r="O127" s="241" t="s">
        <v>344</v>
      </c>
      <c r="P127" s="241">
        <v>11717.33356284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342</v>
      </c>
      <c r="H128" s="223">
        <v>10945.385188030001</v>
      </c>
      <c r="I128" s="164"/>
      <c r="K128" s="228"/>
      <c r="L128" s="228"/>
      <c r="M128" s="228"/>
      <c r="O128" s="241" t="s">
        <v>346</v>
      </c>
      <c r="P128" s="241">
        <v>8170.52</v>
      </c>
    </row>
    <row r="129" spans="2:16" x14ac:dyDescent="0.2">
      <c r="B129" s="190" t="s">
        <v>58</v>
      </c>
      <c r="C129" s="193">
        <v>43060</v>
      </c>
      <c r="D129" s="190">
        <v>27829.670369119998</v>
      </c>
      <c r="E129" s="223">
        <v>1</v>
      </c>
      <c r="F129" s="209"/>
      <c r="G129" s="223" t="s">
        <v>343</v>
      </c>
      <c r="H129" s="223">
        <v>3188.39324115</v>
      </c>
      <c r="I129" s="164"/>
      <c r="K129" s="228"/>
      <c r="L129" s="228"/>
      <c r="M129" s="228"/>
      <c r="O129" s="241" t="s">
        <v>347</v>
      </c>
      <c r="P129" s="241">
        <v>15824.01</v>
      </c>
    </row>
    <row r="130" spans="2:16" x14ac:dyDescent="0.2">
      <c r="B130" s="190" t="s">
        <v>51</v>
      </c>
      <c r="C130" s="193">
        <v>43060</v>
      </c>
      <c r="D130" s="190">
        <v>30158.393546939998</v>
      </c>
      <c r="E130" s="223">
        <v>1</v>
      </c>
      <c r="F130" s="209"/>
      <c r="G130" s="223" t="s">
        <v>344</v>
      </c>
      <c r="H130" s="223">
        <v>12122.237928500001</v>
      </c>
      <c r="I130" s="164"/>
      <c r="K130" s="228"/>
      <c r="L130" s="228"/>
      <c r="M130" s="228"/>
      <c r="O130" s="241" t="s">
        <v>348</v>
      </c>
      <c r="P130" s="241">
        <v>4131.6899999999996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346</v>
      </c>
      <c r="H131" s="223">
        <v>8428.5499999999993</v>
      </c>
      <c r="I131" s="164"/>
      <c r="K131" s="228"/>
      <c r="L131" s="228"/>
      <c r="M131" s="228"/>
      <c r="O131" s="241" t="s">
        <v>349</v>
      </c>
      <c r="P131" s="241">
        <v>4611.25</v>
      </c>
    </row>
    <row r="132" spans="2:16" x14ac:dyDescent="0.2">
      <c r="B132" s="190" t="s">
        <v>548</v>
      </c>
      <c r="C132" s="193">
        <v>43060</v>
      </c>
      <c r="D132" s="190">
        <v>85296.650230529995</v>
      </c>
      <c r="E132" s="223">
        <v>1</v>
      </c>
      <c r="F132" s="209"/>
      <c r="G132" s="223" t="s">
        <v>347</v>
      </c>
      <c r="H132" s="223">
        <v>15607.34</v>
      </c>
      <c r="I132" s="164"/>
      <c r="K132" s="228"/>
      <c r="L132" s="228"/>
      <c r="M132" s="228"/>
      <c r="O132" s="241" t="s">
        <v>350</v>
      </c>
      <c r="P132" s="241">
        <v>3064.79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348</v>
      </c>
      <c r="H133" s="223">
        <v>4765.8</v>
      </c>
      <c r="I133" s="164"/>
      <c r="K133" s="228"/>
      <c r="L133" s="228"/>
      <c r="M133" s="228"/>
      <c r="O133" s="241" t="s">
        <v>351</v>
      </c>
      <c r="P133" s="241">
        <v>21064.720000000001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349</v>
      </c>
      <c r="H134" s="223">
        <v>4501.4399999999996</v>
      </c>
      <c r="I134" s="164"/>
      <c r="K134" s="228"/>
      <c r="L134" s="228"/>
      <c r="M134" s="228"/>
      <c r="O134" s="241" t="s">
        <v>352</v>
      </c>
      <c r="P134" s="241">
        <v>2819.25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350</v>
      </c>
      <c r="H135" s="223">
        <v>2953.75</v>
      </c>
      <c r="I135" s="164"/>
      <c r="K135" s="228"/>
      <c r="L135" s="228"/>
      <c r="M135" s="228"/>
      <c r="O135" s="241" t="s">
        <v>353</v>
      </c>
      <c r="P135" s="241">
        <v>9518.61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351</v>
      </c>
      <c r="H136" s="223">
        <v>21955.54</v>
      </c>
      <c r="I136" s="164"/>
      <c r="K136" s="228"/>
      <c r="L136" s="228"/>
      <c r="M136" s="228"/>
      <c r="O136" s="241" t="s">
        <v>354</v>
      </c>
      <c r="P136" s="241">
        <v>6634.17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352</v>
      </c>
      <c r="H137" s="223">
        <v>2583.5</v>
      </c>
      <c r="I137" s="164"/>
      <c r="K137" s="228"/>
      <c r="L137" s="228"/>
      <c r="M137" s="228"/>
      <c r="O137" s="241" t="s">
        <v>355</v>
      </c>
      <c r="P137" s="241">
        <v>5313.19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353</v>
      </c>
      <c r="H138" s="223">
        <v>8842.81</v>
      </c>
      <c r="I138" s="164"/>
      <c r="K138" s="228"/>
      <c r="L138" s="228"/>
      <c r="M138" s="228"/>
      <c r="O138" s="241" t="s">
        <v>356</v>
      </c>
      <c r="P138" s="241">
        <v>7636.16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354</v>
      </c>
      <c r="H139" s="223">
        <v>7078.72</v>
      </c>
      <c r="I139" s="164"/>
      <c r="K139" s="228"/>
      <c r="L139" s="228"/>
      <c r="M139" s="228"/>
      <c r="O139" s="241" t="s">
        <v>357</v>
      </c>
      <c r="P139" s="241">
        <v>20412.189999999999</v>
      </c>
    </row>
    <row r="140" spans="2:16" x14ac:dyDescent="0.2">
      <c r="B140" s="190" t="s">
        <v>311</v>
      </c>
      <c r="C140" s="193">
        <v>43042</v>
      </c>
      <c r="D140" s="190">
        <v>1309.0787797099999</v>
      </c>
      <c r="E140" s="223">
        <v>1</v>
      </c>
      <c r="F140" s="209"/>
      <c r="G140" s="223" t="s">
        <v>355</v>
      </c>
      <c r="H140" s="223">
        <v>5778.33</v>
      </c>
      <c r="I140" s="164"/>
      <c r="K140" s="228"/>
      <c r="L140" s="228"/>
      <c r="M140" s="228"/>
      <c r="O140" s="241" t="s">
        <v>358</v>
      </c>
      <c r="P140" s="241">
        <v>14131.9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356</v>
      </c>
      <c r="H141" s="223">
        <v>7821.14</v>
      </c>
      <c r="I141" s="164"/>
      <c r="K141" s="228"/>
      <c r="L141" s="228"/>
      <c r="M141" s="228"/>
      <c r="O141" s="241" t="s">
        <v>359</v>
      </c>
      <c r="P141" s="241">
        <v>16285.11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357</v>
      </c>
      <c r="H142" s="223">
        <v>20118.66</v>
      </c>
      <c r="I142" s="164"/>
      <c r="K142" s="228"/>
      <c r="L142" s="228"/>
      <c r="M142" s="228"/>
      <c r="O142" s="241" t="s">
        <v>360</v>
      </c>
      <c r="P142" s="241">
        <v>50302.68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358</v>
      </c>
      <c r="H143" s="223">
        <v>14805.33</v>
      </c>
      <c r="I143" s="164"/>
      <c r="K143" s="228"/>
      <c r="L143" s="228"/>
      <c r="M143" s="228"/>
      <c r="O143" s="241" t="s">
        <v>361</v>
      </c>
      <c r="P143" s="241">
        <v>11417.39</v>
      </c>
    </row>
    <row r="144" spans="2:16" x14ac:dyDescent="0.2">
      <c r="B144" s="190" t="s">
        <v>53</v>
      </c>
      <c r="C144" s="193">
        <v>43060</v>
      </c>
      <c r="D144" s="190">
        <v>13596.76489502</v>
      </c>
      <c r="E144" s="223">
        <v>1</v>
      </c>
      <c r="F144" s="209"/>
      <c r="G144" s="223" t="s">
        <v>359</v>
      </c>
      <c r="H144" s="223">
        <v>14919.4</v>
      </c>
      <c r="I144" s="164"/>
      <c r="K144" s="228"/>
      <c r="L144" s="228"/>
      <c r="M144" s="228"/>
      <c r="O144" s="241" t="s">
        <v>362</v>
      </c>
      <c r="P144" s="241">
        <v>16079.64</v>
      </c>
    </row>
    <row r="145" spans="2:16" x14ac:dyDescent="0.2">
      <c r="B145" s="190" t="s">
        <v>549</v>
      </c>
      <c r="C145" s="193">
        <v>42118</v>
      </c>
      <c r="D145" s="190">
        <v>19023.287199980001</v>
      </c>
      <c r="E145" s="223">
        <v>1</v>
      </c>
      <c r="F145" s="209"/>
      <c r="G145" s="223" t="s">
        <v>360</v>
      </c>
      <c r="H145" s="223">
        <v>45162.03</v>
      </c>
      <c r="I145" s="164"/>
      <c r="K145" s="228"/>
      <c r="L145" s="228"/>
      <c r="M145" s="228"/>
      <c r="O145" s="241" t="s">
        <v>363</v>
      </c>
      <c r="P145" s="241">
        <v>27222.42</v>
      </c>
    </row>
    <row r="146" spans="2:16" x14ac:dyDescent="0.2">
      <c r="B146" s="190" t="s">
        <v>550</v>
      </c>
      <c r="C146" s="193">
        <v>43068</v>
      </c>
      <c r="D146" s="190">
        <v>19641.524354180001</v>
      </c>
      <c r="E146" s="223">
        <v>1</v>
      </c>
      <c r="F146" s="209"/>
      <c r="G146" s="223" t="s">
        <v>361</v>
      </c>
      <c r="H146" s="223">
        <v>10991.31</v>
      </c>
      <c r="I146" s="164"/>
      <c r="K146" s="228"/>
      <c r="L146" s="228"/>
      <c r="M146" s="228"/>
      <c r="O146" s="241" t="s">
        <v>364</v>
      </c>
      <c r="P146" s="241">
        <v>29858.92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362</v>
      </c>
      <c r="H147" s="223">
        <v>15168.8</v>
      </c>
      <c r="I147" s="164"/>
      <c r="K147" s="228"/>
      <c r="L147" s="228"/>
      <c r="M147" s="228"/>
      <c r="O147" s="241" t="s">
        <v>365</v>
      </c>
      <c r="P147" s="241">
        <v>10938.54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363</v>
      </c>
      <c r="H148" s="223">
        <v>25998.87</v>
      </c>
      <c r="I148" s="164"/>
      <c r="K148" s="228"/>
      <c r="L148" s="228"/>
      <c r="M148" s="228"/>
      <c r="O148" s="241" t="s">
        <v>366</v>
      </c>
      <c r="P148" s="241">
        <v>103112.79</v>
      </c>
    </row>
    <row r="149" spans="2:16" x14ac:dyDescent="0.2">
      <c r="B149" s="190" t="s">
        <v>316</v>
      </c>
      <c r="C149" s="193">
        <v>42221</v>
      </c>
      <c r="D149" s="190">
        <v>5959.86148727</v>
      </c>
      <c r="E149" s="223">
        <v>1</v>
      </c>
      <c r="F149" s="209"/>
      <c r="G149" s="223" t="s">
        <v>364</v>
      </c>
      <c r="H149" s="223">
        <v>31549.59</v>
      </c>
      <c r="I149" s="164"/>
      <c r="K149" s="228"/>
      <c r="L149" s="228"/>
      <c r="M149" s="228"/>
      <c r="O149" s="241" t="s">
        <v>367</v>
      </c>
      <c r="P149" s="241">
        <v>5936.78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365</v>
      </c>
      <c r="H150" s="223">
        <v>11860.58</v>
      </c>
      <c r="I150" s="164"/>
      <c r="K150" s="228"/>
      <c r="L150" s="228"/>
      <c r="M150" s="228"/>
      <c r="O150" s="241" t="s">
        <v>368</v>
      </c>
      <c r="P150" s="241">
        <v>4977.75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366</v>
      </c>
      <c r="H151" s="223">
        <v>110332.49</v>
      </c>
      <c r="I151" s="164"/>
      <c r="K151" s="228"/>
      <c r="L151" s="228"/>
      <c r="M151" s="228"/>
      <c r="O151" s="241" t="s">
        <v>369</v>
      </c>
      <c r="P151" s="241">
        <v>8663.85</v>
      </c>
    </row>
    <row r="152" spans="2:16" x14ac:dyDescent="0.2">
      <c r="B152" s="190" t="s">
        <v>76</v>
      </c>
      <c r="C152" s="193">
        <v>43069</v>
      </c>
      <c r="D152" s="190">
        <v>50408.856334670003</v>
      </c>
      <c r="E152" s="223">
        <v>1</v>
      </c>
      <c r="F152" s="209"/>
      <c r="G152" s="223" t="s">
        <v>367</v>
      </c>
      <c r="H152" s="223">
        <v>6057.59</v>
      </c>
      <c r="I152" s="164"/>
      <c r="K152" s="228"/>
      <c r="L152" s="228"/>
      <c r="M152" s="228"/>
      <c r="O152" s="241" t="s">
        <v>370</v>
      </c>
      <c r="P152" s="241">
        <v>10417.030000000001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368</v>
      </c>
      <c r="H153" s="223">
        <v>4658.1899999999996</v>
      </c>
      <c r="I153" s="164"/>
      <c r="K153" s="228"/>
      <c r="L153" s="228"/>
      <c r="M153" s="228"/>
      <c r="O153" s="241" t="s">
        <v>371</v>
      </c>
      <c r="P153" s="241">
        <v>15725.23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369</v>
      </c>
      <c r="H154" s="223">
        <v>8828.36</v>
      </c>
      <c r="I154" s="164"/>
      <c r="K154" s="228"/>
      <c r="L154" s="228"/>
      <c r="M154" s="228"/>
      <c r="O154" s="241" t="s">
        <v>372</v>
      </c>
      <c r="P154" s="241">
        <v>12044.86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370</v>
      </c>
      <c r="H155" s="223">
        <v>11280.31</v>
      </c>
      <c r="I155" s="164"/>
      <c r="K155" s="228"/>
      <c r="L155" s="228"/>
      <c r="M155" s="228"/>
      <c r="O155" s="241" t="s">
        <v>373</v>
      </c>
      <c r="P155" s="241">
        <v>12060.5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371</v>
      </c>
      <c r="H156" s="223">
        <v>16162.38</v>
      </c>
      <c r="I156" s="164"/>
      <c r="K156" s="228"/>
      <c r="L156" s="228"/>
      <c r="M156" s="228"/>
      <c r="O156" s="241" t="s">
        <v>374</v>
      </c>
      <c r="P156" s="241">
        <v>7112.54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372</v>
      </c>
      <c r="H157" s="223">
        <v>12944.55</v>
      </c>
      <c r="I157" s="164"/>
      <c r="K157" s="228"/>
      <c r="L157" s="228"/>
      <c r="M157" s="228"/>
      <c r="O157" s="241" t="s">
        <v>375</v>
      </c>
      <c r="P157" s="241">
        <v>8446.6200000000008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373</v>
      </c>
      <c r="H158" s="223">
        <v>12474.63</v>
      </c>
      <c r="I158" s="164"/>
      <c r="K158" s="228"/>
      <c r="L158" s="228"/>
      <c r="M158" s="228"/>
      <c r="O158" s="241" t="s">
        <v>376</v>
      </c>
      <c r="P158" s="241">
        <v>11349.88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374</v>
      </c>
      <c r="H159" s="223">
        <v>7027.37</v>
      </c>
      <c r="I159" s="164"/>
      <c r="K159" s="228"/>
      <c r="L159" s="228"/>
      <c r="M159" s="228"/>
      <c r="O159" s="241" t="s">
        <v>377</v>
      </c>
      <c r="P159" s="241">
        <v>19135.23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375</v>
      </c>
      <c r="H160" s="223">
        <v>8589.51</v>
      </c>
      <c r="I160" s="164"/>
      <c r="K160" s="228"/>
      <c r="L160" s="228"/>
      <c r="M160" s="228"/>
      <c r="O160" s="241" t="s">
        <v>380</v>
      </c>
      <c r="P160" s="241">
        <v>5337.19</v>
      </c>
    </row>
    <row r="161" spans="2:16" x14ac:dyDescent="0.2">
      <c r="B161" s="190" t="s">
        <v>82</v>
      </c>
      <c r="C161" s="193">
        <v>42117</v>
      </c>
      <c r="D161" s="190">
        <v>46982.462386940002</v>
      </c>
      <c r="E161" s="223">
        <v>1</v>
      </c>
      <c r="F161" s="209"/>
      <c r="G161" s="223" t="s">
        <v>376</v>
      </c>
      <c r="H161" s="223">
        <v>10940.42</v>
      </c>
      <c r="I161" s="164"/>
      <c r="K161" s="228"/>
      <c r="L161" s="228"/>
      <c r="M161" s="228"/>
      <c r="O161" s="241" t="s">
        <v>381</v>
      </c>
      <c r="P161" s="241">
        <v>10866.98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377</v>
      </c>
      <c r="H162" s="223">
        <v>16778.490000000002</v>
      </c>
      <c r="I162" s="164"/>
      <c r="K162" s="228"/>
      <c r="L162" s="228"/>
      <c r="M162" s="228"/>
      <c r="O162" s="241" t="s">
        <v>382</v>
      </c>
      <c r="P162" s="241">
        <v>23370.83</v>
      </c>
    </row>
    <row r="163" spans="2:16" x14ac:dyDescent="0.2">
      <c r="B163" s="190" t="s">
        <v>321</v>
      </c>
      <c r="C163" s="193">
        <v>42577</v>
      </c>
      <c r="D163" s="190">
        <v>9766.8870944299997</v>
      </c>
      <c r="E163" s="223">
        <v>1</v>
      </c>
      <c r="F163" s="209"/>
      <c r="G163" s="223" t="s">
        <v>380</v>
      </c>
      <c r="H163" s="223">
        <v>5318.22</v>
      </c>
      <c r="I163" s="164"/>
      <c r="K163" s="228"/>
      <c r="L163" s="228"/>
      <c r="M163" s="228"/>
      <c r="O163" s="241" t="s">
        <v>383</v>
      </c>
      <c r="P163" s="241">
        <v>21094.9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11260.78</v>
      </c>
      <c r="I164" s="164"/>
      <c r="K164" s="228"/>
      <c r="L164" s="228"/>
      <c r="M164" s="228"/>
      <c r="O164" s="241" t="s">
        <v>384</v>
      </c>
      <c r="P164" s="241">
        <v>41375.699999999997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22439.09</v>
      </c>
      <c r="I165" s="164"/>
      <c r="K165" s="228"/>
      <c r="L165" s="228"/>
      <c r="M165" s="228"/>
      <c r="O165" s="241" t="s">
        <v>385</v>
      </c>
      <c r="P165" s="241">
        <v>7819.75</v>
      </c>
    </row>
    <row r="166" spans="2:16" x14ac:dyDescent="0.2">
      <c r="B166" s="190" t="s">
        <v>551</v>
      </c>
      <c r="C166" s="193">
        <v>43042</v>
      </c>
      <c r="D166" s="190">
        <v>18035.422655959999</v>
      </c>
      <c r="E166" s="223">
        <v>1</v>
      </c>
      <c r="F166" s="209"/>
      <c r="G166" s="223" t="s">
        <v>383</v>
      </c>
      <c r="H166" s="223">
        <v>20026.060000000001</v>
      </c>
      <c r="I166" s="164"/>
      <c r="K166" s="228"/>
      <c r="L166" s="228"/>
      <c r="M166" s="228"/>
      <c r="O166" s="241" t="s">
        <v>386</v>
      </c>
      <c r="P166" s="241">
        <v>10146.93</v>
      </c>
    </row>
    <row r="167" spans="2:16" x14ac:dyDescent="0.2">
      <c r="B167" s="190" t="s">
        <v>552</v>
      </c>
      <c r="C167" s="193">
        <v>43042</v>
      </c>
      <c r="D167" s="190">
        <v>17254.960121550001</v>
      </c>
      <c r="E167" s="223">
        <v>1</v>
      </c>
      <c r="F167" s="209"/>
      <c r="G167" s="223" t="s">
        <v>384</v>
      </c>
      <c r="H167" s="223">
        <v>44221.22</v>
      </c>
      <c r="I167" s="164"/>
      <c r="K167" s="228"/>
      <c r="L167" s="228"/>
      <c r="M167" s="228"/>
      <c r="O167" s="241" t="s">
        <v>387</v>
      </c>
      <c r="P167" s="241">
        <v>17795.34</v>
      </c>
    </row>
    <row r="168" spans="2:16" x14ac:dyDescent="0.2">
      <c r="B168" s="190" t="s">
        <v>553</v>
      </c>
      <c r="C168" s="193">
        <v>43042</v>
      </c>
      <c r="D168" s="190">
        <v>13057.33337882</v>
      </c>
      <c r="E168" s="223">
        <v>1</v>
      </c>
      <c r="F168" s="209"/>
      <c r="G168" s="223" t="s">
        <v>385</v>
      </c>
      <c r="H168" s="223">
        <v>7936.93</v>
      </c>
      <c r="I168" s="164"/>
      <c r="K168" s="228"/>
      <c r="L168" s="228"/>
      <c r="M168" s="228"/>
      <c r="O168" s="241" t="s">
        <v>388</v>
      </c>
      <c r="P168" s="241">
        <v>3836.65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10610.25</v>
      </c>
      <c r="I169" s="164"/>
      <c r="K169" s="228"/>
      <c r="L169" s="228"/>
      <c r="M169" s="228"/>
      <c r="O169" s="241" t="s">
        <v>389</v>
      </c>
      <c r="P169" s="241">
        <v>22052.74</v>
      </c>
    </row>
    <row r="170" spans="2:16" x14ac:dyDescent="0.2">
      <c r="B170" s="190" t="s">
        <v>325</v>
      </c>
      <c r="C170" s="193">
        <v>42983</v>
      </c>
      <c r="D170" s="190">
        <v>70308.282107380001</v>
      </c>
      <c r="E170" s="223">
        <v>1</v>
      </c>
      <c r="F170" s="209"/>
      <c r="G170" s="223" t="s">
        <v>387</v>
      </c>
      <c r="H170" s="223">
        <v>15603.63</v>
      </c>
      <c r="I170" s="164"/>
      <c r="K170" s="228"/>
      <c r="L170" s="228"/>
      <c r="M170" s="228"/>
      <c r="O170" s="241" t="s">
        <v>390</v>
      </c>
      <c r="P170" s="241">
        <v>12819.29</v>
      </c>
    </row>
    <row r="171" spans="2:16" x14ac:dyDescent="0.2">
      <c r="B171" s="190" t="s">
        <v>326</v>
      </c>
      <c r="C171" s="193">
        <v>42110</v>
      </c>
      <c r="D171" s="190">
        <v>45023.057854029998</v>
      </c>
      <c r="E171" s="223">
        <v>1</v>
      </c>
      <c r="F171" s="209"/>
      <c r="G171" s="223" t="s">
        <v>388</v>
      </c>
      <c r="H171" s="223">
        <v>3834.43</v>
      </c>
      <c r="I171" s="164"/>
      <c r="K171" s="228"/>
      <c r="L171" s="228"/>
      <c r="M171" s="228"/>
      <c r="O171" s="241" t="s">
        <v>391</v>
      </c>
      <c r="P171" s="241">
        <v>19146.939999999999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22813.21</v>
      </c>
      <c r="I172" s="164"/>
      <c r="K172" s="228"/>
      <c r="L172" s="228"/>
      <c r="M172" s="228"/>
      <c r="O172" s="241" t="s">
        <v>392</v>
      </c>
      <c r="P172" s="241">
        <v>4220.7700000000004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13599.55</v>
      </c>
      <c r="I173" s="164"/>
      <c r="K173" s="228"/>
      <c r="L173" s="228"/>
      <c r="M173" s="228"/>
      <c r="O173" s="241" t="s">
        <v>393</v>
      </c>
      <c r="P173" s="241">
        <v>19970.43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19913.009999999998</v>
      </c>
      <c r="I174" s="164"/>
      <c r="K174" s="228"/>
      <c r="L174" s="228"/>
      <c r="M174" s="228"/>
      <c r="O174" s="241" t="s">
        <v>394</v>
      </c>
      <c r="P174" s="241">
        <v>13265.85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4205.76</v>
      </c>
      <c r="I175" s="164"/>
      <c r="K175" s="228"/>
      <c r="L175" s="228"/>
      <c r="M175" s="228"/>
      <c r="O175" s="241" t="s">
        <v>395</v>
      </c>
      <c r="P175" s="241">
        <v>17506.82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20578.62</v>
      </c>
      <c r="I176" s="164"/>
      <c r="K176" s="228"/>
      <c r="L176" s="228"/>
      <c r="M176" s="228"/>
      <c r="O176" s="241" t="s">
        <v>396</v>
      </c>
      <c r="P176" s="241">
        <v>44922.071325099998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13871.59</v>
      </c>
      <c r="I177" s="164"/>
      <c r="K177" s="228"/>
      <c r="L177" s="228"/>
      <c r="M177" s="228"/>
      <c r="O177" s="241"/>
      <c r="P177" s="241"/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18122.39</v>
      </c>
      <c r="I178" s="164"/>
      <c r="K178" s="228"/>
      <c r="L178" s="228"/>
      <c r="M178" s="228"/>
      <c r="O178" s="241"/>
      <c r="P178" s="241"/>
    </row>
    <row r="179" spans="2:16" x14ac:dyDescent="0.2">
      <c r="B179" s="190" t="s">
        <v>333</v>
      </c>
      <c r="C179" s="193">
        <v>41849</v>
      </c>
      <c r="D179" s="190">
        <v>92.959638409999997</v>
      </c>
      <c r="E179" s="223">
        <v>1</v>
      </c>
      <c r="F179" s="209"/>
      <c r="G179" s="223" t="s">
        <v>396</v>
      </c>
      <c r="H179" s="223">
        <v>47804.568584510002</v>
      </c>
      <c r="I179" s="164"/>
      <c r="K179" s="228"/>
      <c r="L179" s="228"/>
      <c r="M179" s="228"/>
      <c r="O179" s="241"/>
      <c r="P179" s="241"/>
    </row>
    <row r="180" spans="2:16" x14ac:dyDescent="0.2">
      <c r="B180" s="190" t="s">
        <v>334</v>
      </c>
      <c r="C180" s="193">
        <v>43052</v>
      </c>
      <c r="D180" s="190">
        <v>134.89338613999999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41901</v>
      </c>
      <c r="D181" s="190">
        <v>76.32416241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41912</v>
      </c>
      <c r="D182" s="190">
        <v>106.4349371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41849</v>
      </c>
      <c r="D184" s="190">
        <v>4781.8624027899996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43060</v>
      </c>
      <c r="D185" s="190">
        <v>61211.524443169998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43060</v>
      </c>
      <c r="D186" s="190">
        <v>13596.76489502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43061</v>
      </c>
      <c r="D188" s="190">
        <v>11096.63004772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42195</v>
      </c>
      <c r="D191" s="190">
        <v>28365.040000000001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41967</v>
      </c>
      <c r="D192" s="190">
        <v>9721.7199999999993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43012</v>
      </c>
      <c r="D193" s="190">
        <v>17055.98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41929</v>
      </c>
      <c r="D194" s="190">
        <v>4841.3999999999996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42594</v>
      </c>
      <c r="D197" s="190">
        <v>22629.39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41964</v>
      </c>
      <c r="D200" s="190">
        <v>7319.54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42817</v>
      </c>
      <c r="D204" s="190">
        <v>16210.1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43042</v>
      </c>
      <c r="D206" s="190">
        <v>50584.41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43068</v>
      </c>
      <c r="D210" s="190">
        <v>31616.73</v>
      </c>
      <c r="E210" s="223">
        <v>1</v>
      </c>
    </row>
    <row r="211" spans="2:5" x14ac:dyDescent="0.2">
      <c r="B211" s="190" t="s">
        <v>365</v>
      </c>
      <c r="C211" s="193">
        <v>42104</v>
      </c>
      <c r="D211" s="190">
        <v>15204.51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42117</v>
      </c>
      <c r="D216" s="190">
        <v>11507.83</v>
      </c>
      <c r="E216" s="223">
        <v>1</v>
      </c>
    </row>
    <row r="217" spans="2:5" x14ac:dyDescent="0.2">
      <c r="B217" s="190" t="s">
        <v>371</v>
      </c>
      <c r="C217" s="193">
        <v>42983</v>
      </c>
      <c r="D217" s="190">
        <v>16612.03</v>
      </c>
      <c r="E217" s="223">
        <v>1</v>
      </c>
    </row>
    <row r="218" spans="2:5" x14ac:dyDescent="0.2">
      <c r="B218" s="190" t="s">
        <v>372</v>
      </c>
      <c r="C218" s="193">
        <v>42104</v>
      </c>
      <c r="D218" s="190">
        <v>14152.32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42195</v>
      </c>
      <c r="D225" s="190">
        <v>28365.040000000001</v>
      </c>
      <c r="E225" s="223">
        <v>1</v>
      </c>
    </row>
    <row r="226" spans="2:5" x14ac:dyDescent="0.2">
      <c r="B226" s="190" t="s">
        <v>380</v>
      </c>
      <c r="C226" s="193">
        <v>43052</v>
      </c>
      <c r="D226" s="190">
        <v>5593.75</v>
      </c>
      <c r="E226" s="223">
        <v>1</v>
      </c>
    </row>
    <row r="227" spans="2:5" x14ac:dyDescent="0.2">
      <c r="B227" s="190" t="s">
        <v>381</v>
      </c>
      <c r="C227" s="193">
        <v>43069</v>
      </c>
      <c r="D227" s="190">
        <v>11260.78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42117</v>
      </c>
      <c r="D232" s="190">
        <v>11227.41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42118</v>
      </c>
      <c r="D236" s="190">
        <v>14632.12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42117</v>
      </c>
      <c r="D240" s="190">
        <v>14678.45</v>
      </c>
      <c r="E240" s="223">
        <v>1</v>
      </c>
    </row>
    <row r="241" spans="2:5" x14ac:dyDescent="0.2">
      <c r="B241" s="190" t="s">
        <v>395</v>
      </c>
      <c r="C241" s="193">
        <v>43060</v>
      </c>
      <c r="D241" s="190">
        <v>18492.509999999998</v>
      </c>
      <c r="E241" s="223">
        <v>1</v>
      </c>
    </row>
    <row r="242" spans="2:5" x14ac:dyDescent="0.2">
      <c r="B242" s="190" t="s">
        <v>396</v>
      </c>
      <c r="C242" s="193">
        <v>43069</v>
      </c>
      <c r="D242" s="190">
        <v>47804.568584510002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395"/>
      <c r="G2" s="395"/>
      <c r="H2" s="395"/>
      <c r="I2" s="395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2017-12-11T07:00:00+00:00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EF8393DC-FA8F-47A3-B95F-E6EB17192DDE}"/>
</file>

<file path=customXml/itemProps2.xml><?xml version="1.0" encoding="utf-8"?>
<ds:datastoreItem xmlns:ds="http://schemas.openxmlformats.org/officeDocument/2006/customXml" ds:itemID="{8602E086-95F8-4243-BFFD-2E31F586C60F}"/>
</file>

<file path=customXml/itemProps3.xml><?xml version="1.0" encoding="utf-8"?>
<ds:datastoreItem xmlns:ds="http://schemas.openxmlformats.org/officeDocument/2006/customXml" ds:itemID="{660C54F4-B7C9-4F19-972C-E732F012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20171130</dc:title>
  <dc:creator>rapelangm</dc:creator>
  <cp:lastModifiedBy>Julia Maluleka</cp:lastModifiedBy>
  <cp:lastPrinted>2016-08-10T11:53:39Z</cp:lastPrinted>
  <dcterms:created xsi:type="dcterms:W3CDTF">2009-10-22T12:59:48Z</dcterms:created>
  <dcterms:modified xsi:type="dcterms:W3CDTF">2017-12-11T07:55:54Z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