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iterateDelta="1" calcOnSave="0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8" i="1" s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<sst xmlns="http://schemas.openxmlformats.org/spreadsheetml/2006/main" count="2487" uniqueCount="667">
  <si>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</si>
  <si>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</si>
  <si>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</si>
  <si>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</si>
  <si>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</si>
  <si>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</si>
  <si>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</si>
  <si>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</si>
  <si>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</si>
  <si>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</si>
  <si>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</si>
  <si>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</si>
  <si>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</si>
  <si>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</si>
  <si>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</si>
  <si>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</si>
  <si>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</si>
  <si>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</si>
  <si>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</si>
  <si>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</si>
  <si>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</si>
  <si>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</si>
  <si>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</si>
  <si>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</si>
  <si>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</si>
  <si>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</si>
  <si>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</si>
  <si>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</si>
  <si>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</si>
  <si>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</si>
  <si>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</si>
  <si>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</si>
  <si>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</si>
  <si>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</si>
  <si>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</si>
  <si>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</si>
  <si>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</si>
  <si>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</si>
  <si>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</si>
  <si>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</si>
  <si>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</si>
  <si>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</si>
  <si>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</si>
  <si>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</si>
  <si>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</si>
  <si>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</si>
  <si>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</si>
  <si>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</si>
  <si>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</si>
  <si>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</si>
  <si>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</si>
  <si>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</si>
  <si>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</si>
  <si>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</si>
  <si>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</si>
  <si>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</si>
  <si>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</si>
  <si>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</si>
  <si>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</si>
  <si>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</si>
  <si>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</si>
  <si>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</si>
  <si>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</si>
  <si>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</si>
  <si>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</si>
  <si>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</si>
  <si>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</si>
  <si>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</si>
  <si>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</si>
  <si>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</si>
  <si>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</si>
  <si>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</si>
  <si>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</si>
  <si>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</si>
  <si>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</si>
  <si>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</si>
  <si>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</si>
  <si>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</si>
  <si>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</si>
  <si>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</si>
  <si>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</si>
  <si>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</si>
  <si>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</si>
  <si>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</si>
  <si>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</si>
  <si>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</si>
  <si>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</si>
  <si>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</si>
  <si>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</si>
  <si>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</si>
  <si>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</si>
  <si>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</si>
  <si>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</si>
  <si>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</si>
  <si>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</si>
  <si>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</si>
  <si>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</si>
  <si>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</si>
  <si>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</si>
  <si>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</si>
  <si>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</si>
  <si>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</si>
  <si>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</si>
  <si>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</si>
  <si>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</si>
  <si>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</si>
  <si>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</si>
  <si>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</si>
  <si>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</si>
  <si>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</si>
  <si>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</si>
  <si>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</si>
  <si>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</si>
  <si>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</si>
  <si>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</si>
  <si>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</si>
  <si>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</si>
  <si>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</si>
  <si>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</si>
  <si>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</si>
  <si>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</si>
  <si>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</si>
  <si>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</si>
  <si>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</si>
  <si>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</si>
  <si>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</si>
  <si>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</si>
  <si>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</si>
  <si>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</si>
  <si>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</si>
  <si>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</si>
  <si>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</si>
  <si>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</si>
  <si>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</si>
  <si>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</si>
  <si>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</si>
  <si>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</si>
  <si>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</si>
  <si>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</si>
  <si>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</si>
  <si>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</si>
  <si>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</si>
  <si>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</si>
  <si>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</si>
  <si>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</si>
  <si>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</si>
  <si>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</si>
  <si>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</si>
  <si>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</si>
  <si>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</si>
  <si>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</si>
  <si>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</si>
  <si>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</si>
  <si>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</si>
  <si>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</si>
  <si>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</si>
  <si>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</si>
  <si>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</si>
  <si>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</si>
  <si>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</si>
  <si>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</si>
  <si>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</si>
  <si>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</si>
  <si>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</si>
  <si>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</si>
  <si>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</si>
  <si>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</si>
  <si>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</si>
  <si>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</si>
  <si>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</si>
  <si>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</si>
  <si>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</si>
  <si>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</si>
  <si>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</si>
  <si>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</si>
  <si>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</si>
  <si>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</si>
  <si>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</si>
  <si>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</si>
  <si>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</si>
  <si>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</si>
  <si>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</si>
  <si>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</si>
  <si>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</si>
  <si>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</si>
  <si>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</si>
  <si>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</si>
  <si>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</si>
  <si>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</si>
  <si>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</si>
  <si>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</si>
  <si>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</si>
  <si>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</si>
  <si>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</si>
  <si>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</si>
  <si>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</si>
  <si>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</si>
  <si>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</si>
  <si>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</si>
  <si>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</si>
  <si>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</si>
  <si>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</si>
  <si>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</si>
  <si>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</si>
  <si>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</si>
  <si>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</si>
  <si>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</si>
  <si>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</si>
  <si>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</si>
  <si>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</si>
  <si>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</si>
  <si>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</si>
  <si>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</si>
  <si>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</si>
  <si>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</si>
  <si>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</si>
  <si>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</si>
  <si>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</si>
  <si>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</si>
  <si>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</si>
  <si>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</si>
  <si>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</si>
  <si>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</si>
  <si>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</si>
  <si>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</si>
  <si>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</si>
  <si>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</si>
  <si>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</si>
  <si>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</si>
  <si>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</si>
  <si>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</si>
  <si>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</si>
  <si>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</si>
  <si>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</si>
  <si>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</si>
  <si>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</si>
  <si>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</si>
  <si>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</si>
  <si>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</si>
  <si>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</si>
  <si>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</si>
  <si>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</si>
  <si>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</si>
  <si>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</si>
  <si>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</si>
  <si>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</si>
  <si>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</si>
  <si>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</si>
  <si>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</si>
  <si>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</si>
  <si>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</si>
  <si>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</si>
  <si>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</si>
  <si>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</si>
  <si>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</si>
  <si>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</si>
  <si>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</si>
  <si>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</si>
  <si>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</si>
  <si>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</si>
  <si>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</si>
  <si>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</si>
  <si>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</si>
  <si>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</si>
  <si>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</si>
  <si>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</si>
  <si>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</si>
  <si>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</si>
  <si>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</si>
  <si>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</si>
  <si>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</si>
  <si>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</si>
  <si>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</si>
  <si>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</si>
  <si>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</si>
  <si>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</si>
  <si>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</si>
  <si>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</si>
  <si>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</si>
  <si>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</si>
  <si>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</si>
  <si>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</si>
  <si>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</si>
  <si>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</si>
  <si>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</si>
  <si>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</si>
  <si>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</si>
  <si>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</si>
  <si>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</si>
  <si>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</si>
  <si>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</si>
  <si>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</si>
  <si>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</si>
  <si>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</si>
  <si>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</si>
  <si>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</si>
  <si>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</si>
  <si>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</si>
  <si>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</si>
  <si>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</si>
  <si>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</si>
  <si>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</si>
  <si>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</si>
  <si>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</si>
  <si>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</si>
  <si>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</si>
  <si>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</si>
  <si>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</si>
  <si>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</si>
  <si>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</si>
  <si>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</si>
  <si>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</si>
  <si>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</si>
  <si>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</si>
  <si>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</si>
  <si>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</si>
  <si>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</si>
  <si>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</si>
  <si>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</si>
  <si>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</si>
  <si>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</si>
  <si>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</si>
  <si>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</si>
  <si>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</si>
  <si>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</si>
  <si>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</si>
  <si>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</si>
  <si>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</si>
  <si>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</si>
  <si>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</si>
  <si>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</si>
  <si>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</si>
  <si>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</si>
  <si>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</si>
  <si>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</si>
  <si>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</si>
  <si>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</si>
  <si>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</si>
  <si>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</si>
  <si>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</si>
  <si>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</si>
  <si>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</si>
  <si>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</si>
  <si>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</si>
  <si>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</si>
  <si>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</si>
  <si>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</si>
  <si>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</si>
  <si>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</si>
  <si>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</si>
  <si>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</si>
  <si>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</si>
  <si>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</si>
  <si>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</si>
  <si>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</si>
  <si>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</si>
  <si>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</si>
  <si>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</si>
  <si>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</si>
  <si>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</si>
  <si>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</si>
  <si>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</si>
  <si>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</si>
  <si>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</si>
  <si>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</si>
  <si>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</si>
  <si>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</si>
  <si>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</si>
  <si>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</si>
  <si>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</si>
  <si>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</si>
  <si>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</si>
  <si>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</si>
  <si>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</si>
  <si>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</si>
  <si>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</si>
  <si>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</si>
  <si>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</si>
  <si>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</si>
  <si>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</si>
  <si>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</si>
  <si>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</si>
  <si>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</si>
  <si>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</si>
  <si>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</si>
  <si>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</si>
  <si>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</si>
  <si>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</si>
  <si>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</si>
  <si>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</si>
  <si>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</si>
  <si>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</si>
  <si>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</si>
  <si>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</si>
  <si>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</si>
  <si>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</si>
  <si>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</si>
  <si>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</si>
  <si>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</si>
  <si>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</si>
  <si>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</si>
  <si>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</si>
  <si>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</si>
  <si>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</si>
  <si>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</si>
  <si>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</si>
  <si>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</si>
  <si>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</si>
  <si>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</si>
  <si>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</si>
  <si>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</si>
  <si>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</si>
  <si>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</si>
  <si>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</si>
  <si>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</si>
  <si>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</si>
  <si>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</si>
  <si>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</si>
  <si>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</si>
  <si>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</si>
  <si>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</si>
  <si>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</si>
  <si>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</si>
  <si>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</si>
  <si>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</si>
  <si>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</si>
  <si>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</si>
  <si>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</si>
  <si>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</si>
  <si>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</si>
  <si>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</si>
  <si>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</si>
  <si>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</si>
  <si>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</si>
  <si>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</si>
  <si>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</si>
  <si>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</si>
  <si>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</si>
  <si>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</si>
  <si>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</si>
  <si>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</si>
  <si>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</si>
  <si>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</si>
  <si>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</si>
  <si>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</si>
  <si>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</si>
  <si>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</si>
  <si>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</si>
  <si>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</si>
  <si>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</si>
  <si>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</si>
  <si>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</si>
  <si>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</si>
  <si>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</si>
  <si>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</si>
  <si>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</si>
  <si>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</si>
  <si>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</si>
  <si>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</si>
  <si>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</si>
  <si>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</si>
  <si>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</si>
  <si>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</si>
  <si>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</si>
  <si>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</si>
  <si>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</si>
  <si>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</si>
  <si>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</si>
  <si>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</si>
  <si>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</si>
  <si>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</si>
  <si>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</si>
  <si>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</si>
  <si>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</si>
  <si>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</si>
  <si>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</si>
  <si>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</si>
  <si>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</si>
  <si>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</si>
  <si>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</si>
  <si>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</si>
  <si>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</si>
  <si>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</si>
  <si>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</si>
  <si>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</si>
  <si>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</si>
  <si>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</si>
  <si>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</si>
  <si>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</si>
  <si>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</si>
  <si>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</si>
  <si>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</si>
  <si>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</si>
  <si>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</si>
  <si>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</si>
  <si>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</si>
  <si>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</si>
  <si>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</si>
  <si>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</si>
  <si>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</si>
  <si>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</si>
  <si>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</si>
  <si>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</si>
  <si>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</si>
  <si>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</si>
  <si>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</si>
  <si>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</si>
  <si>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</si>
  <si>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</si>
  <si>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</si>
  <si>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</si>
  <si>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</si>
  <si>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</si>
  <si>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</si>
  <si>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</si>
  <si>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</si>
  <si>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</si>
  <si>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</si>
  <si>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</si>
  <si>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</si>
  <si>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</si>
  <si>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</si>
  <si>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</si>
  <si>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</si>
  <si>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</si>
  <si>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</si>
  <si>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</si>
  <si>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</si>
  <si>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</si>
  <si>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</si>
  <si>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</si>
  <si>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</si>
  <si>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</si>
  <si>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</si>
  <si>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</si>
  <si>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</si>
  <si>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</si>
  <si>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</si>
  <si>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</si>
  <si>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</si>
  <si>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</si>
  <si>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</si>
  <si>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</si>
  <si>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</si>
  <si>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</si>
  <si>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</si>
  <si>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</si>
  <si>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</si>
  <si>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</si>
  <si>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</si>
  <si>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</si>
  <si>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</si>
  <si>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</si>
  <si>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</si>
  <si>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</si>
  <si>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</si>
  <si>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</si>
  <si>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</si>
  <si>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</si>
  <si>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</si>
  <si>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</si>
  <si>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</si>
  <si>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</si>
  <si>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</si>
  <si>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</si>
  <si>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</si>
  <si>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</si>
  <si>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</si>
  <si>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</si>
  <si>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</si>
  <si>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</si>
  <si>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</si>
  <si>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</si>
  <si>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</si>
  <si>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</si>
  <si>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</si>
  <si>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</si>
  <si>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</si>
  <si>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</si>
  <si>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</si>
  <si>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</si>
  <si>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</si>
  <si>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</si>
  <si>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</si>
  <si>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</si>
  <si>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</si>
  <si>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</si>
  <si>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</si>
  <si>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</si>
  <si>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</si>
  <si>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</si>
  <si>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</si>
  <si>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</si>
  <si>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</si>
  <si>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</si>
  <si>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</si>
  <si>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</si>
  <si>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</si>
  <si>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</si>
  <si>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</si>
  <si>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</si>
  <si>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</si>
  <si>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</si>
  <si>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</si>
  <si>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</si>
  <si>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</si>
  <si>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</si>
  <si>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</si>
  <si>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</si>
  <si>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</si>
  <si>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</si>
  <si>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</si>
  <si>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</si>
  <si>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</si>
  <si>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</si>
  <si>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</si>
  <si>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</si>
  <si>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</si>
  <si>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</si>
  <si>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</si>
  <si>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</si>
  <si>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</si>
  <si>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</si>
  <si>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</si>
  <si>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</si>
  <si>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</si>
  <si>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</si>
  <si>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</si>
  <si>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</si>
  <si>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</si>
  <si>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</si>
  <si>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</si>
  <si>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</si>
  <si>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</si>
  <si>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</si>
  <si>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</si>
  <si>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</si>
  <si>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</si>
  <si>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</si>
  <si>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</si>
  <si>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</si>
  <si>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</si>
  <si>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</si>
  <si>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</si>
  <si>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</si>
  <si>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</si>
  <si>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</si>
  <si>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</si>
  <si>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</si>
  <si>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</si>
  <si>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</si>
  <si>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</si>
  <si>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</si>
  <si>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</si>
  <si>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</si>
  <si>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</si>
  <si>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</si>
  <si>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2018/08</t>
  </si>
  <si>
    <t>Other Trade - I</t>
  </si>
  <si>
    <t>CorporateActionTypeCode</t>
  </si>
  <si>
    <t>SUM_TotalValue</t>
  </si>
  <si>
    <t>GI</t>
  </si>
  <si>
    <t>SI</t>
  </si>
  <si>
    <t>SO</t>
  </si>
  <si>
    <t>SS</t>
  </si>
  <si>
    <t>TU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</si>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</sst>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7">
    <xf numFmtId="0" fontId="0" fillId="0" borderId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4">
    <xf numFmtId="0" fontId="0" fillId="0" borderId="0" xfId="0"/>
    <xf numFmtId="0" fontId="20" fillId="0" borderId="0" xfId="0" applyFont="1"/>
    <xf numFmtId="165" fontId="0" fillId="0" borderId="0" xfId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3" fillId="0" borderId="0" xfId="0" applyNumberFormat="1" applyFont="1"/>
    <xf numFmtId="0" fontId="21" fillId="0" borderId="0" xfId="0" applyFont="1"/>
    <xf numFmtId="166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165" fontId="0" fillId="0" borderId="0" xfId="0" applyNumberFormat="1"/>
    <xf numFmtId="0" fontId="25" fillId="0" borderId="0" xfId="0" applyFont="1"/>
    <xf numFmtId="168" fontId="17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6" fontId="0" fillId="0" borderId="0" xfId="0" applyNumberFormat="1" applyFont="1"/>
    <xf numFmtId="0" fontId="0" fillId="0" borderId="0" xfId="0" applyFont="1"/>
    <xf numFmtId="166" fontId="16" fillId="0" borderId="0" xfId="0" applyNumberFormat="1" applyFont="1" applyFill="1"/>
    <xf numFmtId="3" fontId="17" fillId="0" borderId="0" xfId="0" applyNumberFormat="1" applyFont="1"/>
    <xf numFmtId="166" fontId="21" fillId="0" borderId="0" xfId="0" applyNumberFormat="1" applyFont="1" applyFill="1"/>
    <xf numFmtId="166" fontId="0" fillId="0" borderId="0" xfId="0" applyNumberFormat="1" applyFont="1" applyFill="1"/>
    <xf numFmtId="166" fontId="20" fillId="0" borderId="0" xfId="0" applyNumberFormat="1" applyFont="1"/>
    <xf numFmtId="0" fontId="20" fillId="0" borderId="0" xfId="0" applyFont="1"/>
    <xf numFmtId="0" fontId="23" fillId="0" borderId="0" xfId="0" applyFont="1"/>
    <xf numFmtId="166" fontId="17" fillId="0" borderId="0" xfId="0" applyNumberFormat="1" applyFont="1"/>
    <xf numFmtId="167" fontId="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166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6" fillId="0" borderId="0" xfId="0" applyNumberFormat="1" applyFont="1"/>
    <xf numFmtId="166" fontId="21" fillId="0" borderId="0" xfId="0" applyNumberFormat="1" applyFont="1"/>
    <xf numFmtId="167" fontId="21" fillId="0" borderId="0" xfId="0" applyNumberFormat="1" applyFont="1"/>
    <xf numFmtId="0" fontId="45" fillId="0" borderId="0" xfId="0" applyFont="1"/>
    <xf numFmtId="167" fontId="0" fillId="0" borderId="0" xfId="0" applyNumberFormat="1" applyFont="1" applyAlignment="1">
      <alignment horizontal="right"/>
    </xf>
    <xf numFmtId="166" fontId="45" fillId="0" borderId="0" xfId="0" applyNumberFormat="1" applyFont="1"/>
    <xf numFmtId="166" fontId="44" fillId="0" borderId="0" xfId="0" applyNumberFormat="1" applyFont="1"/>
    <xf numFmtId="0" fontId="20" fillId="0" borderId="0" xfId="0" applyFont="1"/>
    <xf numFmtId="167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6" fontId="0" fillId="0" borderId="0" xfId="0" applyNumberFormat="1" applyFont="1"/>
    <xf numFmtId="166" fontId="16" fillId="0" borderId="0" xfId="1" applyNumberFormat="1" applyFont="1"/>
    <xf numFmtId="0" fontId="20" fillId="0" borderId="0" xfId="0" applyFont="1"/>
    <xf numFmtId="0" fontId="20" fillId="0" borderId="0" xfId="0" applyFont="1"/>
    <xf numFmtId="166" fontId="23" fillId="0" borderId="0" xfId="0" quotePrefix="1" applyNumberFormat="1" applyFont="1" applyAlignment="1">
      <alignment horizontal="right"/>
    </xf>
    <xf numFmtId="166" fontId="15" fillId="0" borderId="0" xfId="0" applyNumberFormat="1" applyFont="1"/>
    <xf numFmtId="166" fontId="19" fillId="0" borderId="0" xfId="0" applyNumberFormat="1" applyFont="1"/>
    <xf numFmtId="0" fontId="44" fillId="0" borderId="0" xfId="0" applyFont="1"/>
    <xf numFmtId="166" fontId="15" fillId="0" borderId="0" xfId="0" applyNumberFormat="1" applyFont="1"/>
    <xf numFmtId="0" fontId="15" fillId="0" borderId="0" xfId="0" applyFont="1"/>
    <xf numFmtId="166" fontId="14" fillId="0" borderId="0" xfId="0" applyNumberFormat="1" applyFont="1"/>
    <xf numFmtId="166" fontId="0" fillId="0" borderId="0" xfId="0" applyNumberFormat="1"/>
    <xf numFmtId="0" fontId="20" fillId="0" borderId="0" xfId="0" applyFont="1"/>
    <xf numFmtId="166" fontId="13" fillId="0" borderId="0" xfId="0" applyNumberFormat="1" applyFont="1"/>
    <xf numFmtId="166" fontId="12" fillId="0" borderId="0" xfId="0" applyNumberFormat="1" applyFont="1"/>
    <xf numFmtId="166" fontId="12" fillId="0" borderId="0" xfId="1" applyNumberFormat="1" applyFont="1"/>
    <xf numFmtId="166" fontId="12" fillId="0" borderId="0" xfId="0" applyNumberFormat="1" applyFont="1"/>
    <xf numFmtId="166" fontId="12" fillId="0" borderId="0" xfId="0" applyNumberFormat="1" applyFont="1"/>
    <xf numFmtId="166" fontId="12" fillId="0" borderId="0" xfId="0" applyNumberFormat="1" applyFont="1"/>
    <xf numFmtId="169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165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6" fontId="14" fillId="0" borderId="0" xfId="1" applyNumberFormat="1" applyFont="1"/>
    <xf numFmtId="0" fontId="47" fillId="0" borderId="0" xfId="0" applyFont="1"/>
    <xf numFmtId="171" fontId="0" fillId="0" borderId="0" xfId="0" applyNumberFormat="1"/>
    <xf numFmtId="0" fontId="42" fillId="0" borderId="0" xfId="0" applyFont="1"/>
    <xf numFmtId="3" fontId="42" fillId="0" borderId="0" xfId="0" applyNumberFormat="1" applyFont="1"/>
    <xf numFmtId="171" fontId="42" fillId="0" borderId="0" xfId="0" applyNumberFormat="1" applyFont="1"/>
    <xf numFmtId="166" fontId="42" fillId="0" borderId="0" xfId="1" applyNumberFormat="1" applyFont="1"/>
    <xf numFmtId="166" fontId="42" fillId="0" borderId="0" xfId="0" applyNumberFormat="1" applyFont="1"/>
    <xf numFmtId="170" fontId="0" fillId="0" borderId="0" xfId="1" applyNumberFormat="1" applyFont="1"/>
    <xf numFmtId="170" fontId="42" fillId="0" borderId="0" xfId="0" applyNumberFormat="1" applyFont="1"/>
    <xf numFmtId="170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9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0" fillId="0" borderId="11" xfId="0" applyNumberFormat="1" applyFont="1" applyBorder="1"/>
    <xf numFmtId="166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6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6" fontId="25" fillId="0" borderId="0" xfId="1" applyNumberFormat="1" applyFont="1"/>
    <xf numFmtId="166" fontId="25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6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6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165" fontId="48" fillId="34" borderId="0" xfId="1" applyFont="1" applyFill="1"/>
    <xf numFmtId="165" fontId="25" fillId="0" borderId="11" xfId="1" applyFont="1" applyBorder="1"/>
    <xf numFmtId="0" fontId="25" fillId="0" borderId="0" xfId="0" applyFont="1" applyBorder="1"/>
    <xf numFmtId="165" fontId="25" fillId="0" borderId="0" xfId="1" applyFont="1"/>
    <xf numFmtId="165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6" fontId="25" fillId="0" borderId="0" xfId="1" applyNumberFormat="1" applyFont="1" applyFill="1"/>
    <xf numFmtId="0" fontId="48" fillId="34" borderId="14" xfId="0" applyFont="1" applyFill="1" applyBorder="1"/>
    <xf numFmtId="165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6" fontId="48" fillId="0" borderId="0" xfId="1" applyNumberFormat="1" applyFont="1"/>
    <xf numFmtId="0" fontId="48" fillId="34" borderId="0" xfId="0" applyFont="1" applyFill="1" applyAlignment="1"/>
    <xf numFmtId="165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5" fillId="0" borderId="0" xfId="1" applyNumberFormat="1" applyFont="1" applyBorder="1"/>
    <xf numFmtId="165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6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6" fontId="17" fillId="0" borderId="0" xfId="0" applyNumberFormat="1" applyFont="1"/>
    <xf numFmtId="166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165" fontId="12" fillId="0" borderId="0" xfId="46" applyFont="1"/>
    <xf numFmtId="165" fontId="52" fillId="0" borderId="0" xfId="46" applyFont="1" applyFill="1" applyAlignment="1"/>
    <xf numFmtId="165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6" fontId="52" fillId="0" borderId="0" xfId="335" applyNumberFormat="1" applyFont="1" applyFill="1" applyAlignment="1"/>
    <xf numFmtId="166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6" fontId="52" fillId="0" borderId="0" xfId="573" applyNumberFormat="1" applyFont="1" applyFill="1" applyAlignment="1"/>
    <xf numFmtId="166" fontId="4" fillId="0" borderId="0" xfId="573" applyNumberFormat="1" applyFont="1" applyFill="1"/>
    <xf numFmtId="166" fontId="52" fillId="0" borderId="0" xfId="46" applyNumberFormat="1" applyFont="1" applyFill="1" applyAlignment="1"/>
    <xf numFmtId="166" fontId="4" fillId="0" borderId="0" xfId="46" applyNumberFormat="1" applyFont="1" applyFill="1"/>
    <xf numFmtId="165" fontId="4" fillId="0" borderId="0" xfId="573" applyNumberFormat="1" applyFont="1" applyFill="1"/>
    <xf numFmtId="165" fontId="52" fillId="0" borderId="0" xfId="573" applyFont="1" applyFill="1" applyAlignment="1"/>
    <xf numFmtId="165" fontId="4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6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6" fontId="25" fillId="0" borderId="11" xfId="0" applyNumberFormat="1" applyFont="1" applyBorder="1"/>
    <xf numFmtId="10" fontId="25" fillId="0" borderId="11" xfId="43" applyNumberFormat="1" applyFont="1" applyBorder="1"/>
    <xf numFmtId="166" fontId="25" fillId="0" borderId="11" xfId="0" applyNumberFormat="1" applyFont="1" applyFill="1" applyBorder="1"/>
    <xf numFmtId="166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6" fontId="25" fillId="0" borderId="0" xfId="0" applyNumberFormat="1" applyFont="1" applyAlignment="1">
      <alignment horizontal="right"/>
    </xf>
    <xf numFmtId="0" fontId="48" fillId="0" borderId="11" xfId="0" applyFont="1" applyBorder="1"/>
    <xf numFmtId="166" fontId="48" fillId="0" borderId="11" xfId="0" applyNumberFormat="1" applyFont="1" applyBorder="1"/>
    <xf numFmtId="166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6" fontId="57" fillId="0" borderId="0" xfId="0" applyNumberFormat="1" applyFont="1" applyFill="1"/>
    <xf numFmtId="166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6" fontId="25" fillId="0" borderId="0" xfId="0" applyNumberFormat="1" applyFont="1" applyFill="1" applyAlignment="1"/>
    <xf numFmtId="0" fontId="58" fillId="0" borderId="0" xfId="0" applyFont="1"/>
    <xf numFmtId="166" fontId="59" fillId="0" borderId="0" xfId="0" applyNumberFormat="1" applyFont="1"/>
    <xf numFmtId="166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6" fontId="54" fillId="0" borderId="0" xfId="0" applyNumberFormat="1" applyFont="1"/>
    <xf numFmtId="3" fontId="48" fillId="34" borderId="0" xfId="0" applyNumberFormat="1" applyFont="1" applyFill="1"/>
    <xf numFmtId="167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7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6" fontId="48" fillId="34" borderId="0" xfId="0" applyNumberFormat="1" applyFont="1" applyFill="1"/>
    <xf numFmtId="166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9" fontId="48" fillId="34" borderId="12" xfId="0" applyNumberFormat="1" applyFont="1" applyFill="1" applyBorder="1" applyAlignment="1">
      <alignment horizontal="right"/>
    </xf>
    <xf numFmtId="169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6" fontId="25" fillId="0" borderId="0" xfId="0" applyNumberFormat="1" applyFont="1" applyFill="1" applyBorder="1" applyAlignment="1">
      <alignment horizontal="right"/>
    </xf>
    <xf numFmtId="166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6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6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6" fontId="3" fillId="0" borderId="0" xfId="1087" applyNumberFormat="1" applyFont="1" applyFill="1"/>
    <xf numFmtId="165" fontId="3" fillId="0" borderId="0" xfId="1087" applyNumberFormat="1" applyFont="1" applyFill="1"/>
    <xf numFmtId="166" fontId="25" fillId="0" borderId="0" xfId="0" applyNumberFormat="1" applyFont="1" applyFill="1"/>
    <xf numFmtId="166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166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/>
    <xf numFmtId="166" fontId="25" fillId="0" borderId="11" xfId="0" applyNumberFormat="1" applyFont="1" applyFill="1" applyBorder="1"/>
    <xf numFmtId="166" fontId="48" fillId="0" borderId="11" xfId="0" applyNumberFormat="1" applyFont="1" applyBorder="1"/>
    <xf numFmtId="167" fontId="25" fillId="0" borderId="0" xfId="0" applyNumberFormat="1" applyFont="1" applyAlignment="1">
      <alignment horizontal="right"/>
    </xf>
    <xf numFmtId="167" fontId="48" fillId="0" borderId="0" xfId="0" applyNumberFormat="1" applyFont="1"/>
    <xf numFmtId="14" fontId="25" fillId="0" borderId="0" xfId="0" applyNumberFormat="1" applyFont="1" applyFill="1" applyAlignment="1">
      <alignment horizontal="right"/>
    </xf>
    <xf numFmtId="166" fontId="48" fillId="0" borderId="0" xfId="0" applyNumberFormat="1" applyFont="1" applyFill="1"/>
    <xf numFmtId="164" fontId="0" fillId="0" borderId="0" xfId="0" applyNumberFormat="1" applyFont="1"/>
    <xf numFmtId="0" fontId="49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6" fontId="58" fillId="34" borderId="14" xfId="0" quotePrefix="1" applyNumberFormat="1" applyFont="1" applyFill="1" applyBorder="1" applyAlignment="1">
      <alignment horizontal="right"/>
    </xf>
    <xf numFmtId="166" fontId="58" fillId="34" borderId="0" xfId="0" quotePrefix="1" applyNumberFormat="1" applyFont="1" applyFill="1" applyBorder="1" applyAlignment="1">
      <alignment horizontal="right"/>
    </xf>
    <xf numFmtId="166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165" fontId="48" fillId="34" borderId="0" xfId="1" applyFont="1" applyFill="1" applyBorder="1" applyAlignment="1">
      <alignment horizontal="right" wrapText="1"/>
    </xf>
    <xf numFmtId="165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167" fontId="25" fillId="0" borderId="0" xfId="1" applyNumberFormat="1" applyFont="1" applyFill="1"/>
  </cellXfs>
  <cellStyles count="2147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N11" sqref="N11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43343</v>
      </c>
    </row>
    <row r="7" spans="1:12" x14ac:dyDescent="0.2">
      <c r="A7" s="107" t="str">
        <f>"Market Profile - "&amp; TEXT($H$3,"MMM")&amp;" "&amp;TEXT($H$3,"YYYY")</f>
        <v>Market Profile - Aug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Aug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6141382</v>
      </c>
      <c r="C16" s="127">
        <f>Data!D5</f>
        <v>44285230</v>
      </c>
      <c r="D16" s="249">
        <f>Data!D8</f>
        <v>45956500</v>
      </c>
      <c r="E16" s="286">
        <f>(C16-D16)/ABS(D16)</f>
        <v>-3.6366346436303897E-2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6420.2727009999999</v>
      </c>
      <c r="C17" s="127">
        <f>Data!B5/1000000</f>
        <v>57955.591972000002</v>
      </c>
      <c r="D17" s="249">
        <f>Data!B8/1000000</f>
        <v>51484.685566</v>
      </c>
      <c r="E17" s="286">
        <f t="shared" ref="E17:E18" si="0">(C17-D17)/ABS(D17)</f>
        <v>0.12568604304098785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450437.47016126488</v>
      </c>
      <c r="C18" s="127">
        <f>Data!C5/1000000</f>
        <v>3763010.9948245711</v>
      </c>
      <c r="D18" s="249">
        <f>Data!C8/1000000</f>
        <v>3414620.2668668581</v>
      </c>
      <c r="E18" s="286">
        <f t="shared" si="0"/>
        <v>0.10202912790574652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1116</v>
      </c>
      <c r="C21" s="127">
        <f>Data!F5</f>
        <v>17244</v>
      </c>
      <c r="D21" s="249">
        <f>Data!F8</f>
        <v>23436</v>
      </c>
      <c r="E21" s="286">
        <f>(C21-D21)/ABS(D21)</f>
        <v>-0.2642089093701997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556.56680600000004</v>
      </c>
      <c r="C22" s="127">
        <f>Data!G5/1000000</f>
        <v>5809.2851819999996</v>
      </c>
      <c r="D22" s="249">
        <f>Data!G8/1000000</f>
        <v>4463.621725</v>
      </c>
      <c r="E22" s="286">
        <f t="shared" ref="E22:E23" si="1">(C22-D22)/ABS(D22)</f>
        <v>0.30147345360005828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18963.926128634881</v>
      </c>
      <c r="C23" s="128">
        <f>Data!H5/1000000</f>
        <v>252376.83691047641</v>
      </c>
      <c r="D23" s="290">
        <f>Data!H8/1000000</f>
        <v>218290.63329431304</v>
      </c>
      <c r="E23" s="291">
        <f t="shared" si="1"/>
        <v>0.15615055534795316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Aug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78808.201042999994</v>
      </c>
      <c r="C29" s="249">
        <f>Data!O5/1000000</f>
        <v>767955.81107474002</v>
      </c>
      <c r="D29" s="249">
        <f>Data!O8/1000000</f>
        <v>584644.79818597995</v>
      </c>
      <c r="E29" s="195">
        <f>C29-D29</f>
        <v>183311.01288876007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-92739.711725910005</v>
      </c>
      <c r="C30" s="249">
        <f>Data!P5/1000000</f>
        <v>-767879.66990790004</v>
      </c>
      <c r="D30" s="249">
        <f>Data!P8/1000000</f>
        <v>-649800.53140168008</v>
      </c>
      <c r="E30" s="195">
        <f>C30-D30</f>
        <v>-118079.13850621996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-13931.51068291</v>
      </c>
      <c r="C31" s="298">
        <f>Data!Q5/1000000</f>
        <v>76.141166839999997</v>
      </c>
      <c r="D31" s="298">
        <f>Data!Q8/1000000</f>
        <v>-65155.733215699998</v>
      </c>
      <c r="E31" s="299">
        <f>C31-D31</f>
        <v>65231.874382540002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Aug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27789</v>
      </c>
      <c r="C38" s="287">
        <f>Data!CK6</f>
        <v>210606</v>
      </c>
      <c r="D38" s="287">
        <f>Data!CK11</f>
        <v>185939</v>
      </c>
      <c r="E38" s="286">
        <f t="shared" ref="E38:E40" si="2">IFERROR(IF(OR(AND(D38="",C38=""),AND(D38=0,C38=0)),"",
IF(OR(D38="",D38=0),1,
IF(OR(D38&lt;&gt;"",D38&lt;&gt;0),(C38-D38)/ABS(D38)))),-1)</f>
        <v>0.13266178693012223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768216.75849499996</v>
      </c>
      <c r="C39" s="287">
        <f>Data!CK7/1000000</f>
        <v>6321223.4751030002</v>
      </c>
      <c r="D39" s="287">
        <f>Data!CK12/1000000</f>
        <v>4875154.8236039998</v>
      </c>
      <c r="E39" s="286">
        <f t="shared" si="2"/>
        <v>0.29662004671063591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789985.16576178267</v>
      </c>
      <c r="C40" s="287">
        <f>Data!CK8/1000000</f>
        <v>6573239.6354010394</v>
      </c>
      <c r="D40" s="287">
        <f>Data!CK13/1000000</f>
        <v>5135697.7041120501</v>
      </c>
      <c r="E40" s="286">
        <f t="shared" si="2"/>
        <v>0.27991171095175216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14418</v>
      </c>
      <c r="C43" s="287">
        <f>Data!CN6</f>
        <v>106403</v>
      </c>
      <c r="D43" s="287">
        <f>Data!CN11</f>
        <v>103106</v>
      </c>
      <c r="E43" s="286">
        <f t="shared" ref="E43:E45" si="3">IFERROR(IF(OR(AND(D43="",C43=""),AND(D43=0,C43=0)),"",
IF(OR(D43="",D43=0),1,
IF(OR(D43&lt;&gt;"",D43&lt;&gt;0),(C43-D43)/ABS(D43)))),-1)</f>
        <v>3.1976800574166395E-2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1958835.1425399999</v>
      </c>
      <c r="C44" s="287">
        <f>Data!CN7/1000000</f>
        <v>13752444.801844999</v>
      </c>
      <c r="D44" s="287">
        <f>Data!CN12/1000000</f>
        <v>12714561.004511001</v>
      </c>
      <c r="E44" s="286">
        <f t="shared" si="3"/>
        <v>8.162954245654E-2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1856558.0433499198</v>
      </c>
      <c r="C45" s="287">
        <f>Data!CN8/1000000</f>
        <v>13617417.341266451</v>
      </c>
      <c r="D45" s="287">
        <f>Data!CN13/1000000</f>
        <v>12419334.765618928</v>
      </c>
      <c r="E45" s="286">
        <f t="shared" si="3"/>
        <v>9.6469142531227695E-2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801</v>
      </c>
      <c r="C48" s="127">
        <f>Data!CQ6</f>
        <v>5619</v>
      </c>
      <c r="D48" s="249">
        <f>Data!CQ11</f>
        <v>4785</v>
      </c>
      <c r="E48" s="286">
        <f t="shared" ref="E48:E50" si="4">IFERROR(IF(OR(AND(D48="",C48=""),AND(D48=0,C48=0)),"",
IF(OR(D48="",D48=0),1,
IF(OR(D48&lt;&gt;"",D48&lt;&gt;0),(C48-D48)/ABS(D48)))),-1)</f>
        <v>0.17429467084639499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46816.973835999997</v>
      </c>
      <c r="C49" s="127">
        <f>Data!CQ7/1000000</f>
        <v>401492.61738100002</v>
      </c>
      <c r="D49" s="249">
        <f>Data!CQ12/1000000</f>
        <v>321874.70344299998</v>
      </c>
      <c r="E49" s="286">
        <f t="shared" si="4"/>
        <v>0.24735685372708821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14847.256643439998</v>
      </c>
      <c r="C50" s="128">
        <f>Data!CQ8/1000000</f>
        <v>124228.28695008002</v>
      </c>
      <c r="D50" s="290">
        <f>Data!CQ13/1000000</f>
        <v>91085.934594739971</v>
      </c>
      <c r="E50" s="291">
        <f t="shared" si="4"/>
        <v>0.36385806988529212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Aug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79468.959858000002</v>
      </c>
      <c r="C57" s="287">
        <f>(SUMIFS(Data!$CZ$1:$CZ$12,Data!$CU$1:$CU$12,"Standard Trade")+SUMIFS(Data!$CZ$1:$CZ$12,Data!$CU$1:$CU$12,"Standard Trade (Spot)"))/1000000</f>
        <v>777802.34847099998</v>
      </c>
      <c r="D57" s="287">
        <f>(SUMIFS(Data!$CZ$27:$CZ$38,Data!$CU$27:$CU$38,"Standard Trade")+SUMIFS(Data!$CZ$27:$CZ$38,Data!$CU$27:$CU$38,"Standard Trade (Spot)"))/1000000</f>
        <v>662749.33953500004</v>
      </c>
      <c r="E57" s="195">
        <f>C57-D57</f>
        <v>115053.00893599994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97797.874276000002</v>
      </c>
      <c r="C58" s="287">
        <f>(SUMIFS(Data!$DC$1:$DC$12,Data!$CU$1:$CU$12,"Standard Trade")+SUMIFS(Data!$DC$1:$DC$12,Data!$CU$1:$CU$12,"Standard Trade (Spot)"))/1000000</f>
        <v>824686.33796899999</v>
      </c>
      <c r="D58" s="287">
        <f>(SUMIFS(Data!$DC$27:$DC$38,Data!$CU$27:$CU$38,"Standard Trade")+SUMIFS(Data!$DC$27:$DC$38,Data!$CU$27:$CU$38,"Standard Trade (Spot)"))/1000000</f>
        <v>608812.70821199997</v>
      </c>
      <c r="E58" s="195">
        <f>C58-D58</f>
        <v>215873.62975700002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-18328.914418</v>
      </c>
      <c r="C59" s="298">
        <f t="shared" ref="C59" si="5">C57-C58</f>
        <v>-46883.98949800001</v>
      </c>
      <c r="D59" s="298">
        <f>D57-D58</f>
        <v>53936.631323000067</v>
      </c>
      <c r="E59" s="298">
        <f>E57-E58</f>
        <v>-100820.62082100008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Aug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289790</v>
      </c>
      <c r="C67" s="249">
        <f>Data!BR2</f>
        <v>2202793</v>
      </c>
      <c r="D67" s="249">
        <f>Data!BR8</f>
        <v>2141542</v>
      </c>
      <c r="E67" s="286">
        <f>IFERROR(IF(OR(AND(D67="",C67=""),AND(D67=0,C67=0)),"",
IF(OR(D67="",D67=0),1,
IF(OR(D67&lt;&gt;"",D67&lt;&gt;0),(C67-D67)/ABS(D67)))),-1)</f>
        <v>2.8601353604085281E-2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2315.5650000000001</v>
      </c>
      <c r="C68" s="249">
        <f>Data!BQ2/1000</f>
        <v>68436.544999999998</v>
      </c>
      <c r="D68" s="249">
        <f>Data!BQ8/1000</f>
        <v>184450.185</v>
      </c>
      <c r="E68" s="286">
        <f t="shared" ref="E68:E70" si="6">IFERROR(IF(OR(AND(D68="",C68=""),AND(D68=0,C68=0)),"",
IF(OR(D68="",D68=0),1,
IF(OR(D68&lt;&gt;"",D68&lt;&gt;0),(C68-D68)/ABS(D68)))),-1)</f>
        <v>-0.62897003871262047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346.32028471436257</v>
      </c>
      <c r="C69" s="249">
        <f>Data!BP2/1000000000</f>
        <v>3710.9477102439737</v>
      </c>
      <c r="D69" s="249">
        <f>Data!BP8/1000000000</f>
        <v>3661.6658005744125</v>
      </c>
      <c r="E69" s="286">
        <f t="shared" si="6"/>
        <v>1.3458877012159391E-2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6807367</v>
      </c>
      <c r="C70" s="249">
        <f>B70</f>
        <v>6807367</v>
      </c>
      <c r="D70" s="249">
        <f>Data!BP14</f>
        <v>29586063</v>
      </c>
      <c r="E70" s="286">
        <f t="shared" si="6"/>
        <v>-0.76991304993841192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1313</v>
      </c>
      <c r="C73" s="249">
        <f>Data!BR5</f>
        <v>8111</v>
      </c>
      <c r="D73" s="249">
        <f>Data!BR11</f>
        <v>17648</v>
      </c>
      <c r="E73" s="286">
        <f t="shared" ref="E73:E76" si="7">IFERROR(IF(OR(AND(D73="",C73=""),AND(D73=0,C73=0)),"",
IF(OR(D73="",D73=0),1,
IF(OR(D73&lt;&gt;"",D73&lt;&gt;0),(C73-D73)/ABS(D73)))),-1)</f>
        <v>-0.54040117860380776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930.08799999999997</v>
      </c>
      <c r="C74" s="249">
        <f>Data!BQ5/1000</f>
        <v>9754.1370000000006</v>
      </c>
      <c r="D74" s="249">
        <f>Data!BQ11/1000</f>
        <v>12948.093000000001</v>
      </c>
      <c r="E74" s="286">
        <f t="shared" si="7"/>
        <v>-0.24667385382542434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3.0660142186699999</v>
      </c>
      <c r="C75" s="249">
        <f>Data!BP5/1000000000</f>
        <v>23.68443143735</v>
      </c>
      <c r="D75" s="249">
        <f>Data!BP11/1000000000</f>
        <v>28.023621297609999</v>
      </c>
      <c r="E75" s="286">
        <f t="shared" si="7"/>
        <v>-0.15484044029063682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2524960</v>
      </c>
      <c r="C76" s="249">
        <f>B76</f>
        <v>2524960</v>
      </c>
      <c r="D76" s="249">
        <f>Data!BP17</f>
        <v>3809688</v>
      </c>
      <c r="E76" s="286">
        <f t="shared" si="7"/>
        <v>-0.33722656553502545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Aug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Aug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495</v>
      </c>
      <c r="C103" s="249">
        <f>Data!BR32</f>
        <v>9233</v>
      </c>
      <c r="D103" s="249">
        <f>Data!BR38</f>
        <v>8435</v>
      </c>
      <c r="E103" s="286">
        <f t="shared" ref="E103:E106" si="8">IFERROR(IF(OR(AND(D103="",C103=""),AND(D103=0,C103=0)),"",
IF(OR(D103="",D103=0),1,
IF(OR(D103&lt;&gt;"",D103&lt;&gt;0),(C103-D103)/ABS(D103)))),-1)</f>
        <v>9.4605809128630702E-2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707022</v>
      </c>
      <c r="C104" s="249">
        <f>Data!BQ32</f>
        <v>9038089</v>
      </c>
      <c r="D104" s="249">
        <f>Data!BQ38</f>
        <v>8269877</v>
      </c>
      <c r="E104" s="286">
        <f t="shared" si="8"/>
        <v>9.2892796349933623E-2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71421.552653509993</v>
      </c>
      <c r="C105" s="249">
        <f>Data!BP32/1000000</f>
        <v>1003951.6484644399</v>
      </c>
      <c r="D105" s="249">
        <f>Data!BP38/1000000</f>
        <v>932976.45934285014</v>
      </c>
      <c r="E105" s="286">
        <f t="shared" si="8"/>
        <v>7.6073933496223198E-2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836037</v>
      </c>
      <c r="C106" s="249">
        <f>B106</f>
        <v>836037</v>
      </c>
      <c r="D106" s="249">
        <f>Data!BP44</f>
        <v>982329</v>
      </c>
      <c r="E106" s="286">
        <f t="shared" si="8"/>
        <v>-0.14892362945611909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54</v>
      </c>
      <c r="C109" s="127">
        <f>Data!BR35</f>
        <v>520</v>
      </c>
      <c r="D109" s="127">
        <f>Data!BR41</f>
        <v>480</v>
      </c>
      <c r="E109" s="286">
        <f t="shared" ref="E109:E112" si="9">IFERROR(IF(OR(AND(D109="",C109=""),AND(D109=0,C109=0)),"",
IF(OR(D109="",D109=0),1,
IF(OR(D109&lt;&gt;"",D109&lt;&gt;0),(C109-D109)/ABS(D109)))),-1)</f>
        <v>8.3333333333333329E-2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17260</v>
      </c>
      <c r="C110" s="127">
        <f>Data!BQ35</f>
        <v>250269</v>
      </c>
      <c r="D110" s="127">
        <f>Data!BQ41</f>
        <v>160919</v>
      </c>
      <c r="E110" s="286">
        <f t="shared" si="9"/>
        <v>0.55524829261926811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1425.5292257999999</v>
      </c>
      <c r="C111" s="127">
        <f>Data!BP35/1000000</f>
        <v>25048.871635919997</v>
      </c>
      <c r="D111" s="127">
        <f>Data!BP41/1000000</f>
        <v>15285.62716025</v>
      </c>
      <c r="E111" s="286">
        <f t="shared" si="9"/>
        <v>0.63872056889226891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61660</v>
      </c>
      <c r="C112" s="128">
        <f>B112</f>
        <v>61660</v>
      </c>
      <c r="D112" s="128">
        <f>Data!BP47</f>
        <v>70896</v>
      </c>
      <c r="E112" s="291">
        <f t="shared" si="9"/>
        <v>-0.13027533288196796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Aug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5706</v>
      </c>
      <c r="C121" s="249">
        <f>Data!BR60</f>
        <v>33206</v>
      </c>
      <c r="D121" s="249">
        <f>Data!BR66</f>
        <v>42412</v>
      </c>
      <c r="E121" s="286">
        <f t="shared" ref="E121:E123" si="10">IFERROR(IF(OR(AND(D121="",C121=""),AND(D121=0,C121=0)),"",
IF(OR(D121="",D121=0),1,
IF(OR(D121&lt;&gt;"",D121&lt;&gt;0),(C121-D121)/ABS(D121)))),-1)</f>
        <v>-0.21706120909176649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3915412</v>
      </c>
      <c r="C122" s="249">
        <f>Data!BQ60</f>
        <v>27622964</v>
      </c>
      <c r="D122" s="249">
        <f>Data!BQ66</f>
        <v>30551256</v>
      </c>
      <c r="E122" s="286">
        <f t="shared" si="10"/>
        <v>-9.5848498012651259E-2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57133.958095800001</v>
      </c>
      <c r="C123" s="249">
        <f>Data!BP60/1000000</f>
        <v>367427.67295152892</v>
      </c>
      <c r="D123" s="249">
        <f>Data!BP66/1000000</f>
        <v>414285.59646179999</v>
      </c>
      <c r="E123" s="286">
        <f t="shared" si="10"/>
        <v>-0.11310536477845348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1664596</v>
      </c>
      <c r="C124" s="249">
        <f>B124</f>
        <v>1664596</v>
      </c>
      <c r="D124" s="249">
        <f>VLOOKUP("Future",Data!$BP$71:$BQ$73,2,FALSE)</f>
        <v>1998795</v>
      </c>
      <c r="E124" s="286">
        <f>IFERROR(IF(OR(AND(D124="",C124=""),AND(D124=0,C124=0)),"",
IF(OR(D124="",D124=0),1,
IF(OR(D124&lt;&gt;"",D124&lt;&gt;0),(C124-D124)/ABS(D124)))),-1)</f>
        <v>-0.16720023814348145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504</v>
      </c>
      <c r="C127" s="249">
        <f>Data!BR63</f>
        <v>2222</v>
      </c>
      <c r="D127" s="249">
        <f>Data!BR69</f>
        <v>2196</v>
      </c>
      <c r="E127" s="286">
        <f t="shared" ref="E127:E129" si="11">IFERROR(IF(OR(AND(D127="",C127=""),AND(D127=0,C127=0)),"",
IF(OR(D127="",D127=0),1,
IF(OR(D127&lt;&gt;"",D127&lt;&gt;0),(C127-D127)/ABS(D127)))),-1)</f>
        <v>1.1839708561020037E-2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5145583</v>
      </c>
      <c r="C128" s="249">
        <f>Data!BQ63</f>
        <v>18497398</v>
      </c>
      <c r="D128" s="249">
        <f>Data!BQ69</f>
        <v>10058588</v>
      </c>
      <c r="E128" s="286">
        <f t="shared" si="11"/>
        <v>0.83896566794464589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81991.289376800007</v>
      </c>
      <c r="C129" s="249">
        <f>Data!BP63/1000000</f>
        <v>318700.00003562501</v>
      </c>
      <c r="D129" s="249">
        <f>Data!BP69/1000000</f>
        <v>139708.32058850001</v>
      </c>
      <c r="E129" s="286">
        <f t="shared" si="11"/>
        <v>1.2811812402665055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5936737</v>
      </c>
      <c r="C130" s="249">
        <f>MarketProfile!B130</f>
        <v>5936737</v>
      </c>
      <c r="D130" s="249">
        <f>VLOOKUP("Option",Data!$BP$71:$BQ$73,2,FALSE)</f>
        <v>3151672</v>
      </c>
      <c r="E130" s="286">
        <f>IFERROR(IF(OR(AND(D130="",C130=""),AND(D130=0,C130=0)),"",
IF(OR(D130="",D130=0),1,
IF(OR(D130&lt;&gt;"",D130&lt;&gt;0),(C130-D130)/ABS(D130)))),-1)</f>
        <v>0.88367856807434275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Aug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43787</v>
      </c>
      <c r="C138" s="249">
        <f>Data!BR76</f>
        <v>265051</v>
      </c>
      <c r="D138" s="249">
        <f>Data!BR82</f>
        <v>234846</v>
      </c>
      <c r="E138" s="286">
        <f>IFERROR(IF(OR(AND(D138="",C138=""),AND(D138=0,C138=0)),"",
IF(OR(D138="",D138=0),1,
IF(OR(D138&lt;&gt;"",D138&lt;&gt;0),(C138-D138)/ABS(D138)))),-1)</f>
        <v>0.12861619955204687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283.41699999999997</v>
      </c>
      <c r="C139" s="249">
        <f>Data!BQ76</f>
        <v>2022276</v>
      </c>
      <c r="D139" s="249">
        <f>Data!BQ82</f>
        <v>1868754</v>
      </c>
      <c r="E139" s="286">
        <f t="shared" ref="E139:E141" si="12">IFERROR(IF(OR(AND(D139="",C139=""),AND(D139=0,C139=0)),"",
IF(OR(D139="",D139=0),1,
IF(OR(D139&lt;&gt;"",D139&lt;&gt;0),(C139-D139)/ABS(D139)))),-1)</f>
        <v>8.2152064958790724E-2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64566.763885603999</v>
      </c>
      <c r="C140" s="249">
        <f>Data!BP76/1000000</f>
        <v>424269.13519029896</v>
      </c>
      <c r="D140" s="249">
        <f>Data!BP82/1000000</f>
        <v>391982.73777414899</v>
      </c>
      <c r="E140" s="286">
        <f t="shared" si="12"/>
        <v>8.2366885846775761E-2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148208</v>
      </c>
      <c r="C141" s="249">
        <f>B141</f>
        <v>148208</v>
      </c>
      <c r="D141" s="249">
        <f>Data!BP88</f>
        <v>132208</v>
      </c>
      <c r="E141" s="286">
        <f t="shared" si="12"/>
        <v>0.12102142079148009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3375</v>
      </c>
      <c r="C144" s="249">
        <f>Data!BR79</f>
        <v>19257</v>
      </c>
      <c r="D144" s="249">
        <f>Data!BR85</f>
        <v>19336</v>
      </c>
      <c r="E144" s="286">
        <f>IFERROR(IF(OR(AND(D144="",C144=""),AND(D144=0,C144=0)),"",
IF(OR(D144="",D144=0),1,
IF(OR(D144&lt;&gt;"",D144&lt;&gt;0),(C144-D144)/ABS(D144)))),-1)</f>
        <v>-4.0856433595366157E-3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42.783999999999999</v>
      </c>
      <c r="C145" s="249">
        <f>Data!BQ79</f>
        <v>203482</v>
      </c>
      <c r="D145" s="249">
        <f>Data!BQ85</f>
        <v>191220</v>
      </c>
      <c r="E145" s="286">
        <f t="shared" ref="E145:E146" si="13">IFERROR(IF(OR(AND(D145="",C145=""),AND(D145=0,C145=0)),"",
IF(OR(D145="",D145=0),1,
IF(OR(D145&lt;&gt;"",D145&lt;&gt;0),(C145-D145)/ABS(D145)))),-1)</f>
        <v>6.4125091517623675E-2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453.90193625000001</v>
      </c>
      <c r="C146" s="249">
        <f>Data!BP79/1000000</f>
        <v>1624.80432242999</v>
      </c>
      <c r="D146" s="249">
        <f>Data!BP85/1000000</f>
        <v>2267.6882079699899</v>
      </c>
      <c r="E146" s="286">
        <f t="shared" si="13"/>
        <v>-0.28349747698141564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57272</v>
      </c>
      <c r="C147" s="249">
        <f>B147</f>
        <v>57272</v>
      </c>
      <c r="D147" s="249">
        <f>Data!BP91</f>
        <v>44610</v>
      </c>
      <c r="E147" s="286">
        <f>IFERROR(IF(OR(AND(D147="",C147=""),AND(D147=0,C147=0)),"",
IF(OR(D147="",D147=0),1,
IF(OR(D147&lt;&gt;"",D147&lt;&gt;0),(C147-D147)/ABS(D147)))),-1)</f>
        <v>0.28383770455054919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Aug 2018</v>
      </c>
      <c r="C153" s="282" t="str">
        <f>TEXT(DATE(2000,TEXT(H3,"M")-1,1),"mmm")&amp; " "&amp; TEXT(H3,"YYYY")</f>
        <v>Jul 2018</v>
      </c>
      <c r="D153" s="284" t="s">
        <v>121</v>
      </c>
      <c r="E153" s="282"/>
      <c r="F153" s="282"/>
      <c r="G153" s="282" t="str">
        <f>TEXT($H$3,"MMM")&amp;" "&amp;TEXT($H$3,"YYYY")</f>
        <v>Aug 2018</v>
      </c>
      <c r="H153" s="282" t="str">
        <f>TEXT($H$3,"MMM")&amp;" "&amp;TEXT($H$3,"YYYY")-1</f>
        <v>Aug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187142.21004305026</v>
      </c>
      <c r="C154" s="322">
        <f>VLOOKUP("ABuy",Data!$J$7:$M$11,4,FALSE)/1000000</f>
        <v>158614.87811749533</v>
      </c>
      <c r="D154" s="186">
        <f>((B154/C154)-1)</f>
        <v>0.1798528124481682</v>
      </c>
      <c r="E154" s="322"/>
      <c r="F154" s="322"/>
      <c r="G154" s="322">
        <f>VLOOKUP("Abuy",Data!$J$13:$M$17,4,FALSE)/1000000</f>
        <v>177575.70834211001</v>
      </c>
      <c r="H154" s="322">
        <f>VLOOKUP("Abuy",Data!$J$19:$M$23,4,FALSE)/1000000</f>
        <v>148730.62036095999</v>
      </c>
      <c r="I154" s="200">
        <f>((G154/H154)-1)</f>
        <v>0.19394182523507797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202871.97803231468</v>
      </c>
      <c r="C155" s="322">
        <f>VLOOKUP("Asell",Data!$J$7:$M$11,4,FALSE)/1000000</f>
        <v>155303.34720278191</v>
      </c>
      <c r="D155" s="200">
        <f t="shared" ref="D155:D157" si="14">((B155/C155)-1)</f>
        <v>0.30629494911929811</v>
      </c>
      <c r="E155" s="322"/>
      <c r="F155" s="322"/>
      <c r="G155" s="322">
        <f>VLOOKUP("Asell",Data!$J$13:$M$17,4,FALSE)/1000000</f>
        <v>194105.95337912996</v>
      </c>
      <c r="H155" s="322">
        <f>VLOOKUP("Asell",Data!$J$19:$M$23,4,FALSE)/1000000</f>
        <v>146115.88934876001</v>
      </c>
      <c r="I155" s="200">
        <f t="shared" ref="I155:I157" si="15">((G155/H155)-1)</f>
        <v>0.32843836658875469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263295.26011821459</v>
      </c>
      <c r="C156" s="322">
        <f>VLOOKUP("Pbuy",Data!$J$7:$M$11,4,FALSE)/1000000</f>
        <v>212592.58771271264</v>
      </c>
      <c r="D156" s="200">
        <f t="shared" si="14"/>
        <v>0.23849689658051054</v>
      </c>
      <c r="E156" s="322"/>
      <c r="F156" s="322"/>
      <c r="G156" s="322">
        <f>VLOOKUP("Pbuy",Data!$J$13:$M$17,4,FALSE)/1000000</f>
        <v>253897.83569051998</v>
      </c>
      <c r="H156" s="322">
        <f>VLOOKUP("Pbuy",Data!$J$19:$M$23,4,FALSE)/1000000</f>
        <v>189982.73386472001</v>
      </c>
      <c r="I156" s="200">
        <f t="shared" si="15"/>
        <v>0.33642584526292607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247565.49212895019</v>
      </c>
      <c r="C157" s="322">
        <f>VLOOKUP("Psell",Data!$J$7:$M$11,4,FALSE)/1000000</f>
        <v>215904.11862742607</v>
      </c>
      <c r="D157" s="200">
        <f t="shared" si="14"/>
        <v>0.14664552812982889</v>
      </c>
      <c r="E157" s="322"/>
      <c r="F157" s="322"/>
      <c r="G157" s="322">
        <f>VLOOKUP("Psell",Data!$J$13:$M$17,4,FALSE)/1000000</f>
        <v>237367.5906535</v>
      </c>
      <c r="H157" s="322">
        <f>VLOOKUP("Psell",Data!$J$19:$M$23,4,FALSE)/1000000</f>
        <v>192597.46487692001</v>
      </c>
      <c r="I157" s="200">
        <f t="shared" si="15"/>
        <v>0.23245438773137783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534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Aug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July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Jul 2018</v>
      </c>
      <c r="C183" s="284" t="s">
        <v>16</v>
      </c>
      <c r="D183" s="320" t="str">
        <f>TEXT(DATE(2000,TEXT(H3,"M")-1,1),"mmm")&amp; " "&amp; TEXT(H3,"YYYY")-1</f>
        <v>Jul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1097980.86431962</v>
      </c>
      <c r="C184" s="345">
        <v>17</v>
      </c>
      <c r="D184" s="369">
        <v>1116293.0649025601</v>
      </c>
      <c r="E184" s="345">
        <v>16</v>
      </c>
      <c r="F184" s="3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28238.153450584261</v>
      </c>
      <c r="C185" s="345">
        <v>21</v>
      </c>
      <c r="D185" s="369">
        <v>27912.685986357188</v>
      </c>
      <c r="E185" s="345">
        <v>18</v>
      </c>
      <c r="F185" s="3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0.38824760426357019</v>
      </c>
      <c r="C186" s="345">
        <v>26</v>
      </c>
      <c r="D186" s="403">
        <v>0.32331158903456342</v>
      </c>
      <c r="E186" s="345">
        <v>30</v>
      </c>
      <c r="F186" s="3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0.28160372064736627</v>
      </c>
      <c r="C187" s="345">
        <v>27</v>
      </c>
      <c r="D187" s="403">
        <v>0.28128920637887755</v>
      </c>
      <c r="E187" s="345">
        <v>30</v>
      </c>
      <c r="F187" s="3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Aug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3443.8977248800002</v>
      </c>
      <c r="D197" s="361">
        <f>SUMIF(Data!$DM$1:$DM$15,"AS",Data!$DN$1:$DN$15)/1000000</f>
        <v>14852.32955658</v>
      </c>
      <c r="E197" s="363">
        <f>IFERROR(IF(OR(AND(D197="",C197=""),AND(D197=0,C197=0)),0,
IF(OR(D197="",D197=0),1,
IF(OR(D197&lt;&gt;"",D197&lt;&gt;0),(C197-D197)/ABS(D197)))),-1)</f>
        <v>-0.76812407025036311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600</v>
      </c>
      <c r="C198" s="361">
        <f>(SUMIF(Data!$DJ$1:$DJ$15,"RT",Data!$DK$1:$DK$15)+SUMIF(Data!$DJ$1:$DJ$15,"TU",Data!$DK$1:$DK$15))/1000000</f>
        <v>4162.3845466599996</v>
      </c>
      <c r="D198" s="361">
        <f>(SUMIF(Data!$DM$1:$DM$15,"RT",Data!$DN$1:$DN$15)+SUMIF(Data!$DM$1:$DM$15,"TU",Data!$DN$1:$DN$15))/1000000</f>
        <v>27933.846667669997</v>
      </c>
      <c r="E198" s="363">
        <f t="shared" ref="E198:E201" si="16">IFERROR(IF(OR(AND(D198="",C198=""),AND(D198=0,C198=0)),0,
IF(OR(D198="",D198=0),1,
IF(OR(D198&lt;&gt;"",D198&lt;&gt;0),(C198-D198)/ABS(D198)))),-1)</f>
        <v>-0.85099135839828854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537</v>
      </c>
      <c r="G199" s="185" t="s">
        <v>535</v>
      </c>
      <c r="H199" s="185" t="s">
        <v>536</v>
      </c>
      <c r="I199" s="185" t="s">
        <v>536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162.34606195000001</v>
      </c>
      <c r="C200" s="361">
        <f>(SUMIF(Data!$DJ$1:$DJ$15,"SO",Data!$DK$1:$DK$15)+SUMIF(Data!$DJ$1:$DJ$15,"SS",Data!$DK$1:$DK$15))/1000000</f>
        <v>4366.6376702799998</v>
      </c>
      <c r="D200" s="361">
        <f>(SUMIF(Data!$DM$1:$DM$15,"SO",Data!$DN$1:$DN$15)+SUMIF(Data!$DM$1:$DM$15,"SS",Data!$DN$1:$DN$15))/1000000</f>
        <v>5859.3372427700006</v>
      </c>
      <c r="E200" s="363">
        <f t="shared" si="16"/>
        <v>-0.25475570199204428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388.14990712000002</v>
      </c>
      <c r="C201" s="361">
        <f>(SUMIF(Data!$DJ$1:$DJ$15,"SI",Data!$DK$1:$DK$15)+SUMIF(Data!$DJ$1:$DJ$15,"GI",Data!$DK$1:$DK$15))/1000000</f>
        <v>16272.77965491</v>
      </c>
      <c r="D201" s="361">
        <f>(SUMIF(Data!$DM$1:$DM$15,"SI",Data!$DN$1:$DN$15)+SUMIF(Data!$DM$1:$DM$15,"GI",Data!$DN$1:$DN$15))/1000000</f>
        <v>23369.179953400002</v>
      </c>
      <c r="E201" s="363">
        <f t="shared" si="16"/>
        <v>-0.30366492588275612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1150.49596907</v>
      </c>
      <c r="C202" s="362">
        <f>SUM(C197:C201)</f>
        <v>28245.699596730003</v>
      </c>
      <c r="D202" s="362">
        <f>SUM(D197:D201)</f>
        <v>72014.693420419993</v>
      </c>
      <c r="E202" s="364">
        <f>IFERROR(IF(OR(AND(D202="",C202=""),AND(D202=0,C202=0)),0,
IF(OR(D202="",D202=0),1,
IF(OR(D202&lt;&gt;"",D202&lt;&gt;0),(C202-D202)/ABS(D202)))),-1)</f>
        <v>-0.60777865939340592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Aug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0.34279999999999999</v>
      </c>
      <c r="C210" s="286">
        <v>0.38490000000000002</v>
      </c>
      <c r="D210" s="286">
        <v>0.33950000000000002</v>
      </c>
      <c r="E210" s="286">
        <f>IFERROR(IF(OR(AND(D210="",C210=""),AND(D210=0,C210=0)),"",
IF(OR(D210="",D210=0),1,
IF(OR(D210&lt;&gt;"",D210&lt;&gt;0),(C210-D210)/ABS(D210)))),-1)</f>
        <v>0.13372606774668627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0.32850000000000001</v>
      </c>
      <c r="C211" s="286">
        <v>0.3574</v>
      </c>
      <c r="D211" s="286">
        <v>0.31740000000000002</v>
      </c>
      <c r="E211" s="286">
        <f>IFERROR(IF(OR(AND(D211="",C211=""),AND(D211=0,C211=0)),"",
IF(OR(D211="",D211=0),1,
IF(OR(D211&lt;&gt;"",D211&lt;&gt;0),(C211-D211)/ABS(D211)))),-1)</f>
        <v>0.12602394454946433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Aug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325</v>
      </c>
      <c r="C221" s="249">
        <f>SUMIF(Data!$BT$9:$BT$14,"&lt;&gt;AltX",Data!BU9:BU14)</f>
        <v>325</v>
      </c>
      <c r="D221" s="249">
        <f>SUMIF(Data!$BT$17:$BT$23,"&lt;&gt;AltX",Data!$BU$17:$BU$24)</f>
        <v>320</v>
      </c>
      <c r="E221" s="286">
        <f>IFERROR(IF(OR(AND(D221="",C221=""),AND(D221=0,C221=0)),"",
IF(OR(D221="",D221=0),1,
IF(OR(D221&lt;&gt;"",D221&lt;&gt;0),(C221-D221)/ABS(D221)))),-1)</f>
        <v>1.5625E-2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9</v>
      </c>
      <c r="D222" s="249">
        <f>SUMIF(Data!$BT$17:$BT$23,"&lt;&gt;AltX",Data!$BV$17:$BV$23)</f>
        <v>6</v>
      </c>
      <c r="E222" s="286">
        <f t="shared" ref="E222:E223" si="17">IFERROR(IF(OR(AND(D222="",C222=""),AND(D222=0,C222=0)),"",
IF(OR(D222="",D222=0),1,
IF(OR(D222&lt;&gt;"",D222&lt;&gt;0),(C222-D222)/ABS(D222)))),-1)</f>
        <v>0.5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8</v>
      </c>
      <c r="D223" s="249">
        <f>SUMIF(Data!$BT$17:$BT$23,"&lt;&gt;AltX",Data!$BW$17:$BW$23)</f>
        <v>19</v>
      </c>
      <c r="E223" s="286">
        <f t="shared" si="17"/>
        <v>-0.57894736842105265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52</v>
      </c>
      <c r="E226" s="286">
        <f t="shared" ref="E226:E227" si="18">IFERROR(IF(OR(AND(D226="",C226=""),AND(D226=0,C226=0)),"",
IF(OR(D226="",D226=0),1,
IF(OR(D226&lt;&gt;"",D226&lt;&gt;0),(C226-D226)/ABS(D226)))),-1)</f>
        <v>-0.11538461538461539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5</v>
      </c>
      <c r="E227" s="286">
        <f t="shared" si="18"/>
        <v>-0.8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8</v>
      </c>
      <c r="D228" s="249">
        <f>SUMIF(Data!$BT$17:$BT$23,"AltX",Data!$BW$17:$BW$23)</f>
        <v>10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10</v>
      </c>
      <c r="D231" s="249">
        <f t="shared" si="20"/>
        <v>11</v>
      </c>
      <c r="E231" s="286">
        <f t="shared" ref="E231:E237" si="21">IFERROR(IF(OR(AND(D231="",C231=""),AND(D231=0,C231=0)),"",
IF(OR(D231="",D231=0),1,
IF(OR(D231&lt;&gt;"",D231&lt;&gt;0),(C231-D231)/ABS(D231)))),-1)</f>
        <v>-9.0909090909090912E-2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16</v>
      </c>
      <c r="D232" s="249">
        <f t="shared" si="20"/>
        <v>29</v>
      </c>
      <c r="E232" s="286">
        <f>IFERROR(IF(OR(AND(D232="",C232=""),AND(D232=0,C232=0)),"",
IF(OR(D232="",D232=0),1,
IF(OR(D232&lt;&gt;"",D232&lt;&gt;0),(C232-D232)/ABS(D232)))),-1)</f>
        <v>-0.44827586206896552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73</v>
      </c>
      <c r="C233" s="249">
        <f>SUM(Data!$CB$10:$CB$14)</f>
        <v>73</v>
      </c>
      <c r="D233" s="249">
        <f>SUM(Data!CB18:CB22)</f>
        <v>71</v>
      </c>
      <c r="E233" s="286">
        <f t="shared" si="21"/>
        <v>2.8169014084507043E-2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298</v>
      </c>
      <c r="C234" s="249">
        <f>SUM(Data!$CA$10:$CA$14)</f>
        <v>298</v>
      </c>
      <c r="D234" s="249">
        <f>SUM(Data!CA18:CA22)</f>
        <v>301</v>
      </c>
      <c r="E234" s="286">
        <f t="shared" si="21"/>
        <v>-9.9667774086378731E-3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372</v>
      </c>
      <c r="E235" s="326">
        <f t="shared" si="21"/>
        <v>-2.6881720430107529E-3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794</v>
      </c>
      <c r="C237" s="250">
        <f>Data!CD2</f>
        <v>794</v>
      </c>
      <c r="D237" s="250">
        <f>Data!CD5</f>
        <v>803</v>
      </c>
      <c r="E237" s="326">
        <f t="shared" si="21"/>
        <v>-1.1207970112079701E-2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14936.273247676419</v>
      </c>
      <c r="C239" s="327"/>
      <c r="D239" s="327">
        <f>Data!CE5/1000000000</f>
        <v>15084.224390679161</v>
      </c>
      <c r="E239" s="326">
        <f>IFERROR(IF(OR(AND(D239="",B239=""),AND(D239=0,B239=0)),"",
IF(OR(D239="",D239=0),1,
IF(OR(D239&lt;&gt;"",D239&lt;&gt;0),(B239-D239)/ABS(D239)))),-1)</f>
        <v>-9.8083361246046816E-3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Aug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Aug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58668.477890039998</v>
      </c>
      <c r="G268" s="286">
        <f>IF(IFERROR(VLOOKUP(E268,Data!$O$23:$P$196,2,FALSE),0)=0,0,(F268-IFERROR(VLOOKUP(E268,Data!$O$23:$P$196,2,FALSE),0))/ABS(IFERROR(VLOOKUP(E268,Data!$O$23:$P$196,2,FALSE),0)))</f>
        <v>2.1521220017675487E-2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71714.506518990005</v>
      </c>
      <c r="G269" s="286">
        <f>IF(IFERROR(VLOOKUP(E269,Data!$O$23:$P$196,2,FALSE),0)=0,0,(F269-IFERROR(VLOOKUP(E269,Data!$O$23:$P$196,2,FALSE),0))/ABS(IFERROR(VLOOKUP(E269,Data!$O$23:$P$196,2,FALSE),0)))</f>
        <v>1.4285429444228202E-2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55745.23154131</v>
      </c>
      <c r="G270" s="334">
        <f>IF(IFERROR(VLOOKUP(E270,Data!$O$23:$P$196,2,FALSE),0)=0,0,(F270-IFERROR(VLOOKUP(E270,Data!$O$23:$P$196,2,FALSE),0))/ABS(IFERROR(VLOOKUP(E270,Data!$O$23:$P$196,2,FALSE),0)))</f>
        <v>1.0230400113627997E-2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6972.5917723000002</v>
      </c>
      <c r="G271" s="286">
        <f>IF(IFERROR(VLOOKUP(E271,Data!$O$23:$P$196,2,FALSE),0)=0,0,(F271-IFERROR(VLOOKUP(E271,Data!$O$23:$P$196,2,FALSE),0))/ABS(IFERROR(VLOOKUP(E271,Data!$O$23:$P$196,2,FALSE),0)))</f>
        <v>-1.5667983649640695E-2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29470.424548409999</v>
      </c>
      <c r="G272" s="286">
        <f>IF(IFERROR(VLOOKUP(E272,Data!$O$23:$P$196,2,FALSE),0)=0,0,(F272-IFERROR(VLOOKUP(E272,Data!$O$23:$P$196,2,FALSE),0))/ABS(IFERROR(VLOOKUP(E272,Data!$O$23:$P$196,2,FALSE),0)))</f>
        <v>2.3084430588699169E-2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12584.36994092</v>
      </c>
      <c r="G273" s="286">
        <f>IF(IFERROR(VLOOKUP(E273,Data!$O$23:$P$196,2,FALSE),0)=0,0,(F273-IFERROR(VLOOKUP(E273,Data!$O$23:$P$196,2,FALSE),0))/ABS(IFERROR(VLOOKUP(E273,Data!$O$23:$P$196,2,FALSE),0)))</f>
        <v>9.8536537180409986E-3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52464.009408149999</v>
      </c>
      <c r="G276" s="286">
        <f>IF(IFERROR(VLOOKUP(E276,Data!$O$23:$P$196,2,FALSE),0)=0,0,(F276-IFERROR(VLOOKUP(E276,Data!$O$23:$P$196,2,FALSE),0))/ABS(IFERROR(VLOOKUP(E276,Data!$O$23:$P$196,2,FALSE),0)))</f>
        <v>2.239135633950599E-2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27336.042993049999</v>
      </c>
      <c r="G277" s="286">
        <f>IF(IFERROR(VLOOKUP(E277,Data!$O$23:$P$196,2,FALSE),0)=0,0,(F277-IFERROR(VLOOKUP(E277,Data!$O$23:$P$196,2,FALSE),0))/ABS(IFERROR(VLOOKUP(E277,Data!$O$23:$P$196,2,FALSE),0)))</f>
        <v>2.2295261134206476E-2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11467.679414099999</v>
      </c>
      <c r="G278" s="286">
        <f>IF(IFERROR(VLOOKUP(E278,Data!$O$23:$P$196,2,FALSE),0)=0,0,(F278-IFERROR(VLOOKUP(E278,Data!$O$23:$P$196,2,FALSE),0))/ABS(IFERROR(VLOOKUP(E278,Data!$O$23:$P$196,2,FALSE),0)))</f>
        <v>1.0101571774385519E-2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43699.470552469997</v>
      </c>
      <c r="G279" s="286">
        <f>IF(IFERROR(VLOOKUP(E279,Data!$O$23:$P$196,2,FALSE),0)=0,0,(F279-IFERROR(VLOOKUP(E279,Data!$O$23:$P$196,2,FALSE),0))/ABS(IFERROR(VLOOKUP(E279,Data!$O$23:$P$196,2,FALSE),0)))</f>
        <v>5.2283655423680256E-2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996.21012458999996</v>
      </c>
      <c r="G280" s="286">
        <f>IF(IFERROR(VLOOKUP(E280,Data!$O$23:$P$196,2,FALSE),0)=0,0,(F280-IFERROR(VLOOKUP(E280,Data!$O$23:$P$196,2,FALSE),0))/ABS(IFERROR(VLOOKUP(E280,Data!$O$23:$P$196,2,FALSE),0)))</f>
        <v>-5.9220455194805247E-2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75096.098622730002</v>
      </c>
      <c r="G281" s="286">
        <f>IF(IFERROR(VLOOKUP(E281,Data!$O$23:$P$196,2,FALSE),0)=0,0,(F281-IFERROR(VLOOKUP(E281,Data!$O$23:$P$196,2,FALSE),0))/ABS(IFERROR(VLOOKUP(E281,Data!$O$23:$P$196,2,FALSE),0)))</f>
        <v>1.979421174090204E-2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17122.300272280001</v>
      </c>
      <c r="G282" s="286">
        <f>IF(IFERROR(VLOOKUP(E282,Data!$O$23:$P$196,2,FALSE),0)=0,0,(F282-IFERROR(VLOOKUP(E282,Data!$O$23:$P$196,2,FALSE),0))/ABS(IFERROR(VLOOKUP(E282,Data!$O$23:$P$196,2,FALSE),0)))</f>
        <v>-2.8913093163647095E-3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79305.058973680003</v>
      </c>
      <c r="G283" s="286">
        <f>IF(IFERROR(VLOOKUP(E283,Data!$O$23:$P$196,2,FALSE),0)=0,0,(F283-IFERROR(VLOOKUP(E283,Data!$O$23:$P$196,2,FALSE),0))/ABS(IFERROR(VLOOKUP(E283,Data!$O$23:$P$196,2,FALSE),0)))</f>
        <v>1.1049193017053737E-2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12526.811499670001</v>
      </c>
      <c r="G286" s="334">
        <f>IF(IFERROR(VLOOKUP(E286,Data!$O$23:$P$196,2,FALSE),0)=0,0,(F286-IFERROR(VLOOKUP(E286,Data!$O$23:$P$196,2,FALSE),0))/ABS(IFERROR(VLOOKUP(E286,Data!$O$23:$P$196,2,FALSE),0)))</f>
        <v>-3.55053873785545E-2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30248.500482610001</v>
      </c>
      <c r="G287" s="286">
        <f>IF(IFERROR(VLOOKUP(E287,Data!$O$23:$P$196,2,FALSE),0)=0,0,(F287-IFERROR(VLOOKUP(E287,Data!$O$23:$P$196,2,FALSE),0))/ABS(IFERROR(VLOOKUP(E287,Data!$O$23:$P$196,2,FALSE),0)))</f>
        <v>5.0678457350551827E-2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48936.926977900002</v>
      </c>
      <c r="G288" s="286">
        <f>IF(IFERROR(VLOOKUP(E288,Data!$O$23:$P$196,2,FALSE),0)=0,0,(F288-IFERROR(VLOOKUP(E288,Data!$O$23:$P$196,2,FALSE),0))/ABS(IFERROR(VLOOKUP(E288,Data!$O$23:$P$196,2,FALSE),0)))</f>
        <v>2.4995838649945212E-2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69372.331363970006</v>
      </c>
      <c r="G289" s="286">
        <f>IF(IFERROR(VLOOKUP(E289,Data!$O$23:$P$196,2,FALSE),0)=0,0,(F289-IFERROR(VLOOKUP(E289,Data!$O$23:$P$196,2,FALSE),0))/ABS(IFERROR(VLOOKUP(E289,Data!$O$23:$P$196,2,FALSE),0)))</f>
        <v>6.7992041969562711E-2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24127.950053820001</v>
      </c>
      <c r="G290" s="286">
        <f>IF(IFERROR(VLOOKUP(E290,Data!$O$23:$P$196,2,FALSE),0)=0,0,(F290-IFERROR(VLOOKUP(E290,Data!$O$23:$P$196,2,FALSE),0))/ABS(IFERROR(VLOOKUP(E290,Data!$O$23:$P$196,2,FALSE),0)))</f>
        <v>1.3892671413005002E-2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43985.52563027</v>
      </c>
      <c r="G291" s="286">
        <f>IF(IFERROR(VLOOKUP(E291,Data!$O$23:$P$196,2,FALSE),0)=0,0,(F291-IFERROR(VLOOKUP(E291,Data!$O$23:$P$196,2,FALSE),0))/ABS(IFERROR(VLOOKUP(E291,Data!$O$23:$P$196,2,FALSE),0)))</f>
        <v>1.8862695655031435E-3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29048.398740230001</v>
      </c>
      <c r="G292" s="286">
        <f>IF(IFERROR(VLOOKUP(E292,Data!$O$23:$P$196,2,FALSE),0)=0,0,(F292-IFERROR(VLOOKUP(E292,Data!$O$23:$P$196,2,FALSE),0))/ABS(IFERROR(VLOOKUP(E292,Data!$O$23:$P$196,2,FALSE),0)))</f>
        <v>-2.6622655209834926E-2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5131.5673800100003</v>
      </c>
      <c r="G293" s="286">
        <f>IF(IFERROR(VLOOKUP(E293,Data!$O$23:$P$196,2,FALSE),0)=0,0,(F293-IFERROR(VLOOKUP(E293,Data!$O$23:$P$196,2,FALSE),0))/ABS(IFERROR(VLOOKUP(E293,Data!$O$23:$P$196,2,FALSE),0)))</f>
        <v>-0.17881120788307622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7368.0010079800004</v>
      </c>
      <c r="G294" s="286">
        <f>IF(IFERROR(VLOOKUP(E294,Data!$O$23:$P$196,2,FALSE),0)=0,0,(F294-IFERROR(VLOOKUP(E294,Data!$O$23:$P$196,2,FALSE),0))/ABS(IFERROR(VLOOKUP(E294,Data!$O$23:$P$196,2,FALSE),0)))</f>
        <v>0.11328238059482681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3575.3065362500001</v>
      </c>
      <c r="G298" s="286">
        <f>IF(IFERROR(VLOOKUP(E298,Data!$O$23:$P$196,2,FALSE),0)=0,0,(F298-IFERROR(VLOOKUP(E298,Data!$O$23:$P$196,2,FALSE),0))/ABS(IFERROR(VLOOKUP(E298,Data!$O$23:$P$196,2,FALSE),0)))</f>
        <v>1.6174575101604787E-2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747.52378891000001</v>
      </c>
      <c r="G299" s="286">
        <f>IF(IFERROR(VLOOKUP(E299,Data!$O$23:$P$196,2,FALSE),0)=0,0,(F299-IFERROR(VLOOKUP(E299,Data!$O$23:$P$196,2,FALSE),0))/ABS(IFERROR(VLOOKUP(E299,Data!$O$23:$P$196,2,FALSE),0)))</f>
        <v>1.0210421530584433E-3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534.22295587999997</v>
      </c>
      <c r="G300" s="286">
        <f>IF(IFERROR(VLOOKUP(E300,Data!$O$23:$P$196,2,FALSE),0)=0,0,(F300-IFERROR(VLOOKUP(E300,Data!$O$23:$P$196,2,FALSE),0))/ABS(IFERROR(VLOOKUP(E300,Data!$O$23:$P$196,2,FALSE),0)))</f>
        <v>2.1189389088609765E-2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434.16374809000001</v>
      </c>
      <c r="G301" s="286">
        <f>IF(IFERROR(VLOOKUP(E301,Data!$O$23:$P$196,2,FALSE),0)=0,0,(F301-IFERROR(VLOOKUP(E301,Data!$O$23:$P$196,2,FALSE),0))/ABS(IFERROR(VLOOKUP(E301,Data!$O$23:$P$196,2,FALSE),0)))</f>
        <v>2.3626907892972917E-2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24159.824361210001</v>
      </c>
      <c r="G302" s="286">
        <f>IF(IFERROR(VLOOKUP(E302,Data!$O$23:$P$196,2,FALSE),0)=0,0,(F302-IFERROR(VLOOKUP(E302,Data!$O$23:$P$196,2,FALSE),0))/ABS(IFERROR(VLOOKUP(E302,Data!$O$23:$P$196,2,FALSE),0)))</f>
        <v>5.0364644432068784E-2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387.10525882000002</v>
      </c>
      <c r="G303" s="286">
        <f>IF(IFERROR(VLOOKUP(E303,Data!$O$23:$P$196,2,FALSE),0)=0,0,(F303-IFERROR(VLOOKUP(E303,Data!$O$23:$P$196,2,FALSE),0))/ABS(IFERROR(VLOOKUP(E303,Data!$O$23:$P$196,2,FALSE),0)))</f>
        <v>2.1611292175828464E-2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688.46561689999999</v>
      </c>
      <c r="G304" s="286">
        <f>IF(IFERROR(VLOOKUP(E304,Data!$O$23:$P$196,2,FALSE),0)=0,0,(F304-IFERROR(VLOOKUP(E304,Data!$O$23:$P$196,2,FALSE),0))/ABS(IFERROR(VLOOKUP(E304,Data!$O$23:$P$196,2,FALSE),0)))</f>
        <v>2.1477751531128155E-2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16.060684299999998</v>
      </c>
      <c r="G307" s="286">
        <f>IF(IFERROR(VLOOKUP(E307,Data!$O$23:$P$196,2,FALSE),0)=0,0,(F307-IFERROR(VLOOKUP(E307,Data!$O$23:$P$196,2,FALSE),0))/ABS(IFERROR(VLOOKUP(E307,Data!$O$23:$P$196,2,FALSE),0)))</f>
        <v>3.3799647353394323E-2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10041.515005900001</v>
      </c>
      <c r="G308" s="286">
        <f>IF(IFERROR(VLOOKUP(E308,Data!$O$23:$P$196,2,FALSE),0)=0,0,(F308-IFERROR(VLOOKUP(E308,Data!$O$23:$P$196,2,FALSE),0))/ABS(IFERROR(VLOOKUP(E308,Data!$O$23:$P$196,2,FALSE),0)))</f>
        <v>3.0178149787635972E-2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973.14170803000002</v>
      </c>
      <c r="G313" s="286">
        <f>IF(IFERROR(VLOOKUP(E313,Data!$O$23:$P$196,2,FALSE),0)=0,0,(F313-IFERROR(VLOOKUP(E313,Data!$O$23:$P$196,2,FALSE),0))/ABS(IFERROR(VLOOKUP(E313,Data!$O$23:$P$196,2,FALSE),0)))</f>
        <v>-3.0308183213150021E-2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Aug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Jul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Aug 2018</v>
      </c>
      <c r="D351" s="384"/>
      <c r="E351" s="384"/>
      <c r="F351" s="284" t="s">
        <v>1</v>
      </c>
      <c r="G351" s="330"/>
      <c r="H351" s="338" t="str">
        <f>TEXT($H$3,"MMM")&amp;" "&amp;TEXT($H$3,"YYYY")-1</f>
        <v>Aug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281959</v>
      </c>
      <c r="D354" s="380">
        <f>SUMIFS(Data!$V$33:$V$48,Data!$S$33:$S$48,MarketProfile!A354,Data!$X$33:$X$48,"1")</f>
        <v>236840</v>
      </c>
      <c r="E354" s="380"/>
      <c r="F354" s="286">
        <f>IFERROR(IF(OR(AND(D354="",C354=""),AND(D354=0,C354=0)),"",
IF(OR(D354="",D354=0),1,
IF(OR(D354&lt;&gt;"",D354&lt;&gt;0),(C354-D354)/ABS(D354)))),-1)</f>
        <v>0.19050413781455836</v>
      </c>
      <c r="G354" s="380">
        <f>SUMIFS(Data!$V$63:$V$78,Data!$S$63:$S$78,MarketProfile!A354,Data!$X$63:$X$78,"1")</f>
        <v>273032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3.2695801224764863E-2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3779</v>
      </c>
      <c r="D355" s="380">
        <f>SUMIFS(Data!$V$33:$V$48,Data!$S$33:$S$48,MarketProfile!A355,Data!$X$33:$X$48,"1")</f>
        <v>3762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4.5188729399255716E-3</v>
      </c>
      <c r="G355" s="380">
        <f>SUMIFS(Data!$V$63:$V$78,Data!$S$63:$S$78,MarketProfile!A355,Data!$X$63:$X$78,"1")</f>
        <v>3978</v>
      </c>
      <c r="H355" s="380"/>
      <c r="I355" s="286">
        <f t="shared" si="22"/>
        <v>-5.0025138260432381E-2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3620</v>
      </c>
      <c r="D356" s="380">
        <f>SUMIFS(Data!$V$33:$V$48,Data!$S$33:$S$48,MarketProfile!A356,Data!$X$33:$X$48,"1")</f>
        <v>3567</v>
      </c>
      <c r="E356" s="380"/>
      <c r="F356" s="286">
        <f t="shared" si="23"/>
        <v>1.4858424446313429E-2</v>
      </c>
      <c r="G356" s="380">
        <f>SUMIFS(Data!$V$63:$V$78,Data!$S$63:$S$78,MarketProfile!A356,Data!$X$63:$X$78,"1")</f>
        <v>3721</v>
      </c>
      <c r="H356" s="380"/>
      <c r="I356" s="286">
        <f t="shared" si="22"/>
        <v>-2.7143241064230047E-2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107</v>
      </c>
      <c r="D357" s="380">
        <f>SUMIFS(Data!$V$33:$V$48,Data!$S$33:$S$48,MarketProfile!A357,Data!$X$33:$X$48,"1")</f>
        <v>312</v>
      </c>
      <c r="E357" s="380"/>
      <c r="F357" s="286">
        <f t="shared" si="23"/>
        <v>-0.65705128205128205</v>
      </c>
      <c r="G357" s="380">
        <f>SUMIFS(Data!$V$63:$V$78,Data!$S$63:$S$78,MarketProfile!A357,Data!$X$63:$X$78,"1")</f>
        <v>234</v>
      </c>
      <c r="H357" s="380"/>
      <c r="I357" s="286">
        <f t="shared" si="22"/>
        <v>-0.54273504273504269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104</v>
      </c>
      <c r="D358" s="380">
        <f>SUMIFS(Data!$V$33:$V$48,Data!$S$33:$S$48,MarketProfile!A358,Data!$X$33:$X$48,"1")</f>
        <v>72</v>
      </c>
      <c r="E358" s="380"/>
      <c r="F358" s="286">
        <f t="shared" si="23"/>
        <v>0.44444444444444442</v>
      </c>
      <c r="G358" s="380">
        <f>SUMIFS(Data!$V$63:$V$78,Data!$S$63:$S$78,MarketProfile!A358,Data!$X$63:$X$78,"1")</f>
        <v>183</v>
      </c>
      <c r="H358" s="380"/>
      <c r="I358" s="286">
        <f t="shared" si="22"/>
        <v>-0.43169398907103823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96</v>
      </c>
      <c r="D359" s="380">
        <f>SUMIFS(Data!$V$33:$V$48,Data!$S$33:$S$48,MarketProfile!A359,Data!$X$33:$X$48,"1")</f>
        <v>70</v>
      </c>
      <c r="E359" s="380"/>
      <c r="F359" s="286">
        <f t="shared" si="23"/>
        <v>0.37142857142857144</v>
      </c>
      <c r="G359" s="380">
        <f>SUMIFS(Data!$V$63:$V$78,Data!$S$63:$S$78,MarketProfile!A359,Data!$X$63:$X$78,"1")</f>
        <v>161</v>
      </c>
      <c r="H359" s="380"/>
      <c r="I359" s="286">
        <f t="shared" si="22"/>
        <v>-0.40372670807453415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125</v>
      </c>
      <c r="D360" s="380">
        <f>SUMIFS(Data!$V$33:$V$48,Data!$S$33:$S$48,MarketProfile!A360,Data!$X$33:$X$48,"1")</f>
        <v>275</v>
      </c>
      <c r="E360" s="380"/>
      <c r="F360" s="286">
        <f t="shared" si="23"/>
        <v>-0.54545454545454541</v>
      </c>
      <c r="G360" s="380">
        <f>SUMIFS(Data!$V$63:$V$78,Data!$S$63:$S$78,MarketProfile!A360,Data!$X$63:$X$78,"1")</f>
        <v>185</v>
      </c>
      <c r="H360" s="380"/>
      <c r="I360" s="286">
        <f t="shared" si="22"/>
        <v>-0.32432432432432434</v>
      </c>
    </row>
    <row r="361" spans="1:9" ht="15" x14ac:dyDescent="0.25">
      <c r="A361" s="288" t="s">
        <v>133</v>
      </c>
      <c r="B361" s="250"/>
      <c r="C361" s="250">
        <f>SUM(C354:C360)</f>
        <v>289790</v>
      </c>
      <c r="D361" s="381">
        <f>SUM(D354:E360)</f>
        <v>244898</v>
      </c>
      <c r="E361" s="381"/>
      <c r="F361" s="326">
        <f t="shared" si="23"/>
        <v>0.18330896944850508</v>
      </c>
      <c r="G361" s="381">
        <f>SUM(G354:H360)</f>
        <v>281494</v>
      </c>
      <c r="H361" s="381">
        <v>228310</v>
      </c>
      <c r="I361" s="326">
        <f t="shared" si="22"/>
        <v>2.9471320880729252E-2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687</v>
      </c>
      <c r="D364" s="380">
        <f>SUMIFS(Data!$V$33:$V$48,Data!$S$33:$S$48,MarketProfile!A364,Data!$X$33:$X$48,"0")</f>
        <v>344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0.99709302325581395</v>
      </c>
      <c r="G364" s="380">
        <f>SUMIFS(Data!$V$63:$V$78,Data!$S$63:$S$78,MarketProfile!A364,Data!$X$63:$X$78,"0")</f>
        <v>790</v>
      </c>
      <c r="H364" s="380"/>
      <c r="I364" s="286">
        <f t="shared" si="22"/>
        <v>-0.13037974683544304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571</v>
      </c>
      <c r="D365" s="380">
        <f>SUMIFS(Data!$V$33:$V$48,Data!$S$33:$S$48,MarketProfile!A365,Data!$X$33:$X$48,"0")</f>
        <v>238</v>
      </c>
      <c r="E365" s="380"/>
      <c r="F365" s="286">
        <f t="shared" si="24"/>
        <v>1.3991596638655461</v>
      </c>
      <c r="G365" s="380">
        <f>SUMIFS(Data!$V$63:$V$78,Data!$S$63:$S$78,MarketProfile!A365,Data!$X$63:$X$78,"0")</f>
        <v>404</v>
      </c>
      <c r="H365" s="380"/>
      <c r="I365" s="286">
        <f t="shared" si="22"/>
        <v>0.41336633663366334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55</v>
      </c>
      <c r="D366" s="380">
        <f>SUMIFS(Data!$V$33:$V$48,Data!$S$33:$S$48,MarketProfile!A366,Data!$X$33:$X$48,"0")</f>
        <v>112</v>
      </c>
      <c r="E366" s="380"/>
      <c r="F366" s="286">
        <f t="shared" si="24"/>
        <v>-0.5089285714285714</v>
      </c>
      <c r="G366" s="380">
        <f>SUMIFS(Data!$V$63:$V$78,Data!$S$63:$S$78,MarketProfile!A366,Data!$X$63:$X$78,"0")</f>
        <v>66</v>
      </c>
      <c r="H366" s="380"/>
      <c r="I366" s="286">
        <f t="shared" si="22"/>
        <v>-0.16666666666666666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1313</v>
      </c>
      <c r="D368" s="381">
        <f t="shared" ref="D368:E368" si="25">SUM(D364:D367)</f>
        <v>694</v>
      </c>
      <c r="E368" s="381">
        <f t="shared" si="25"/>
        <v>0</v>
      </c>
      <c r="F368" s="326">
        <f t="shared" si="24"/>
        <v>0.89193083573487031</v>
      </c>
      <c r="G368" s="381">
        <f>SUM(G364:H367)</f>
        <v>1260</v>
      </c>
      <c r="H368" s="381">
        <v>1646</v>
      </c>
      <c r="I368" s="326">
        <f>IFERROR(IF(OR(AND(G368="",C368=""),AND(G368=0,C368=0)),"",
IF(OR(G368="",G368=0),1,
IF(OR(G368&lt;&gt;"",G368&lt;&gt;0),(C368-G368)/ABS(G368)))),-1)</f>
        <v>4.2063492063492067E-2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971022</v>
      </c>
      <c r="D372" s="380">
        <f>SUMIFS(Data!$U$33:$U$48,Data!$S$33:$S$48,MarketProfile!A372,Data!$X$33:$X$48,"1")</f>
        <v>741363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0.30977941979839835</v>
      </c>
      <c r="G372" s="380">
        <f>SUMIFS(Data!$U$63:$U$78,Data!$S$63:$S$78,MarketProfile!A372,Data!$X$63:$X$78,"1")</f>
        <v>1193945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-0.18671128067038265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297738</v>
      </c>
      <c r="D373" s="380">
        <f>SUMIFS(Data!$U$33:$U$48,Data!$S$33:$S$48,MarketProfile!A373,Data!$X$33:$X$48,"1")</f>
        <v>299733</v>
      </c>
      <c r="E373" s="380"/>
      <c r="F373" s="286">
        <f t="shared" si="26"/>
        <v>-6.6559237721572203E-3</v>
      </c>
      <c r="G373" s="380">
        <f>SUMIFS(Data!$U$63:$U$78,Data!$S$63:$S$78,MarketProfile!A373,Data!$X$63:$X$78,"1")</f>
        <v>393492</v>
      </c>
      <c r="H373" s="380"/>
      <c r="I373" s="286">
        <f t="shared" si="27"/>
        <v>-0.24334421030160716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241318</v>
      </c>
      <c r="D374" s="380">
        <f>SUMIFS(Data!$U$33:$U$48,Data!$S$33:$S$48,MarketProfile!A374,Data!$X$33:$X$48,"1")</f>
        <v>230114</v>
      </c>
      <c r="E374" s="380"/>
      <c r="F374" s="286">
        <f t="shared" si="26"/>
        <v>4.8688910713820109E-2</v>
      </c>
      <c r="G374" s="380">
        <f>SUMIFS(Data!$U$63:$U$78,Data!$S$63:$S$78,MarketProfile!A374,Data!$X$63:$X$78,"1")</f>
        <v>313086</v>
      </c>
      <c r="H374" s="380"/>
      <c r="I374" s="286">
        <f t="shared" si="27"/>
        <v>-0.22922775211922602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280577</v>
      </c>
      <c r="D375" s="380">
        <f>SUMIFS(Data!$U$33:$U$48,Data!$S$33:$S$48,MarketProfile!A375,Data!$X$33:$X$48,"1")</f>
        <v>1301501</v>
      </c>
      <c r="E375" s="380"/>
      <c r="F375" s="286">
        <f t="shared" si="26"/>
        <v>-0.7844204499266616</v>
      </c>
      <c r="G375" s="380">
        <f>SUMIFS(Data!$U$63:$U$78,Data!$S$63:$S$78,MarketProfile!A375,Data!$X$63:$X$78,"1")</f>
        <v>674315</v>
      </c>
      <c r="H375" s="380"/>
      <c r="I375" s="286">
        <f t="shared" si="27"/>
        <v>-0.58390811416029598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260932</v>
      </c>
      <c r="D376" s="380">
        <f>SUMIFS(Data!$U$33:$U$48,Data!$S$33:$S$48,MarketProfile!A376,Data!$X$33:$X$48,"1")</f>
        <v>424035</v>
      </c>
      <c r="E376" s="380"/>
      <c r="F376" s="286">
        <f t="shared" si="26"/>
        <v>-0.38464513542514178</v>
      </c>
      <c r="G376" s="380">
        <f>SUMIFS(Data!$U$63:$U$78,Data!$S$63:$S$78,MarketProfile!A376,Data!$X$63:$X$78,"1")</f>
        <v>4472269</v>
      </c>
      <c r="H376" s="380"/>
      <c r="I376" s="286">
        <f t="shared" si="27"/>
        <v>-0.94165556678276729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207586</v>
      </c>
      <c r="D377" s="380">
        <f>SUMIFS(Data!$U$33:$U$48,Data!$S$33:$S$48,MarketProfile!A377,Data!$X$33:$X$48,"1")</f>
        <v>403367</v>
      </c>
      <c r="E377" s="380"/>
      <c r="F377" s="286">
        <f t="shared" si="26"/>
        <v>-0.48536692391792091</v>
      </c>
      <c r="G377" s="380">
        <f>SUMIFS(Data!$U$63:$U$78,Data!$S$63:$S$78,MarketProfile!A377,Data!$X$63:$X$78,"1")</f>
        <v>4230010</v>
      </c>
      <c r="H377" s="380"/>
      <c r="I377" s="286">
        <f t="shared" si="27"/>
        <v>-0.9509254115238498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56392</v>
      </c>
      <c r="D378" s="380">
        <f>SUMIFS(Data!$U$33:$U$48,Data!$S$33:$S$48,MarketProfile!A378,Data!$X$33:$X$48,"1")</f>
        <v>78537</v>
      </c>
      <c r="E378" s="380"/>
      <c r="F378" s="286">
        <f t="shared" si="26"/>
        <v>-0.28196900823815524</v>
      </c>
      <c r="G378" s="380">
        <f>SUMIFS(Data!$U$63:$U$78,Data!$S$63:$S$78,MarketProfile!A378,Data!$X$63:$X$78,"1")</f>
        <v>58318</v>
      </c>
      <c r="H378" s="380"/>
      <c r="I378" s="286">
        <f t="shared" si="27"/>
        <v>-3.3025823930861828E-2</v>
      </c>
    </row>
    <row r="379" spans="1:9" ht="15" x14ac:dyDescent="0.25">
      <c r="A379" s="288" t="s">
        <v>133</v>
      </c>
      <c r="B379" s="250"/>
      <c r="C379" s="250">
        <f>SUM(C372:C378)</f>
        <v>2315565</v>
      </c>
      <c r="D379" s="381">
        <f>SUM(D372:E378)</f>
        <v>3478650</v>
      </c>
      <c r="E379" s="381"/>
      <c r="F379" s="326">
        <f t="shared" si="26"/>
        <v>-0.33434953214609114</v>
      </c>
      <c r="G379" s="381">
        <f>SUM(G372:H378)</f>
        <v>11335435</v>
      </c>
      <c r="H379" s="381">
        <v>17193059</v>
      </c>
      <c r="I379" s="326">
        <f t="shared" si="27"/>
        <v>-0.79572332248387467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571903</v>
      </c>
      <c r="D382" s="380">
        <f>SUMIFS(Data!$U$33:$U$48,Data!$S$33:$S$48,MarketProfile!A382,Data!$X$33:$X$48,"0")</f>
        <v>243878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1.345037272734728</v>
      </c>
      <c r="G382" s="380">
        <f>SUMIFS(Data!$U$63:$U$78,Data!$S$63:$S$78,MarketProfile!A382,Data!$X$63:$X$78,"0")</f>
        <v>432407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0.32260347311676268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262621</v>
      </c>
      <c r="D383" s="380">
        <f>SUMIFS(Data!$U$33:$U$48,Data!$S$33:$S$48,MarketProfile!A383,Data!$X$33:$X$48,"0")</f>
        <v>437112</v>
      </c>
      <c r="E383" s="380"/>
      <c r="F383" s="286">
        <f t="shared" si="28"/>
        <v>-0.39919059646040372</v>
      </c>
      <c r="G383" s="380">
        <f>SUMIFS(Data!$U$63:$U$78,Data!$S$63:$S$78,MarketProfile!A383,Data!$X$63:$X$78,"0")</f>
        <v>1081236</v>
      </c>
      <c r="H383" s="380"/>
      <c r="I383" s="286">
        <f t="shared" si="29"/>
        <v>-0.75711038108239093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95564</v>
      </c>
      <c r="D384" s="380">
        <f>SUMIFS(Data!$U$33:$U$48,Data!$S$33:$S$48,MarketProfile!A384,Data!$X$33:$X$48,"0")</f>
        <v>37420</v>
      </c>
      <c r="E384" s="380"/>
      <c r="F384" s="286">
        <f t="shared" si="28"/>
        <v>1.5538214858364512</v>
      </c>
      <c r="G384" s="380">
        <f>SUMIFS(Data!$U$63:$U$78,Data!$S$63:$S$78,MarketProfile!A384,Data!$X$63:$X$78,"0")</f>
        <v>100397</v>
      </c>
      <c r="H384" s="380"/>
      <c r="I384" s="286">
        <f t="shared" si="29"/>
        <v>-4.8138888612209531E-2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930088</v>
      </c>
      <c r="D386" s="381">
        <f>SUM(D382:E385)</f>
        <v>718410</v>
      </c>
      <c r="E386" s="381">
        <f>SUM(E382:E385)</f>
        <v>0</v>
      </c>
      <c r="F386" s="326">
        <f t="shared" si="28"/>
        <v>0.29464790300803162</v>
      </c>
      <c r="G386" s="381">
        <f>SUM(G382:H385)</f>
        <v>1614040</v>
      </c>
      <c r="H386" s="381">
        <v>677531</v>
      </c>
      <c r="I386" s="326">
        <f t="shared" si="29"/>
        <v>-0.42375157988649598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339318613.67328417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361778092379.57825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-0.99906208081467451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4775118.9747889992</v>
      </c>
      <c r="D391" s="380">
        <f>SUMIFS(Data!$T$30:$T$42,Data!$S$30:$S$42,MarketProfile!A391,Data!$X$30:$X$42,"1")/1000</f>
        <v>226213.53659999999</v>
      </c>
      <c r="E391" s="380"/>
      <c r="F391" s="286">
        <f t="shared" si="30"/>
        <v>20.108900230106737</v>
      </c>
      <c r="G391" s="380">
        <f>SUMIFS(Data!$T$63:$T$78,Data!$S$63:$S$78,MarketProfile!A391,Data!$X$63:$X$78,"1")</f>
        <v>8247404970.6969995</v>
      </c>
      <c r="H391" s="380"/>
      <c r="I391" s="286">
        <f t="shared" si="31"/>
        <v>-0.9994210155810519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0</v>
      </c>
      <c r="D392" s="380">
        <f>SUMIFS(Data!$T$30:$T$42,Data!$S$30:$S$42,MarketProfile!A392,Data!$X$30:$X$42,"1")/1000</f>
        <v>9.7955000000000005</v>
      </c>
      <c r="E392" s="380"/>
      <c r="F392" s="286">
        <f t="shared" si="30"/>
        <v>-1</v>
      </c>
      <c r="G392" s="380">
        <f>SUMIFS(Data!$T$63:$T$78,Data!$S$63:$S$78,MarketProfile!A392,Data!$X$63:$X$78,"1")</f>
        <v>0</v>
      </c>
      <c r="H392" s="380"/>
      <c r="I392" s="286" t="str">
        <f t="shared" si="31"/>
        <v/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39259.965822999999</v>
      </c>
      <c r="D393" s="380">
        <f>SUMIFS(Data!$T$30:$T$42,Data!$S$30:$S$42,MarketProfile!A393,Data!$X$30:$X$42,"1")/1000</f>
        <v>99987.694959999993</v>
      </c>
      <c r="E393" s="380"/>
      <c r="F393" s="286">
        <f t="shared" si="30"/>
        <v>-0.60735202627977447</v>
      </c>
      <c r="G393" s="380">
        <f>SUMIFS(Data!$T$63:$T$78,Data!$S$63:$S$78,MarketProfile!A393,Data!$X$63:$X$78,"1")</f>
        <v>35216710.005999997</v>
      </c>
      <c r="H393" s="380"/>
      <c r="I393" s="286">
        <f t="shared" si="31"/>
        <v>-0.9988851892804208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232109.8045264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1007432552.701</v>
      </c>
      <c r="H394" s="380"/>
      <c r="I394" s="286">
        <f t="shared" si="31"/>
        <v>-0.99976960263602344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SUMIFS(Data!$T$63:$T$78,Data!$S$63:$S$78,MarketProfile!A395,Data!$X$63:$X$78,"1")</f>
        <v>0</v>
      </c>
      <c r="H395" s="380"/>
      <c r="I395" s="286" t="str">
        <f t="shared" si="31"/>
        <v/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1955182.2959400001</v>
      </c>
      <c r="D396" s="380">
        <f>SUMIFS(Data!$T$30:$T$42,Data!$S$30:$S$42,MarketProfile!A396,Data!$X$30:$X$42,"1")/1000</f>
        <v>2107375.8483699998</v>
      </c>
      <c r="E396" s="380"/>
      <c r="F396" s="286">
        <f t="shared" si="30"/>
        <v>-7.2219463152582597E-2</v>
      </c>
      <c r="G396" s="380">
        <f>SUMIFS(Data!$T$63:$T$78,Data!$S$63:$S$78,MarketProfile!A396,Data!$X$63:$X$78,"1")</f>
        <v>1934446645.71</v>
      </c>
      <c r="H396" s="380"/>
      <c r="I396" s="286">
        <f t="shared" si="31"/>
        <v>-0.99898928083631777</v>
      </c>
    </row>
    <row r="397" spans="1:9" ht="15" x14ac:dyDescent="0.25">
      <c r="A397" s="288" t="s">
        <v>133</v>
      </c>
      <c r="B397" s="250"/>
      <c r="C397" s="250">
        <f>SUM(C390:C396)</f>
        <v>346320284.71436256</v>
      </c>
      <c r="D397" s="381">
        <f>SUM(D390:E396)</f>
        <v>2433586.87543</v>
      </c>
      <c r="E397" s="381">
        <f>SUM(E390:E396)</f>
        <v>0</v>
      </c>
      <c r="F397" s="326">
        <f t="shared" si="30"/>
        <v>141.30857678058848</v>
      </c>
      <c r="G397" s="381">
        <f>SUM(G390:H396)</f>
        <v>373002593258.69226</v>
      </c>
      <c r="H397" s="381">
        <v>320543973</v>
      </c>
      <c r="I397" s="326">
        <f t="shared" si="31"/>
        <v>-0.99907153384192648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2746752.6230100002</v>
      </c>
      <c r="D400" s="380">
        <f>SUMIFS(Data!$T$30:$T$42,Data!$S$30:$S$42,MarketProfile!A400,Data!$X$30:$X$42,"0")/1000</f>
        <v>1563590.0274400001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0.75669617662319211</v>
      </c>
      <c r="G400" s="380">
        <f>SUMIFS(Data!$T$63:$T$78,Data!$S$63:$S$78,MarketProfile!A400,Data!$X$63:$X$78,"0")/1000</f>
        <v>2661039.01009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3.2210581128271874E-2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227772.36781999998</v>
      </c>
      <c r="D401" s="380">
        <f>SUMIFS(Data!$T$30:$T$42,Data!$S$30:$S$42,MarketProfile!A401,Data!$X$30:$X$42,"0")/1000</f>
        <v>405748.54595</v>
      </c>
      <c r="E401" s="380"/>
      <c r="F401" s="286">
        <f t="shared" si="32"/>
        <v>-0.4386366381505945</v>
      </c>
      <c r="G401" s="380">
        <f>SUMIFS(Data!$T$63:$T$78,Data!$S$63:$S$78,MarketProfile!A401,Data!$X$63:$X$78,"0")/1000</f>
        <v>559450.82501999999</v>
      </c>
      <c r="H401" s="380"/>
      <c r="I401" s="286">
        <f t="shared" si="33"/>
        <v>-0.59286436334800785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91489.227840000007</v>
      </c>
      <c r="D402" s="380">
        <f>SUMIFS(Data!$T$30:$T$42,Data!$S$30:$S$42,MarketProfile!A402,Data!$X$30:$X$42,"0")/1000</f>
        <v>65874.396389999994</v>
      </c>
      <c r="E402" s="380"/>
      <c r="F402" s="286">
        <f t="shared" si="32"/>
        <v>0.38884350906763604</v>
      </c>
      <c r="G402" s="380">
        <f>SUMIFS(Data!$T$63:$T$78,Data!$S$63:$S$78,MarketProfile!A402,Data!$X$63:$X$78,"0")/1000</f>
        <v>77544.983939999991</v>
      </c>
      <c r="H402" s="380"/>
      <c r="I402" s="286">
        <f t="shared" si="33"/>
        <v>0.17982135260727242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3066014.2186699999</v>
      </c>
      <c r="D404" s="381">
        <f>SUM(D400:E403)</f>
        <v>2035212.9697799999</v>
      </c>
      <c r="E404" s="381">
        <f>SUM(E400:E403)</f>
        <v>0</v>
      </c>
      <c r="F404" s="326">
        <f t="shared" si="32"/>
        <v>0.50648323502057191</v>
      </c>
      <c r="G404" s="381">
        <f>SUM(G400:H403)</f>
        <v>3298034.81905</v>
      </c>
      <c r="H404" s="381">
        <v>1436842</v>
      </c>
      <c r="I404" s="326">
        <f t="shared" si="33"/>
        <v>-7.035116762255221E-2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593018</v>
      </c>
      <c r="D408" s="380">
        <f>SUMIFS(Data!$W$34:$W$47,Data!$S$34:$S$47,MarketProfile!A408,Data!$X$34:$X$47,"1")</f>
        <v>559031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6.0796270689818632E-2</v>
      </c>
      <c r="G408" s="380">
        <f>SUMIFS(Data!$W$81:$W$93,Data!$S$81:$S$93,MarketProfile!A408,Data!$X$81:$X$93,"1")</f>
        <v>828932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-0.28459994305926178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756616</v>
      </c>
      <c r="D409" s="380">
        <f>SUMIFS(Data!$W$34:$W$47,Data!$S$34:$S$47,MarketProfile!A409,Data!$X$34:$X$47,"1")</f>
        <v>812880</v>
      </c>
      <c r="E409" s="380"/>
      <c r="F409" s="286">
        <f t="shared" si="34"/>
        <v>-6.9215628383033162E-2</v>
      </c>
      <c r="G409" s="380">
        <f>SUMIFS(Data!$W$81:$W$93,Data!$S$81:$S$93,MarketProfile!A409,Data!$X$81:$X$93,"1")</f>
        <v>1306483</v>
      </c>
      <c r="H409" s="380"/>
      <c r="I409" s="286">
        <f t="shared" si="35"/>
        <v>-0.42087574044208764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532297</v>
      </c>
      <c r="D410" s="380">
        <f>SUMIFS(Data!$W$34:$W$47,Data!$S$34:$S$47,MarketProfile!A410,Data!$X$34:$X$47,"1")</f>
        <v>597447</v>
      </c>
      <c r="E410" s="380"/>
      <c r="F410" s="286">
        <f t="shared" si="34"/>
        <v>-0.10904732972129745</v>
      </c>
      <c r="G410" s="380">
        <f>SUMIFS(Data!$W$81:$W$93,Data!$S$81:$S$93,MarketProfile!A410,Data!$X$81:$X$93,"1")</f>
        <v>961654</v>
      </c>
      <c r="H410" s="380"/>
      <c r="I410" s="286">
        <f t="shared" si="35"/>
        <v>-0.44647763124782924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1398107</v>
      </c>
      <c r="D411" s="380">
        <f>SUMIFS(Data!$W$34:$W$47,Data!$S$34:$S$47,MarketProfile!A411,Data!$X$34:$X$47,"1")</f>
        <v>1463781</v>
      </c>
      <c r="E411" s="380"/>
      <c r="F411" s="286">
        <f t="shared" si="34"/>
        <v>-4.4866001129950449E-2</v>
      </c>
      <c r="G411" s="380">
        <f>SUMIFS(Data!$W$81:$W$93,Data!$S$81:$S$93,MarketProfile!A411,Data!$X$81:$X$93,"1")</f>
        <v>1880974</v>
      </c>
      <c r="H411" s="380"/>
      <c r="I411" s="286">
        <f t="shared" si="35"/>
        <v>-0.25671115071234374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1720050</v>
      </c>
      <c r="D412" s="380">
        <f>SUMIFS(Data!$W$34:$W$47,Data!$S$34:$S$47,MarketProfile!A412,Data!$X$34:$X$47,"1")</f>
        <v>1831288</v>
      </c>
      <c r="E412" s="380"/>
      <c r="F412" s="286">
        <f t="shared" si="34"/>
        <v>-6.0743039871391062E-2</v>
      </c>
      <c r="G412" s="380">
        <f>SUMIFS(Data!$W$81:$W$93,Data!$S$81:$S$93,MarketProfile!A412,Data!$X$81:$X$93,"1")</f>
        <v>12407363</v>
      </c>
      <c r="H412" s="380"/>
      <c r="I412" s="286">
        <f t="shared" si="35"/>
        <v>-0.86136860830137718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1651907</v>
      </c>
      <c r="D413" s="380">
        <f>SUMIFS(Data!$W$34:$W$47,Data!$S$34:$S$47,MarketProfile!A413,Data!$X$34:$X$47,"1")</f>
        <v>1762120</v>
      </c>
      <c r="E413" s="380"/>
      <c r="F413" s="286">
        <f t="shared" si="34"/>
        <v>-6.2545683608380809E-2</v>
      </c>
      <c r="G413" s="380">
        <f>SUMIFS(Data!$W$81:$W$93,Data!$S$81:$S$93,MarketProfile!A413,Data!$X$81:$X$93,"1")</f>
        <v>11899416</v>
      </c>
      <c r="H413" s="380"/>
      <c r="I413" s="286">
        <f t="shared" si="35"/>
        <v>-0.86117747291127567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155372</v>
      </c>
      <c r="D414" s="380">
        <f>SUMIFS(Data!$W$34:$W$47,Data!$S$34:$S$47,MarketProfile!A414,Data!$X$34:$X$47,"1")</f>
        <v>152359</v>
      </c>
      <c r="E414" s="380"/>
      <c r="F414" s="286">
        <f t="shared" si="34"/>
        <v>1.9775661431224934E-2</v>
      </c>
      <c r="G414" s="380">
        <f>SUMIFS(Data!$W$81:$W$93,Data!$S$81:$S$93,MarketProfile!A414,Data!$X$81:$X$93,"1")</f>
        <v>301241</v>
      </c>
      <c r="H414" s="380"/>
      <c r="I414" s="286">
        <f t="shared" si="35"/>
        <v>-0.48422691466301065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993826</v>
      </c>
      <c r="D417" s="380">
        <f>SUMIFS(Data!$W$34:$W$47,Data!$S$34:$S$47,MarketProfile!A417,Data!$X$34:$X$47,"0")</f>
        <v>882849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0.12570326295889783</v>
      </c>
      <c r="G417" s="380">
        <f>SUMIFS(Data!$W$81:$W$93,Data!$S$81:$S$93,MarketProfile!A417,Data!$X$81:$X$93,"0")</f>
        <v>1068544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-6.9925056899856258E-2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1380519</v>
      </c>
      <c r="D418" s="380">
        <f>SUMIFS(Data!$W$34:$W$47,Data!$S$34:$S$47,MarketProfile!A418,Data!$X$34:$X$47,"0")</f>
        <v>1252151</v>
      </c>
      <c r="E418" s="380"/>
      <c r="F418" s="286">
        <f t="shared" si="36"/>
        <v>0.10251798704788799</v>
      </c>
      <c r="G418" s="380">
        <f>SUMIFS(Data!$W$75:$W$87,Data!$S$75:$S$87,MarketProfile!A418,Data!$X$75:$X$87,"0")</f>
        <v>2518229</v>
      </c>
      <c r="H418" s="380"/>
      <c r="I418" s="286">
        <f t="shared" si="37"/>
        <v>-0.45178973000469774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150615</v>
      </c>
      <c r="D419" s="380">
        <f>SUMIFS(Data!$W$34:$W$47,Data!$S$34:$S$47,MarketProfile!A419,Data!$X$34:$X$47,"0")</f>
        <v>99514</v>
      </c>
      <c r="E419" s="380"/>
      <c r="F419" s="286">
        <f t="shared" si="36"/>
        <v>0.51350563739775312</v>
      </c>
      <c r="G419" s="380">
        <f>SUMIFS(Data!$W$75:$W$87,Data!$S$75:$S$87,MarketProfile!A419,Data!$X$75:$X$87,"0")</f>
        <v>222915</v>
      </c>
      <c r="H419" s="380"/>
      <c r="I419" s="286">
        <f t="shared" si="37"/>
        <v>-0.32433887356167151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Aug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Aug 2018</v>
      </c>
      <c r="D431" s="330"/>
      <c r="E431" s="341" t="str">
        <f>TEXT(DATE(2000,TEXT(H3,"M")-1,1),"mmm")&amp; " "&amp; TEXT(H3,"YYYY")</f>
        <v>Jul 2018</v>
      </c>
      <c r="F431" s="180" t="s">
        <v>193</v>
      </c>
      <c r="G431" s="330"/>
      <c r="H431" s="342" t="str">
        <f>TEXT($H$3,"MMM")&amp;" "&amp;TEXT($H$3,"YYYY")-1</f>
        <v>Aug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1012</v>
      </c>
      <c r="D434" s="378">
        <f>SUMIFS(Data!$AQ:$AQ,Data!$AN:$AN,MarketProfile!A434,Data!$AS:$AS,"1")</f>
        <v>690</v>
      </c>
      <c r="E434" s="378"/>
      <c r="F434" s="179">
        <f>IFERROR(IF(OR(AND(D434="",C434=""),AND(D434=0,C434=0)),"",
IF(OR(D434="",D434=0),1,
IF(OR(D434&lt;&gt;"",D434&lt;&gt;0),(C434-D434)/ABS(D434)))),-1)</f>
        <v>0.46666666666666667</v>
      </c>
      <c r="G434" s="378">
        <f>SUMIFS(Data!$BE:$BE,Data!$BB:$BB,MarketProfile!A434,Data!BG:BG,"1")</f>
        <v>1126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-0.10124333925399645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3165</v>
      </c>
      <c r="D435" s="378">
        <f>SUMIFS(Data!$AQ:$AQ,Data!$AN:$AN,MarketProfile!A435,Data!$AS:$AS,"1")</f>
        <v>2948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7.3609226594301219E-2</v>
      </c>
      <c r="G435" s="378">
        <f>SUMIFS(Data!$BE:$BE,Data!$BB:$BB,MarketProfile!A435,Data!BG:BG,"1")</f>
        <v>2340</v>
      </c>
      <c r="H435" s="378"/>
      <c r="I435" s="179">
        <f t="shared" si="38"/>
        <v>0.35256410256410259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12269</v>
      </c>
      <c r="D436" s="378">
        <f>SUMIFS(Data!$AQ:$AQ,Data!$AN:$AN,MarketProfile!A436,Data!$AS:$AS,"1")</f>
        <v>7733</v>
      </c>
      <c r="E436" s="378"/>
      <c r="F436" s="179">
        <f t="shared" si="39"/>
        <v>0.58657700762963916</v>
      </c>
      <c r="G436" s="378">
        <f>SUMIFS(Data!$BE:$BE,Data!$BB:$BB,MarketProfile!A436,Data!BG:BG,"1")</f>
        <v>6046</v>
      </c>
      <c r="H436" s="378"/>
      <c r="I436" s="179">
        <f t="shared" si="38"/>
        <v>1.0292755540853458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44</v>
      </c>
      <c r="D437" s="378">
        <f>SUMIFS(Data!$AQ:$AQ,Data!$AN:$AN,MarketProfile!A437,Data!$AS:$AS,"1")</f>
        <v>6</v>
      </c>
      <c r="E437" s="378"/>
      <c r="F437" s="179">
        <f t="shared" si="39"/>
        <v>6.333333333333333</v>
      </c>
      <c r="G437" s="378">
        <f>SUMIFS(Data!$BE:$BE,Data!$BB:$BB,MarketProfile!A437,Data!BG:BG,"1")</f>
        <v>25</v>
      </c>
      <c r="H437" s="378"/>
      <c r="I437" s="179">
        <f t="shared" si="38"/>
        <v>0.76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4354</v>
      </c>
      <c r="D438" s="378">
        <f>SUMIFS(Data!$AQ:$AQ,Data!$AN:$AN,MarketProfile!A438,Data!$AS:$AS,"1")</f>
        <v>4001</v>
      </c>
      <c r="E438" s="378"/>
      <c r="F438" s="179">
        <f t="shared" si="39"/>
        <v>8.822794301424644E-2</v>
      </c>
      <c r="G438" s="378">
        <f>SUMIFS(Data!$BE:$BE,Data!$BB:$BB,MarketProfile!A438,Data!BG:BG,"1")</f>
        <v>2578</v>
      </c>
      <c r="H438" s="378"/>
      <c r="I438" s="179">
        <f t="shared" si="38"/>
        <v>0.68890612878200153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18800</v>
      </c>
      <c r="D439" s="378">
        <f>SUMIFS(Data!$AQ:$AQ,Data!$AN:$AN,MarketProfile!A439,Data!$AS:$AS,"1")</f>
        <v>12548</v>
      </c>
      <c r="E439" s="378"/>
      <c r="F439" s="179">
        <f t="shared" si="39"/>
        <v>0.49824673254701946</v>
      </c>
      <c r="G439" s="378">
        <f>SUMIFS(Data!$BE:$BE,Data!$BB:$BB,MarketProfile!A439,Data!BG:BG,"1")</f>
        <v>11878</v>
      </c>
      <c r="H439" s="378"/>
      <c r="I439" s="179">
        <f t="shared" si="38"/>
        <v>0.58275804007408649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21</v>
      </c>
      <c r="D440" s="378">
        <f>SUMIFS(Data!$AQ:$AQ,Data!$AN:$AN,MarketProfile!A440,Data!$AS:$AS,"1")</f>
        <v>18</v>
      </c>
      <c r="E440" s="378"/>
      <c r="F440" s="179">
        <f t="shared" si="39"/>
        <v>0.16666666666666666</v>
      </c>
      <c r="G440" s="378">
        <f>SUMIFS(Data!$BE:$BE,Data!$BB:$BB,MarketProfile!A440,Data!BG:BG,"1")</f>
        <v>49</v>
      </c>
      <c r="H440" s="378"/>
      <c r="I440" s="179">
        <f t="shared" si="38"/>
        <v>-0.5714285714285714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0</v>
      </c>
      <c r="D441" s="378">
        <f>SUMIFS(Data!$AQ:$AQ,Data!$AN:$AN,MarketProfile!A441,Data!$AS:$AS,"1")</f>
        <v>8</v>
      </c>
      <c r="E441" s="378"/>
      <c r="F441" s="179">
        <f t="shared" si="39"/>
        <v>-1</v>
      </c>
      <c r="G441" s="378">
        <f>SUMIFS(Data!$BE:$BE,Data!$BB:$BB,MarketProfile!A441,Data!BG:BG,"1")</f>
        <v>3</v>
      </c>
      <c r="H441" s="378"/>
      <c r="I441" s="179">
        <f t="shared" si="38"/>
        <v>-1</v>
      </c>
      <c r="J441" s="158"/>
    </row>
    <row r="442" spans="1:10" x14ac:dyDescent="0.2">
      <c r="A442" s="246" t="s">
        <v>187</v>
      </c>
      <c r="B442" s="247"/>
      <c r="C442" s="4">
        <f>SUM(C434:C441)</f>
        <v>39665</v>
      </c>
      <c r="D442" s="379">
        <f>SUM(D434:E441)</f>
        <v>27952</v>
      </c>
      <c r="E442" s="379">
        <f>SUM(E434:E441)</f>
        <v>0</v>
      </c>
      <c r="F442" s="166">
        <f t="shared" si="39"/>
        <v>0.41903978248425872</v>
      </c>
      <c r="G442" s="379">
        <f>SUM(G434:H441)</f>
        <v>24045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0.64961530463713868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2</v>
      </c>
      <c r="D444" s="378">
        <f>SUMIFS(Data!$AQ:$AQ,Data!$AN:$AN,MarketProfile!A444,Data!$AS:$AS,"0")</f>
        <v>43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-0.95348837209302328</v>
      </c>
      <c r="G444" s="378">
        <f>SUMIFS(Data!$BE:$BE,Data!$BB:$BB,MarketProfile!A444,Data!BG:BG,"0")</f>
        <v>0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53</v>
      </c>
      <c r="D445" s="378">
        <f>SUMIFS(Data!$AQ:$AQ,Data!$AN:$AN,MarketProfile!A445,Data!$AS:$AS,"0")</f>
        <v>65</v>
      </c>
      <c r="E445" s="378"/>
      <c r="F445" s="179">
        <f t="shared" si="40"/>
        <v>-0.18461538461538463</v>
      </c>
      <c r="G445" s="378">
        <f>SUMIFS(Data!$BE:$BE,Data!$BB:$BB,MarketProfile!A445,Data!BG:BG,"0")</f>
        <v>72</v>
      </c>
      <c r="H445" s="378"/>
      <c r="I445" s="179">
        <f t="shared" si="41"/>
        <v>-0.2638888888888889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399</v>
      </c>
      <c r="D446" s="378">
        <f>SUMIFS(Data!$AQ:$AQ,Data!$AN:$AN,MarketProfile!A446,Data!$AS:$AS,"0")</f>
        <v>188</v>
      </c>
      <c r="E446" s="378"/>
      <c r="F446" s="179">
        <f t="shared" si="40"/>
        <v>1.1223404255319149</v>
      </c>
      <c r="G446" s="378">
        <f>SUMIFS(Data!$BE:$BE,Data!$BB:$BB,MarketProfile!A446,Data!BG:BG,"0")</f>
        <v>311</v>
      </c>
      <c r="H446" s="378"/>
      <c r="I446" s="179">
        <f t="shared" si="41"/>
        <v>0.28295819935691319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132</v>
      </c>
      <c r="D448" s="378">
        <f>SUMIFS(Data!$AQ:$AQ,Data!$AN:$AN,MarketProfile!A448,Data!$AS:$AS,"0")</f>
        <v>136</v>
      </c>
      <c r="E448" s="378"/>
      <c r="F448" s="179">
        <f t="shared" si="40"/>
        <v>-2.9411764705882353E-2</v>
      </c>
      <c r="G448" s="378">
        <f>SUMIFS(Data!$BE:$BE,Data!$BB:$BB,MarketProfile!A448,Data!BG:BG,"0")</f>
        <v>123</v>
      </c>
      <c r="H448" s="378"/>
      <c r="I448" s="179">
        <f t="shared" si="41"/>
        <v>7.3170731707317069E-2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2627</v>
      </c>
      <c r="D449" s="378">
        <f>SUMIFS(Data!$AQ:$AQ,Data!$AN:$AN,MarketProfile!A449,Data!$AS:$AS,"0")</f>
        <v>1452</v>
      </c>
      <c r="E449" s="378"/>
      <c r="F449" s="179">
        <f t="shared" si="40"/>
        <v>0.80922865013774103</v>
      </c>
      <c r="G449" s="378">
        <f>SUMIFS(Data!$BE:$BE,Data!$BB:$BB,MarketProfile!A449,Data!BG:BG,"0")</f>
        <v>1374</v>
      </c>
      <c r="H449" s="378"/>
      <c r="I449" s="179">
        <f t="shared" si="41"/>
        <v>0.91193595342066958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8">
        <f>SUMIFS(Data!$AQ:$AQ,Data!$AN:$AN,MarketProfile!A450,Data!$AS:$AS,"0")</f>
        <v>0</v>
      </c>
      <c r="E450" s="378"/>
      <c r="F450" s="179" t="str">
        <f t="shared" si="40"/>
        <v/>
      </c>
      <c r="G450" s="378">
        <f>SUMIFS(Data!$BE:$BE,Data!$BB:$BB,MarketProfile!A450,Data!BG:BG,"0")</f>
        <v>0</v>
      </c>
      <c r="H450" s="378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3213</v>
      </c>
      <c r="D452" s="379">
        <f>SUM(D444:E451)</f>
        <v>1884</v>
      </c>
      <c r="E452" s="379">
        <f>SUM(E444:E451)</f>
        <v>0</v>
      </c>
      <c r="F452" s="166">
        <f t="shared" si="40"/>
        <v>0.70541401273885351</v>
      </c>
      <c r="G452" s="379">
        <f>SUM(G444:H451)</f>
        <v>1880</v>
      </c>
      <c r="H452" s="379">
        <f>SUM(H444:H451)</f>
        <v>0</v>
      </c>
      <c r="I452" s="166">
        <f t="shared" si="41"/>
        <v>0.70904255319148934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18568</v>
      </c>
      <c r="D455" s="378">
        <f>SUMIFS(Data!$AP:$AP,Data!$AN:$AN,MarketProfile!A455,Data!$AS:$AS,"1")</f>
        <v>8221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1.258606009001338</v>
      </c>
      <c r="G455" s="378">
        <f>SUMIFS(Data!$BD:$BD,Data!$BB:$BB,MarketProfile!A455,Data!BG:BG,"1")</f>
        <v>17068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8.7883759081321774E-2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29052</v>
      </c>
      <c r="D456" s="378">
        <f>SUMIFS(Data!$AP:$AP,Data!$AN:$AN,MarketProfile!A456,Data!$AS:$AS,"1")</f>
        <v>24968</v>
      </c>
      <c r="E456" s="378"/>
      <c r="F456" s="179">
        <f t="shared" si="42"/>
        <v>0.16356936879205383</v>
      </c>
      <c r="G456" s="378">
        <f>SUMIFS(Data!$BD:$BD,Data!$BB:$BB,MarketProfile!A456,Data!BG:BG,"1")</f>
        <v>31305</v>
      </c>
      <c r="H456" s="378"/>
      <c r="I456" s="179">
        <f t="shared" si="43"/>
        <v>-7.1969333972208907E-2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67857</v>
      </c>
      <c r="D457" s="378">
        <f>SUMIFS(Data!$AP:$AP,Data!$AN:$AN,MarketProfile!A457,Data!$AS:$AS,"1")</f>
        <v>69283</v>
      </c>
      <c r="E457" s="378"/>
      <c r="F457" s="179">
        <f t="shared" si="42"/>
        <v>-2.0582249613902402E-2</v>
      </c>
      <c r="G457" s="378">
        <f>SUMIFS(Data!$BD:$BD,Data!$BB:$BB,MarketProfile!A457,Data!BG:BG,"1")</f>
        <v>54154</v>
      </c>
      <c r="H457" s="378"/>
      <c r="I457" s="179">
        <f t="shared" si="43"/>
        <v>0.25303763341581414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2007</v>
      </c>
      <c r="D458" s="378">
        <f>SUMIFS(Data!$AP:$AP,Data!$AN:$AN,MarketProfile!A458,Data!$AS:$AS,"1")</f>
        <v>522</v>
      </c>
      <c r="E458" s="378"/>
      <c r="F458" s="179">
        <f t="shared" si="42"/>
        <v>2.8448275862068964</v>
      </c>
      <c r="G458" s="378">
        <f>SUMIFS(Data!$BD:$BD,Data!$BB:$BB,MarketProfile!A458,Data!BG:BG,"1")</f>
        <v>2174</v>
      </c>
      <c r="H458" s="378"/>
      <c r="I458" s="179">
        <f t="shared" si="43"/>
        <v>-7.6816927322907083E-2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27905</v>
      </c>
      <c r="D459" s="378">
        <f>SUMIFS(Data!$AP:$AP,Data!$AN:$AN,MarketProfile!A459,Data!$AS:$AS,"1")</f>
        <v>27940</v>
      </c>
      <c r="E459" s="378"/>
      <c r="F459" s="179">
        <f t="shared" si="42"/>
        <v>-1.2526843235504653E-3</v>
      </c>
      <c r="G459" s="378">
        <f>SUMIFS(Data!$BD:$BD,Data!$BB:$BB,MarketProfile!A459,Data!BG:BG,"1")</f>
        <v>31994</v>
      </c>
      <c r="H459" s="378"/>
      <c r="I459" s="179">
        <f t="shared" si="43"/>
        <v>-0.12780521347752705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96113</v>
      </c>
      <c r="D460" s="378">
        <f>SUMIFS(Data!$AP:$AP,Data!$AN:$AN,MarketProfile!A460,Data!$AS:$AS,"1")</f>
        <v>86127</v>
      </c>
      <c r="E460" s="378"/>
      <c r="F460" s="179">
        <f t="shared" si="42"/>
        <v>0.11594505787964285</v>
      </c>
      <c r="G460" s="378">
        <f>SUMIFS(Data!$BD:$BD,Data!$BB:$BB,MarketProfile!A460,Data!BG:BG,"1")</f>
        <v>87779</v>
      </c>
      <c r="H460" s="378"/>
      <c r="I460" s="179">
        <f t="shared" si="43"/>
        <v>9.4942981806582435E-2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192</v>
      </c>
      <c r="D461" s="378">
        <f>SUMIFS(Data!$AP:$AP,Data!$AN:$AN,MarketProfile!A461,Data!$AS:$AS,"1")</f>
        <v>199</v>
      </c>
      <c r="E461" s="378"/>
      <c r="F461" s="179">
        <f t="shared" si="42"/>
        <v>-3.5175879396984924E-2</v>
      </c>
      <c r="G461" s="378">
        <f>SUMIFS(Data!$BD:$BD,Data!$BB:$BB,MarketProfile!A461,Data!BG:BG,"1")</f>
        <v>536</v>
      </c>
      <c r="H461" s="378"/>
      <c r="I461" s="179">
        <f t="shared" si="43"/>
        <v>-0.64179104477611937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0</v>
      </c>
      <c r="D462" s="378">
        <f>SUMIFS(Data!$AP:$AP,Data!$AN:$AN,MarketProfile!A462,Data!$AS:$AS,"1")</f>
        <v>60</v>
      </c>
      <c r="E462" s="378"/>
      <c r="F462" s="179">
        <f t="shared" si="42"/>
        <v>-1</v>
      </c>
      <c r="G462" s="378">
        <f>SUMIFS(Data!$BD:$BD,Data!$BB:$BB,MarketProfile!A462,Data!BG:BG,"1")</f>
        <v>3</v>
      </c>
      <c r="H462" s="378"/>
      <c r="I462" s="179">
        <f t="shared" si="43"/>
        <v>-1</v>
      </c>
    </row>
    <row r="463" spans="1:9" x14ac:dyDescent="0.2">
      <c r="A463" s="246" t="s">
        <v>187</v>
      </c>
      <c r="B463" s="247"/>
      <c r="C463" s="4">
        <f>SUM(C455:C462)</f>
        <v>241694</v>
      </c>
      <c r="D463" s="379">
        <f>SUM(D455:E462)</f>
        <v>217320</v>
      </c>
      <c r="E463" s="379">
        <f>SUM(E455:E462)</f>
        <v>0</v>
      </c>
      <c r="F463" s="166">
        <f t="shared" si="42"/>
        <v>0.11215718755751887</v>
      </c>
      <c r="G463" s="379">
        <f>SUM(G455:H462)</f>
        <v>225013</v>
      </c>
      <c r="H463" s="379">
        <f>SUM(H455:H462)</f>
        <v>0</v>
      </c>
      <c r="I463" s="166">
        <f t="shared" si="43"/>
        <v>7.413349450920613E-2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6</v>
      </c>
      <c r="D465" s="378">
        <f>SUMIFS(Data!$AP:$AP,Data!$AN:$AN,MarketProfile!A465,Data!$AS:$AS,"0")</f>
        <v>111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-0.94594594594594594</v>
      </c>
      <c r="G465" s="378">
        <f>SUMIFS(Data!$BD:$BD,Data!$BB:$BB,MarketProfile!A465,Data!BG:BG,"0")</f>
        <v>0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466</v>
      </c>
      <c r="D466" s="378">
        <f>SUMIFS(Data!$AP:$AP,Data!$AN:$AN,MarketProfile!A466,Data!$AS:$AS,"0")</f>
        <v>702</v>
      </c>
      <c r="E466" s="378"/>
      <c r="F466" s="179">
        <f t="shared" si="44"/>
        <v>-0.33618233618233617</v>
      </c>
      <c r="G466" s="378">
        <f>SUMIFS(Data!$BD:$BD,Data!$BB:$BB,MarketProfile!A466,Data!BG:BG,"0")</f>
        <v>1383</v>
      </c>
      <c r="H466" s="378"/>
      <c r="I466" s="179">
        <f t="shared" si="45"/>
        <v>-0.66305133767172808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7034</v>
      </c>
      <c r="D467" s="378">
        <f>SUMIFS(Data!$AP:$AP,Data!$AN:$AN,MarketProfile!A467,Data!$AS:$AS,"0")</f>
        <v>2745</v>
      </c>
      <c r="E467" s="378"/>
      <c r="F467" s="179">
        <f t="shared" si="44"/>
        <v>1.5624772313296904</v>
      </c>
      <c r="G467" s="378">
        <f>SUMIFS(Data!$BD:$BD,Data!$BB:$BB,MarketProfile!A467,Data!BG:BG,"0")</f>
        <v>4309</v>
      </c>
      <c r="H467" s="378"/>
      <c r="I467" s="179">
        <f t="shared" si="45"/>
        <v>0.63239730796008353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2480</v>
      </c>
      <c r="D469" s="378">
        <f>SUMIFS(Data!$AP:$AP,Data!$AN:$AN,MarketProfile!A469,Data!$AS:$AS,"0")</f>
        <v>1564</v>
      </c>
      <c r="E469" s="378"/>
      <c r="F469" s="179">
        <f t="shared" si="44"/>
        <v>0.58567774936061379</v>
      </c>
      <c r="G469" s="378">
        <f>SUMIFS(Data!$BD:$BD,Data!$BB:$BB,MarketProfile!A469,Data!BG:BG,"0")</f>
        <v>4165</v>
      </c>
      <c r="H469" s="378"/>
      <c r="I469" s="179">
        <f t="shared" si="45"/>
        <v>-0.40456182472989194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28249</v>
      </c>
      <c r="D470" s="378">
        <f>SUMIFS(Data!$AP:$AP,Data!$AN:$AN,MarketProfile!A470,Data!$AS:$AS,"0")</f>
        <v>14839</v>
      </c>
      <c r="E470" s="378"/>
      <c r="F470" s="179">
        <f t="shared" si="44"/>
        <v>0.90369971022306084</v>
      </c>
      <c r="G470" s="378">
        <f>SUMIFS(Data!$BD:$BD,Data!$BB:$BB,MarketProfile!A470,Data!BG:BG,"0")</f>
        <v>13315</v>
      </c>
      <c r="H470" s="378"/>
      <c r="I470" s="179">
        <f t="shared" si="45"/>
        <v>1.1215921892602327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8">
        <f>SUMIFS(Data!$AP:$AP,Data!$AN:$AN,MarketProfile!A471,Data!$AS:$AS,"0")</f>
        <v>0</v>
      </c>
      <c r="E471" s="378"/>
      <c r="F471" s="179" t="str">
        <f t="shared" si="44"/>
        <v/>
      </c>
      <c r="G471" s="378">
        <f>SUMIFS(Data!$BD:$BD,Data!$BB:$BB,MarketProfile!A471,Data!BG:BG,"0")</f>
        <v>0</v>
      </c>
      <c r="H471" s="378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38235</v>
      </c>
      <c r="D473" s="379">
        <f>SUM(D465:E472)</f>
        <v>19961</v>
      </c>
      <c r="E473" s="379">
        <v>34213</v>
      </c>
      <c r="F473" s="166">
        <f t="shared" si="44"/>
        <v>0.91548519613245827</v>
      </c>
      <c r="G473" s="379">
        <f>SUM(G465:H472)</f>
        <v>23172</v>
      </c>
      <c r="H473" s="379">
        <f>SUM(H465:H472)</f>
        <v>0</v>
      </c>
      <c r="I473" s="166">
        <f t="shared" si="45"/>
        <v>0.65005178663904717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4009532.0681399996</v>
      </c>
      <c r="D476" s="378">
        <f>SUMIFS(Data!$AO:$AO,Data!$AN:$AN,MarketProfile!A476,Data!$AS:$AS,"1")/1000</f>
        <v>1637121.84751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1.4491347875164851</v>
      </c>
      <c r="G476" s="378">
        <f>SUMIFS(Data!$BC:$BC,Data!$BB:$BB,MarketProfile!A476,Data!BG:BG,"1")/1000</f>
        <v>3409461.4939699997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0.17600156952389387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6673213.7844750006</v>
      </c>
      <c r="D477" s="378">
        <f>SUMIFS(Data!$AO:$AO,Data!$AN:$AN,MarketProfile!A477,Data!$AS:$AS,"1")/1000</f>
        <v>5540034.6037749993</v>
      </c>
      <c r="E477" s="378"/>
      <c r="F477" s="179">
        <f t="shared" si="46"/>
        <v>0.20454370085122736</v>
      </c>
      <c r="G477" s="378">
        <f>SUMIFS(Data!$BC:$BC,Data!$BB:$BB,MarketProfile!A477,Data!BG:BG,"1")/1000</f>
        <v>7385630.5273549994</v>
      </c>
      <c r="H477" s="378"/>
      <c r="I477" s="179">
        <f t="shared" si="47"/>
        <v>-9.6459840529706978E-2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16411238.008469999</v>
      </c>
      <c r="D478" s="378">
        <f>SUMIFS(Data!$AO:$AO,Data!$AN:$AN,MarketProfile!A478,Data!$AS:$AS,"1")/1000</f>
        <v>15190033.00746</v>
      </c>
      <c r="E478" s="378"/>
      <c r="F478" s="179">
        <f t="shared" si="46"/>
        <v>8.0395151242281762E-2</v>
      </c>
      <c r="G478" s="378">
        <f>SUMIFS(Data!$BC:$BC,Data!$BB:$BB,MarketProfile!A478,Data!BG:BG,"1")/1000</f>
        <v>10863374.468429999</v>
      </c>
      <c r="H478" s="378"/>
      <c r="I478" s="179">
        <f t="shared" si="47"/>
        <v>0.51069431106905305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348687.65105599997</v>
      </c>
      <c r="D479" s="378">
        <f>SUMIFS(Data!$AO:$AO,Data!$AN:$AN,MarketProfile!A479,Data!$AS:$AS,"1")/1000</f>
        <v>86318.350219999993</v>
      </c>
      <c r="E479" s="378"/>
      <c r="F479" s="179">
        <f t="shared" si="46"/>
        <v>3.0395541639442611</v>
      </c>
      <c r="G479" s="378">
        <f>SUMIFS(Data!$BC:$BC,Data!$BB:$BB,MarketProfile!A479,Data!BG:BG,"1")/1000</f>
        <v>377047.78669500002</v>
      </c>
      <c r="H479" s="378"/>
      <c r="I479" s="179">
        <f t="shared" si="47"/>
        <v>-7.5216289923327434E-2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7008625.9922899995</v>
      </c>
      <c r="D480" s="378">
        <f>SUMIFS(Data!$AO:$AO,Data!$AN:$AN,MarketProfile!A480,Data!$AS:$AS,"1")/1000</f>
        <v>6609979.5274999999</v>
      </c>
      <c r="E480" s="378"/>
      <c r="F480" s="179">
        <f t="shared" si="46"/>
        <v>6.0309788121352036E-2</v>
      </c>
      <c r="G480" s="378">
        <f>SUMIFS(Data!$BC:$BC,Data!$BB:$BB,MarketProfile!A480,Data!BG:BG,"1")/1000</f>
        <v>7722790.2186650001</v>
      </c>
      <c r="H480" s="378"/>
      <c r="I480" s="179">
        <f t="shared" si="47"/>
        <v>-9.247489652754734E-2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22692901.66945</v>
      </c>
      <c r="D481" s="378">
        <f>SUMIFS(Data!$AO:$AO,Data!$AN:$AN,MarketProfile!A481,Data!$AS:$AS,"1")/1000</f>
        <v>18265977.121599998</v>
      </c>
      <c r="E481" s="378"/>
      <c r="F481" s="179">
        <f t="shared" si="46"/>
        <v>0.24235903277328902</v>
      </c>
      <c r="G481" s="378">
        <f>SUMIFS(Data!$BC:$BC,Data!$BB:$BB,MarketProfile!A481,Data!BG:BG,"1")/1000</f>
        <v>16633149.560999991</v>
      </c>
      <c r="H481" s="378"/>
      <c r="I481" s="179">
        <f t="shared" si="47"/>
        <v>0.36431777915701574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22429.890045</v>
      </c>
      <c r="D482" s="378">
        <f>SUMIFS(Data!$AO:$AO,Data!$AN:$AN,MarketProfile!A482,Data!$AS:$AS,"1")/1000</f>
        <v>21844.700026000002</v>
      </c>
      <c r="E482" s="378"/>
      <c r="F482" s="179">
        <f t="shared" si="46"/>
        <v>2.6788649800798037E-2</v>
      </c>
      <c r="G482" s="378">
        <f>SUMIFS(Data!$BC:$BC,Data!$BB:$BB,MarketProfile!A482,Data!BG:BG,"1")/1000</f>
        <v>71440.519972000009</v>
      </c>
      <c r="H482" s="378"/>
      <c r="I482" s="179">
        <f t="shared" si="47"/>
        <v>-0.68603405946945739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0</v>
      </c>
      <c r="D483" s="378">
        <f>SUMIFS(Data!$AO:$AO,Data!$AN:$AN,MarketProfile!A483,Data!$AS:$AS,"1")/1000</f>
        <v>5610.4999800000005</v>
      </c>
      <c r="E483" s="378"/>
      <c r="F483" s="179">
        <f t="shared" si="46"/>
        <v>-1</v>
      </c>
      <c r="G483" s="378">
        <f>SUMIFS(Data!$BC:$BC,Data!$BB:$BB,MarketProfile!A483,Data!BG:BG,"1")/1000</f>
        <v>191.42</v>
      </c>
      <c r="H483" s="378"/>
      <c r="I483" s="179">
        <f t="shared" si="47"/>
        <v>-1</v>
      </c>
    </row>
    <row r="484" spans="1:9" x14ac:dyDescent="0.2">
      <c r="A484" s="246" t="s">
        <v>187</v>
      </c>
      <c r="B484" s="247"/>
      <c r="C484" s="4">
        <f>SUM(C476:C483)</f>
        <v>57166629.063925996</v>
      </c>
      <c r="D484" s="379">
        <f>SUM(D476:E483)</f>
        <v>47356919.658070996</v>
      </c>
      <c r="E484" s="379">
        <f>SUM(E476:E483)</f>
        <v>0</v>
      </c>
      <c r="F484" s="166">
        <f t="shared" si="46"/>
        <v>0.20714416133235855</v>
      </c>
      <c r="G484" s="379">
        <f>SUM(G476:H483)</f>
        <v>46463085.996086985</v>
      </c>
      <c r="H484" s="379">
        <f>SUM(H476:H483)</f>
        <v>0</v>
      </c>
      <c r="I484" s="166">
        <f t="shared" si="47"/>
        <v>0.23036659830861084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29.414000000000001</v>
      </c>
      <c r="D486" s="378">
        <f>SUMIFS(Data!$AO:$AO,Data!$AN:$AN,MarketProfile!A486,Data!$AS:$AS,"0")/1000</f>
        <v>930.78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-0.9683985474548229</v>
      </c>
      <c r="G486" s="378">
        <f>SUMIFS(Data!$BC:$BC,Data!$BB:$BB,MarketProfile!A486,Data!BG:BG,"0")/1000</f>
        <v>0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3122.3451299999997</v>
      </c>
      <c r="D487" s="378">
        <f>SUMIFS(Data!$AO:$AO,Data!$AN:$AN,MarketProfile!A487,Data!$AS:$AS,"0")/1000</f>
        <v>4485.3929200000002</v>
      </c>
      <c r="E487" s="378"/>
      <c r="F487" s="179">
        <f t="shared" si="48"/>
        <v>-0.30388592801363778</v>
      </c>
      <c r="G487" s="378">
        <f>SUMIFS(Data!$BC:$BC,Data!$BB:$BB,MarketProfile!A487,Data!BG:BG,"0")/1000</f>
        <v>15163.1402</v>
      </c>
      <c r="H487" s="378"/>
      <c r="I487" s="179">
        <f t="shared" si="49"/>
        <v>-0.79408321173473029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95553.067909999998</v>
      </c>
      <c r="D488" s="378">
        <f>SUMIFS(Data!$AO:$AO,Data!$AN:$AN,MarketProfile!A488,Data!$AS:$AS,"0")/1000</f>
        <v>18256.098000000002</v>
      </c>
      <c r="E488" s="378"/>
      <c r="F488" s="179">
        <f t="shared" si="48"/>
        <v>4.2340356581127025</v>
      </c>
      <c r="G488" s="378">
        <f>SUMIFS(Data!$BC:$BC,Data!$BB:$BB,MarketProfile!A488,Data!BG:BG,"0")/1000</f>
        <v>45298.972430000002</v>
      </c>
      <c r="H488" s="378"/>
      <c r="I488" s="179">
        <f t="shared" si="49"/>
        <v>1.1093870960904708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15336.217339999999</v>
      </c>
      <c r="D490" s="378">
        <f>SUMIFS(Data!$AO:$AO,Data!$AN:$AN,MarketProfile!A490,Data!$AS:$AS,"0")/1000</f>
        <v>9600.5974000000006</v>
      </c>
      <c r="E490" s="378"/>
      <c r="F490" s="179">
        <f t="shared" si="48"/>
        <v>0.59742323326671298</v>
      </c>
      <c r="G490" s="378">
        <f>SUMIFS(Data!$BC:$BC,Data!$BB:$BB,MarketProfile!A490,Data!BG:BG,"0")/1000</f>
        <v>41218.993799999997</v>
      </c>
      <c r="H490" s="378"/>
      <c r="I490" s="179">
        <f t="shared" si="49"/>
        <v>-0.62793324324185706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310453.50839999999</v>
      </c>
      <c r="D491" s="378">
        <f>SUMIFS(Data!$AO:$AO,Data!$AN:$AN,MarketProfile!A491,Data!$AS:$AS,"0")/1000</f>
        <v>137138.00982000001</v>
      </c>
      <c r="E491" s="378"/>
      <c r="F491" s="179">
        <f>IFERROR(IF(OR(AND(D491="",C491=""),AND(D491=0,C491=0)),"",
IF(OR(D491="",D491=0),1,
IF(OR(D491&lt;&gt;"",D491&lt;&gt;0),(C491-D491)/ABS(D491)))),-1)</f>
        <v>1.2638035130266554</v>
      </c>
      <c r="G491" s="378">
        <f>SUMIFS(Data!$BC:$BC,Data!$BB:$BB,MarketProfile!A491,Data!BG:BG,"0")/1000</f>
        <v>143005.79746999999</v>
      </c>
      <c r="H491" s="378"/>
      <c r="I491" s="179">
        <f t="shared" si="49"/>
        <v>1.1709155425333542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8">
        <f>SUMIFS(Data!$AO:$AO,Data!$AN:$AN,MarketProfile!A492,Data!$AS:$AS,"0")/1000</f>
        <v>0</v>
      </c>
      <c r="E492" s="378"/>
      <c r="F492" s="179" t="str">
        <f t="shared" si="48"/>
        <v/>
      </c>
      <c r="G492" s="378">
        <f>SUMIFS(Data!$BC:$BC,Data!$BB:$BB,MarketProfile!A492,Data!BG:BG,"0")/1000</f>
        <v>0</v>
      </c>
      <c r="H492" s="378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424494.55278000003</v>
      </c>
      <c r="D494" s="379">
        <f>SUM(D486:E493)</f>
        <v>170410.87814000002</v>
      </c>
      <c r="E494" s="379">
        <f>SUM(E486:E493)</f>
        <v>0</v>
      </c>
      <c r="F494" s="166">
        <f t="shared" si="48"/>
        <v>1.4910061928749592</v>
      </c>
      <c r="G494" s="379">
        <f>SUM(G486:H493)</f>
        <v>244686.90389999998</v>
      </c>
      <c r="H494" s="379">
        <f>SUM(H486:H493)</f>
        <v>0</v>
      </c>
      <c r="I494" s="166">
        <f t="shared" si="49"/>
        <v>0.73484786481864539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16809</v>
      </c>
      <c r="D497" s="378">
        <f>SUMIFS(Data!$AY:$AY,Data!$AU:$AU,MarketProfile!A497,Data!$AZ:$AZ,"1")</f>
        <v>15698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7.0773346923174926E-2</v>
      </c>
      <c r="G497" s="378">
        <f>SUMIFS(Data!$BL:$BL,Data!$BH:$BH,MarketProfile!A497,Data!$BM:$BM,"1")</f>
        <v>18311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-8.2027196766970678E-2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21061</v>
      </c>
      <c r="D498" s="378">
        <f>SUMIFS(Data!$AY:$AY,Data!$AU:$AU,MarketProfile!A498,Data!$AZ:$AZ,"1")</f>
        <v>21844</v>
      </c>
      <c r="E498" s="378"/>
      <c r="F498" s="179">
        <f t="shared" si="50"/>
        <v>-3.5845083318073616E-2</v>
      </c>
      <c r="G498" s="378">
        <f>SUMIFS(Data!$BL:$BL,Data!$BH:$BH,MarketProfile!A498,Data!$BM:$BM,"1")</f>
        <v>14731</v>
      </c>
      <c r="H498" s="378"/>
      <c r="I498" s="179">
        <f t="shared" si="51"/>
        <v>0.42970606204602541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32995</v>
      </c>
      <c r="D499" s="378">
        <f>SUMIFS(Data!$AY:$AY,Data!$AU:$AU,MarketProfile!A499,Data!$AZ:$AZ,"1")</f>
        <v>29466</v>
      </c>
      <c r="E499" s="378"/>
      <c r="F499" s="179">
        <f t="shared" si="50"/>
        <v>0.11976515305776149</v>
      </c>
      <c r="G499" s="378">
        <f>SUMIFS(Data!$BL:$BL,Data!$BH:$BH,MarketProfile!A499,Data!$BM:$BM,"1")</f>
        <v>29568</v>
      </c>
      <c r="H499" s="378"/>
      <c r="I499" s="179">
        <f t="shared" si="51"/>
        <v>0.11590232683982683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1204</v>
      </c>
      <c r="D500" s="378">
        <f>SUMIFS(Data!$AY:$AY,Data!$AU:$AU,MarketProfile!A500,Data!$AZ:$AZ,"1")</f>
        <v>814</v>
      </c>
      <c r="E500" s="378"/>
      <c r="F500" s="179">
        <f t="shared" si="50"/>
        <v>0.47911547911547914</v>
      </c>
      <c r="G500" s="378">
        <f>SUMIFS(Data!$BL:$BL,Data!$BH:$BH,MarketProfile!A500,Data!$BM:$BM,"1")</f>
        <v>1310</v>
      </c>
      <c r="H500" s="378"/>
      <c r="I500" s="179">
        <f t="shared" si="51"/>
        <v>-8.0916030534351147E-2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10202</v>
      </c>
      <c r="D501" s="378">
        <f>SUMIFS(Data!$AY:$AY,Data!$AU:$AU,MarketProfile!A501,Data!$AZ:$AZ,"1")</f>
        <v>10335</v>
      </c>
      <c r="E501" s="378"/>
      <c r="F501" s="179">
        <f t="shared" si="50"/>
        <v>-1.2868892114175133E-2</v>
      </c>
      <c r="G501" s="378">
        <f>SUMIFS(Data!$BL:$BL,Data!$BH:$BH,MarketProfile!A501,Data!$BM:$BM,"1")</f>
        <v>11789</v>
      </c>
      <c r="H501" s="378"/>
      <c r="I501" s="179">
        <f t="shared" si="51"/>
        <v>-0.13461701586224448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43330</v>
      </c>
      <c r="D502" s="378">
        <f>SUMIFS(Data!$AY:$AY,Data!$AU:$AU,MarketProfile!A502,Data!$AZ:$AZ,"1")</f>
        <v>35075</v>
      </c>
      <c r="E502" s="378"/>
      <c r="F502" s="179">
        <f t="shared" si="50"/>
        <v>0.23535281539558089</v>
      </c>
      <c r="G502" s="378">
        <f>SUMIFS(Data!$BL:$BL,Data!$BH:$BH,MarketProfile!A502,Data!$BM:$BM,"1")</f>
        <v>39391</v>
      </c>
      <c r="H502" s="378"/>
      <c r="I502" s="179">
        <f t="shared" si="51"/>
        <v>9.9997461349039127E-2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172</v>
      </c>
      <c r="D503" s="378">
        <f>SUMIFS(Data!$AY:$AY,Data!$AU:$AU,MarketProfile!A503,Data!$AZ:$AZ,"1")</f>
        <v>12</v>
      </c>
      <c r="E503" s="378"/>
      <c r="F503" s="179">
        <f t="shared" si="50"/>
        <v>13.333333333333334</v>
      </c>
      <c r="G503" s="378">
        <f>SUMIFS(Data!$BL:$BL,Data!$BH:$BH,MarketProfile!A503,Data!$BM:$BM,"1")</f>
        <v>507</v>
      </c>
      <c r="H503" s="378"/>
      <c r="I503" s="179">
        <f t="shared" si="51"/>
        <v>-0.6607495069033531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2</v>
      </c>
      <c r="D504" s="378">
        <f>SUMIFS(Data!$AY:$AY,Data!$AU:$AU,MarketProfile!A504,Data!$AZ:$AZ,"1")</f>
        <v>2</v>
      </c>
      <c r="E504" s="378"/>
      <c r="F504" s="179">
        <f t="shared" si="50"/>
        <v>0</v>
      </c>
      <c r="G504" s="378">
        <f>SUMIFS(Data!$BL:$BL,Data!$BH:$BH,MarketProfile!A504,Data!$BM:$BM,"1")</f>
        <v>957</v>
      </c>
      <c r="H504" s="378"/>
      <c r="I504" s="179">
        <f t="shared" si="51"/>
        <v>-0.99791013584117028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95</v>
      </c>
      <c r="D506" s="378">
        <f>SUMIFS(Data!$AY:$AY,Data!$AU:$AU,MarketProfile!A506,Data!$AZ:$AZ,"0")</f>
        <v>89</v>
      </c>
      <c r="E506" s="378"/>
      <c r="F506" s="179">
        <f t="shared" si="50"/>
        <v>6.741573033707865E-2</v>
      </c>
      <c r="G506" s="378">
        <f>SUMIFS(Data!$BL:$BL,Data!$BH:$BH,MarketProfile!A506,Data!$BM:$BM,"0")</f>
        <v>0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1603</v>
      </c>
      <c r="D507" s="378">
        <f>SUMIFS(Data!$AY:$AY,Data!$AU:$AU,MarketProfile!A507,Data!$AZ:$AZ,"0")</f>
        <v>1429</v>
      </c>
      <c r="E507" s="378"/>
      <c r="F507" s="179">
        <f t="shared" si="50"/>
        <v>0.12176347095871239</v>
      </c>
      <c r="G507" s="378">
        <f>SUMIFS(Data!$BL:$BL,Data!$BH:$BH,MarketProfile!A507,Data!$BM:$BM,"0")</f>
        <v>2414</v>
      </c>
      <c r="H507" s="378"/>
      <c r="I507" s="179">
        <f t="shared" si="52"/>
        <v>-0.335956917978459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14587</v>
      </c>
      <c r="D508" s="378">
        <f>SUMIFS(Data!$AY:$AY,Data!$AU:$AU,MarketProfile!A508,Data!$AZ:$AZ,"0")</f>
        <v>10897</v>
      </c>
      <c r="E508" s="378"/>
      <c r="F508" s="179">
        <f t="shared" si="50"/>
        <v>0.33862530971827109</v>
      </c>
      <c r="G508" s="378">
        <f>SUMIFS(Data!$BL:$BL,Data!$BH:$BH,MarketProfile!A508,Data!$BM:$BM,"0")</f>
        <v>7891</v>
      </c>
      <c r="H508" s="378"/>
      <c r="I508" s="179">
        <f t="shared" si="52"/>
        <v>0.84856165251552407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3284</v>
      </c>
      <c r="D510" s="378">
        <f>SUMIFS(Data!$AY:$AY,Data!$AU:$AU,MarketProfile!A510,Data!$AZ:$AZ,"0")</f>
        <v>1711</v>
      </c>
      <c r="E510" s="378"/>
      <c r="F510" s="179">
        <f t="shared" si="50"/>
        <v>0.91934541203974285</v>
      </c>
      <c r="G510" s="378">
        <f>SUMIFS(Data!$BL:$BL,Data!$BH:$BH,MarketProfile!A510,Data!$BM:$BM,"0")</f>
        <v>4388</v>
      </c>
      <c r="H510" s="378"/>
      <c r="I510" s="179">
        <f t="shared" si="52"/>
        <v>-0.25159525979945307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33139</v>
      </c>
      <c r="D511" s="378">
        <f>SUMIFS(Data!$AY:$AY,Data!$AU:$AU,MarketProfile!A511,Data!$AZ:$AZ,"0")</f>
        <v>25184</v>
      </c>
      <c r="E511" s="378"/>
      <c r="F511" s="179">
        <f t="shared" si="50"/>
        <v>0.31587515883100381</v>
      </c>
      <c r="G511" s="378">
        <f>SUMIFS(Data!$BL:$BL,Data!$BH:$BH,MarketProfile!A511,Data!$BM:$BM,"0")</f>
        <v>27299</v>
      </c>
      <c r="H511" s="378"/>
      <c r="I511" s="179">
        <f t="shared" si="52"/>
        <v>0.21392725008242061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30</v>
      </c>
      <c r="H512" s="378"/>
      <c r="I512" s="179">
        <f t="shared" si="52"/>
        <v>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1" max="16383" man="1"/>
    <brk id="169" max="16383" man="1"/>
    <brk id="250" max="16383" man="1"/>
    <brk id="330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538</v>
      </c>
      <c r="C1" s="188" t="s">
        <v>539</v>
      </c>
      <c r="D1" s="188" t="s">
        <v>540</v>
      </c>
      <c r="E1" s="153" t="s">
        <v>217</v>
      </c>
      <c r="F1" s="211" t="s">
        <v>540</v>
      </c>
      <c r="G1" s="211" t="s">
        <v>538</v>
      </c>
      <c r="H1" s="211" t="s">
        <v>539</v>
      </c>
      <c r="I1" s="153" t="s">
        <v>218</v>
      </c>
      <c r="J1" s="153" t="s">
        <v>220</v>
      </c>
      <c r="K1" s="235" t="s">
        <v>541</v>
      </c>
      <c r="L1" s="235" t="s">
        <v>542</v>
      </c>
      <c r="M1" s="237" t="s">
        <v>539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565</v>
      </c>
      <c r="T1" s="257" t="s">
        <v>566</v>
      </c>
      <c r="U1" s="257" t="s">
        <v>567</v>
      </c>
      <c r="V1" s="257" t="s">
        <v>568</v>
      </c>
      <c r="W1" s="257" t="s">
        <v>569</v>
      </c>
      <c r="X1" s="257" t="s">
        <v>570</v>
      </c>
      <c r="Y1" s="252" t="s">
        <v>458</v>
      </c>
      <c r="Z1" s="254" t="s">
        <v>521</v>
      </c>
      <c r="AA1" s="254" t="s">
        <v>566</v>
      </c>
      <c r="AB1" s="254" t="s">
        <v>567</v>
      </c>
      <c r="AC1" s="254" t="s">
        <v>568</v>
      </c>
      <c r="AD1" s="254" t="s">
        <v>569</v>
      </c>
      <c r="AE1" s="254" t="s">
        <v>570</v>
      </c>
      <c r="AF1" s="252" t="s">
        <v>466</v>
      </c>
      <c r="AG1" s="254" t="s">
        <v>521</v>
      </c>
      <c r="AH1" s="254" t="s">
        <v>566</v>
      </c>
      <c r="AI1" s="254" t="s">
        <v>567</v>
      </c>
      <c r="AJ1" s="254" t="s">
        <v>568</v>
      </c>
      <c r="AK1" s="254" t="s">
        <v>569</v>
      </c>
      <c r="AL1" s="254" t="s">
        <v>570</v>
      </c>
      <c r="AM1" s="252" t="s">
        <v>460</v>
      </c>
      <c r="AN1" s="254" t="s">
        <v>521</v>
      </c>
      <c r="AO1" s="254" t="s">
        <v>566</v>
      </c>
      <c r="AP1" s="254" t="s">
        <v>567</v>
      </c>
      <c r="AQ1" s="254" t="s">
        <v>568</v>
      </c>
      <c r="AR1" s="254" t="s">
        <v>569</v>
      </c>
      <c r="AS1" s="254" t="s">
        <v>570</v>
      </c>
      <c r="AT1" s="252" t="s">
        <v>467</v>
      </c>
      <c r="AU1" s="254" t="s">
        <v>521</v>
      </c>
      <c r="AV1" s="254" t="s">
        <v>566</v>
      </c>
      <c r="AW1" s="254" t="s">
        <v>567</v>
      </c>
      <c r="AX1" s="254" t="s">
        <v>568</v>
      </c>
      <c r="AY1" s="254" t="s">
        <v>569</v>
      </c>
      <c r="AZ1" s="254" t="s">
        <v>570</v>
      </c>
      <c r="BA1" s="252" t="s">
        <v>459</v>
      </c>
      <c r="BB1" s="254" t="s">
        <v>521</v>
      </c>
      <c r="BC1" s="254" t="s">
        <v>566</v>
      </c>
      <c r="BD1" s="254" t="s">
        <v>567</v>
      </c>
      <c r="BE1" s="254" t="s">
        <v>568</v>
      </c>
      <c r="BF1" s="254" t="s">
        <v>569</v>
      </c>
      <c r="BG1" s="254" t="s">
        <v>570</v>
      </c>
      <c r="BH1" s="252" t="s">
        <v>521</v>
      </c>
      <c r="BI1" s="254" t="s">
        <v>566</v>
      </c>
      <c r="BJ1" s="254" t="s">
        <v>567</v>
      </c>
      <c r="BK1" s="254" t="s">
        <v>568</v>
      </c>
      <c r="BL1" s="254" t="s">
        <v>569</v>
      </c>
      <c r="BM1" s="254" t="s">
        <v>570</v>
      </c>
      <c r="BN1" s="254"/>
      <c r="BO1" s="252" t="s">
        <v>468</v>
      </c>
      <c r="BP1" s="264" t="s">
        <v>566</v>
      </c>
      <c r="BQ1" s="264" t="s">
        <v>567</v>
      </c>
      <c r="BR1" s="264" t="s">
        <v>568</v>
      </c>
      <c r="BS1" s="261" t="s">
        <v>501</v>
      </c>
      <c r="BT1" s="266" t="s">
        <v>619</v>
      </c>
      <c r="BU1" s="266" t="s">
        <v>620</v>
      </c>
      <c r="BV1" s="266" t="s">
        <v>621</v>
      </c>
      <c r="BW1" s="266" t="s">
        <v>622</v>
      </c>
      <c r="BX1" s="266" t="s">
        <v>623</v>
      </c>
      <c r="BY1" s="266" t="s">
        <v>624</v>
      </c>
      <c r="BZ1" s="266" t="s">
        <v>625</v>
      </c>
      <c r="CA1" s="266" t="s">
        <v>626</v>
      </c>
      <c r="CB1" s="266" t="s">
        <v>627</v>
      </c>
      <c r="CC1" s="267" t="s">
        <v>502</v>
      </c>
      <c r="CD1" s="268" t="s">
        <v>632</v>
      </c>
      <c r="CE1" s="268" t="s">
        <v>633</v>
      </c>
      <c r="CF1" s="267" t="s">
        <v>507</v>
      </c>
      <c r="CG1" s="266" t="s">
        <v>6</v>
      </c>
      <c r="CH1" s="266" t="s">
        <v>634</v>
      </c>
      <c r="CI1" s="267" t="s">
        <v>509</v>
      </c>
      <c r="CJ1" s="247" t="s">
        <v>117</v>
      </c>
      <c r="CK1" s="247">
        <v>27789</v>
      </c>
      <c r="CL1" s="267" t="s">
        <v>512</v>
      </c>
      <c r="CM1" s="247" t="s">
        <v>117</v>
      </c>
      <c r="CN1" s="247">
        <v>14418</v>
      </c>
      <c r="CO1" s="267" t="s">
        <v>515</v>
      </c>
      <c r="CP1" s="247" t="s">
        <v>117</v>
      </c>
      <c r="CQ1" s="247">
        <v>801</v>
      </c>
      <c r="CR1" s="267" t="s">
        <v>518</v>
      </c>
      <c r="CS1" s="276" t="s">
        <v>638</v>
      </c>
      <c r="CT1" s="275" t="s">
        <v>639</v>
      </c>
      <c r="CU1" s="275" t="s">
        <v>640</v>
      </c>
      <c r="CV1" s="275" t="s">
        <v>641</v>
      </c>
      <c r="CW1" s="275" t="s">
        <v>642</v>
      </c>
      <c r="CX1" s="275" t="s">
        <v>643</v>
      </c>
      <c r="CY1" s="275" t="s">
        <v>644</v>
      </c>
      <c r="CZ1" s="275" t="s">
        <v>645</v>
      </c>
      <c r="DA1" s="275" t="s">
        <v>646</v>
      </c>
      <c r="DB1" s="275" t="s">
        <v>647</v>
      </c>
      <c r="DC1" s="275" t="s">
        <v>648</v>
      </c>
      <c r="DD1" s="275" t="s">
        <v>649</v>
      </c>
      <c r="DF1" s="356" t="s">
        <v>529</v>
      </c>
      <c r="DG1" s="347" t="s">
        <v>659</v>
      </c>
      <c r="DH1" s="347" t="s">
        <v>660</v>
      </c>
      <c r="DI1" s="356" t="s">
        <v>530</v>
      </c>
      <c r="DJ1" s="354" t="s">
        <v>659</v>
      </c>
      <c r="DK1" s="354" t="s">
        <v>660</v>
      </c>
      <c r="DL1" s="356" t="s">
        <v>531</v>
      </c>
      <c r="DM1" s="349" t="s">
        <v>659</v>
      </c>
      <c r="DN1" s="349" t="s">
        <v>660</v>
      </c>
    </row>
    <row r="2" spans="1:118" x14ac:dyDescent="0.2">
      <c r="B2" s="188">
        <v>6420272701</v>
      </c>
      <c r="C2" s="188">
        <v>450437470161.26489</v>
      </c>
      <c r="D2" s="188">
        <v>6141382</v>
      </c>
      <c r="E2" s="209"/>
      <c r="F2" s="211">
        <v>1116</v>
      </c>
      <c r="G2" s="211">
        <v>556566806</v>
      </c>
      <c r="H2" s="211">
        <v>18963926128.63488</v>
      </c>
      <c r="J2" s="152" t="str">
        <f>K2&amp;L2</f>
        <v>ABuy</v>
      </c>
      <c r="K2" s="234" t="s">
        <v>543</v>
      </c>
      <c r="L2" s="234" t="s">
        <v>544</v>
      </c>
      <c r="M2" s="238">
        <v>187142210043.05026</v>
      </c>
      <c r="O2" s="241">
        <v>78808201043</v>
      </c>
      <c r="P2" s="241">
        <v>-92739711725.910004</v>
      </c>
      <c r="Q2" s="241">
        <v>-13931510682.91</v>
      </c>
      <c r="S2" s="253" t="s">
        <v>451</v>
      </c>
      <c r="T2" s="258">
        <v>91489227.840000004</v>
      </c>
      <c r="U2" s="258">
        <v>95564</v>
      </c>
      <c r="V2" s="258">
        <v>55</v>
      </c>
      <c r="W2" s="258">
        <v>150615</v>
      </c>
      <c r="X2" s="258">
        <v>0</v>
      </c>
      <c r="Y2" s="245"/>
      <c r="Z2" s="253" t="s">
        <v>572</v>
      </c>
      <c r="AA2" s="253">
        <v>29407383.469999999</v>
      </c>
      <c r="AB2" s="253">
        <v>4549</v>
      </c>
      <c r="AC2" s="253">
        <v>162</v>
      </c>
      <c r="AD2" s="253">
        <v>84109</v>
      </c>
      <c r="AE2" s="253">
        <v>0</v>
      </c>
      <c r="AF2" s="253"/>
      <c r="AG2" s="253" t="s">
        <v>572</v>
      </c>
      <c r="AH2" s="253">
        <v>6614</v>
      </c>
      <c r="AI2" s="253">
        <v>1</v>
      </c>
      <c r="AJ2" s="253">
        <v>1</v>
      </c>
      <c r="AK2" s="253">
        <v>4524</v>
      </c>
      <c r="AL2" s="253">
        <v>0</v>
      </c>
      <c r="AM2" s="245"/>
      <c r="AN2" s="253" t="s">
        <v>572</v>
      </c>
      <c r="AO2" s="253">
        <v>11222148.6</v>
      </c>
      <c r="AP2" s="253">
        <v>2135</v>
      </c>
      <c r="AQ2" s="253">
        <v>89</v>
      </c>
      <c r="AR2" s="253">
        <v>39601</v>
      </c>
      <c r="AS2" s="253">
        <v>0</v>
      </c>
      <c r="AT2" s="245"/>
      <c r="AU2" s="253" t="s">
        <v>572</v>
      </c>
      <c r="AV2" s="253">
        <v>507364.5</v>
      </c>
      <c r="AW2" s="253">
        <v>93</v>
      </c>
      <c r="AX2" s="253">
        <v>10</v>
      </c>
      <c r="AY2" s="253">
        <v>2772</v>
      </c>
      <c r="AZ2" s="253">
        <v>0</v>
      </c>
      <c r="BA2" s="245"/>
      <c r="BB2" s="253" t="s">
        <v>572</v>
      </c>
      <c r="BC2" s="253">
        <v>9224790.1999999993</v>
      </c>
      <c r="BD2" s="253">
        <v>1482</v>
      </c>
      <c r="BE2" s="253">
        <v>68</v>
      </c>
      <c r="BF2" s="253">
        <v>54205</v>
      </c>
      <c r="BG2" s="253">
        <v>0</v>
      </c>
      <c r="BH2" s="247" t="s">
        <v>572</v>
      </c>
      <c r="BI2" s="253">
        <v>0</v>
      </c>
      <c r="BJ2" s="253">
        <v>0</v>
      </c>
      <c r="BK2" s="253">
        <v>0</v>
      </c>
      <c r="BL2" s="253">
        <v>2588</v>
      </c>
      <c r="BM2" s="253">
        <v>0</v>
      </c>
      <c r="BN2" s="253"/>
      <c r="BO2" s="245"/>
      <c r="BP2" s="263">
        <v>3710947710243.9736</v>
      </c>
      <c r="BQ2" s="263">
        <v>68436545</v>
      </c>
      <c r="BR2" s="263">
        <v>2202793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794</v>
      </c>
      <c r="CE2" s="269">
        <v>14936273247676.42</v>
      </c>
      <c r="CF2" s="245"/>
      <c r="CG2" s="265">
        <v>2018</v>
      </c>
      <c r="CH2" s="265">
        <v>22</v>
      </c>
      <c r="CI2" s="245"/>
      <c r="CJ2" s="247" t="s">
        <v>636</v>
      </c>
      <c r="CK2" s="247">
        <v>768216758495</v>
      </c>
      <c r="CL2" s="247"/>
      <c r="CM2" s="247" t="s">
        <v>636</v>
      </c>
      <c r="CN2" s="247">
        <v>1958835142540</v>
      </c>
      <c r="CO2" s="247"/>
      <c r="CP2" s="247" t="s">
        <v>636</v>
      </c>
      <c r="CQ2" s="247">
        <v>46816973836</v>
      </c>
      <c r="CR2" s="245"/>
      <c r="CS2" s="277">
        <v>2018</v>
      </c>
      <c r="CT2" s="275">
        <v>29</v>
      </c>
      <c r="CU2" s="275" t="s">
        <v>650</v>
      </c>
      <c r="CV2" s="275">
        <v>0</v>
      </c>
      <c r="CW2" s="275">
        <v>4740311049</v>
      </c>
      <c r="CX2" s="275">
        <v>2746</v>
      </c>
      <c r="CY2" s="275">
        <v>0</v>
      </c>
      <c r="CZ2" s="275">
        <v>125362433651</v>
      </c>
      <c r="DA2" s="275">
        <v>1330</v>
      </c>
      <c r="DB2" s="275">
        <v>0</v>
      </c>
      <c r="DC2" s="275">
        <v>120622122602</v>
      </c>
      <c r="DD2" s="275">
        <v>1416</v>
      </c>
      <c r="DG2" s="348" t="s">
        <v>661</v>
      </c>
      <c r="DH2" s="346">
        <v>374347656.48000002</v>
      </c>
      <c r="DJ2" s="352" t="s">
        <v>666</v>
      </c>
      <c r="DK2" s="350">
        <v>3443897724.8800001</v>
      </c>
      <c r="DM2" s="351" t="s">
        <v>666</v>
      </c>
      <c r="DN2" s="353">
        <v>14852329556.58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545</v>
      </c>
      <c r="L3" s="234" t="s">
        <v>544</v>
      </c>
      <c r="M3" s="238">
        <v>263295260118.2146</v>
      </c>
      <c r="N3" s="136"/>
      <c r="O3" s="239"/>
      <c r="P3" s="239"/>
      <c r="Q3" s="239"/>
      <c r="S3" s="253" t="s">
        <v>448</v>
      </c>
      <c r="T3" s="258">
        <v>0</v>
      </c>
      <c r="U3" s="258">
        <v>0</v>
      </c>
      <c r="V3" s="258">
        <v>0</v>
      </c>
      <c r="W3" s="258">
        <v>0</v>
      </c>
      <c r="X3" s="258">
        <v>0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574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574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628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22</v>
      </c>
      <c r="CI3" s="245"/>
      <c r="CJ3" s="247" t="s">
        <v>637</v>
      </c>
      <c r="CK3" s="247">
        <v>789985165761.78271</v>
      </c>
      <c r="CL3" s="247"/>
      <c r="CM3" s="247" t="s">
        <v>637</v>
      </c>
      <c r="CN3" s="247">
        <v>1856558043349.9199</v>
      </c>
      <c r="CO3" s="247"/>
      <c r="CP3" s="247" t="s">
        <v>637</v>
      </c>
      <c r="CQ3" s="247">
        <v>14847256643.439999</v>
      </c>
      <c r="CR3" s="245"/>
      <c r="CS3" s="277">
        <v>2018</v>
      </c>
      <c r="CT3" s="275">
        <v>28</v>
      </c>
      <c r="CU3" s="275" t="s">
        <v>651</v>
      </c>
      <c r="CV3" s="275">
        <v>-362096207781.48981</v>
      </c>
      <c r="CW3" s="275">
        <v>-299293311350</v>
      </c>
      <c r="CX3" s="275">
        <v>5651</v>
      </c>
      <c r="CY3" s="275">
        <v>398321772961.78021</v>
      </c>
      <c r="CZ3" s="275">
        <v>423304867090</v>
      </c>
      <c r="DA3" s="275">
        <v>2919</v>
      </c>
      <c r="DB3" s="275">
        <v>760417980743.26941</v>
      </c>
      <c r="DC3" s="275">
        <v>722598178440</v>
      </c>
      <c r="DD3" s="275">
        <v>2732</v>
      </c>
      <c r="DG3" s="348" t="s">
        <v>662</v>
      </c>
      <c r="DH3" s="346">
        <v>13802250.640000001</v>
      </c>
      <c r="DJ3" s="352" t="s">
        <v>661</v>
      </c>
      <c r="DK3" s="350">
        <v>12044974236.24</v>
      </c>
      <c r="DM3" s="351" t="s">
        <v>661</v>
      </c>
      <c r="DN3" s="353">
        <v>13988128300.879999</v>
      </c>
    </row>
    <row r="4" spans="1:118" x14ac:dyDescent="0.2">
      <c r="A4" s="148" t="s">
        <v>211</v>
      </c>
      <c r="B4" s="188" t="s">
        <v>538</v>
      </c>
      <c r="C4" s="188" t="s">
        <v>539</v>
      </c>
      <c r="D4" s="188" t="s">
        <v>540</v>
      </c>
      <c r="E4" s="209"/>
      <c r="F4" s="211" t="s">
        <v>540</v>
      </c>
      <c r="G4" s="211" t="s">
        <v>538</v>
      </c>
      <c r="H4" s="211" t="s">
        <v>539</v>
      </c>
      <c r="J4" s="152" t="str">
        <f t="shared" si="0"/>
        <v>ASell</v>
      </c>
      <c r="K4" s="234" t="s">
        <v>543</v>
      </c>
      <c r="L4" s="234" t="s">
        <v>546</v>
      </c>
      <c r="M4" s="238">
        <v>202871978032.3147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2746752623.0100002</v>
      </c>
      <c r="U4" s="258">
        <v>571903</v>
      </c>
      <c r="V4" s="258">
        <v>687</v>
      </c>
      <c r="W4" s="258">
        <v>993826</v>
      </c>
      <c r="X4" s="258">
        <v>0</v>
      </c>
      <c r="Y4" s="245"/>
      <c r="Z4" s="253" t="s">
        <v>574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574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575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575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566</v>
      </c>
      <c r="BQ4" s="264" t="s">
        <v>567</v>
      </c>
      <c r="BR4" s="264" t="s">
        <v>568</v>
      </c>
      <c r="BS4" s="245"/>
      <c r="BT4" s="265" t="s">
        <v>629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632</v>
      </c>
      <c r="CE4" s="270" t="s">
        <v>633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652</v>
      </c>
      <c r="CV4" s="275">
        <v>354648272192.32141</v>
      </c>
      <c r="CW4" s="275">
        <v>291857624350</v>
      </c>
      <c r="CX4" s="275">
        <v>5531</v>
      </c>
      <c r="CY4" s="275">
        <v>743322926506.92078</v>
      </c>
      <c r="CZ4" s="275">
        <v>705599991440</v>
      </c>
      <c r="DA4" s="275">
        <v>2666</v>
      </c>
      <c r="DB4" s="275">
        <v>388674654314.60071</v>
      </c>
      <c r="DC4" s="275">
        <v>413742367090</v>
      </c>
      <c r="DD4" s="275">
        <v>2865</v>
      </c>
      <c r="DG4" s="348" t="s">
        <v>663</v>
      </c>
      <c r="DH4" s="346">
        <v>12000164.9</v>
      </c>
      <c r="DJ4" s="352" t="s">
        <v>662</v>
      </c>
      <c r="DK4" s="350">
        <v>4227805418.6700001</v>
      </c>
      <c r="DM4" s="351" t="s">
        <v>662</v>
      </c>
      <c r="DN4" s="353">
        <v>9381051652.5200005</v>
      </c>
    </row>
    <row r="5" spans="1:118" x14ac:dyDescent="0.2">
      <c r="B5" s="188">
        <v>57955591972</v>
      </c>
      <c r="C5" s="188">
        <v>3763010994824.5713</v>
      </c>
      <c r="D5" s="194">
        <v>44285230</v>
      </c>
      <c r="E5" s="209"/>
      <c r="F5" s="211">
        <v>17244</v>
      </c>
      <c r="G5" s="211">
        <v>5809285182</v>
      </c>
      <c r="H5" s="225">
        <v>252376836910.47641</v>
      </c>
      <c r="J5" s="152" t="str">
        <f t="shared" si="0"/>
        <v>PSell</v>
      </c>
      <c r="K5" s="234" t="s">
        <v>545</v>
      </c>
      <c r="L5" s="234" t="s">
        <v>546</v>
      </c>
      <c r="M5" s="238">
        <v>247565492128.9502</v>
      </c>
      <c r="N5" s="136"/>
      <c r="O5" s="241">
        <v>767955811074.73999</v>
      </c>
      <c r="P5" s="241">
        <v>-767879669907.90002</v>
      </c>
      <c r="Q5" s="241">
        <v>76141166.840000004</v>
      </c>
      <c r="S5" s="253" t="s">
        <v>449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575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575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575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576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576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23684431437.349998</v>
      </c>
      <c r="BQ5" s="263">
        <v>9754137</v>
      </c>
      <c r="BR5" s="263">
        <v>8111</v>
      </c>
      <c r="BS5" s="245"/>
      <c r="BT5" s="265" t="s">
        <v>630</v>
      </c>
      <c r="BU5" s="265">
        <v>321</v>
      </c>
      <c r="BV5" s="265">
        <v>0</v>
      </c>
      <c r="BW5" s="265">
        <v>0</v>
      </c>
      <c r="BX5" s="265">
        <v>0</v>
      </c>
      <c r="BY5" s="265">
        <v>0</v>
      </c>
      <c r="BZ5" s="265">
        <v>321</v>
      </c>
      <c r="CA5" s="265">
        <v>258</v>
      </c>
      <c r="CB5" s="265">
        <v>63</v>
      </c>
      <c r="CC5" s="245"/>
      <c r="CD5" s="271">
        <v>803</v>
      </c>
      <c r="CE5" s="271">
        <v>15084224390679.16</v>
      </c>
      <c r="CF5" s="267" t="s">
        <v>508</v>
      </c>
      <c r="CG5" s="266" t="s">
        <v>6</v>
      </c>
      <c r="CH5" s="266" t="s">
        <v>634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362</v>
      </c>
      <c r="CU5" s="275" t="s">
        <v>653</v>
      </c>
      <c r="CV5" s="275">
        <v>-39074087647.549911</v>
      </c>
      <c r="CW5" s="275">
        <v>-38976362904</v>
      </c>
      <c r="CX5" s="275">
        <v>6318</v>
      </c>
      <c r="CY5" s="275">
        <v>108359602543.38983</v>
      </c>
      <c r="CZ5" s="275">
        <v>104413021538</v>
      </c>
      <c r="DA5" s="275">
        <v>3266</v>
      </c>
      <c r="DB5" s="275">
        <v>147433690190.93994</v>
      </c>
      <c r="DC5" s="275">
        <v>143389384442</v>
      </c>
      <c r="DD5" s="275">
        <v>3052</v>
      </c>
      <c r="DG5" s="348" t="s">
        <v>664</v>
      </c>
      <c r="DH5" s="346">
        <v>150345897.05000001</v>
      </c>
      <c r="DJ5" s="352" t="s">
        <v>663</v>
      </c>
      <c r="DK5" s="350">
        <v>544431145.91999996</v>
      </c>
      <c r="DM5" s="351" t="s">
        <v>663</v>
      </c>
      <c r="DN5" s="353">
        <v>647859341.92999995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227772367.81999999</v>
      </c>
      <c r="U6" s="258">
        <v>262621</v>
      </c>
      <c r="V6" s="258">
        <v>571</v>
      </c>
      <c r="W6" s="258">
        <v>1380519</v>
      </c>
      <c r="X6" s="258">
        <v>0</v>
      </c>
      <c r="Y6" s="245"/>
      <c r="Z6" s="253" t="s">
        <v>576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576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577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577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631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168</v>
      </c>
      <c r="CI6" s="267" t="s">
        <v>510</v>
      </c>
      <c r="CJ6" s="247" t="s">
        <v>117</v>
      </c>
      <c r="CK6" s="247">
        <v>210606</v>
      </c>
      <c r="CL6" s="267" t="s">
        <v>513</v>
      </c>
      <c r="CM6" s="247" t="s">
        <v>117</v>
      </c>
      <c r="CN6" s="247">
        <v>106403</v>
      </c>
      <c r="CO6" s="267" t="s">
        <v>516</v>
      </c>
      <c r="CP6" s="247" t="s">
        <v>117</v>
      </c>
      <c r="CQ6" s="247">
        <v>5619</v>
      </c>
      <c r="CR6" s="245"/>
      <c r="CS6" s="277">
        <v>2018</v>
      </c>
      <c r="CT6" s="275">
        <v>184</v>
      </c>
      <c r="CU6" s="275" t="s">
        <v>654</v>
      </c>
      <c r="CV6" s="275">
        <v>-10347198555.119965</v>
      </c>
      <c r="CW6" s="275">
        <v>-7907626594</v>
      </c>
      <c r="CX6" s="275">
        <v>21218</v>
      </c>
      <c r="CY6" s="275">
        <v>701339692984.44092</v>
      </c>
      <c r="CZ6" s="275">
        <v>673389326933</v>
      </c>
      <c r="DA6" s="275">
        <v>10820</v>
      </c>
      <c r="DB6" s="275">
        <v>711686891539.56006</v>
      </c>
      <c r="DC6" s="275">
        <v>681296953527</v>
      </c>
      <c r="DD6" s="275">
        <v>10398</v>
      </c>
      <c r="DG6" s="348" t="s">
        <v>665</v>
      </c>
      <c r="DH6" s="346">
        <v>600000000</v>
      </c>
      <c r="DJ6" s="352" t="s">
        <v>664</v>
      </c>
      <c r="DK6" s="350">
        <v>3822206524.3600001</v>
      </c>
      <c r="DM6" s="351" t="s">
        <v>664</v>
      </c>
      <c r="DN6" s="353">
        <v>5211477900.8400002</v>
      </c>
    </row>
    <row r="7" spans="1:118" x14ac:dyDescent="0.2">
      <c r="A7" s="148" t="s">
        <v>212</v>
      </c>
      <c r="B7" s="188" t="s">
        <v>538</v>
      </c>
      <c r="C7" s="188" t="s">
        <v>539</v>
      </c>
      <c r="D7" s="188" t="s">
        <v>540</v>
      </c>
      <c r="E7" s="209"/>
      <c r="F7" s="211" t="s">
        <v>540</v>
      </c>
      <c r="G7" s="211" t="s">
        <v>538</v>
      </c>
      <c r="H7" s="211" t="s">
        <v>539</v>
      </c>
      <c r="I7" s="153" t="s">
        <v>219</v>
      </c>
      <c r="J7" s="148" t="s">
        <v>220</v>
      </c>
      <c r="K7" s="235" t="s">
        <v>541</v>
      </c>
      <c r="L7" s="235" t="s">
        <v>542</v>
      </c>
      <c r="M7" s="237" t="s">
        <v>539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571</v>
      </c>
      <c r="T7" s="258">
        <v>0</v>
      </c>
      <c r="U7" s="258">
        <v>0</v>
      </c>
      <c r="V7" s="258">
        <v>0</v>
      </c>
      <c r="W7" s="258">
        <v>0</v>
      </c>
      <c r="X7" s="258">
        <v>1</v>
      </c>
      <c r="Y7" s="245"/>
      <c r="Z7" s="253" t="s">
        <v>577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577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577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578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578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566</v>
      </c>
      <c r="BQ7" s="264" t="s">
        <v>567</v>
      </c>
      <c r="BR7" s="264" t="s">
        <v>568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166</v>
      </c>
      <c r="CI7" s="245"/>
      <c r="CJ7" s="247" t="s">
        <v>636</v>
      </c>
      <c r="CK7" s="247">
        <v>6321223475103</v>
      </c>
      <c r="CL7" s="247"/>
      <c r="CM7" s="247" t="s">
        <v>636</v>
      </c>
      <c r="CN7" s="247">
        <v>13752444801845</v>
      </c>
      <c r="CO7" s="247"/>
      <c r="CP7" s="247" t="s">
        <v>636</v>
      </c>
      <c r="CQ7" s="247">
        <v>401492617381</v>
      </c>
      <c r="CR7" s="245"/>
      <c r="CS7" s="277">
        <v>2018</v>
      </c>
      <c r="CT7" s="275">
        <v>24</v>
      </c>
      <c r="CU7" s="275" t="s">
        <v>655</v>
      </c>
      <c r="CV7" s="275">
        <v>-18756107060.559998</v>
      </c>
      <c r="CW7" s="275">
        <v>-17345718296</v>
      </c>
      <c r="CX7" s="275">
        <v>448</v>
      </c>
      <c r="CY7" s="275">
        <v>15106827039.740011</v>
      </c>
      <c r="CZ7" s="275">
        <v>14234344729</v>
      </c>
      <c r="DA7" s="275">
        <v>150</v>
      </c>
      <c r="DB7" s="275">
        <v>33862934100.300007</v>
      </c>
      <c r="DC7" s="275">
        <v>31580063025</v>
      </c>
      <c r="DD7" s="275">
        <v>298</v>
      </c>
      <c r="DJ7" s="10" t="s">
        <v>665</v>
      </c>
      <c r="DK7" s="376">
        <v>4162384546.6599998</v>
      </c>
      <c r="DM7" s="10" t="s">
        <v>665</v>
      </c>
      <c r="DN7" s="376">
        <v>27933846667.669998</v>
      </c>
    </row>
    <row r="8" spans="1:118" x14ac:dyDescent="0.2">
      <c r="B8" s="188">
        <v>51484685566</v>
      </c>
      <c r="C8" s="188">
        <v>3414620266866.8579</v>
      </c>
      <c r="D8" s="194">
        <v>45956500</v>
      </c>
      <c r="E8" s="209"/>
      <c r="F8" s="211">
        <v>23436</v>
      </c>
      <c r="G8" s="211">
        <v>4463621725</v>
      </c>
      <c r="H8" s="225">
        <v>218290633294.31305</v>
      </c>
      <c r="J8" s="152" t="str">
        <f>K8&amp;L8</f>
        <v>ABuy</v>
      </c>
      <c r="K8" s="234" t="s">
        <v>543</v>
      </c>
      <c r="L8" s="234" t="s">
        <v>544</v>
      </c>
      <c r="M8" s="238">
        <v>158614878117.49533</v>
      </c>
      <c r="O8" s="244">
        <v>584644798185.97998</v>
      </c>
      <c r="P8" s="244">
        <v>-649800531401.68005</v>
      </c>
      <c r="Q8" s="241">
        <v>-65155733215.699997</v>
      </c>
      <c r="S8" s="253" t="s">
        <v>451</v>
      </c>
      <c r="T8" s="258">
        <v>1955182295.9400001</v>
      </c>
      <c r="U8" s="258">
        <v>56392</v>
      </c>
      <c r="V8" s="258">
        <v>125</v>
      </c>
      <c r="W8" s="258">
        <v>155372</v>
      </c>
      <c r="X8" s="258">
        <v>1</v>
      </c>
      <c r="Y8" s="245"/>
      <c r="Z8" s="253" t="s">
        <v>578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578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579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579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3661665800574.4126</v>
      </c>
      <c r="BQ8" s="263">
        <v>184450185</v>
      </c>
      <c r="BR8" s="263">
        <v>2141542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633</v>
      </c>
      <c r="CE8" s="266" t="s">
        <v>635</v>
      </c>
      <c r="CF8" s="245"/>
      <c r="CG8" s="245"/>
      <c r="CH8" s="245"/>
      <c r="CI8" s="245"/>
      <c r="CJ8" s="247" t="s">
        <v>637</v>
      </c>
      <c r="CK8" s="247">
        <v>6573239635401.0391</v>
      </c>
      <c r="CL8" s="247"/>
      <c r="CM8" s="247" t="s">
        <v>637</v>
      </c>
      <c r="CN8" s="247">
        <v>13617417341266.451</v>
      </c>
      <c r="CO8" s="247"/>
      <c r="CP8" s="247" t="s">
        <v>637</v>
      </c>
      <c r="CQ8" s="247">
        <v>124228286950.08002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545</v>
      </c>
      <c r="L9" s="234" t="s">
        <v>544</v>
      </c>
      <c r="M9" s="238">
        <v>212592587712.71265</v>
      </c>
      <c r="N9" s="19"/>
      <c r="O9" s="239"/>
      <c r="P9" s="239"/>
      <c r="Q9" s="239"/>
      <c r="S9" s="253" t="s">
        <v>448</v>
      </c>
      <c r="T9" s="258">
        <v>0</v>
      </c>
      <c r="U9" s="258">
        <v>241318</v>
      </c>
      <c r="V9" s="258">
        <v>3620</v>
      </c>
      <c r="W9" s="258">
        <v>532297</v>
      </c>
      <c r="X9" s="258">
        <v>1</v>
      </c>
      <c r="Y9" s="245"/>
      <c r="Z9" s="253" t="s">
        <v>579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579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580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580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619</v>
      </c>
      <c r="BU9" s="266" t="s">
        <v>620</v>
      </c>
      <c r="BV9" s="266" t="s">
        <v>621</v>
      </c>
      <c r="BW9" s="266" t="s">
        <v>622</v>
      </c>
      <c r="BX9" s="266" t="s">
        <v>623</v>
      </c>
      <c r="BY9" s="266" t="s">
        <v>624</v>
      </c>
      <c r="BZ9" s="266" t="s">
        <v>625</v>
      </c>
      <c r="CA9" s="266" t="s">
        <v>626</v>
      </c>
      <c r="CB9" s="266" t="s">
        <v>627</v>
      </c>
      <c r="CC9" s="245"/>
      <c r="CD9" s="269">
        <v>322486984306956.06</v>
      </c>
      <c r="CE9" s="272">
        <v>445127079462.11218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543</v>
      </c>
      <c r="L10" s="234" t="s">
        <v>546</v>
      </c>
      <c r="M10" s="238">
        <v>155303347202.78192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182</v>
      </c>
      <c r="T10" s="258">
        <v>39259965.822999999</v>
      </c>
      <c r="U10" s="258">
        <v>280577</v>
      </c>
      <c r="V10" s="258">
        <v>107</v>
      </c>
      <c r="W10" s="258">
        <v>1398107</v>
      </c>
      <c r="X10" s="258">
        <v>1</v>
      </c>
      <c r="Y10" s="245"/>
      <c r="Z10" s="253" t="s">
        <v>580</v>
      </c>
      <c r="AA10" s="253">
        <v>29414</v>
      </c>
      <c r="AB10" s="253">
        <v>6</v>
      </c>
      <c r="AC10" s="253">
        <v>2</v>
      </c>
      <c r="AD10" s="253">
        <v>2030</v>
      </c>
      <c r="AE10" s="253">
        <v>0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95</v>
      </c>
      <c r="AL10" s="253">
        <v>0</v>
      </c>
      <c r="AM10" s="245"/>
      <c r="AN10" s="253" t="s">
        <v>580</v>
      </c>
      <c r="AO10" s="253">
        <v>930780</v>
      </c>
      <c r="AP10" s="253">
        <v>111</v>
      </c>
      <c r="AQ10" s="253">
        <v>43</v>
      </c>
      <c r="AR10" s="253">
        <v>1087</v>
      </c>
      <c r="AS10" s="253">
        <v>0</v>
      </c>
      <c r="AT10" s="245"/>
      <c r="AU10" s="253" t="s">
        <v>580</v>
      </c>
      <c r="AV10" s="253">
        <v>88000</v>
      </c>
      <c r="AW10" s="253">
        <v>13</v>
      </c>
      <c r="AX10" s="253">
        <v>13</v>
      </c>
      <c r="AY10" s="253">
        <v>89</v>
      </c>
      <c r="AZ10" s="253">
        <v>0</v>
      </c>
      <c r="BA10" s="245"/>
      <c r="BB10" s="253" t="s">
        <v>581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581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566</v>
      </c>
      <c r="BQ10" s="264" t="s">
        <v>567</v>
      </c>
      <c r="BR10" s="264" t="s">
        <v>568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545</v>
      </c>
      <c r="L11" s="234" t="s">
        <v>546</v>
      </c>
      <c r="M11" s="238">
        <v>215904118627.42606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446</v>
      </c>
      <c r="T11" s="258">
        <v>339318613673.28418</v>
      </c>
      <c r="U11" s="258">
        <v>971022</v>
      </c>
      <c r="V11" s="258">
        <v>281959</v>
      </c>
      <c r="W11" s="258">
        <v>593018</v>
      </c>
      <c r="X11" s="258">
        <v>1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581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582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582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28023621297.610001</v>
      </c>
      <c r="BQ11" s="263">
        <v>12948093</v>
      </c>
      <c r="BR11" s="263">
        <v>17648</v>
      </c>
      <c r="BS11" s="245"/>
      <c r="BT11" s="265" t="s">
        <v>628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633</v>
      </c>
      <c r="CE11" s="266" t="s">
        <v>635</v>
      </c>
      <c r="CF11" s="245"/>
      <c r="CG11" s="245"/>
      <c r="CH11" s="245"/>
      <c r="CI11" s="267" t="s">
        <v>511</v>
      </c>
      <c r="CJ11" s="247" t="s">
        <v>117</v>
      </c>
      <c r="CK11" s="247">
        <v>185939</v>
      </c>
      <c r="CL11" s="267" t="s">
        <v>514</v>
      </c>
      <c r="CM11" s="247" t="s">
        <v>117</v>
      </c>
      <c r="CN11" s="247">
        <v>103106</v>
      </c>
      <c r="CO11" s="267" t="s">
        <v>517</v>
      </c>
      <c r="CP11" s="247" t="s">
        <v>117</v>
      </c>
      <c r="CQ11" s="247">
        <v>4785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232109804.5264</v>
      </c>
      <c r="U12" s="258">
        <v>260932</v>
      </c>
      <c r="V12" s="258">
        <v>104</v>
      </c>
      <c r="W12" s="258">
        <v>1720050</v>
      </c>
      <c r="X12" s="258">
        <v>1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583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583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629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2450813778420979</v>
      </c>
      <c r="CE12" s="272">
        <v>3714991288309.8389</v>
      </c>
      <c r="CF12" s="245"/>
      <c r="CG12" s="245"/>
      <c r="CH12" s="245"/>
      <c r="CI12" s="247"/>
      <c r="CJ12" s="247" t="s">
        <v>636</v>
      </c>
      <c r="CK12" s="247">
        <v>4875154823604</v>
      </c>
      <c r="CL12" s="247"/>
      <c r="CM12" s="247" t="s">
        <v>636</v>
      </c>
      <c r="CN12" s="247">
        <v>12714561004511</v>
      </c>
      <c r="CO12" s="247"/>
      <c r="CP12" s="247" t="s">
        <v>636</v>
      </c>
      <c r="CQ12" s="247">
        <v>321874703443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541</v>
      </c>
      <c r="L13" s="235" t="s">
        <v>542</v>
      </c>
      <c r="M13" s="237" t="s">
        <v>539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0</v>
      </c>
      <c r="U13" s="258">
        <v>207586</v>
      </c>
      <c r="V13" s="258">
        <v>96</v>
      </c>
      <c r="W13" s="258">
        <v>1651907</v>
      </c>
      <c r="X13" s="258">
        <v>1</v>
      </c>
      <c r="Y13" s="245"/>
      <c r="Z13" s="253" t="s">
        <v>583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583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583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584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584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569</v>
      </c>
      <c r="BQ13" s="263"/>
      <c r="BR13" s="263"/>
      <c r="BS13" s="245"/>
      <c r="BT13" s="265" t="s">
        <v>630</v>
      </c>
      <c r="BU13" s="265">
        <v>321</v>
      </c>
      <c r="BV13" s="265">
        <v>9</v>
      </c>
      <c r="BW13" s="265">
        <v>8</v>
      </c>
      <c r="BX13" s="265">
        <v>0</v>
      </c>
      <c r="BY13" s="265">
        <v>0</v>
      </c>
      <c r="BZ13" s="265">
        <v>322</v>
      </c>
      <c r="CA13" s="265">
        <v>258</v>
      </c>
      <c r="CB13" s="265">
        <v>63</v>
      </c>
      <c r="CC13" s="245"/>
      <c r="CD13" s="245"/>
      <c r="CE13" s="245"/>
      <c r="CF13" s="245"/>
      <c r="CG13" s="245"/>
      <c r="CH13" s="245"/>
      <c r="CI13" s="247"/>
      <c r="CJ13" s="247" t="s">
        <v>637</v>
      </c>
      <c r="CK13" s="247">
        <v>5135697704112.0498</v>
      </c>
      <c r="CL13" s="247"/>
      <c r="CM13" s="247" t="s">
        <v>637</v>
      </c>
      <c r="CN13" s="247">
        <v>12419334765618.928</v>
      </c>
      <c r="CO13" s="247"/>
      <c r="CP13" s="247" t="s">
        <v>637</v>
      </c>
      <c r="CQ13" s="247">
        <v>91085934594.739975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543</v>
      </c>
      <c r="L14" s="234" t="s">
        <v>544</v>
      </c>
      <c r="M14" s="238">
        <v>177575708342.11002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4775118974.7889996</v>
      </c>
      <c r="U14" s="245">
        <v>297738</v>
      </c>
      <c r="V14" s="245">
        <v>3779</v>
      </c>
      <c r="W14" s="245">
        <v>756616</v>
      </c>
      <c r="X14" s="245">
        <v>1</v>
      </c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613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613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29586063</v>
      </c>
      <c r="BQ14" s="263"/>
      <c r="BR14" s="263"/>
      <c r="BS14" s="245"/>
      <c r="BT14" s="265" t="s">
        <v>631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633</v>
      </c>
      <c r="CE14" s="273" t="s">
        <v>635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656</v>
      </c>
      <c r="CT14" s="275" t="s">
        <v>639</v>
      </c>
      <c r="CU14" s="275" t="s">
        <v>640</v>
      </c>
      <c r="CV14" s="275" t="s">
        <v>641</v>
      </c>
      <c r="CW14" s="275" t="s">
        <v>642</v>
      </c>
      <c r="CX14" s="275" t="s">
        <v>643</v>
      </c>
      <c r="CY14" s="275" t="s">
        <v>644</v>
      </c>
      <c r="CZ14" s="275" t="s">
        <v>645</v>
      </c>
      <c r="DA14" s="275" t="s">
        <v>646</v>
      </c>
      <c r="DB14" s="275" t="s">
        <v>647</v>
      </c>
      <c r="DC14" s="275" t="s">
        <v>648</v>
      </c>
      <c r="DD14" s="275" t="s">
        <v>649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545</v>
      </c>
      <c r="L15" s="234" t="s">
        <v>544</v>
      </c>
      <c r="M15" s="238">
        <v>253897835690.51999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585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2301655522326657.5</v>
      </c>
      <c r="CE15" s="274">
        <v>3360956744238.4751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657</v>
      </c>
      <c r="CT15" s="275">
        <v>15</v>
      </c>
      <c r="CU15" s="275" t="s">
        <v>650</v>
      </c>
      <c r="CV15" s="275">
        <v>0</v>
      </c>
      <c r="CW15" s="275">
        <v>-1037465989</v>
      </c>
      <c r="CX15" s="275">
        <v>359</v>
      </c>
      <c r="CY15" s="275">
        <v>0</v>
      </c>
      <c r="CZ15" s="275">
        <v>12761246464</v>
      </c>
      <c r="DA15" s="275">
        <v>158</v>
      </c>
      <c r="DB15" s="275">
        <v>0</v>
      </c>
      <c r="DC15" s="275">
        <v>13798712453</v>
      </c>
      <c r="DD15" s="275">
        <v>201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543</v>
      </c>
      <c r="L16" s="234" t="s">
        <v>546</v>
      </c>
      <c r="M16" s="238">
        <v>194105953379.12997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569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657</v>
      </c>
      <c r="CT16" s="275">
        <v>22</v>
      </c>
      <c r="CU16" s="275" t="s">
        <v>651</v>
      </c>
      <c r="CV16" s="275">
        <v>19595727181.02002</v>
      </c>
      <c r="CW16" s="275">
        <v>22683275000</v>
      </c>
      <c r="CX16" s="275">
        <v>686</v>
      </c>
      <c r="CY16" s="275">
        <v>70033443192.620026</v>
      </c>
      <c r="CZ16" s="275">
        <v>75942700000</v>
      </c>
      <c r="DA16" s="275">
        <v>467</v>
      </c>
      <c r="DB16" s="275">
        <v>50437716011.599998</v>
      </c>
      <c r="DC16" s="275">
        <v>53259425000</v>
      </c>
      <c r="DD16" s="275">
        <v>219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545</v>
      </c>
      <c r="L17" s="234" t="s">
        <v>546</v>
      </c>
      <c r="M17" s="238">
        <v>237367590653.5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565</v>
      </c>
      <c r="T17" s="258" t="s">
        <v>566</v>
      </c>
      <c r="U17" s="258" t="s">
        <v>567</v>
      </c>
      <c r="V17" s="258" t="s">
        <v>568</v>
      </c>
      <c r="W17" s="258" t="s">
        <v>569</v>
      </c>
      <c r="X17" s="258" t="s">
        <v>570</v>
      </c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587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587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3809688</v>
      </c>
      <c r="BQ17" s="263"/>
      <c r="BR17" s="263"/>
      <c r="BS17" s="256" t="s">
        <v>500</v>
      </c>
      <c r="BT17" s="266" t="s">
        <v>619</v>
      </c>
      <c r="BU17" s="266" t="s">
        <v>620</v>
      </c>
      <c r="BV17" s="266" t="s">
        <v>621</v>
      </c>
      <c r="BW17" s="266" t="s">
        <v>622</v>
      </c>
      <c r="BX17" s="266" t="s">
        <v>623</v>
      </c>
      <c r="BY17" s="266" t="s">
        <v>624</v>
      </c>
      <c r="BZ17" s="266" t="s">
        <v>625</v>
      </c>
      <c r="CA17" s="266" t="s">
        <v>626</v>
      </c>
      <c r="CB17" s="266" t="s">
        <v>627</v>
      </c>
      <c r="CC17" s="358" t="s">
        <v>528</v>
      </c>
      <c r="CD17" s="357" t="s">
        <v>633</v>
      </c>
      <c r="CE17" s="357" t="s">
        <v>635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657</v>
      </c>
      <c r="CT17" s="275">
        <v>22</v>
      </c>
      <c r="CU17" s="275" t="s">
        <v>652</v>
      </c>
      <c r="CV17" s="275">
        <v>-20498497968.579998</v>
      </c>
      <c r="CW17" s="275">
        <v>-23828275000</v>
      </c>
      <c r="CX17" s="275">
        <v>677</v>
      </c>
      <c r="CY17" s="275">
        <v>48988099173.860008</v>
      </c>
      <c r="CZ17" s="275">
        <v>51701425000</v>
      </c>
      <c r="DA17" s="275">
        <v>213</v>
      </c>
      <c r="DB17" s="275">
        <v>69486597142.440002</v>
      </c>
      <c r="DC17" s="275">
        <v>75529700000</v>
      </c>
      <c r="DD17" s="275">
        <v>464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19001849.760000002</v>
      </c>
      <c r="U18" s="258">
        <v>25653</v>
      </c>
      <c r="V18" s="258">
        <v>19</v>
      </c>
      <c r="W18" s="258">
        <v>150615</v>
      </c>
      <c r="X18" s="258">
        <v>0</v>
      </c>
      <c r="Y18" s="245"/>
      <c r="Z18" s="253" t="s">
        <v>588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588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588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588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52</v>
      </c>
      <c r="BV18" s="265">
        <v>5</v>
      </c>
      <c r="BW18" s="265">
        <v>10</v>
      </c>
      <c r="BX18" s="265">
        <v>4</v>
      </c>
      <c r="BY18" s="265">
        <v>0</v>
      </c>
      <c r="BZ18" s="265">
        <v>43</v>
      </c>
      <c r="CA18" s="265">
        <v>40</v>
      </c>
      <c r="CB18" s="265">
        <v>12</v>
      </c>
      <c r="CC18" s="355"/>
      <c r="CD18" s="359">
        <v>14756762192214.23</v>
      </c>
      <c r="CE18" s="360">
        <v>27212127220.483719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657</v>
      </c>
      <c r="CT18" s="275">
        <v>126</v>
      </c>
      <c r="CU18" s="275" t="s">
        <v>653</v>
      </c>
      <c r="CV18" s="275">
        <v>-2347098979.000001</v>
      </c>
      <c r="CW18" s="275">
        <v>-2689560197</v>
      </c>
      <c r="CX18" s="275">
        <v>740</v>
      </c>
      <c r="CY18" s="275">
        <v>12661630959.800016</v>
      </c>
      <c r="CZ18" s="275">
        <v>12325177169</v>
      </c>
      <c r="DA18" s="275">
        <v>389</v>
      </c>
      <c r="DB18" s="275">
        <v>15008729938.800014</v>
      </c>
      <c r="DC18" s="275">
        <v>15014737366</v>
      </c>
      <c r="DD18" s="275">
        <v>351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541</v>
      </c>
      <c r="L19" s="235" t="s">
        <v>542</v>
      </c>
      <c r="M19" s="237" t="s">
        <v>539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589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589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589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589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539</v>
      </c>
      <c r="BQ19" s="264" t="s">
        <v>567</v>
      </c>
      <c r="BR19" s="264" t="s">
        <v>568</v>
      </c>
      <c r="BS19" s="245"/>
      <c r="BT19" s="265" t="s">
        <v>628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657</v>
      </c>
      <c r="CT19" s="275">
        <v>55</v>
      </c>
      <c r="CU19" s="275" t="s">
        <v>654</v>
      </c>
      <c r="CV19" s="275">
        <v>-16891064176.359997</v>
      </c>
      <c r="CW19" s="275">
        <v>-15639354221</v>
      </c>
      <c r="CX19" s="275">
        <v>2378</v>
      </c>
      <c r="CY19" s="275">
        <v>68610695613.169945</v>
      </c>
      <c r="CZ19" s="275">
        <v>67143782689</v>
      </c>
      <c r="DA19" s="275">
        <v>1142</v>
      </c>
      <c r="DB19" s="275">
        <v>85501759789.530014</v>
      </c>
      <c r="DC19" s="275">
        <v>82783136910</v>
      </c>
      <c r="DD19" s="275">
        <v>1236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543</v>
      </c>
      <c r="L20" s="234" t="s">
        <v>544</v>
      </c>
      <c r="M20" s="238">
        <v>148730620360.95999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76251729.359999999</v>
      </c>
      <c r="U20" s="258">
        <v>6948</v>
      </c>
      <c r="V20" s="258">
        <v>18</v>
      </c>
      <c r="W20" s="258">
        <v>993826</v>
      </c>
      <c r="X20" s="258">
        <v>0</v>
      </c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590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590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590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71421552653.509995</v>
      </c>
      <c r="BQ20" s="263">
        <v>707022</v>
      </c>
      <c r="BR20" s="263">
        <v>495</v>
      </c>
      <c r="BS20" s="245"/>
      <c r="BT20" s="265" t="s">
        <v>629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633</v>
      </c>
      <c r="CE20" s="357" t="s">
        <v>635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657</v>
      </c>
      <c r="CT20" s="275">
        <v>10</v>
      </c>
      <c r="CU20" s="275" t="s">
        <v>655</v>
      </c>
      <c r="CV20" s="275">
        <v>-2097003413.8399999</v>
      </c>
      <c r="CW20" s="275">
        <v>-1960760000</v>
      </c>
      <c r="CX20" s="275">
        <v>43</v>
      </c>
      <c r="CY20" s="275">
        <v>672703484.91000009</v>
      </c>
      <c r="CZ20" s="275">
        <v>738760000</v>
      </c>
      <c r="DA20" s="275">
        <v>14</v>
      </c>
      <c r="DB20" s="275">
        <v>2769706898.7500005</v>
      </c>
      <c r="DC20" s="275">
        <v>2699520000</v>
      </c>
      <c r="DD20" s="275">
        <v>29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545</v>
      </c>
      <c r="L21" s="234" t="s">
        <v>544</v>
      </c>
      <c r="M21" s="238">
        <v>189982733864.72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591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591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591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591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630</v>
      </c>
      <c r="BU21" s="265">
        <v>316</v>
      </c>
      <c r="BV21" s="265">
        <v>6</v>
      </c>
      <c r="BW21" s="265">
        <v>19</v>
      </c>
      <c r="BX21" s="265">
        <v>0</v>
      </c>
      <c r="BY21" s="265">
        <v>4</v>
      </c>
      <c r="BZ21" s="265">
        <v>307</v>
      </c>
      <c r="CA21" s="265">
        <v>257</v>
      </c>
      <c r="CB21" s="265">
        <v>59</v>
      </c>
      <c r="CC21" s="355"/>
      <c r="CD21" s="359">
        <v>3751193203850600.5</v>
      </c>
      <c r="CE21" s="360">
        <v>5779520553205.0078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543</v>
      </c>
      <c r="L22" s="234" t="s">
        <v>546</v>
      </c>
      <c r="M22" s="238">
        <v>146115889348.76001</v>
      </c>
      <c r="O22" s="239"/>
      <c r="P22" s="239"/>
      <c r="Q22" s="239"/>
      <c r="S22" s="253" t="s">
        <v>447</v>
      </c>
      <c r="T22" s="258">
        <v>1673991.19</v>
      </c>
      <c r="U22" s="258">
        <v>7702</v>
      </c>
      <c r="V22" s="258">
        <v>2</v>
      </c>
      <c r="W22" s="258">
        <v>1380519</v>
      </c>
      <c r="X22" s="258">
        <v>0</v>
      </c>
      <c r="Y22" s="245"/>
      <c r="Z22" s="253" t="s">
        <v>592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592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592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539</v>
      </c>
      <c r="BQ22" s="264" t="s">
        <v>567</v>
      </c>
      <c r="BR22" s="264" t="s">
        <v>568</v>
      </c>
      <c r="BS22" s="245"/>
      <c r="BT22" s="245" t="s">
        <v>631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556</v>
      </c>
      <c r="F23" s="227" t="s">
        <v>444</v>
      </c>
      <c r="G23" s="224" t="s">
        <v>226</v>
      </c>
      <c r="H23" s="224" t="s">
        <v>547</v>
      </c>
      <c r="I23" s="165"/>
      <c r="J23" s="152" t="str">
        <f>K23&amp;L23</f>
        <v>PSell</v>
      </c>
      <c r="K23" s="234" t="s">
        <v>545</v>
      </c>
      <c r="L23" s="234" t="s">
        <v>546</v>
      </c>
      <c r="M23" s="238">
        <v>192597464876.92001</v>
      </c>
      <c r="N23" s="163" t="s">
        <v>445</v>
      </c>
      <c r="O23" s="242" t="s">
        <v>226</v>
      </c>
      <c r="P23" s="242" t="s">
        <v>547</v>
      </c>
      <c r="Q23" s="239"/>
      <c r="S23" s="253" t="s">
        <v>571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593</v>
      </c>
      <c r="AA23" s="253">
        <v>0</v>
      </c>
      <c r="AB23" s="253">
        <v>0</v>
      </c>
      <c r="AC23" s="253">
        <v>0</v>
      </c>
      <c r="AD23" s="253">
        <v>880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593</v>
      </c>
      <c r="AO23" s="253">
        <v>0</v>
      </c>
      <c r="AP23" s="253">
        <v>0</v>
      </c>
      <c r="AQ23" s="253">
        <v>0</v>
      </c>
      <c r="AR23" s="253">
        <v>880</v>
      </c>
      <c r="AS23" s="253">
        <v>0</v>
      </c>
      <c r="AT23" s="245"/>
      <c r="AU23" s="253" t="s">
        <v>593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593</v>
      </c>
      <c r="BC23" s="253">
        <v>0</v>
      </c>
      <c r="BD23" s="253">
        <v>0</v>
      </c>
      <c r="BE23" s="253">
        <v>0</v>
      </c>
      <c r="BF23" s="253">
        <v>660</v>
      </c>
      <c r="BG23" s="253">
        <v>0</v>
      </c>
      <c r="BH23" s="247" t="s">
        <v>593</v>
      </c>
      <c r="BI23" s="253">
        <v>0</v>
      </c>
      <c r="BJ23" s="253">
        <v>0</v>
      </c>
      <c r="BK23" s="253">
        <v>0</v>
      </c>
      <c r="BL23" s="253">
        <v>30</v>
      </c>
      <c r="BM23" s="253">
        <v>0</v>
      </c>
      <c r="BN23" s="253"/>
      <c r="BO23" s="247"/>
      <c r="BP23" s="263">
        <v>1425529225.8</v>
      </c>
      <c r="BQ23" s="263">
        <v>17260</v>
      </c>
      <c r="BR23" s="263">
        <v>54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67354.353240580007</v>
      </c>
      <c r="I24" s="164"/>
      <c r="K24" s="231"/>
      <c r="L24" s="228"/>
      <c r="M24" s="228"/>
      <c r="O24" s="241" t="s">
        <v>254</v>
      </c>
      <c r="P24" s="241">
        <v>69833.830442539998</v>
      </c>
      <c r="Q24" s="239"/>
      <c r="S24" s="253" t="s">
        <v>451</v>
      </c>
      <c r="T24" s="258">
        <v>3373101.7</v>
      </c>
      <c r="U24" s="258">
        <v>1001</v>
      </c>
      <c r="V24" s="258">
        <v>2</v>
      </c>
      <c r="W24" s="258">
        <v>155372</v>
      </c>
      <c r="X24" s="258">
        <v>1</v>
      </c>
      <c r="Y24" s="245"/>
      <c r="Z24" s="253" t="s">
        <v>594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594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594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594</v>
      </c>
      <c r="BC24" s="253">
        <v>0</v>
      </c>
      <c r="BD24" s="253">
        <v>0</v>
      </c>
      <c r="BE24" s="253">
        <v>0</v>
      </c>
      <c r="BF24" s="253">
        <v>0</v>
      </c>
      <c r="BG24" s="253">
        <v>0</v>
      </c>
      <c r="BH24" s="247" t="s">
        <v>594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10979.937416700001</v>
      </c>
      <c r="I25" s="164"/>
      <c r="K25" s="231"/>
      <c r="L25" s="228"/>
      <c r="M25" s="228"/>
      <c r="O25" s="241" t="s">
        <v>271</v>
      </c>
      <c r="P25" s="241">
        <v>10922.48538584</v>
      </c>
      <c r="Q25" s="239"/>
      <c r="S25" s="253" t="s">
        <v>448</v>
      </c>
      <c r="T25" s="258">
        <v>0</v>
      </c>
      <c r="U25" s="258">
        <v>6565</v>
      </c>
      <c r="V25" s="258">
        <v>195</v>
      </c>
      <c r="W25" s="258">
        <v>532297</v>
      </c>
      <c r="X25" s="258">
        <v>1</v>
      </c>
      <c r="Y25" s="245"/>
      <c r="Z25" s="253" t="s">
        <v>595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595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595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595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595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569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11266.41214282</v>
      </c>
      <c r="I26" s="164"/>
      <c r="J26" s="157"/>
      <c r="K26" s="232"/>
      <c r="L26" s="228"/>
      <c r="M26" s="228"/>
      <c r="O26" s="241" t="s">
        <v>272</v>
      </c>
      <c r="P26" s="241">
        <v>11215.87735601</v>
      </c>
      <c r="Q26" s="239"/>
      <c r="S26" s="253" t="s">
        <v>182</v>
      </c>
      <c r="T26" s="258">
        <v>57542.400000000001</v>
      </c>
      <c r="U26" s="258">
        <v>100</v>
      </c>
      <c r="V26" s="258">
        <v>1</v>
      </c>
      <c r="W26" s="258">
        <v>1398107</v>
      </c>
      <c r="X26" s="258">
        <v>1</v>
      </c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596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596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836037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28771.158006969999</v>
      </c>
      <c r="I27" s="164"/>
      <c r="J27" s="157"/>
      <c r="K27" s="231"/>
      <c r="L27" s="228"/>
      <c r="M27" s="228"/>
      <c r="O27" s="241" t="s">
        <v>273</v>
      </c>
      <c r="P27" s="241">
        <v>26083.358102530001</v>
      </c>
      <c r="Q27" s="239"/>
      <c r="S27" s="253" t="s">
        <v>446</v>
      </c>
      <c r="T27" s="258">
        <v>17263140143.406101</v>
      </c>
      <c r="U27" s="258">
        <v>48907</v>
      </c>
      <c r="V27" s="258">
        <v>12980</v>
      </c>
      <c r="W27" s="258">
        <v>593018</v>
      </c>
      <c r="X27" s="258">
        <v>1</v>
      </c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597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597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638</v>
      </c>
      <c r="CT27" s="275" t="s">
        <v>639</v>
      </c>
      <c r="CU27" s="275" t="s">
        <v>640</v>
      </c>
      <c r="CV27" s="275" t="s">
        <v>641</v>
      </c>
      <c r="CW27" s="275" t="s">
        <v>642</v>
      </c>
      <c r="CX27" s="275" t="s">
        <v>643</v>
      </c>
      <c r="CY27" s="275" t="s">
        <v>644</v>
      </c>
      <c r="CZ27" s="275" t="s">
        <v>645</v>
      </c>
      <c r="DA27" s="275" t="s">
        <v>646</v>
      </c>
      <c r="DB27" s="275" t="s">
        <v>647</v>
      </c>
      <c r="DC27" s="275" t="s">
        <v>648</v>
      </c>
      <c r="DD27" s="275" t="s">
        <v>649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3215.5506999099998</v>
      </c>
      <c r="I28" s="164"/>
      <c r="J28" s="157"/>
      <c r="K28" s="231"/>
      <c r="L28" s="233"/>
      <c r="M28" s="236"/>
      <c r="O28" s="241" t="s">
        <v>274</v>
      </c>
      <c r="P28" s="241">
        <v>3170.2200355999998</v>
      </c>
      <c r="Q28" s="239"/>
      <c r="S28" s="245" t="s">
        <v>449</v>
      </c>
      <c r="T28" s="245">
        <v>7933779.5999999996</v>
      </c>
      <c r="U28" s="245">
        <v>12330</v>
      </c>
      <c r="V28" s="245">
        <v>3</v>
      </c>
      <c r="W28" s="245">
        <v>1720050</v>
      </c>
      <c r="X28" s="245">
        <v>1</v>
      </c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598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569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44</v>
      </c>
      <c r="CU28" s="275" t="s">
        <v>650</v>
      </c>
      <c r="CV28" s="275">
        <v>0</v>
      </c>
      <c r="CW28" s="275">
        <v>25643113870</v>
      </c>
      <c r="CX28" s="275">
        <v>2765</v>
      </c>
      <c r="CY28" s="275">
        <v>0</v>
      </c>
      <c r="CZ28" s="275">
        <v>113679401914</v>
      </c>
      <c r="DA28" s="275">
        <v>1512</v>
      </c>
      <c r="DB28" s="275">
        <v>0</v>
      </c>
      <c r="DC28" s="275">
        <v>88036288044</v>
      </c>
      <c r="DD28" s="275">
        <v>1253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3073.48740206</v>
      </c>
      <c r="I29" s="164"/>
      <c r="J29" s="157"/>
      <c r="K29" s="231"/>
      <c r="L29" s="228"/>
      <c r="M29" s="228"/>
      <c r="O29" s="241" t="s">
        <v>275</v>
      </c>
      <c r="P29" s="241">
        <v>3070.7212517399998</v>
      </c>
      <c r="Q29" s="239"/>
      <c r="S29" s="245" t="s">
        <v>450</v>
      </c>
      <c r="T29" s="245">
        <v>0</v>
      </c>
      <c r="U29" s="245">
        <v>6281</v>
      </c>
      <c r="V29" s="245">
        <v>2</v>
      </c>
      <c r="W29" s="245">
        <v>1651907</v>
      </c>
      <c r="X29" s="245">
        <v>1</v>
      </c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599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61660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3</v>
      </c>
      <c r="CU29" s="275" t="s">
        <v>658</v>
      </c>
      <c r="CV29" s="275">
        <v>294276509.67000002</v>
      </c>
      <c r="CW29" s="275">
        <v>299810000</v>
      </c>
      <c r="CX29" s="275">
        <v>3</v>
      </c>
      <c r="CY29" s="275">
        <v>294888623.24000001</v>
      </c>
      <c r="CZ29" s="275">
        <v>300110000</v>
      </c>
      <c r="DA29" s="275">
        <v>2</v>
      </c>
      <c r="DB29" s="275">
        <v>612113.56999999995</v>
      </c>
      <c r="DC29" s="275">
        <v>300000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3575.3065362500001</v>
      </c>
      <c r="I30" s="164"/>
      <c r="J30" s="157"/>
      <c r="K30" s="231"/>
      <c r="L30" s="228"/>
      <c r="M30" s="228"/>
      <c r="O30" s="241" t="s">
        <v>93</v>
      </c>
      <c r="P30" s="241">
        <v>3518.39794446</v>
      </c>
      <c r="Q30" s="239"/>
      <c r="S30" s="254" t="s">
        <v>447</v>
      </c>
      <c r="T30" s="257">
        <v>226213536.59999999</v>
      </c>
      <c r="U30" s="257">
        <v>8478</v>
      </c>
      <c r="V30" s="257">
        <v>200</v>
      </c>
      <c r="W30" s="257">
        <v>756616</v>
      </c>
      <c r="X30" s="257">
        <v>1</v>
      </c>
      <c r="Y30" s="245"/>
      <c r="Z30" s="253" t="s">
        <v>600</v>
      </c>
      <c r="AA30" s="253">
        <v>3122345.13</v>
      </c>
      <c r="AB30" s="253">
        <v>466</v>
      </c>
      <c r="AC30" s="253">
        <v>53</v>
      </c>
      <c r="AD30" s="253">
        <v>35262</v>
      </c>
      <c r="AE30" s="253">
        <v>0</v>
      </c>
      <c r="AF30" s="253"/>
      <c r="AG30" s="253" t="s">
        <v>600</v>
      </c>
      <c r="AH30" s="253">
        <v>0</v>
      </c>
      <c r="AI30" s="253">
        <v>0</v>
      </c>
      <c r="AJ30" s="253">
        <v>0</v>
      </c>
      <c r="AK30" s="253">
        <v>1603</v>
      </c>
      <c r="AL30" s="253">
        <v>0</v>
      </c>
      <c r="AM30" s="245"/>
      <c r="AN30" s="253" t="s">
        <v>600</v>
      </c>
      <c r="AO30" s="253">
        <v>4485392.92</v>
      </c>
      <c r="AP30" s="253">
        <v>702</v>
      </c>
      <c r="AQ30" s="253">
        <v>65</v>
      </c>
      <c r="AR30" s="253">
        <v>27059</v>
      </c>
      <c r="AS30" s="253">
        <v>0</v>
      </c>
      <c r="AT30" s="245"/>
      <c r="AU30" s="253" t="s">
        <v>600</v>
      </c>
      <c r="AV30" s="253">
        <v>0</v>
      </c>
      <c r="AW30" s="253">
        <v>0</v>
      </c>
      <c r="AX30" s="253">
        <v>0</v>
      </c>
      <c r="AY30" s="253">
        <v>1429</v>
      </c>
      <c r="AZ30" s="253">
        <v>0</v>
      </c>
      <c r="BA30" s="245"/>
      <c r="BB30" s="253" t="s">
        <v>600</v>
      </c>
      <c r="BC30" s="253">
        <v>15163140.199999999</v>
      </c>
      <c r="BD30" s="253">
        <v>1383</v>
      </c>
      <c r="BE30" s="253">
        <v>72</v>
      </c>
      <c r="BF30" s="253">
        <v>53083</v>
      </c>
      <c r="BG30" s="253">
        <v>0</v>
      </c>
      <c r="BH30" s="247" t="s">
        <v>600</v>
      </c>
      <c r="BI30" s="253">
        <v>76278</v>
      </c>
      <c r="BJ30" s="253">
        <v>6</v>
      </c>
      <c r="BK30" s="253">
        <v>4</v>
      </c>
      <c r="BL30" s="253">
        <v>2414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24</v>
      </c>
      <c r="CU30" s="275" t="s">
        <v>651</v>
      </c>
      <c r="CV30" s="275">
        <v>-7387119870.7698431</v>
      </c>
      <c r="CW30" s="275">
        <v>14481657429</v>
      </c>
      <c r="CX30" s="275">
        <v>5426</v>
      </c>
      <c r="CY30" s="275">
        <v>316414878139.57037</v>
      </c>
      <c r="CZ30" s="275">
        <v>332792405000</v>
      </c>
      <c r="DA30" s="275">
        <v>3763</v>
      </c>
      <c r="DB30" s="275">
        <v>323801998010.33978</v>
      </c>
      <c r="DC30" s="275">
        <v>318310747571</v>
      </c>
      <c r="DD30" s="275">
        <v>1663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996.21012458999996</v>
      </c>
      <c r="I31" s="164"/>
      <c r="J31" s="158"/>
      <c r="K31" s="229"/>
      <c r="L31" s="228"/>
      <c r="M31" s="228"/>
      <c r="O31" s="241" t="s">
        <v>63</v>
      </c>
      <c r="P31" s="241">
        <v>1058.9198395000001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601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601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601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601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601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539</v>
      </c>
      <c r="BQ31" s="264" t="s">
        <v>567</v>
      </c>
      <c r="BR31" s="264" t="s">
        <v>568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24</v>
      </c>
      <c r="CU31" s="275" t="s">
        <v>652</v>
      </c>
      <c r="CV31" s="275">
        <v>2892693917.8796034</v>
      </c>
      <c r="CW31" s="275">
        <v>-18474657429</v>
      </c>
      <c r="CX31" s="275">
        <v>5360</v>
      </c>
      <c r="CY31" s="275">
        <v>315099670778.8399</v>
      </c>
      <c r="CZ31" s="275">
        <v>309762747571</v>
      </c>
      <c r="DA31" s="275">
        <v>1636</v>
      </c>
      <c r="DB31" s="275">
        <v>312206976860.96014</v>
      </c>
      <c r="DC31" s="275">
        <v>328237405000</v>
      </c>
      <c r="DD31" s="275">
        <v>3724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20569.159632949999</v>
      </c>
      <c r="I32" s="164"/>
      <c r="J32" s="157"/>
      <c r="K32" s="229"/>
      <c r="L32" s="228"/>
      <c r="M32" s="228"/>
      <c r="O32" s="241" t="s">
        <v>276</v>
      </c>
      <c r="P32" s="241">
        <v>17895.237974250002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602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602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602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602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1003951648464.4399</v>
      </c>
      <c r="BQ32" s="263">
        <v>9038089</v>
      </c>
      <c r="BR32" s="263">
        <v>9233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430</v>
      </c>
      <c r="CU32" s="275" t="s">
        <v>653</v>
      </c>
      <c r="CV32" s="275">
        <v>-26999799270.980022</v>
      </c>
      <c r="CW32" s="275">
        <v>-25492473668</v>
      </c>
      <c r="CX32" s="275">
        <v>6120</v>
      </c>
      <c r="CY32" s="275">
        <v>64765973373.120026</v>
      </c>
      <c r="CZ32" s="275">
        <v>64124801794</v>
      </c>
      <c r="DA32" s="275">
        <v>3497</v>
      </c>
      <c r="DB32" s="275">
        <v>91765772644.099899</v>
      </c>
      <c r="DC32" s="275">
        <v>89617275462</v>
      </c>
      <c r="DD32" s="275">
        <v>2623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16.060684299999998</v>
      </c>
      <c r="I33" s="164"/>
      <c r="J33" s="157"/>
      <c r="K33" s="228"/>
      <c r="L33" s="228"/>
      <c r="M33" s="228"/>
      <c r="O33" s="241" t="s">
        <v>106</v>
      </c>
      <c r="P33" s="241">
        <v>15.53558694</v>
      </c>
      <c r="Q33" s="239"/>
      <c r="R33" s="153" t="s">
        <v>454</v>
      </c>
      <c r="S33" s="253" t="s">
        <v>565</v>
      </c>
      <c r="T33" s="258" t="s">
        <v>566</v>
      </c>
      <c r="U33" s="258" t="s">
        <v>567</v>
      </c>
      <c r="V33" s="258" t="s">
        <v>568</v>
      </c>
      <c r="W33" s="258" t="s">
        <v>569</v>
      </c>
      <c r="X33" s="258" t="s">
        <v>570</v>
      </c>
      <c r="Y33" s="245"/>
      <c r="Z33" s="253" t="s">
        <v>603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603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603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603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183</v>
      </c>
      <c r="CU33" s="275" t="s">
        <v>654</v>
      </c>
      <c r="CV33" s="275">
        <v>76800663148.899963</v>
      </c>
      <c r="CW33" s="275">
        <v>79429104991</v>
      </c>
      <c r="CX33" s="275">
        <v>22123</v>
      </c>
      <c r="CY33" s="275">
        <v>620130229309.92151</v>
      </c>
      <c r="CZ33" s="275">
        <v>598624537741</v>
      </c>
      <c r="DA33" s="275">
        <v>12017</v>
      </c>
      <c r="DB33" s="275">
        <v>543329566161.01978</v>
      </c>
      <c r="DC33" s="275">
        <v>519195432750</v>
      </c>
      <c r="DD33" s="275">
        <v>10106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10041.515005900001</v>
      </c>
      <c r="I34" s="164"/>
      <c r="J34" s="157"/>
      <c r="K34" s="228"/>
      <c r="L34" s="228"/>
      <c r="M34" s="228"/>
      <c r="O34" s="241" t="s">
        <v>108</v>
      </c>
      <c r="P34" s="241">
        <v>9747.3577827000008</v>
      </c>
      <c r="Q34" s="239"/>
      <c r="R34" s="157"/>
      <c r="S34" s="253" t="s">
        <v>451</v>
      </c>
      <c r="T34" s="258">
        <v>65874396.390000001</v>
      </c>
      <c r="U34" s="258">
        <v>37420</v>
      </c>
      <c r="V34" s="258">
        <v>112</v>
      </c>
      <c r="W34" s="258">
        <v>99514</v>
      </c>
      <c r="X34" s="258">
        <v>0</v>
      </c>
      <c r="Y34" s="245"/>
      <c r="Z34" s="253" t="s">
        <v>604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604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604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604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539</v>
      </c>
      <c r="BQ34" s="264" t="s">
        <v>567</v>
      </c>
      <c r="BR34" s="264" t="s">
        <v>568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23</v>
      </c>
      <c r="CU34" s="275" t="s">
        <v>655</v>
      </c>
      <c r="CV34" s="275">
        <v>-7196265040.8100004</v>
      </c>
      <c r="CW34" s="275">
        <v>-7751754848</v>
      </c>
      <c r="CX34" s="275">
        <v>527</v>
      </c>
      <c r="CY34" s="275">
        <v>17507471149.009998</v>
      </c>
      <c r="CZ34" s="275">
        <v>18809877232</v>
      </c>
      <c r="DA34" s="275">
        <v>209</v>
      </c>
      <c r="DB34" s="275">
        <v>24703736189.819965</v>
      </c>
      <c r="DC34" s="275">
        <v>26561632080</v>
      </c>
      <c r="DD34" s="275">
        <v>318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74699.920896080002</v>
      </c>
      <c r="I35" s="164"/>
      <c r="J35" s="157"/>
      <c r="K35" s="228"/>
      <c r="L35" s="228"/>
      <c r="M35" s="228"/>
      <c r="O35" s="241" t="s">
        <v>279</v>
      </c>
      <c r="P35" s="241">
        <v>66655.637732169998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605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605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605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605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605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25048871635.919998</v>
      </c>
      <c r="BQ35" s="263">
        <v>250269</v>
      </c>
      <c r="BR35" s="263">
        <v>520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13710.817176320001</v>
      </c>
      <c r="I36" s="164"/>
      <c r="J36" s="157"/>
      <c r="K36" s="228"/>
      <c r="L36" s="228"/>
      <c r="M36" s="228"/>
      <c r="O36" s="241" t="s">
        <v>280</v>
      </c>
      <c r="P36" s="241">
        <v>14950.362207759999</v>
      </c>
      <c r="Q36" s="239"/>
      <c r="R36" s="157"/>
      <c r="S36" s="253" t="s">
        <v>446</v>
      </c>
      <c r="T36" s="258">
        <v>1563590027.4400001</v>
      </c>
      <c r="U36" s="258">
        <v>243878</v>
      </c>
      <c r="V36" s="258">
        <v>344</v>
      </c>
      <c r="W36" s="258">
        <v>882849</v>
      </c>
      <c r="X36" s="258">
        <v>0</v>
      </c>
      <c r="Y36" s="245"/>
      <c r="Z36" s="253" t="s">
        <v>606</v>
      </c>
      <c r="AA36" s="253">
        <v>15336217.34</v>
      </c>
      <c r="AB36" s="253">
        <v>2480</v>
      </c>
      <c r="AC36" s="253">
        <v>132</v>
      </c>
      <c r="AD36" s="253">
        <v>60784</v>
      </c>
      <c r="AE36" s="253">
        <v>0</v>
      </c>
      <c r="AF36" s="253"/>
      <c r="AG36" s="253" t="s">
        <v>606</v>
      </c>
      <c r="AH36" s="253">
        <v>257386</v>
      </c>
      <c r="AI36" s="253">
        <v>48</v>
      </c>
      <c r="AJ36" s="253">
        <v>9</v>
      </c>
      <c r="AK36" s="253">
        <v>3284</v>
      </c>
      <c r="AL36" s="253">
        <v>0</v>
      </c>
      <c r="AM36" s="245"/>
      <c r="AN36" s="253" t="s">
        <v>606</v>
      </c>
      <c r="AO36" s="253">
        <v>9600597.4000000004</v>
      </c>
      <c r="AP36" s="253">
        <v>1564</v>
      </c>
      <c r="AQ36" s="253">
        <v>136</v>
      </c>
      <c r="AR36" s="253">
        <v>25417</v>
      </c>
      <c r="AS36" s="253">
        <v>0</v>
      </c>
      <c r="AT36" s="245"/>
      <c r="AU36" s="253" t="s">
        <v>606</v>
      </c>
      <c r="AV36" s="253">
        <v>695127.4</v>
      </c>
      <c r="AW36" s="253">
        <v>123</v>
      </c>
      <c r="AX36" s="253">
        <v>4</v>
      </c>
      <c r="AY36" s="253">
        <v>1711</v>
      </c>
      <c r="AZ36" s="253">
        <v>0</v>
      </c>
      <c r="BA36" s="245"/>
      <c r="BB36" s="253" t="s">
        <v>606</v>
      </c>
      <c r="BC36" s="253">
        <v>41218993.799999997</v>
      </c>
      <c r="BD36" s="253">
        <v>4165</v>
      </c>
      <c r="BE36" s="253">
        <v>123</v>
      </c>
      <c r="BF36" s="253">
        <v>107399</v>
      </c>
      <c r="BG36" s="253">
        <v>0</v>
      </c>
      <c r="BH36" s="247" t="s">
        <v>606</v>
      </c>
      <c r="BI36" s="253">
        <v>6165</v>
      </c>
      <c r="BJ36" s="253">
        <v>1</v>
      </c>
      <c r="BK36" s="253">
        <v>1</v>
      </c>
      <c r="BL36" s="253">
        <v>4388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30580.35029387</v>
      </c>
      <c r="I37" s="164"/>
      <c r="J37" s="157"/>
      <c r="K37" s="228"/>
      <c r="L37" s="228"/>
      <c r="M37" s="228"/>
      <c r="O37" s="241" t="s">
        <v>281</v>
      </c>
      <c r="P37" s="241">
        <v>29826.593509369999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607</v>
      </c>
      <c r="AA37" s="253">
        <v>310453508.39999998</v>
      </c>
      <c r="AB37" s="253">
        <v>28249</v>
      </c>
      <c r="AC37" s="253">
        <v>2627</v>
      </c>
      <c r="AD37" s="253">
        <v>666259</v>
      </c>
      <c r="AE37" s="253">
        <v>0</v>
      </c>
      <c r="AF37" s="253"/>
      <c r="AG37" s="253" t="s">
        <v>607</v>
      </c>
      <c r="AH37" s="253">
        <v>12961844.060000001</v>
      </c>
      <c r="AI37" s="253">
        <v>1290</v>
      </c>
      <c r="AJ37" s="253">
        <v>177</v>
      </c>
      <c r="AK37" s="253">
        <v>33139</v>
      </c>
      <c r="AL37" s="253">
        <v>0</v>
      </c>
      <c r="AM37" s="245"/>
      <c r="AN37" s="253" t="s">
        <v>607</v>
      </c>
      <c r="AO37" s="253">
        <v>137138009.81999999</v>
      </c>
      <c r="AP37" s="253">
        <v>14839</v>
      </c>
      <c r="AQ37" s="253">
        <v>1452</v>
      </c>
      <c r="AR37" s="253">
        <v>472324</v>
      </c>
      <c r="AS37" s="253">
        <v>0</v>
      </c>
      <c r="AT37" s="245"/>
      <c r="AU37" s="253" t="s">
        <v>607</v>
      </c>
      <c r="AV37" s="253">
        <v>3328030.21</v>
      </c>
      <c r="AW37" s="253">
        <v>329</v>
      </c>
      <c r="AX37" s="253">
        <v>54</v>
      </c>
      <c r="AY37" s="253">
        <v>25184</v>
      </c>
      <c r="AZ37" s="253">
        <v>0</v>
      </c>
      <c r="BA37" s="245"/>
      <c r="BB37" s="253" t="s">
        <v>607</v>
      </c>
      <c r="BC37" s="253">
        <v>143005797.47</v>
      </c>
      <c r="BD37" s="253">
        <v>13315</v>
      </c>
      <c r="BE37" s="253">
        <v>1374</v>
      </c>
      <c r="BF37" s="253">
        <v>555384</v>
      </c>
      <c r="BG37" s="253">
        <v>0</v>
      </c>
      <c r="BH37" s="247" t="s">
        <v>607</v>
      </c>
      <c r="BI37" s="253">
        <v>5858110.9000000004</v>
      </c>
      <c r="BJ37" s="253">
        <v>555</v>
      </c>
      <c r="BK37" s="253">
        <v>50</v>
      </c>
      <c r="BL37" s="253">
        <v>27299</v>
      </c>
      <c r="BM37" s="253">
        <v>0</v>
      </c>
      <c r="BN37" s="253"/>
      <c r="BO37" s="256" t="s">
        <v>473</v>
      </c>
      <c r="BP37" s="264" t="s">
        <v>539</v>
      </c>
      <c r="BQ37" s="264" t="s">
        <v>567</v>
      </c>
      <c r="BR37" s="264" t="s">
        <v>568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52464.009408149999</v>
      </c>
      <c r="I38" s="164"/>
      <c r="J38" s="157"/>
      <c r="K38" s="228"/>
      <c r="L38" s="228"/>
      <c r="M38" s="228"/>
      <c r="O38" s="241" t="s">
        <v>56</v>
      </c>
      <c r="P38" s="241">
        <v>51314.99702422</v>
      </c>
      <c r="Q38" s="239"/>
      <c r="R38" s="157"/>
      <c r="S38" s="253" t="s">
        <v>447</v>
      </c>
      <c r="T38" s="258">
        <v>405748545.94999999</v>
      </c>
      <c r="U38" s="258">
        <v>437112</v>
      </c>
      <c r="V38" s="258">
        <v>238</v>
      </c>
      <c r="W38" s="258">
        <v>1252151</v>
      </c>
      <c r="X38" s="258">
        <v>0</v>
      </c>
      <c r="Y38" s="245"/>
      <c r="Z38" s="253" t="s">
        <v>608</v>
      </c>
      <c r="AA38" s="253">
        <v>95553067.909999996</v>
      </c>
      <c r="AB38" s="253">
        <v>7034</v>
      </c>
      <c r="AC38" s="253">
        <v>399</v>
      </c>
      <c r="AD38" s="253">
        <v>288523</v>
      </c>
      <c r="AE38" s="253">
        <v>0</v>
      </c>
      <c r="AF38" s="253"/>
      <c r="AG38" s="253" t="s">
        <v>608</v>
      </c>
      <c r="AH38" s="253">
        <v>1001984.3</v>
      </c>
      <c r="AI38" s="253">
        <v>110</v>
      </c>
      <c r="AJ38" s="253">
        <v>7</v>
      </c>
      <c r="AK38" s="253">
        <v>14587</v>
      </c>
      <c r="AL38" s="253">
        <v>0</v>
      </c>
      <c r="AM38" s="245"/>
      <c r="AN38" s="253" t="s">
        <v>608</v>
      </c>
      <c r="AO38" s="253">
        <v>18256098</v>
      </c>
      <c r="AP38" s="253">
        <v>2745</v>
      </c>
      <c r="AQ38" s="253">
        <v>188</v>
      </c>
      <c r="AR38" s="253">
        <v>228127</v>
      </c>
      <c r="AS38" s="253">
        <v>0</v>
      </c>
      <c r="AT38" s="245"/>
      <c r="AU38" s="253" t="s">
        <v>608</v>
      </c>
      <c r="AV38" s="253">
        <v>538099.80000000005</v>
      </c>
      <c r="AW38" s="253">
        <v>46</v>
      </c>
      <c r="AX38" s="253">
        <v>11</v>
      </c>
      <c r="AY38" s="253">
        <v>10897</v>
      </c>
      <c r="AZ38" s="253">
        <v>0</v>
      </c>
      <c r="BA38" s="245"/>
      <c r="BB38" s="253" t="s">
        <v>608</v>
      </c>
      <c r="BC38" s="253">
        <v>45298972.43</v>
      </c>
      <c r="BD38" s="253">
        <v>4309</v>
      </c>
      <c r="BE38" s="253">
        <v>311</v>
      </c>
      <c r="BF38" s="253">
        <v>145444</v>
      </c>
      <c r="BG38" s="253">
        <v>0</v>
      </c>
      <c r="BH38" s="247" t="s">
        <v>608</v>
      </c>
      <c r="BI38" s="253">
        <v>5737467.5999999996</v>
      </c>
      <c r="BJ38" s="253">
        <v>529</v>
      </c>
      <c r="BK38" s="253">
        <v>20</v>
      </c>
      <c r="BL38" s="253">
        <v>7891</v>
      </c>
      <c r="BM38" s="253">
        <v>0</v>
      </c>
      <c r="BN38" s="253"/>
      <c r="BO38" s="247"/>
      <c r="BP38" s="263">
        <v>932976459342.8501</v>
      </c>
      <c r="BQ38" s="263">
        <v>8269877</v>
      </c>
      <c r="BR38" s="263">
        <v>8435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71714.506518990005</v>
      </c>
      <c r="I39" s="164"/>
      <c r="J39" s="157"/>
      <c r="K39" s="228"/>
      <c r="L39" s="228"/>
      <c r="M39" s="228"/>
      <c r="O39" s="241" t="s">
        <v>45</v>
      </c>
      <c r="P39" s="241">
        <v>70704.462902800005</v>
      </c>
      <c r="Q39" s="239"/>
      <c r="R39" s="157"/>
      <c r="S39" s="253" t="s">
        <v>571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609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609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609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609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609</v>
      </c>
      <c r="BC39" s="253">
        <v>0</v>
      </c>
      <c r="BD39" s="253">
        <v>0</v>
      </c>
      <c r="BE39" s="253">
        <v>0</v>
      </c>
      <c r="BF39" s="253">
        <v>88</v>
      </c>
      <c r="BG39" s="253">
        <v>1</v>
      </c>
      <c r="BH39" s="247" t="s">
        <v>609</v>
      </c>
      <c r="BI39" s="253">
        <v>0</v>
      </c>
      <c r="BJ39" s="253">
        <v>0</v>
      </c>
      <c r="BK39" s="253">
        <v>0</v>
      </c>
      <c r="BL39" s="253">
        <v>4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55745.23154131</v>
      </c>
      <c r="I40" s="164"/>
      <c r="J40" s="157"/>
      <c r="K40" s="228"/>
      <c r="L40" s="228"/>
      <c r="M40" s="228"/>
      <c r="O40" s="241" t="s">
        <v>47</v>
      </c>
      <c r="P40" s="241">
        <v>55180.710791359998</v>
      </c>
      <c r="Q40" s="239"/>
      <c r="R40" s="157"/>
      <c r="S40" s="253" t="s">
        <v>451</v>
      </c>
      <c r="T40" s="258">
        <v>2107375848.3699999</v>
      </c>
      <c r="U40" s="258">
        <v>78537</v>
      </c>
      <c r="V40" s="258">
        <v>275</v>
      </c>
      <c r="W40" s="258">
        <v>152359</v>
      </c>
      <c r="X40" s="258">
        <v>1</v>
      </c>
      <c r="Y40" s="245"/>
      <c r="Z40" s="253" t="s">
        <v>572</v>
      </c>
      <c r="AA40" s="253">
        <v>6182300685.6000004</v>
      </c>
      <c r="AB40" s="253">
        <v>28402</v>
      </c>
      <c r="AC40" s="253">
        <v>3294</v>
      </c>
      <c r="AD40" s="253">
        <v>282551</v>
      </c>
      <c r="AE40" s="253">
        <v>1</v>
      </c>
      <c r="AF40" s="253"/>
      <c r="AG40" s="253" t="s">
        <v>572</v>
      </c>
      <c r="AH40" s="253">
        <v>388103454.36000001</v>
      </c>
      <c r="AI40" s="253">
        <v>1764</v>
      </c>
      <c r="AJ40" s="253">
        <v>203</v>
      </c>
      <c r="AK40" s="253">
        <v>13486</v>
      </c>
      <c r="AL40" s="253">
        <v>1</v>
      </c>
      <c r="AM40" s="245"/>
      <c r="AN40" s="253" t="s">
        <v>572</v>
      </c>
      <c r="AO40" s="253">
        <v>3085444897.1300001</v>
      </c>
      <c r="AP40" s="253">
        <v>14890</v>
      </c>
      <c r="AQ40" s="253">
        <v>2775</v>
      </c>
      <c r="AR40" s="253">
        <v>230550</v>
      </c>
      <c r="AS40" s="253">
        <v>1</v>
      </c>
      <c r="AT40" s="245"/>
      <c r="AU40" s="253" t="s">
        <v>572</v>
      </c>
      <c r="AV40" s="253">
        <v>163333087.69999999</v>
      </c>
      <c r="AW40" s="253">
        <v>780</v>
      </c>
      <c r="AX40" s="253">
        <v>67</v>
      </c>
      <c r="AY40" s="253">
        <v>10528</v>
      </c>
      <c r="AZ40" s="253">
        <v>1</v>
      </c>
      <c r="BA40" s="245"/>
      <c r="BB40" s="253" t="s">
        <v>572</v>
      </c>
      <c r="BC40" s="253">
        <v>5425711457.4899998</v>
      </c>
      <c r="BD40" s="253">
        <v>26463</v>
      </c>
      <c r="BE40" s="253">
        <v>4320</v>
      </c>
      <c r="BF40" s="253">
        <v>220126</v>
      </c>
      <c r="BG40" s="253">
        <v>1</v>
      </c>
      <c r="BH40" s="247" t="s">
        <v>572</v>
      </c>
      <c r="BI40" s="253">
        <v>146456347.34</v>
      </c>
      <c r="BJ40" s="253">
        <v>722</v>
      </c>
      <c r="BK40" s="253">
        <v>82</v>
      </c>
      <c r="BL40" s="253">
        <v>9602</v>
      </c>
      <c r="BM40" s="253">
        <v>1</v>
      </c>
      <c r="BN40" s="253"/>
      <c r="BO40" s="256" t="s">
        <v>474</v>
      </c>
      <c r="BP40" s="264" t="s">
        <v>539</v>
      </c>
      <c r="BQ40" s="264" t="s">
        <v>567</v>
      </c>
      <c r="BR40" s="264" t="s">
        <v>568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58668.477890039998</v>
      </c>
      <c r="I41" s="164"/>
      <c r="J41" s="157"/>
      <c r="K41" s="228"/>
      <c r="L41" s="228"/>
      <c r="M41" s="228"/>
      <c r="O41" s="241" t="s">
        <v>43</v>
      </c>
      <c r="P41" s="241">
        <v>57432.461255210001</v>
      </c>
      <c r="Q41" s="239"/>
      <c r="R41" s="157"/>
      <c r="S41" s="253" t="s">
        <v>448</v>
      </c>
      <c r="T41" s="258">
        <v>9795.5</v>
      </c>
      <c r="U41" s="258">
        <v>230114</v>
      </c>
      <c r="V41" s="258">
        <v>3567</v>
      </c>
      <c r="W41" s="258">
        <v>597447</v>
      </c>
      <c r="X41" s="258">
        <v>1</v>
      </c>
      <c r="Y41" s="245"/>
      <c r="Z41" s="253" t="s">
        <v>573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573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573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573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574</v>
      </c>
      <c r="BC41" s="253">
        <v>94159940.230000004</v>
      </c>
      <c r="BD41" s="253">
        <v>1372</v>
      </c>
      <c r="BE41" s="253">
        <v>34</v>
      </c>
      <c r="BF41" s="253">
        <v>4234</v>
      </c>
      <c r="BG41" s="253">
        <v>1</v>
      </c>
      <c r="BH41" s="247" t="s">
        <v>574</v>
      </c>
      <c r="BI41" s="253">
        <v>0</v>
      </c>
      <c r="BJ41" s="253">
        <v>0</v>
      </c>
      <c r="BK41" s="253">
        <v>0</v>
      </c>
      <c r="BL41" s="253">
        <v>329</v>
      </c>
      <c r="BM41" s="253">
        <v>1</v>
      </c>
      <c r="BN41" s="253"/>
      <c r="BO41" s="245"/>
      <c r="BP41" s="263">
        <v>15285627160.25</v>
      </c>
      <c r="BQ41" s="263">
        <v>160919</v>
      </c>
      <c r="BR41" s="263">
        <v>480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6972.5917723000002</v>
      </c>
      <c r="I42" s="164"/>
      <c r="J42" s="157"/>
      <c r="K42" s="228"/>
      <c r="L42" s="228"/>
      <c r="M42" s="228"/>
      <c r="O42" s="241" t="s">
        <v>49</v>
      </c>
      <c r="P42" s="241">
        <v>7083.5771431599997</v>
      </c>
      <c r="Q42" s="239"/>
      <c r="R42" s="157"/>
      <c r="S42" s="253" t="s">
        <v>182</v>
      </c>
      <c r="T42" s="258">
        <v>99987694.959999993</v>
      </c>
      <c r="U42" s="258">
        <v>1301501</v>
      </c>
      <c r="V42" s="258">
        <v>312</v>
      </c>
      <c r="W42" s="258">
        <v>1463781</v>
      </c>
      <c r="X42" s="258">
        <v>1</v>
      </c>
      <c r="Y42" s="245"/>
      <c r="Z42" s="253" t="s">
        <v>574</v>
      </c>
      <c r="AA42" s="253">
        <v>108382572.58</v>
      </c>
      <c r="AB42" s="253">
        <v>1039</v>
      </c>
      <c r="AC42" s="253">
        <v>43</v>
      </c>
      <c r="AD42" s="253">
        <v>52863</v>
      </c>
      <c r="AE42" s="253">
        <v>1</v>
      </c>
      <c r="AF42" s="253"/>
      <c r="AG42" s="253" t="s">
        <v>574</v>
      </c>
      <c r="AH42" s="253">
        <v>0</v>
      </c>
      <c r="AI42" s="253">
        <v>0</v>
      </c>
      <c r="AJ42" s="253">
        <v>0</v>
      </c>
      <c r="AK42" s="253">
        <v>2512</v>
      </c>
      <c r="AL42" s="253">
        <v>1</v>
      </c>
      <c r="AM42" s="245"/>
      <c r="AN42" s="253" t="s">
        <v>574</v>
      </c>
      <c r="AO42" s="253">
        <v>109166856.34999999</v>
      </c>
      <c r="AP42" s="253">
        <v>1083</v>
      </c>
      <c r="AQ42" s="253">
        <v>92</v>
      </c>
      <c r="AR42" s="253">
        <v>52468</v>
      </c>
      <c r="AS42" s="253">
        <v>1</v>
      </c>
      <c r="AT42" s="245"/>
      <c r="AU42" s="253" t="s">
        <v>574</v>
      </c>
      <c r="AV42" s="253">
        <v>0</v>
      </c>
      <c r="AW42" s="253">
        <v>0</v>
      </c>
      <c r="AX42" s="253">
        <v>0</v>
      </c>
      <c r="AY42" s="253">
        <v>2149</v>
      </c>
      <c r="AZ42" s="253">
        <v>1</v>
      </c>
      <c r="BA42" s="245"/>
      <c r="BB42" s="253" t="s">
        <v>575</v>
      </c>
      <c r="BC42" s="253">
        <v>2718050</v>
      </c>
      <c r="BD42" s="253">
        <v>52</v>
      </c>
      <c r="BE42" s="253">
        <v>7</v>
      </c>
      <c r="BF42" s="253">
        <v>889</v>
      </c>
      <c r="BG42" s="253">
        <v>1</v>
      </c>
      <c r="BH42" s="247" t="s">
        <v>575</v>
      </c>
      <c r="BI42" s="253">
        <v>0</v>
      </c>
      <c r="BJ42" s="253">
        <v>0</v>
      </c>
      <c r="BK42" s="253">
        <v>0</v>
      </c>
      <c r="BL42" s="253">
        <v>36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58575.867220209999</v>
      </c>
      <c r="I43" s="164"/>
      <c r="J43" s="157"/>
      <c r="K43" s="228"/>
      <c r="L43" s="228"/>
      <c r="M43" s="228"/>
      <c r="O43" s="241" t="s">
        <v>548</v>
      </c>
      <c r="P43" s="241">
        <v>57256.018973370003</v>
      </c>
      <c r="Q43" s="239"/>
      <c r="S43" s="245" t="s">
        <v>446</v>
      </c>
      <c r="T43" s="245">
        <v>271892357721.84552</v>
      </c>
      <c r="U43" s="245">
        <v>741363</v>
      </c>
      <c r="V43" s="245">
        <v>236840</v>
      </c>
      <c r="W43" s="245">
        <v>559031</v>
      </c>
      <c r="X43" s="245">
        <v>1</v>
      </c>
      <c r="Y43" s="245"/>
      <c r="Z43" s="253" t="s">
        <v>575</v>
      </c>
      <c r="AA43" s="253">
        <v>1588521</v>
      </c>
      <c r="AB43" s="253">
        <v>22</v>
      </c>
      <c r="AC43" s="253">
        <v>1</v>
      </c>
      <c r="AD43" s="253">
        <v>462</v>
      </c>
      <c r="AE43" s="253">
        <v>1</v>
      </c>
      <c r="AF43" s="253"/>
      <c r="AG43" s="253" t="s">
        <v>575</v>
      </c>
      <c r="AH43" s="253">
        <v>0</v>
      </c>
      <c r="AI43" s="253">
        <v>0</v>
      </c>
      <c r="AJ43" s="253">
        <v>0</v>
      </c>
      <c r="AK43" s="253">
        <v>22</v>
      </c>
      <c r="AL43" s="253">
        <v>1</v>
      </c>
      <c r="AM43" s="245"/>
      <c r="AN43" s="253" t="s">
        <v>575</v>
      </c>
      <c r="AO43" s="253">
        <v>0</v>
      </c>
      <c r="AP43" s="253">
        <v>0</v>
      </c>
      <c r="AQ43" s="253">
        <v>0</v>
      </c>
      <c r="AR43" s="253">
        <v>0</v>
      </c>
      <c r="AS43" s="253">
        <v>1</v>
      </c>
      <c r="AT43" s="245"/>
      <c r="AU43" s="253" t="s">
        <v>575</v>
      </c>
      <c r="AV43" s="253">
        <v>0</v>
      </c>
      <c r="AW43" s="253">
        <v>0</v>
      </c>
      <c r="AX43" s="253">
        <v>0</v>
      </c>
      <c r="AY43" s="253">
        <v>0</v>
      </c>
      <c r="AZ43" s="253">
        <v>1</v>
      </c>
      <c r="BA43" s="245"/>
      <c r="BB43" s="253" t="s">
        <v>576</v>
      </c>
      <c r="BC43" s="253">
        <v>2416270</v>
      </c>
      <c r="BD43" s="253">
        <v>127</v>
      </c>
      <c r="BE43" s="253">
        <v>22</v>
      </c>
      <c r="BF43" s="253">
        <v>1039</v>
      </c>
      <c r="BG43" s="253">
        <v>1</v>
      </c>
      <c r="BH43" s="247" t="s">
        <v>576</v>
      </c>
      <c r="BI43" s="253">
        <v>0</v>
      </c>
      <c r="BJ43" s="253">
        <v>0</v>
      </c>
      <c r="BK43" s="253">
        <v>0</v>
      </c>
      <c r="BL43" s="253">
        <v>67</v>
      </c>
      <c r="BM43" s="253">
        <v>1</v>
      </c>
      <c r="BN43" s="253"/>
      <c r="BO43" s="252" t="s">
        <v>488</v>
      </c>
      <c r="BP43" s="264" t="s">
        <v>569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549</v>
      </c>
      <c r="H44" s="223">
        <v>57055.630382160001</v>
      </c>
      <c r="I44" s="164"/>
      <c r="J44" s="157"/>
      <c r="K44" s="228"/>
      <c r="L44" s="228"/>
      <c r="M44" s="228"/>
      <c r="O44" s="241" t="s">
        <v>549</v>
      </c>
      <c r="P44" s="241">
        <v>55833.992391899999</v>
      </c>
      <c r="Q44" s="239"/>
      <c r="S44" s="245" t="s">
        <v>449</v>
      </c>
      <c r="T44" s="245">
        <v>305171301.30419999</v>
      </c>
      <c r="U44" s="245">
        <v>424035</v>
      </c>
      <c r="V44" s="245">
        <v>72</v>
      </c>
      <c r="W44" s="245">
        <v>1831288</v>
      </c>
      <c r="X44" s="245">
        <v>1</v>
      </c>
      <c r="Y44" s="245"/>
      <c r="Z44" s="253" t="s">
        <v>576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576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576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576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577</v>
      </c>
      <c r="BC44" s="253">
        <v>3094387.5</v>
      </c>
      <c r="BD44" s="253">
        <v>59</v>
      </c>
      <c r="BE44" s="253">
        <v>10</v>
      </c>
      <c r="BF44" s="253">
        <v>397</v>
      </c>
      <c r="BG44" s="253">
        <v>1</v>
      </c>
      <c r="BH44" s="247" t="s">
        <v>577</v>
      </c>
      <c r="BI44" s="253">
        <v>0</v>
      </c>
      <c r="BJ44" s="253">
        <v>0</v>
      </c>
      <c r="BK44" s="253">
        <v>0</v>
      </c>
      <c r="BL44" s="253">
        <v>19</v>
      </c>
      <c r="BM44" s="253">
        <v>1</v>
      </c>
      <c r="BN44" s="253"/>
      <c r="BO44" s="247"/>
      <c r="BP44" s="263">
        <v>982329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3849.19627438</v>
      </c>
      <c r="I45" s="164"/>
      <c r="J45" s="157"/>
      <c r="K45" s="228"/>
      <c r="L45" s="228"/>
      <c r="M45" s="228"/>
      <c r="O45" s="241" t="s">
        <v>282</v>
      </c>
      <c r="P45" s="241">
        <v>4211.1209305100001</v>
      </c>
      <c r="Q45" s="239"/>
      <c r="S45" s="254" t="s">
        <v>450</v>
      </c>
      <c r="T45" s="257">
        <v>0</v>
      </c>
      <c r="U45" s="257">
        <v>403367</v>
      </c>
      <c r="V45" s="257">
        <v>70</v>
      </c>
      <c r="W45" s="257">
        <v>1762120</v>
      </c>
      <c r="X45" s="257">
        <v>1</v>
      </c>
      <c r="Y45" s="245"/>
      <c r="Z45" s="253" t="s">
        <v>577</v>
      </c>
      <c r="AA45" s="253">
        <v>7718662.5</v>
      </c>
      <c r="AB45" s="253">
        <v>189</v>
      </c>
      <c r="AC45" s="253">
        <v>31</v>
      </c>
      <c r="AD45" s="253">
        <v>2870</v>
      </c>
      <c r="AE45" s="253">
        <v>1</v>
      </c>
      <c r="AF45" s="253"/>
      <c r="AG45" s="253" t="s">
        <v>577</v>
      </c>
      <c r="AH45" s="253">
        <v>0</v>
      </c>
      <c r="AI45" s="253">
        <v>0</v>
      </c>
      <c r="AJ45" s="253">
        <v>0</v>
      </c>
      <c r="AK45" s="253">
        <v>121</v>
      </c>
      <c r="AL45" s="253">
        <v>1</v>
      </c>
      <c r="AM45" s="245"/>
      <c r="AN45" s="253" t="s">
        <v>577</v>
      </c>
      <c r="AO45" s="253">
        <v>2508450</v>
      </c>
      <c r="AP45" s="253">
        <v>60</v>
      </c>
      <c r="AQ45" s="253">
        <v>8</v>
      </c>
      <c r="AR45" s="253">
        <v>2085</v>
      </c>
      <c r="AS45" s="253">
        <v>1</v>
      </c>
      <c r="AT45" s="245"/>
      <c r="AU45" s="253" t="s">
        <v>577</v>
      </c>
      <c r="AV45" s="253">
        <v>0</v>
      </c>
      <c r="AW45" s="253">
        <v>0</v>
      </c>
      <c r="AX45" s="253">
        <v>0</v>
      </c>
      <c r="AY45" s="253">
        <v>90</v>
      </c>
      <c r="AZ45" s="253">
        <v>1</v>
      </c>
      <c r="BA45" s="245"/>
      <c r="BB45" s="253" t="s">
        <v>578</v>
      </c>
      <c r="BC45" s="253">
        <v>54868119.75</v>
      </c>
      <c r="BD45" s="253">
        <v>543</v>
      </c>
      <c r="BE45" s="253">
        <v>5</v>
      </c>
      <c r="BF45" s="253">
        <v>6921</v>
      </c>
      <c r="BG45" s="253">
        <v>1</v>
      </c>
      <c r="BH45" s="247" t="s">
        <v>578</v>
      </c>
      <c r="BI45" s="253">
        <v>0</v>
      </c>
      <c r="BJ45" s="253">
        <v>0</v>
      </c>
      <c r="BK45" s="253">
        <v>0</v>
      </c>
      <c r="BL45" s="253">
        <v>333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43699.470552469997</v>
      </c>
      <c r="I46" s="164"/>
      <c r="J46" s="157"/>
      <c r="K46" s="228"/>
      <c r="L46" s="228"/>
      <c r="M46" s="228"/>
      <c r="O46" s="241" t="s">
        <v>61</v>
      </c>
      <c r="P46" s="241">
        <v>41528.223238320003</v>
      </c>
      <c r="Q46" s="239"/>
      <c r="S46" s="253" t="s">
        <v>447</v>
      </c>
      <c r="T46" s="258">
        <v>4283436015.5</v>
      </c>
      <c r="U46" s="258">
        <v>299733</v>
      </c>
      <c r="V46" s="258">
        <v>3762</v>
      </c>
      <c r="W46" s="258">
        <v>812880</v>
      </c>
      <c r="X46" s="258">
        <v>1</v>
      </c>
      <c r="Y46" s="245"/>
      <c r="Z46" s="253" t="s">
        <v>578</v>
      </c>
      <c r="AA46" s="253">
        <v>18525000</v>
      </c>
      <c r="AB46" s="253">
        <v>190</v>
      </c>
      <c r="AC46" s="253">
        <v>2</v>
      </c>
      <c r="AD46" s="253">
        <v>2244</v>
      </c>
      <c r="AE46" s="253">
        <v>1</v>
      </c>
      <c r="AF46" s="253"/>
      <c r="AG46" s="253" t="s">
        <v>578</v>
      </c>
      <c r="AH46" s="253">
        <v>0</v>
      </c>
      <c r="AI46" s="253">
        <v>0</v>
      </c>
      <c r="AJ46" s="253">
        <v>0</v>
      </c>
      <c r="AK46" s="253">
        <v>102</v>
      </c>
      <c r="AL46" s="253">
        <v>1</v>
      </c>
      <c r="AM46" s="245"/>
      <c r="AN46" s="253" t="s">
        <v>578</v>
      </c>
      <c r="AO46" s="253">
        <v>20799629</v>
      </c>
      <c r="AP46" s="253">
        <v>223</v>
      </c>
      <c r="AQ46" s="253">
        <v>14</v>
      </c>
      <c r="AR46" s="253">
        <v>4203</v>
      </c>
      <c r="AS46" s="253">
        <v>1</v>
      </c>
      <c r="AT46" s="245"/>
      <c r="AU46" s="253" t="s">
        <v>578</v>
      </c>
      <c r="AV46" s="253">
        <v>656250</v>
      </c>
      <c r="AW46" s="253">
        <v>7</v>
      </c>
      <c r="AX46" s="253">
        <v>1</v>
      </c>
      <c r="AY46" s="253">
        <v>102</v>
      </c>
      <c r="AZ46" s="253">
        <v>1</v>
      </c>
      <c r="BA46" s="245"/>
      <c r="BB46" s="253" t="s">
        <v>579</v>
      </c>
      <c r="BC46" s="253">
        <v>0</v>
      </c>
      <c r="BD46" s="253">
        <v>0</v>
      </c>
      <c r="BE46" s="253">
        <v>0</v>
      </c>
      <c r="BF46" s="253">
        <v>0</v>
      </c>
      <c r="BG46" s="253">
        <v>1</v>
      </c>
      <c r="BH46" s="247" t="s">
        <v>579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569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75096.098622730002</v>
      </c>
      <c r="I47" s="164"/>
      <c r="J47" s="159"/>
      <c r="K47" s="228"/>
      <c r="L47" s="228"/>
      <c r="M47" s="228"/>
      <c r="O47" s="241" t="s">
        <v>65</v>
      </c>
      <c r="P47" s="241">
        <v>73638.482899929993</v>
      </c>
      <c r="Q47" s="239"/>
      <c r="S47" s="253"/>
      <c r="T47" s="258"/>
      <c r="U47" s="258"/>
      <c r="V47" s="258"/>
      <c r="W47" s="258"/>
      <c r="X47" s="258"/>
      <c r="Y47" s="245"/>
      <c r="Z47" s="253" t="s">
        <v>579</v>
      </c>
      <c r="AA47" s="253">
        <v>2598375</v>
      </c>
      <c r="AB47" s="253">
        <v>38</v>
      </c>
      <c r="AC47" s="253">
        <v>2</v>
      </c>
      <c r="AD47" s="253">
        <v>288</v>
      </c>
      <c r="AE47" s="253">
        <v>1</v>
      </c>
      <c r="AF47" s="253"/>
      <c r="AG47" s="253" t="s">
        <v>579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579</v>
      </c>
      <c r="AO47" s="253">
        <v>2552400</v>
      </c>
      <c r="AP47" s="253">
        <v>36</v>
      </c>
      <c r="AQ47" s="253">
        <v>6</v>
      </c>
      <c r="AR47" s="253">
        <v>216</v>
      </c>
      <c r="AS47" s="253">
        <v>1</v>
      </c>
      <c r="AT47" s="245"/>
      <c r="AU47" s="253" t="s">
        <v>579</v>
      </c>
      <c r="AV47" s="253">
        <v>0</v>
      </c>
      <c r="AW47" s="253">
        <v>0</v>
      </c>
      <c r="AX47" s="253">
        <v>0</v>
      </c>
      <c r="AY47" s="253">
        <v>36</v>
      </c>
      <c r="AZ47" s="253">
        <v>1</v>
      </c>
      <c r="BA47" s="245"/>
      <c r="BB47" s="253" t="s">
        <v>580</v>
      </c>
      <c r="BC47" s="253">
        <v>3409461493.9699998</v>
      </c>
      <c r="BD47" s="253">
        <v>17068</v>
      </c>
      <c r="BE47" s="253">
        <v>1126</v>
      </c>
      <c r="BF47" s="253">
        <v>412510</v>
      </c>
      <c r="BG47" s="253">
        <v>1</v>
      </c>
      <c r="BH47" s="247" t="s">
        <v>580</v>
      </c>
      <c r="BI47" s="253">
        <v>107472591.17</v>
      </c>
      <c r="BJ47" s="253">
        <v>562</v>
      </c>
      <c r="BK47" s="253">
        <v>65</v>
      </c>
      <c r="BL47" s="253">
        <v>18311</v>
      </c>
      <c r="BM47" s="253">
        <v>1</v>
      </c>
      <c r="BN47" s="253"/>
      <c r="BO47" s="247"/>
      <c r="BP47" s="263">
        <v>70896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17122.300272280001</v>
      </c>
      <c r="I48" s="164"/>
      <c r="J48" s="159"/>
      <c r="K48" s="228"/>
      <c r="L48" s="228"/>
      <c r="M48" s="228"/>
      <c r="O48" s="241" t="s">
        <v>67</v>
      </c>
      <c r="P48" s="241">
        <v>17171.949690400001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580</v>
      </c>
      <c r="AA48" s="253">
        <v>4009532068.1399999</v>
      </c>
      <c r="AB48" s="253">
        <v>18568</v>
      </c>
      <c r="AC48" s="253">
        <v>1012</v>
      </c>
      <c r="AD48" s="253">
        <v>368987</v>
      </c>
      <c r="AE48" s="253">
        <v>1</v>
      </c>
      <c r="AF48" s="253"/>
      <c r="AG48" s="253" t="s">
        <v>580</v>
      </c>
      <c r="AH48" s="253">
        <v>103276780.88</v>
      </c>
      <c r="AI48" s="253">
        <v>484</v>
      </c>
      <c r="AJ48" s="253">
        <v>32</v>
      </c>
      <c r="AK48" s="253">
        <v>16809</v>
      </c>
      <c r="AL48" s="253">
        <v>1</v>
      </c>
      <c r="AM48" s="245"/>
      <c r="AN48" s="253" t="s">
        <v>580</v>
      </c>
      <c r="AO48" s="253">
        <v>1637121847.51</v>
      </c>
      <c r="AP48" s="253">
        <v>8221</v>
      </c>
      <c r="AQ48" s="253">
        <v>690</v>
      </c>
      <c r="AR48" s="253">
        <v>333313</v>
      </c>
      <c r="AS48" s="253">
        <v>1</v>
      </c>
      <c r="AT48" s="245"/>
      <c r="AU48" s="253" t="s">
        <v>580</v>
      </c>
      <c r="AV48" s="253">
        <v>97753756.950000003</v>
      </c>
      <c r="AW48" s="253">
        <v>486</v>
      </c>
      <c r="AX48" s="253">
        <v>23</v>
      </c>
      <c r="AY48" s="253">
        <v>15698</v>
      </c>
      <c r="AZ48" s="253">
        <v>1</v>
      </c>
      <c r="BA48" s="245"/>
      <c r="BB48" s="253" t="s">
        <v>581</v>
      </c>
      <c r="BC48" s="253">
        <v>102286132.75</v>
      </c>
      <c r="BD48" s="253">
        <v>5581</v>
      </c>
      <c r="BE48" s="253">
        <v>213</v>
      </c>
      <c r="BF48" s="253">
        <v>43686</v>
      </c>
      <c r="BG48" s="253">
        <v>1</v>
      </c>
      <c r="BH48" s="247" t="s">
        <v>581</v>
      </c>
      <c r="BI48" s="253">
        <v>6735400.4000000004</v>
      </c>
      <c r="BJ48" s="253">
        <v>383</v>
      </c>
      <c r="BK48" s="253">
        <v>38</v>
      </c>
      <c r="BL48" s="253">
        <v>1728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79305.058973680003</v>
      </c>
      <c r="I49" s="164"/>
      <c r="J49" s="159"/>
      <c r="K49" s="228"/>
      <c r="L49" s="228"/>
      <c r="M49" s="228"/>
      <c r="O49" s="241" t="s">
        <v>69</v>
      </c>
      <c r="P49" s="241">
        <v>78438.378193080003</v>
      </c>
      <c r="Q49" s="239"/>
      <c r="S49" s="253"/>
      <c r="T49" s="258"/>
      <c r="U49" s="258"/>
      <c r="V49" s="258"/>
      <c r="W49" s="258"/>
      <c r="X49" s="258"/>
      <c r="Y49" s="245"/>
      <c r="Z49" s="253" t="s">
        <v>581</v>
      </c>
      <c r="AA49" s="253">
        <v>77569244.900000006</v>
      </c>
      <c r="AB49" s="253">
        <v>4181</v>
      </c>
      <c r="AC49" s="253">
        <v>226</v>
      </c>
      <c r="AD49" s="253">
        <v>48973</v>
      </c>
      <c r="AE49" s="253">
        <v>1</v>
      </c>
      <c r="AF49" s="253"/>
      <c r="AG49" s="253" t="s">
        <v>581</v>
      </c>
      <c r="AH49" s="253">
        <v>608893.5</v>
      </c>
      <c r="AI49" s="253">
        <v>34</v>
      </c>
      <c r="AJ49" s="253">
        <v>7</v>
      </c>
      <c r="AK49" s="253">
        <v>2650</v>
      </c>
      <c r="AL49" s="253">
        <v>1</v>
      </c>
      <c r="AM49" s="245"/>
      <c r="AN49" s="253" t="s">
        <v>581</v>
      </c>
      <c r="AO49" s="253">
        <v>92316236.700000003</v>
      </c>
      <c r="AP49" s="253">
        <v>5112</v>
      </c>
      <c r="AQ49" s="253">
        <v>283</v>
      </c>
      <c r="AR49" s="253">
        <v>53615</v>
      </c>
      <c r="AS49" s="253">
        <v>1</v>
      </c>
      <c r="AT49" s="245"/>
      <c r="AU49" s="253" t="s">
        <v>581</v>
      </c>
      <c r="AV49" s="253">
        <v>6147112.7000000002</v>
      </c>
      <c r="AW49" s="253">
        <v>328</v>
      </c>
      <c r="AX49" s="253">
        <v>7</v>
      </c>
      <c r="AY49" s="253">
        <v>2364</v>
      </c>
      <c r="AZ49" s="253">
        <v>1</v>
      </c>
      <c r="BA49" s="245"/>
      <c r="BB49" s="253" t="s">
        <v>582</v>
      </c>
      <c r="BC49" s="253">
        <v>0</v>
      </c>
      <c r="BD49" s="253">
        <v>0</v>
      </c>
      <c r="BE49" s="253">
        <v>0</v>
      </c>
      <c r="BF49" s="253">
        <v>0</v>
      </c>
      <c r="BG49" s="253">
        <v>1</v>
      </c>
      <c r="BH49" s="247" t="s">
        <v>582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539</v>
      </c>
      <c r="BQ49" s="264" t="s">
        <v>567</v>
      </c>
      <c r="BR49" s="264" t="s">
        <v>568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973.14170803000002</v>
      </c>
      <c r="I50" s="164"/>
      <c r="J50" s="159"/>
      <c r="K50" s="228"/>
      <c r="L50" s="228"/>
      <c r="M50" s="228"/>
      <c r="O50" s="241" t="s">
        <v>115</v>
      </c>
      <c r="P50" s="241">
        <v>1003.55771925</v>
      </c>
      <c r="Q50" s="239"/>
      <c r="R50" s="153" t="s">
        <v>455</v>
      </c>
      <c r="S50" s="253" t="s">
        <v>565</v>
      </c>
      <c r="T50" s="258" t="s">
        <v>566</v>
      </c>
      <c r="U50" s="258" t="s">
        <v>567</v>
      </c>
      <c r="V50" s="258" t="s">
        <v>568</v>
      </c>
      <c r="W50" s="258" t="s">
        <v>569</v>
      </c>
      <c r="X50" s="258" t="s">
        <v>570</v>
      </c>
      <c r="Y50" s="245"/>
      <c r="Z50" s="253" t="s">
        <v>582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582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582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582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583</v>
      </c>
      <c r="BC50" s="253">
        <v>191420</v>
      </c>
      <c r="BD50" s="253">
        <v>3</v>
      </c>
      <c r="BE50" s="253">
        <v>3</v>
      </c>
      <c r="BF50" s="253">
        <v>21086</v>
      </c>
      <c r="BG50" s="253">
        <v>1</v>
      </c>
      <c r="BH50" s="247" t="s">
        <v>583</v>
      </c>
      <c r="BI50" s="253">
        <v>0</v>
      </c>
      <c r="BJ50" s="253">
        <v>0</v>
      </c>
      <c r="BK50" s="253">
        <v>0</v>
      </c>
      <c r="BL50" s="253">
        <v>957</v>
      </c>
      <c r="BM50" s="253">
        <v>1</v>
      </c>
      <c r="BN50" s="253"/>
      <c r="BO50" s="247"/>
      <c r="BP50" s="263">
        <v>57133958095.800003</v>
      </c>
      <c r="BQ50" s="263">
        <v>3915412</v>
      </c>
      <c r="BR50" s="263">
        <v>5706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311.61690224</v>
      </c>
      <c r="I51" s="164"/>
      <c r="J51" s="157"/>
      <c r="K51" s="228"/>
      <c r="L51" s="228"/>
      <c r="M51" s="228"/>
      <c r="O51" s="241" t="s">
        <v>283</v>
      </c>
      <c r="P51" s="241">
        <v>306.77191505000002</v>
      </c>
      <c r="Q51" s="239"/>
      <c r="S51" s="253" t="s">
        <v>451</v>
      </c>
      <c r="T51" s="258">
        <v>2564390.25</v>
      </c>
      <c r="U51" s="258">
        <v>435</v>
      </c>
      <c r="V51" s="258">
        <v>1</v>
      </c>
      <c r="W51" s="258">
        <v>99514</v>
      </c>
      <c r="X51" s="258">
        <v>0</v>
      </c>
      <c r="Y51" s="245"/>
      <c r="Z51" s="253" t="s">
        <v>583</v>
      </c>
      <c r="AA51" s="253">
        <v>0</v>
      </c>
      <c r="AB51" s="253">
        <v>0</v>
      </c>
      <c r="AC51" s="253">
        <v>0</v>
      </c>
      <c r="AD51" s="253">
        <v>44</v>
      </c>
      <c r="AE51" s="253">
        <v>1</v>
      </c>
      <c r="AF51" s="253"/>
      <c r="AG51" s="253" t="s">
        <v>583</v>
      </c>
      <c r="AH51" s="253">
        <v>0</v>
      </c>
      <c r="AI51" s="253">
        <v>0</v>
      </c>
      <c r="AJ51" s="253">
        <v>0</v>
      </c>
      <c r="AK51" s="253">
        <v>2</v>
      </c>
      <c r="AL51" s="253">
        <v>1</v>
      </c>
      <c r="AM51" s="245"/>
      <c r="AN51" s="253" t="s">
        <v>583</v>
      </c>
      <c r="AO51" s="253">
        <v>5610499.9800000004</v>
      </c>
      <c r="AP51" s="253">
        <v>60</v>
      </c>
      <c r="AQ51" s="253">
        <v>8</v>
      </c>
      <c r="AR51" s="253">
        <v>254</v>
      </c>
      <c r="AS51" s="253">
        <v>1</v>
      </c>
      <c r="AT51" s="245"/>
      <c r="AU51" s="253" t="s">
        <v>583</v>
      </c>
      <c r="AV51" s="253">
        <v>0</v>
      </c>
      <c r="AW51" s="253">
        <v>0</v>
      </c>
      <c r="AX51" s="253">
        <v>0</v>
      </c>
      <c r="AY51" s="253">
        <v>2</v>
      </c>
      <c r="AZ51" s="253">
        <v>1</v>
      </c>
      <c r="BA51" s="245"/>
      <c r="BB51" s="253" t="s">
        <v>584</v>
      </c>
      <c r="BC51" s="253">
        <v>44825994.799999997</v>
      </c>
      <c r="BD51" s="253">
        <v>1620</v>
      </c>
      <c r="BE51" s="253">
        <v>4</v>
      </c>
      <c r="BF51" s="253">
        <v>34423</v>
      </c>
      <c r="BG51" s="253">
        <v>1</v>
      </c>
      <c r="BH51" s="247" t="s">
        <v>584</v>
      </c>
      <c r="BI51" s="253">
        <v>0</v>
      </c>
      <c r="BJ51" s="253">
        <v>0</v>
      </c>
      <c r="BK51" s="253">
        <v>0</v>
      </c>
      <c r="BL51" s="253">
        <v>1638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20.665211679999999</v>
      </c>
      <c r="I52" s="164"/>
      <c r="J52" s="157"/>
      <c r="K52" s="228"/>
      <c r="L52" s="228"/>
      <c r="M52" s="228"/>
      <c r="O52" s="241" t="s">
        <v>284</v>
      </c>
      <c r="P52" s="241">
        <v>20.22442616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584</v>
      </c>
      <c r="AA52" s="253">
        <v>18822673.5</v>
      </c>
      <c r="AB52" s="253">
        <v>452</v>
      </c>
      <c r="AC52" s="253">
        <v>5</v>
      </c>
      <c r="AD52" s="253">
        <v>28244</v>
      </c>
      <c r="AE52" s="253">
        <v>1</v>
      </c>
      <c r="AF52" s="253"/>
      <c r="AG52" s="253" t="s">
        <v>584</v>
      </c>
      <c r="AH52" s="253">
        <v>0</v>
      </c>
      <c r="AI52" s="253">
        <v>0</v>
      </c>
      <c r="AJ52" s="253">
        <v>0</v>
      </c>
      <c r="AK52" s="253">
        <v>1663</v>
      </c>
      <c r="AL52" s="253">
        <v>1</v>
      </c>
      <c r="AM52" s="245"/>
      <c r="AN52" s="253" t="s">
        <v>584</v>
      </c>
      <c r="AO52" s="253">
        <v>120634689.3</v>
      </c>
      <c r="AP52" s="253">
        <v>3295</v>
      </c>
      <c r="AQ52" s="253">
        <v>6</v>
      </c>
      <c r="AR52" s="253">
        <v>36747</v>
      </c>
      <c r="AS52" s="253">
        <v>1</v>
      </c>
      <c r="AT52" s="245"/>
      <c r="AU52" s="253" t="s">
        <v>584</v>
      </c>
      <c r="AV52" s="253">
        <v>0</v>
      </c>
      <c r="AW52" s="253">
        <v>0</v>
      </c>
      <c r="AX52" s="253">
        <v>0</v>
      </c>
      <c r="AY52" s="253">
        <v>1213</v>
      </c>
      <c r="AZ52" s="253">
        <v>1</v>
      </c>
      <c r="BA52" s="245"/>
      <c r="BB52" s="253" t="s">
        <v>613</v>
      </c>
      <c r="BC52" s="253">
        <v>0</v>
      </c>
      <c r="BD52" s="253">
        <v>0</v>
      </c>
      <c r="BE52" s="253">
        <v>0</v>
      </c>
      <c r="BF52" s="253">
        <v>0</v>
      </c>
      <c r="BG52" s="253">
        <v>1</v>
      </c>
      <c r="BH52" s="247" t="s">
        <v>613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539</v>
      </c>
      <c r="BQ52" s="264" t="s">
        <v>567</v>
      </c>
      <c r="BR52" s="264" t="s">
        <v>568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404.59652682000001</v>
      </c>
      <c r="I53" s="164"/>
      <c r="J53" s="157"/>
      <c r="K53" s="228"/>
      <c r="L53" s="228"/>
      <c r="M53" s="228"/>
      <c r="O53" s="241" t="s">
        <v>285</v>
      </c>
      <c r="P53" s="241">
        <v>358.04251913000002</v>
      </c>
      <c r="Q53" s="239"/>
      <c r="S53" s="253" t="s">
        <v>446</v>
      </c>
      <c r="T53" s="258">
        <v>124228997.34999999</v>
      </c>
      <c r="U53" s="258">
        <v>10644</v>
      </c>
      <c r="V53" s="258">
        <v>25</v>
      </c>
      <c r="W53" s="258">
        <v>882849</v>
      </c>
      <c r="X53" s="258">
        <v>0</v>
      </c>
      <c r="Y53" s="245"/>
      <c r="Z53" s="253" t="s">
        <v>585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585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585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585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585</v>
      </c>
      <c r="BC53" s="253">
        <v>1233960</v>
      </c>
      <c r="BD53" s="253">
        <v>20</v>
      </c>
      <c r="BE53" s="253">
        <v>2</v>
      </c>
      <c r="BF53" s="253">
        <v>90</v>
      </c>
      <c r="BG53" s="253">
        <v>1</v>
      </c>
      <c r="BH53" s="247" t="s">
        <v>585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81991289376.800003</v>
      </c>
      <c r="BQ53" s="263">
        <v>5145583</v>
      </c>
      <c r="BR53" s="263">
        <v>504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291.27862873999999</v>
      </c>
      <c r="I54" s="164"/>
      <c r="J54" s="157"/>
      <c r="K54" s="228"/>
      <c r="L54" s="228"/>
      <c r="M54" s="228"/>
      <c r="O54" s="241" t="s">
        <v>286</v>
      </c>
      <c r="P54" s="241">
        <v>269.95977583000001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586</v>
      </c>
      <c r="AA54" s="253">
        <v>348687651.05599999</v>
      </c>
      <c r="AB54" s="253">
        <v>2007</v>
      </c>
      <c r="AC54" s="253">
        <v>44</v>
      </c>
      <c r="AD54" s="253">
        <v>17221</v>
      </c>
      <c r="AE54" s="253">
        <v>1</v>
      </c>
      <c r="AF54" s="253"/>
      <c r="AG54" s="253" t="s">
        <v>586</v>
      </c>
      <c r="AH54" s="253">
        <v>729230</v>
      </c>
      <c r="AI54" s="253">
        <v>4</v>
      </c>
      <c r="AJ54" s="253">
        <v>2</v>
      </c>
      <c r="AK54" s="253">
        <v>1204</v>
      </c>
      <c r="AL54" s="253">
        <v>1</v>
      </c>
      <c r="AM54" s="245"/>
      <c r="AN54" s="253" t="s">
        <v>586</v>
      </c>
      <c r="AO54" s="253">
        <v>86318350.219999999</v>
      </c>
      <c r="AP54" s="253">
        <v>522</v>
      </c>
      <c r="AQ54" s="253">
        <v>6</v>
      </c>
      <c r="AR54" s="253">
        <v>23876</v>
      </c>
      <c r="AS54" s="253">
        <v>1</v>
      </c>
      <c r="AT54" s="245"/>
      <c r="AU54" s="253" t="s">
        <v>586</v>
      </c>
      <c r="AV54" s="253">
        <v>0</v>
      </c>
      <c r="AW54" s="253">
        <v>0</v>
      </c>
      <c r="AX54" s="253">
        <v>0</v>
      </c>
      <c r="AY54" s="253">
        <v>814</v>
      </c>
      <c r="AZ54" s="253">
        <v>1</v>
      </c>
      <c r="BA54" s="245"/>
      <c r="BB54" s="253" t="s">
        <v>586</v>
      </c>
      <c r="BC54" s="253">
        <v>377047786.69499999</v>
      </c>
      <c r="BD54" s="253">
        <v>2174</v>
      </c>
      <c r="BE54" s="253">
        <v>25</v>
      </c>
      <c r="BF54" s="253">
        <v>24176</v>
      </c>
      <c r="BG54" s="253">
        <v>1</v>
      </c>
      <c r="BH54" s="247" t="s">
        <v>586</v>
      </c>
      <c r="BI54" s="253">
        <v>0</v>
      </c>
      <c r="BJ54" s="253">
        <v>0</v>
      </c>
      <c r="BK54" s="253">
        <v>0</v>
      </c>
      <c r="BL54" s="253">
        <v>1310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223.61432277</v>
      </c>
      <c r="I55" s="164"/>
      <c r="J55" s="157"/>
      <c r="K55" s="228"/>
      <c r="L55" s="228"/>
      <c r="M55" s="228"/>
      <c r="O55" s="241" t="s">
        <v>287</v>
      </c>
      <c r="P55" s="241">
        <v>200.9991876</v>
      </c>
      <c r="Q55" s="239"/>
      <c r="S55" s="253" t="s">
        <v>447</v>
      </c>
      <c r="T55" s="258">
        <v>52054881.170000002</v>
      </c>
      <c r="U55" s="258">
        <v>24650</v>
      </c>
      <c r="V55" s="258">
        <v>39</v>
      </c>
      <c r="W55" s="258">
        <v>1252151</v>
      </c>
      <c r="X55" s="258">
        <v>0</v>
      </c>
      <c r="Y55" s="245"/>
      <c r="Z55" s="253" t="s">
        <v>587</v>
      </c>
      <c r="AA55" s="253">
        <v>13346989.99</v>
      </c>
      <c r="AB55" s="253">
        <v>111</v>
      </c>
      <c r="AC55" s="253">
        <v>37</v>
      </c>
      <c r="AD55" s="253">
        <v>1096</v>
      </c>
      <c r="AE55" s="253">
        <v>1</v>
      </c>
      <c r="AF55" s="253"/>
      <c r="AG55" s="253" t="s">
        <v>587</v>
      </c>
      <c r="AH55" s="253">
        <v>0</v>
      </c>
      <c r="AI55" s="253">
        <v>0</v>
      </c>
      <c r="AJ55" s="253">
        <v>0</v>
      </c>
      <c r="AK55" s="253">
        <v>40</v>
      </c>
      <c r="AL55" s="253">
        <v>1</v>
      </c>
      <c r="AM55" s="245"/>
      <c r="AN55" s="253" t="s">
        <v>587</v>
      </c>
      <c r="AO55" s="253">
        <v>6728119.96</v>
      </c>
      <c r="AP55" s="253">
        <v>54</v>
      </c>
      <c r="AQ55" s="253">
        <v>10</v>
      </c>
      <c r="AR55" s="253">
        <v>1006</v>
      </c>
      <c r="AS55" s="253">
        <v>1</v>
      </c>
      <c r="AT55" s="245"/>
      <c r="AU55" s="253" t="s">
        <v>587</v>
      </c>
      <c r="AV55" s="253">
        <v>0</v>
      </c>
      <c r="AW55" s="253">
        <v>0</v>
      </c>
      <c r="AX55" s="253">
        <v>0</v>
      </c>
      <c r="AY55" s="253">
        <v>58</v>
      </c>
      <c r="AZ55" s="253">
        <v>1</v>
      </c>
      <c r="BA55" s="245"/>
      <c r="BB55" s="253" t="s">
        <v>587</v>
      </c>
      <c r="BC55" s="253">
        <v>31828710.039999999</v>
      </c>
      <c r="BD55" s="253">
        <v>245</v>
      </c>
      <c r="BE55" s="253">
        <v>40</v>
      </c>
      <c r="BF55" s="253">
        <v>958</v>
      </c>
      <c r="BG55" s="253">
        <v>1</v>
      </c>
      <c r="BH55" s="247" t="s">
        <v>587</v>
      </c>
      <c r="BI55" s="253">
        <v>1321000</v>
      </c>
      <c r="BJ55" s="253">
        <v>10</v>
      </c>
      <c r="BK55" s="253">
        <v>1</v>
      </c>
      <c r="BL55" s="253">
        <v>67</v>
      </c>
      <c r="BM55" s="253">
        <v>1</v>
      </c>
      <c r="BN55" s="253"/>
      <c r="BO55" s="256" t="s">
        <v>493</v>
      </c>
      <c r="BP55" s="264" t="s">
        <v>616</v>
      </c>
      <c r="BQ55" s="264" t="s">
        <v>569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531.88997572999995</v>
      </c>
      <c r="I56" s="164"/>
      <c r="J56" s="157"/>
      <c r="K56" s="228"/>
      <c r="L56" s="228"/>
      <c r="M56" s="228"/>
      <c r="O56" s="241" t="s">
        <v>288</v>
      </c>
      <c r="P56" s="241">
        <v>465.15919366999998</v>
      </c>
      <c r="Q56" s="239"/>
      <c r="S56" s="253" t="s">
        <v>571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588</v>
      </c>
      <c r="AA56" s="253">
        <v>108020540.05</v>
      </c>
      <c r="AB56" s="253">
        <v>713</v>
      </c>
      <c r="AC56" s="253">
        <v>22</v>
      </c>
      <c r="AD56" s="253">
        <v>1748</v>
      </c>
      <c r="AE56" s="253">
        <v>1</v>
      </c>
      <c r="AF56" s="253"/>
      <c r="AG56" s="253" t="s">
        <v>588</v>
      </c>
      <c r="AH56" s="253">
        <v>0</v>
      </c>
      <c r="AI56" s="253">
        <v>0</v>
      </c>
      <c r="AJ56" s="253">
        <v>0</v>
      </c>
      <c r="AK56" s="253">
        <v>50</v>
      </c>
      <c r="AL56" s="253">
        <v>1</v>
      </c>
      <c r="AM56" s="245"/>
      <c r="AN56" s="253" t="s">
        <v>588</v>
      </c>
      <c r="AO56" s="253">
        <v>22637624.954999998</v>
      </c>
      <c r="AP56" s="253">
        <v>168</v>
      </c>
      <c r="AQ56" s="253">
        <v>10</v>
      </c>
      <c r="AR56" s="253">
        <v>845</v>
      </c>
      <c r="AS56" s="253">
        <v>1</v>
      </c>
      <c r="AT56" s="245"/>
      <c r="AU56" s="253" t="s">
        <v>588</v>
      </c>
      <c r="AV56" s="253">
        <v>4229000</v>
      </c>
      <c r="AW56" s="253">
        <v>30</v>
      </c>
      <c r="AX56" s="253">
        <v>2</v>
      </c>
      <c r="AY56" s="253">
        <v>123</v>
      </c>
      <c r="AZ56" s="253">
        <v>1</v>
      </c>
      <c r="BA56" s="245"/>
      <c r="BB56" s="253" t="s">
        <v>588</v>
      </c>
      <c r="BC56" s="253">
        <v>38178480</v>
      </c>
      <c r="BD56" s="253">
        <v>339</v>
      </c>
      <c r="BE56" s="253">
        <v>22</v>
      </c>
      <c r="BF56" s="253">
        <v>2411</v>
      </c>
      <c r="BG56" s="253">
        <v>1</v>
      </c>
      <c r="BH56" s="247" t="s">
        <v>588</v>
      </c>
      <c r="BI56" s="253">
        <v>1462000</v>
      </c>
      <c r="BJ56" s="253">
        <v>14</v>
      </c>
      <c r="BK56" s="253">
        <v>2</v>
      </c>
      <c r="BL56" s="253">
        <v>134</v>
      </c>
      <c r="BM56" s="253">
        <v>1</v>
      </c>
      <c r="BN56" s="253"/>
      <c r="BO56" s="247"/>
      <c r="BP56" s="263" t="s">
        <v>617</v>
      </c>
      <c r="BQ56" s="263">
        <v>5936737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8204.4013236200008</v>
      </c>
      <c r="I57" s="164"/>
      <c r="J57" s="157"/>
      <c r="K57" s="228"/>
      <c r="L57" s="228"/>
      <c r="M57" s="228"/>
      <c r="O57" s="241" t="s">
        <v>289</v>
      </c>
      <c r="P57" s="241">
        <v>8102.0580989600003</v>
      </c>
      <c r="Q57" s="239"/>
      <c r="S57" s="253" t="s">
        <v>451</v>
      </c>
      <c r="T57" s="258">
        <v>63669</v>
      </c>
      <c r="U57" s="258">
        <v>19</v>
      </c>
      <c r="V57" s="258">
        <v>1</v>
      </c>
      <c r="W57" s="258">
        <v>152359</v>
      </c>
      <c r="X57" s="258">
        <v>1</v>
      </c>
      <c r="Y57" s="245"/>
      <c r="Z57" s="253" t="s">
        <v>589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589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589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589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589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589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618</v>
      </c>
      <c r="BQ57" s="263">
        <v>1664596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837.02960532999998</v>
      </c>
      <c r="I58" s="164"/>
      <c r="J58" s="157"/>
      <c r="K58" s="228"/>
      <c r="L58" s="228"/>
      <c r="M58" s="228"/>
      <c r="O58" s="241" t="s">
        <v>290</v>
      </c>
      <c r="P58" s="241">
        <v>824.93302000000006</v>
      </c>
      <c r="Q58" s="239"/>
      <c r="S58" s="245" t="s">
        <v>448</v>
      </c>
      <c r="T58" s="245">
        <v>0</v>
      </c>
      <c r="U58" s="245">
        <v>9778</v>
      </c>
      <c r="V58" s="245">
        <v>144</v>
      </c>
      <c r="W58" s="245">
        <v>597447</v>
      </c>
      <c r="X58" s="245">
        <v>1</v>
      </c>
      <c r="Y58" s="245"/>
      <c r="Z58" s="253" t="s">
        <v>610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610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610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610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610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534.22295587999997</v>
      </c>
      <c r="I59" s="164"/>
      <c r="J59" s="157"/>
      <c r="K59" s="228"/>
      <c r="L59" s="228"/>
      <c r="M59" s="228"/>
      <c r="O59" s="241" t="s">
        <v>95</v>
      </c>
      <c r="P59" s="241">
        <v>523.13798164000002</v>
      </c>
      <c r="Q59" s="239"/>
      <c r="S59" s="245" t="s">
        <v>182</v>
      </c>
      <c r="T59" s="245">
        <v>21982662.27</v>
      </c>
      <c r="U59" s="245">
        <v>119987</v>
      </c>
      <c r="V59" s="245">
        <v>12</v>
      </c>
      <c r="W59" s="245">
        <v>1463781</v>
      </c>
      <c r="X59" s="245">
        <v>1</v>
      </c>
      <c r="Y59" s="245"/>
      <c r="Z59" s="253" t="s">
        <v>611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611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611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611</v>
      </c>
      <c r="BC59" s="253">
        <v>0</v>
      </c>
      <c r="BD59" s="253">
        <v>0</v>
      </c>
      <c r="BE59" s="253">
        <v>0</v>
      </c>
      <c r="BF59" s="253">
        <v>0</v>
      </c>
      <c r="BG59" s="253">
        <v>1</v>
      </c>
      <c r="BH59" s="247" t="s">
        <v>611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539</v>
      </c>
      <c r="BQ59" s="264" t="s">
        <v>567</v>
      </c>
      <c r="BR59" s="264" t="s">
        <v>568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434.16374809000001</v>
      </c>
      <c r="I60" s="164"/>
      <c r="J60" s="157"/>
      <c r="K60" s="228"/>
      <c r="L60" s="228"/>
      <c r="M60" s="228"/>
      <c r="O60" s="241" t="s">
        <v>97</v>
      </c>
      <c r="P60" s="241">
        <v>424.14257063999997</v>
      </c>
      <c r="Q60" s="239"/>
      <c r="S60" s="254" t="s">
        <v>446</v>
      </c>
      <c r="T60" s="257">
        <v>10638787986.1731</v>
      </c>
      <c r="U60" s="257">
        <v>27031</v>
      </c>
      <c r="V60" s="257">
        <v>9692</v>
      </c>
      <c r="W60" s="257">
        <v>559031</v>
      </c>
      <c r="X60" s="257">
        <v>1</v>
      </c>
      <c r="Y60" s="245"/>
      <c r="Z60" s="253" t="s">
        <v>590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590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590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590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590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590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367427672951.52893</v>
      </c>
      <c r="BQ60" s="263">
        <v>27622964</v>
      </c>
      <c r="BR60" s="263">
        <v>33206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82303.737942029999</v>
      </c>
      <c r="I61" s="164"/>
      <c r="J61" s="157"/>
      <c r="K61" s="228"/>
      <c r="L61" s="228"/>
      <c r="M61" s="228"/>
      <c r="O61" s="241" t="s">
        <v>293</v>
      </c>
      <c r="P61" s="241">
        <v>80852.126475790006</v>
      </c>
      <c r="Q61" s="239"/>
      <c r="R61" s="157"/>
      <c r="S61" s="253" t="s">
        <v>449</v>
      </c>
      <c r="T61" s="258">
        <v>35560509.634000003</v>
      </c>
      <c r="U61" s="258">
        <v>37645</v>
      </c>
      <c r="V61" s="258">
        <v>8</v>
      </c>
      <c r="W61" s="258">
        <v>1831288</v>
      </c>
      <c r="X61" s="258">
        <v>1</v>
      </c>
      <c r="Y61" s="245"/>
      <c r="Z61" s="253" t="s">
        <v>591</v>
      </c>
      <c r="AA61" s="253">
        <v>57303820.167999998</v>
      </c>
      <c r="AB61" s="253">
        <v>434</v>
      </c>
      <c r="AC61" s="253">
        <v>2</v>
      </c>
      <c r="AD61" s="253">
        <v>4774</v>
      </c>
      <c r="AE61" s="253">
        <v>1</v>
      </c>
      <c r="AF61" s="253"/>
      <c r="AG61" s="253" t="s">
        <v>591</v>
      </c>
      <c r="AH61" s="253">
        <v>0</v>
      </c>
      <c r="AI61" s="253">
        <v>0</v>
      </c>
      <c r="AJ61" s="253">
        <v>0</v>
      </c>
      <c r="AK61" s="253">
        <v>217</v>
      </c>
      <c r="AL61" s="253">
        <v>1</v>
      </c>
      <c r="AM61" s="245"/>
      <c r="AN61" s="253" t="s">
        <v>591</v>
      </c>
      <c r="AO61" s="253">
        <v>3641000</v>
      </c>
      <c r="AP61" s="253">
        <v>30</v>
      </c>
      <c r="AQ61" s="253">
        <v>3</v>
      </c>
      <c r="AR61" s="253">
        <v>5104</v>
      </c>
      <c r="AS61" s="253">
        <v>1</v>
      </c>
      <c r="AT61" s="245"/>
      <c r="AU61" s="253" t="s">
        <v>591</v>
      </c>
      <c r="AV61" s="253">
        <v>0</v>
      </c>
      <c r="AW61" s="253">
        <v>0</v>
      </c>
      <c r="AX61" s="253">
        <v>0</v>
      </c>
      <c r="AY61" s="253">
        <v>217</v>
      </c>
      <c r="AZ61" s="253">
        <v>1</v>
      </c>
      <c r="BA61" s="245"/>
      <c r="BB61" s="253" t="s">
        <v>591</v>
      </c>
      <c r="BC61" s="253">
        <v>65343030.18</v>
      </c>
      <c r="BD61" s="253">
        <v>530</v>
      </c>
      <c r="BE61" s="253">
        <v>3</v>
      </c>
      <c r="BF61" s="253">
        <v>5610</v>
      </c>
      <c r="BG61" s="253">
        <v>1</v>
      </c>
      <c r="BH61" s="247" t="s">
        <v>591</v>
      </c>
      <c r="BI61" s="253">
        <v>0</v>
      </c>
      <c r="BJ61" s="253">
        <v>0</v>
      </c>
      <c r="BK61" s="253">
        <v>0</v>
      </c>
      <c r="BL61" s="253">
        <v>255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24159.824361210001</v>
      </c>
      <c r="I62" s="164"/>
      <c r="J62" s="157"/>
      <c r="K62" s="228"/>
      <c r="L62" s="228"/>
      <c r="M62" s="228"/>
      <c r="O62" s="241" t="s">
        <v>99</v>
      </c>
      <c r="P62" s="241">
        <v>23001.368609730001</v>
      </c>
      <c r="Q62" s="239"/>
      <c r="R62" s="157"/>
      <c r="S62" s="253" t="s">
        <v>450</v>
      </c>
      <c r="T62" s="258">
        <v>0</v>
      </c>
      <c r="U62" s="258">
        <v>36513</v>
      </c>
      <c r="V62" s="258">
        <v>8</v>
      </c>
      <c r="W62" s="258">
        <v>1762120</v>
      </c>
      <c r="X62" s="258">
        <v>1</v>
      </c>
      <c r="Y62" s="245"/>
      <c r="Z62" s="253" t="s">
        <v>592</v>
      </c>
      <c r="AA62" s="253">
        <v>1815950</v>
      </c>
      <c r="AB62" s="253">
        <v>20</v>
      </c>
      <c r="AC62" s="253">
        <v>2</v>
      </c>
      <c r="AD62" s="253">
        <v>0</v>
      </c>
      <c r="AE62" s="253">
        <v>1</v>
      </c>
      <c r="AF62" s="253"/>
      <c r="AG62" s="253" t="s">
        <v>592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592</v>
      </c>
      <c r="AO62" s="253">
        <v>7123400</v>
      </c>
      <c r="AP62" s="253">
        <v>80</v>
      </c>
      <c r="AQ62" s="253">
        <v>6</v>
      </c>
      <c r="AR62" s="253">
        <v>10</v>
      </c>
      <c r="AS62" s="253">
        <v>1</v>
      </c>
      <c r="AT62" s="245"/>
      <c r="AU62" s="253" t="s">
        <v>592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592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592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539</v>
      </c>
      <c r="BQ62" s="264" t="s">
        <v>567</v>
      </c>
      <c r="BR62" s="264" t="s">
        <v>568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246.67586463000001</v>
      </c>
      <c r="I63" s="164"/>
      <c r="J63" s="157"/>
      <c r="K63" s="228"/>
      <c r="L63" s="228"/>
      <c r="M63" s="228"/>
      <c r="O63" s="241" t="s">
        <v>294</v>
      </c>
      <c r="P63" s="241">
        <v>242.34973167000001</v>
      </c>
      <c r="Q63" s="239"/>
      <c r="R63" s="153" t="s">
        <v>456</v>
      </c>
      <c r="S63" s="253" t="s">
        <v>565</v>
      </c>
      <c r="T63" s="258" t="s">
        <v>566</v>
      </c>
      <c r="U63" s="258" t="s">
        <v>567</v>
      </c>
      <c r="V63" s="258" t="s">
        <v>568</v>
      </c>
      <c r="W63" s="258" t="s">
        <v>569</v>
      </c>
      <c r="X63" s="258" t="s">
        <v>570</v>
      </c>
      <c r="Y63" s="245"/>
      <c r="Z63" s="253" t="s">
        <v>593</v>
      </c>
      <c r="AA63" s="253">
        <v>22429890.045000002</v>
      </c>
      <c r="AB63" s="253">
        <v>192</v>
      </c>
      <c r="AC63" s="253">
        <v>21</v>
      </c>
      <c r="AD63" s="253">
        <v>763</v>
      </c>
      <c r="AE63" s="253">
        <v>1</v>
      </c>
      <c r="AF63" s="253"/>
      <c r="AG63" s="253" t="s">
        <v>593</v>
      </c>
      <c r="AH63" s="253">
        <v>117400</v>
      </c>
      <c r="AI63" s="253">
        <v>1</v>
      </c>
      <c r="AJ63" s="253">
        <v>1</v>
      </c>
      <c r="AK63" s="253">
        <v>172</v>
      </c>
      <c r="AL63" s="253">
        <v>1</v>
      </c>
      <c r="AM63" s="245"/>
      <c r="AN63" s="253" t="s">
        <v>593</v>
      </c>
      <c r="AO63" s="253">
        <v>21844700.026000001</v>
      </c>
      <c r="AP63" s="253">
        <v>199</v>
      </c>
      <c r="AQ63" s="253">
        <v>18</v>
      </c>
      <c r="AR63" s="253">
        <v>2280</v>
      </c>
      <c r="AS63" s="253">
        <v>1</v>
      </c>
      <c r="AT63" s="245"/>
      <c r="AU63" s="253" t="s">
        <v>593</v>
      </c>
      <c r="AV63" s="253">
        <v>0</v>
      </c>
      <c r="AW63" s="253">
        <v>0</v>
      </c>
      <c r="AX63" s="253">
        <v>0</v>
      </c>
      <c r="AY63" s="253">
        <v>12</v>
      </c>
      <c r="AZ63" s="253">
        <v>1</v>
      </c>
      <c r="BA63" s="245"/>
      <c r="BB63" s="253" t="s">
        <v>593</v>
      </c>
      <c r="BC63" s="253">
        <v>71440519.972000003</v>
      </c>
      <c r="BD63" s="253">
        <v>536</v>
      </c>
      <c r="BE63" s="253">
        <v>49</v>
      </c>
      <c r="BF63" s="253">
        <v>6097</v>
      </c>
      <c r="BG63" s="253">
        <v>1</v>
      </c>
      <c r="BH63" s="247" t="s">
        <v>593</v>
      </c>
      <c r="BI63" s="253">
        <v>7919549.9730000002</v>
      </c>
      <c r="BJ63" s="253">
        <v>60</v>
      </c>
      <c r="BK63" s="253">
        <v>4</v>
      </c>
      <c r="BL63" s="253">
        <v>507</v>
      </c>
      <c r="BM63" s="253">
        <v>1</v>
      </c>
      <c r="BN63" s="253"/>
      <c r="BO63" s="251"/>
      <c r="BP63" s="263">
        <v>318700000035.625</v>
      </c>
      <c r="BQ63" s="263">
        <v>18497398</v>
      </c>
      <c r="BR63" s="263">
        <v>2222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187.87499715000001</v>
      </c>
      <c r="I64" s="164"/>
      <c r="J64" s="3"/>
      <c r="K64" s="228"/>
      <c r="L64" s="228"/>
      <c r="M64" s="228"/>
      <c r="O64" s="241" t="s">
        <v>297</v>
      </c>
      <c r="P64" s="241">
        <v>181.77878336000001</v>
      </c>
      <c r="Q64" s="239"/>
      <c r="R64" s="157"/>
      <c r="S64" s="253" t="s">
        <v>451</v>
      </c>
      <c r="T64" s="258">
        <v>77544983.939999998</v>
      </c>
      <c r="U64" s="258">
        <v>100397</v>
      </c>
      <c r="V64" s="258">
        <v>66</v>
      </c>
      <c r="W64" s="258">
        <v>222915</v>
      </c>
      <c r="X64" s="258">
        <v>0</v>
      </c>
      <c r="Y64" s="245"/>
      <c r="Z64" s="253" t="s">
        <v>594</v>
      </c>
      <c r="AA64" s="253">
        <v>27307999.780000001</v>
      </c>
      <c r="AB64" s="253">
        <v>341</v>
      </c>
      <c r="AC64" s="253">
        <v>41</v>
      </c>
      <c r="AD64" s="253">
        <v>228</v>
      </c>
      <c r="AE64" s="253">
        <v>1</v>
      </c>
      <c r="AF64" s="253"/>
      <c r="AG64" s="253" t="s">
        <v>594</v>
      </c>
      <c r="AH64" s="253">
        <v>0</v>
      </c>
      <c r="AI64" s="253">
        <v>0</v>
      </c>
      <c r="AJ64" s="253">
        <v>0</v>
      </c>
      <c r="AK64" s="253">
        <v>15</v>
      </c>
      <c r="AL64" s="253">
        <v>1</v>
      </c>
      <c r="AM64" s="245"/>
      <c r="AN64" s="253" t="s">
        <v>594</v>
      </c>
      <c r="AO64" s="253">
        <v>35435150.100000001</v>
      </c>
      <c r="AP64" s="253">
        <v>429</v>
      </c>
      <c r="AQ64" s="253">
        <v>26</v>
      </c>
      <c r="AR64" s="253">
        <v>35</v>
      </c>
      <c r="AS64" s="253">
        <v>1</v>
      </c>
      <c r="AT64" s="245"/>
      <c r="AU64" s="253" t="s">
        <v>594</v>
      </c>
      <c r="AV64" s="253">
        <v>3334000</v>
      </c>
      <c r="AW64" s="253">
        <v>40</v>
      </c>
      <c r="AX64" s="253">
        <v>2</v>
      </c>
      <c r="AY64" s="253">
        <v>0</v>
      </c>
      <c r="AZ64" s="253">
        <v>1</v>
      </c>
      <c r="BA64" s="245"/>
      <c r="BB64" s="253" t="s">
        <v>594</v>
      </c>
      <c r="BC64" s="253">
        <v>6929039.9299999997</v>
      </c>
      <c r="BD64" s="253">
        <v>71</v>
      </c>
      <c r="BE64" s="253">
        <v>29</v>
      </c>
      <c r="BF64" s="253">
        <v>667</v>
      </c>
      <c r="BG64" s="253">
        <v>1</v>
      </c>
      <c r="BH64" s="247" t="s">
        <v>594</v>
      </c>
      <c r="BI64" s="253">
        <v>0</v>
      </c>
      <c r="BJ64" s="253">
        <v>0</v>
      </c>
      <c r="BK64" s="253">
        <v>0</v>
      </c>
      <c r="BL64" s="253">
        <v>25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12829.59660536</v>
      </c>
      <c r="I65" s="164"/>
      <c r="J65" s="3"/>
      <c r="K65" s="228"/>
      <c r="L65" s="228"/>
      <c r="M65" s="228"/>
      <c r="O65" s="241" t="s">
        <v>298</v>
      </c>
      <c r="P65" s="241">
        <v>13767.68915041</v>
      </c>
      <c r="Q65" s="239"/>
      <c r="R65" s="157"/>
      <c r="S65" s="253" t="s">
        <v>446</v>
      </c>
      <c r="T65" s="258">
        <v>2661039010.0900002</v>
      </c>
      <c r="U65" s="258">
        <v>432407</v>
      </c>
      <c r="V65" s="258">
        <v>790</v>
      </c>
      <c r="W65" s="258">
        <v>1068544</v>
      </c>
      <c r="X65" s="258">
        <v>0</v>
      </c>
      <c r="Y65" s="245"/>
      <c r="Z65" s="253" t="s">
        <v>595</v>
      </c>
      <c r="AA65" s="253">
        <v>78704612.549999997</v>
      </c>
      <c r="AB65" s="253">
        <v>728</v>
      </c>
      <c r="AC65" s="253">
        <v>17</v>
      </c>
      <c r="AD65" s="253">
        <v>7335</v>
      </c>
      <c r="AE65" s="253">
        <v>1</v>
      </c>
      <c r="AF65" s="253"/>
      <c r="AG65" s="253" t="s">
        <v>595</v>
      </c>
      <c r="AH65" s="253">
        <v>0</v>
      </c>
      <c r="AI65" s="253">
        <v>0</v>
      </c>
      <c r="AJ65" s="253">
        <v>0</v>
      </c>
      <c r="AK65" s="253">
        <v>375</v>
      </c>
      <c r="AL65" s="253">
        <v>1</v>
      </c>
      <c r="AM65" s="245"/>
      <c r="AN65" s="253" t="s">
        <v>595</v>
      </c>
      <c r="AO65" s="253">
        <v>24849425.25</v>
      </c>
      <c r="AP65" s="253">
        <v>236</v>
      </c>
      <c r="AQ65" s="253">
        <v>14</v>
      </c>
      <c r="AR65" s="253">
        <v>10737</v>
      </c>
      <c r="AS65" s="253">
        <v>1</v>
      </c>
      <c r="AT65" s="245"/>
      <c r="AU65" s="253" t="s">
        <v>595</v>
      </c>
      <c r="AV65" s="253">
        <v>0</v>
      </c>
      <c r="AW65" s="253">
        <v>0</v>
      </c>
      <c r="AX65" s="253">
        <v>0</v>
      </c>
      <c r="AY65" s="253">
        <v>373</v>
      </c>
      <c r="AZ65" s="253">
        <v>1</v>
      </c>
      <c r="BA65" s="245"/>
      <c r="BB65" s="253" t="s">
        <v>614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614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539</v>
      </c>
      <c r="BQ65" s="264" t="s">
        <v>567</v>
      </c>
      <c r="BR65" s="264" t="s">
        <v>568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4099.5826155000004</v>
      </c>
      <c r="I66" s="164"/>
      <c r="J66" s="3"/>
      <c r="K66" s="228"/>
      <c r="L66" s="228"/>
      <c r="M66" s="228"/>
      <c r="O66" s="241" t="s">
        <v>299</v>
      </c>
      <c r="P66" s="241">
        <v>4011.3805727899999</v>
      </c>
      <c r="Q66" s="239"/>
      <c r="R66" s="157"/>
      <c r="S66" s="253" t="s">
        <v>449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596</v>
      </c>
      <c r="AA66" s="253">
        <v>7290889.5</v>
      </c>
      <c r="AB66" s="253">
        <v>97</v>
      </c>
      <c r="AC66" s="253">
        <v>20</v>
      </c>
      <c r="AD66" s="253">
        <v>642</v>
      </c>
      <c r="AE66" s="253">
        <v>1</v>
      </c>
      <c r="AF66" s="253"/>
      <c r="AG66" s="253" t="s">
        <v>596</v>
      </c>
      <c r="AH66" s="253">
        <v>0</v>
      </c>
      <c r="AI66" s="253">
        <v>0</v>
      </c>
      <c r="AJ66" s="253">
        <v>0</v>
      </c>
      <c r="AK66" s="253">
        <v>36</v>
      </c>
      <c r="AL66" s="253">
        <v>1</v>
      </c>
      <c r="AM66" s="245"/>
      <c r="AN66" s="253" t="s">
        <v>596</v>
      </c>
      <c r="AO66" s="253">
        <v>2855300</v>
      </c>
      <c r="AP66" s="253">
        <v>36</v>
      </c>
      <c r="AQ66" s="253">
        <v>19</v>
      </c>
      <c r="AR66" s="253">
        <v>910</v>
      </c>
      <c r="AS66" s="253">
        <v>1</v>
      </c>
      <c r="AT66" s="245"/>
      <c r="AU66" s="253" t="s">
        <v>596</v>
      </c>
      <c r="AV66" s="253">
        <v>0</v>
      </c>
      <c r="AW66" s="253">
        <v>0</v>
      </c>
      <c r="AX66" s="253">
        <v>0</v>
      </c>
      <c r="AY66" s="253">
        <v>43</v>
      </c>
      <c r="AZ66" s="253">
        <v>1</v>
      </c>
      <c r="BA66" s="245"/>
      <c r="BB66" s="253" t="s">
        <v>615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615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414285596461.79999</v>
      </c>
      <c r="BQ66" s="263">
        <v>30551256</v>
      </c>
      <c r="BR66" s="263">
        <v>42412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175.39518301999999</v>
      </c>
      <c r="I67" s="164"/>
      <c r="J67" s="3"/>
      <c r="K67" s="228"/>
      <c r="L67" s="228"/>
      <c r="M67" s="228"/>
      <c r="O67" s="241" t="s">
        <v>300</v>
      </c>
      <c r="P67" s="241">
        <v>172.03507192000001</v>
      </c>
      <c r="Q67" s="239"/>
      <c r="R67" s="157"/>
      <c r="S67" s="253" t="s">
        <v>447</v>
      </c>
      <c r="T67" s="258">
        <v>559450825.01999998</v>
      </c>
      <c r="U67" s="258">
        <v>1081236</v>
      </c>
      <c r="V67" s="258">
        <v>404</v>
      </c>
      <c r="W67" s="258">
        <v>2518229</v>
      </c>
      <c r="X67" s="258">
        <v>0</v>
      </c>
      <c r="Y67" s="245"/>
      <c r="Z67" s="253" t="s">
        <v>597</v>
      </c>
      <c r="AA67" s="253">
        <v>33426710.079999998</v>
      </c>
      <c r="AB67" s="253">
        <v>231</v>
      </c>
      <c r="AC67" s="253">
        <v>22</v>
      </c>
      <c r="AD67" s="253">
        <v>1079</v>
      </c>
      <c r="AE67" s="253">
        <v>1</v>
      </c>
      <c r="AF67" s="253"/>
      <c r="AG67" s="253" t="s">
        <v>597</v>
      </c>
      <c r="AH67" s="253">
        <v>0</v>
      </c>
      <c r="AI67" s="253">
        <v>0</v>
      </c>
      <c r="AJ67" s="253">
        <v>0</v>
      </c>
      <c r="AK67" s="253">
        <v>32</v>
      </c>
      <c r="AL67" s="253">
        <v>1</v>
      </c>
      <c r="AM67" s="245"/>
      <c r="AN67" s="253" t="s">
        <v>597</v>
      </c>
      <c r="AO67" s="253">
        <v>18479320</v>
      </c>
      <c r="AP67" s="253">
        <v>138</v>
      </c>
      <c r="AQ67" s="253">
        <v>19</v>
      </c>
      <c r="AR67" s="253">
        <v>748</v>
      </c>
      <c r="AS67" s="253">
        <v>1</v>
      </c>
      <c r="AT67" s="245"/>
      <c r="AU67" s="253" t="s">
        <v>597</v>
      </c>
      <c r="AV67" s="253">
        <v>265700</v>
      </c>
      <c r="AW67" s="253">
        <v>2</v>
      </c>
      <c r="AX67" s="253">
        <v>1</v>
      </c>
      <c r="AY67" s="253">
        <v>102</v>
      </c>
      <c r="AZ67" s="253">
        <v>1</v>
      </c>
      <c r="BA67" s="245"/>
      <c r="BB67" s="253" t="s">
        <v>595</v>
      </c>
      <c r="BC67" s="253">
        <v>41037046.149999999</v>
      </c>
      <c r="BD67" s="253">
        <v>353</v>
      </c>
      <c r="BE67" s="253">
        <v>9</v>
      </c>
      <c r="BF67" s="253">
        <v>5548</v>
      </c>
      <c r="BG67" s="253">
        <v>1</v>
      </c>
      <c r="BH67" s="247" t="s">
        <v>595</v>
      </c>
      <c r="BI67" s="253">
        <v>0</v>
      </c>
      <c r="BJ67" s="253">
        <v>0</v>
      </c>
      <c r="BK67" s="253">
        <v>0</v>
      </c>
      <c r="BL67" s="253">
        <v>371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43343</v>
      </c>
      <c r="D68" s="190">
        <v>28771.158006969999</v>
      </c>
      <c r="E68" s="223">
        <v>1</v>
      </c>
      <c r="F68" s="213"/>
      <c r="G68" s="223" t="s">
        <v>301</v>
      </c>
      <c r="H68" s="223">
        <v>1780.1255708599999</v>
      </c>
      <c r="I68" s="164"/>
      <c r="J68" s="3"/>
      <c r="K68" s="228"/>
      <c r="L68" s="228"/>
      <c r="M68" s="228"/>
      <c r="O68" s="241" t="s">
        <v>301</v>
      </c>
      <c r="P68" s="241">
        <v>1854.5776375800001</v>
      </c>
      <c r="Q68" s="239"/>
      <c r="R68" s="157"/>
      <c r="S68" s="253" t="s">
        <v>571</v>
      </c>
      <c r="T68" s="258">
        <v>0</v>
      </c>
      <c r="U68" s="258">
        <v>0</v>
      </c>
      <c r="V68" s="258">
        <v>0</v>
      </c>
      <c r="W68" s="258">
        <v>0</v>
      </c>
      <c r="X68" s="258">
        <v>1</v>
      </c>
      <c r="Y68" s="245"/>
      <c r="Z68" s="253" t="s">
        <v>598</v>
      </c>
      <c r="AA68" s="253">
        <v>1479200</v>
      </c>
      <c r="AB68" s="253">
        <v>4</v>
      </c>
      <c r="AC68" s="253">
        <v>1</v>
      </c>
      <c r="AD68" s="253">
        <v>848</v>
      </c>
      <c r="AE68" s="253">
        <v>1</v>
      </c>
      <c r="AF68" s="253"/>
      <c r="AG68" s="253" t="s">
        <v>598</v>
      </c>
      <c r="AH68" s="253">
        <v>0</v>
      </c>
      <c r="AI68" s="253">
        <v>0</v>
      </c>
      <c r="AJ68" s="253">
        <v>0</v>
      </c>
      <c r="AK68" s="253">
        <v>36</v>
      </c>
      <c r="AL68" s="253">
        <v>1</v>
      </c>
      <c r="AM68" s="245"/>
      <c r="AN68" s="253" t="s">
        <v>598</v>
      </c>
      <c r="AO68" s="253">
        <v>2280000</v>
      </c>
      <c r="AP68" s="253">
        <v>10</v>
      </c>
      <c r="AQ68" s="253">
        <v>2</v>
      </c>
      <c r="AR68" s="253">
        <v>880</v>
      </c>
      <c r="AS68" s="253">
        <v>1</v>
      </c>
      <c r="AT68" s="245"/>
      <c r="AU68" s="253" t="s">
        <v>598</v>
      </c>
      <c r="AV68" s="253">
        <v>0</v>
      </c>
      <c r="AW68" s="253">
        <v>0</v>
      </c>
      <c r="AX68" s="253">
        <v>0</v>
      </c>
      <c r="AY68" s="253">
        <v>40</v>
      </c>
      <c r="AZ68" s="253">
        <v>1</v>
      </c>
      <c r="BA68" s="245"/>
      <c r="BB68" s="253" t="s">
        <v>596</v>
      </c>
      <c r="BC68" s="253">
        <v>4388409.5</v>
      </c>
      <c r="BD68" s="253">
        <v>51</v>
      </c>
      <c r="BE68" s="253">
        <v>7</v>
      </c>
      <c r="BF68" s="253">
        <v>483</v>
      </c>
      <c r="BG68" s="253">
        <v>1</v>
      </c>
      <c r="BH68" s="247" t="s">
        <v>596</v>
      </c>
      <c r="BI68" s="253">
        <v>0</v>
      </c>
      <c r="BJ68" s="253">
        <v>0</v>
      </c>
      <c r="BK68" s="253">
        <v>0</v>
      </c>
      <c r="BL68" s="253">
        <v>29</v>
      </c>
      <c r="BM68" s="253">
        <v>1</v>
      </c>
      <c r="BN68" s="253"/>
      <c r="BO68" s="256" t="s">
        <v>477</v>
      </c>
      <c r="BP68" s="264" t="s">
        <v>539</v>
      </c>
      <c r="BQ68" s="264" t="s">
        <v>567</v>
      </c>
      <c r="BR68" s="264" t="s">
        <v>568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13134.966</v>
      </c>
      <c r="I69" s="164"/>
      <c r="J69" s="3"/>
      <c r="K69" s="228"/>
      <c r="L69" s="228"/>
      <c r="M69" s="228"/>
      <c r="O69" s="241" t="s">
        <v>303</v>
      </c>
      <c r="P69" s="241">
        <v>13042.447</v>
      </c>
      <c r="Q69" s="239"/>
      <c r="R69" s="157"/>
      <c r="S69" s="253" t="s">
        <v>451</v>
      </c>
      <c r="T69" s="258">
        <v>1934446645.71</v>
      </c>
      <c r="U69" s="258">
        <v>58318</v>
      </c>
      <c r="V69" s="258">
        <v>185</v>
      </c>
      <c r="W69" s="258">
        <v>301241</v>
      </c>
      <c r="X69" s="258">
        <v>1</v>
      </c>
      <c r="Y69" s="245"/>
      <c r="Z69" s="253" t="s">
        <v>599</v>
      </c>
      <c r="AA69" s="253">
        <v>1050000</v>
      </c>
      <c r="AB69" s="253">
        <v>3</v>
      </c>
      <c r="AC69" s="253">
        <v>3</v>
      </c>
      <c r="AD69" s="253">
        <v>174</v>
      </c>
      <c r="AE69" s="253">
        <v>1</v>
      </c>
      <c r="AF69" s="253"/>
      <c r="AG69" s="253" t="s">
        <v>599</v>
      </c>
      <c r="AH69" s="253">
        <v>0</v>
      </c>
      <c r="AI69" s="253">
        <v>0</v>
      </c>
      <c r="AJ69" s="253">
        <v>0</v>
      </c>
      <c r="AK69" s="253">
        <v>10</v>
      </c>
      <c r="AL69" s="253">
        <v>1</v>
      </c>
      <c r="AM69" s="245"/>
      <c r="AN69" s="253" t="s">
        <v>599</v>
      </c>
      <c r="AO69" s="253">
        <v>2840000</v>
      </c>
      <c r="AP69" s="253">
        <v>8</v>
      </c>
      <c r="AQ69" s="253">
        <v>2</v>
      </c>
      <c r="AR69" s="253">
        <v>164</v>
      </c>
      <c r="AS69" s="253">
        <v>1</v>
      </c>
      <c r="AT69" s="245"/>
      <c r="AU69" s="253" t="s">
        <v>599</v>
      </c>
      <c r="AV69" s="253">
        <v>0</v>
      </c>
      <c r="AW69" s="253">
        <v>0</v>
      </c>
      <c r="AX69" s="253">
        <v>0</v>
      </c>
      <c r="AY69" s="253">
        <v>7</v>
      </c>
      <c r="AZ69" s="253">
        <v>1</v>
      </c>
      <c r="BA69" s="245"/>
      <c r="BB69" s="253" t="s">
        <v>597</v>
      </c>
      <c r="BC69" s="253">
        <v>28321900.07</v>
      </c>
      <c r="BD69" s="253">
        <v>245</v>
      </c>
      <c r="BE69" s="253">
        <v>24</v>
      </c>
      <c r="BF69" s="253">
        <v>1706</v>
      </c>
      <c r="BG69" s="253">
        <v>1</v>
      </c>
      <c r="BH69" s="247" t="s">
        <v>597</v>
      </c>
      <c r="BI69" s="253">
        <v>0</v>
      </c>
      <c r="BJ69" s="253">
        <v>0</v>
      </c>
      <c r="BK69" s="253">
        <v>0</v>
      </c>
      <c r="BL69" s="253">
        <v>103</v>
      </c>
      <c r="BM69" s="253">
        <v>1</v>
      </c>
      <c r="BN69" s="253"/>
      <c r="BO69" s="247"/>
      <c r="BP69" s="263">
        <v>139708320588.5</v>
      </c>
      <c r="BQ69" s="263">
        <v>10058588</v>
      </c>
      <c r="BR69" s="263">
        <v>2196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23952.511933549999</v>
      </c>
      <c r="I70" s="164"/>
      <c r="J70" s="3"/>
      <c r="K70" s="228"/>
      <c r="L70" s="228"/>
      <c r="M70" s="228"/>
      <c r="O70" s="241" t="s">
        <v>304</v>
      </c>
      <c r="P70" s="241">
        <v>23518.121285950001</v>
      </c>
      <c r="Q70" s="239"/>
      <c r="R70" s="157"/>
      <c r="S70" s="253" t="s">
        <v>448</v>
      </c>
      <c r="T70" s="258">
        <v>0</v>
      </c>
      <c r="U70" s="258">
        <v>313086</v>
      </c>
      <c r="V70" s="258">
        <v>3721</v>
      </c>
      <c r="W70" s="258">
        <v>961654</v>
      </c>
      <c r="X70" s="258">
        <v>1</v>
      </c>
      <c r="Y70" s="245"/>
      <c r="Z70" s="253" t="s">
        <v>600</v>
      </c>
      <c r="AA70" s="253">
        <v>6673213784.4750004</v>
      </c>
      <c r="AB70" s="253">
        <v>29052</v>
      </c>
      <c r="AC70" s="253">
        <v>3165</v>
      </c>
      <c r="AD70" s="253">
        <v>478442</v>
      </c>
      <c r="AE70" s="253">
        <v>1</v>
      </c>
      <c r="AF70" s="253"/>
      <c r="AG70" s="253" t="s">
        <v>600</v>
      </c>
      <c r="AH70" s="253">
        <v>391154678.11000001</v>
      </c>
      <c r="AI70" s="253">
        <v>1739</v>
      </c>
      <c r="AJ70" s="253">
        <v>82</v>
      </c>
      <c r="AK70" s="253">
        <v>21061</v>
      </c>
      <c r="AL70" s="253">
        <v>1</v>
      </c>
      <c r="AM70" s="245"/>
      <c r="AN70" s="253" t="s">
        <v>600</v>
      </c>
      <c r="AO70" s="253">
        <v>5540034603.7749996</v>
      </c>
      <c r="AP70" s="253">
        <v>24968</v>
      </c>
      <c r="AQ70" s="253">
        <v>2948</v>
      </c>
      <c r="AR70" s="253">
        <v>484527</v>
      </c>
      <c r="AS70" s="253">
        <v>1</v>
      </c>
      <c r="AT70" s="245"/>
      <c r="AU70" s="253" t="s">
        <v>600</v>
      </c>
      <c r="AV70" s="253">
        <v>318462408.48000002</v>
      </c>
      <c r="AW70" s="253">
        <v>1422</v>
      </c>
      <c r="AX70" s="253">
        <v>129</v>
      </c>
      <c r="AY70" s="253">
        <v>21844</v>
      </c>
      <c r="AZ70" s="253">
        <v>1</v>
      </c>
      <c r="BA70" s="245"/>
      <c r="BB70" s="253" t="s">
        <v>598</v>
      </c>
      <c r="BC70" s="253">
        <v>0</v>
      </c>
      <c r="BD70" s="253">
        <v>0</v>
      </c>
      <c r="BE70" s="253">
        <v>0</v>
      </c>
      <c r="BF70" s="253">
        <v>1364</v>
      </c>
      <c r="BG70" s="253">
        <v>1</v>
      </c>
      <c r="BH70" s="247" t="s">
        <v>598</v>
      </c>
      <c r="BI70" s="253">
        <v>0</v>
      </c>
      <c r="BJ70" s="253">
        <v>0</v>
      </c>
      <c r="BK70" s="253">
        <v>0</v>
      </c>
      <c r="BL70" s="253">
        <v>62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27336.042993049999</v>
      </c>
      <c r="I71" s="164"/>
      <c r="J71" s="3"/>
      <c r="K71" s="228"/>
      <c r="L71" s="228"/>
      <c r="M71" s="228"/>
      <c r="O71" s="241" t="s">
        <v>58</v>
      </c>
      <c r="P71" s="241">
        <v>26739.870595429999</v>
      </c>
      <c r="Q71" s="239"/>
      <c r="R71" s="157"/>
      <c r="S71" s="253" t="s">
        <v>182</v>
      </c>
      <c r="T71" s="258">
        <v>35216710.005999997</v>
      </c>
      <c r="U71" s="258">
        <v>674315</v>
      </c>
      <c r="V71" s="258">
        <v>234</v>
      </c>
      <c r="W71" s="258">
        <v>1880974</v>
      </c>
      <c r="X71" s="258">
        <v>1</v>
      </c>
      <c r="Y71" s="245"/>
      <c r="Z71" s="253" t="s">
        <v>612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612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612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612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599</v>
      </c>
      <c r="BC71" s="253">
        <v>2803700</v>
      </c>
      <c r="BD71" s="253">
        <v>11</v>
      </c>
      <c r="BE71" s="253">
        <v>4</v>
      </c>
      <c r="BF71" s="253">
        <v>229</v>
      </c>
      <c r="BG71" s="253">
        <v>1</v>
      </c>
      <c r="BH71" s="247" t="s">
        <v>599</v>
      </c>
      <c r="BI71" s="253">
        <v>0</v>
      </c>
      <c r="BJ71" s="253">
        <v>0</v>
      </c>
      <c r="BK71" s="253">
        <v>0</v>
      </c>
      <c r="BL71" s="253">
        <v>14</v>
      </c>
      <c r="BM71" s="253">
        <v>1</v>
      </c>
      <c r="BN71" s="253"/>
      <c r="BO71" s="256" t="s">
        <v>494</v>
      </c>
      <c r="BP71" s="264" t="s">
        <v>616</v>
      </c>
      <c r="BQ71" s="264" t="s">
        <v>569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29470.424548409999</v>
      </c>
      <c r="I72" s="164"/>
      <c r="J72" s="3"/>
      <c r="K72" s="228"/>
      <c r="L72" s="228"/>
      <c r="M72" s="228"/>
      <c r="O72" s="241" t="s">
        <v>51</v>
      </c>
      <c r="P72" s="241">
        <v>28805.466750629999</v>
      </c>
      <c r="Q72" s="239"/>
      <c r="R72" s="157"/>
      <c r="S72" s="253" t="s">
        <v>446</v>
      </c>
      <c r="T72" s="258">
        <v>361778092379.57825</v>
      </c>
      <c r="U72" s="258">
        <v>1193945</v>
      </c>
      <c r="V72" s="258">
        <v>273032</v>
      </c>
      <c r="W72" s="258">
        <v>828932</v>
      </c>
      <c r="X72" s="258">
        <v>1</v>
      </c>
      <c r="Y72" s="245"/>
      <c r="Z72" s="253" t="s">
        <v>601</v>
      </c>
      <c r="AA72" s="253">
        <v>491235791.87</v>
      </c>
      <c r="AB72" s="253">
        <v>1033</v>
      </c>
      <c r="AC72" s="253">
        <v>171</v>
      </c>
      <c r="AD72" s="253">
        <v>10722</v>
      </c>
      <c r="AE72" s="253">
        <v>1</v>
      </c>
      <c r="AF72" s="253"/>
      <c r="AG72" s="253" t="s">
        <v>601</v>
      </c>
      <c r="AH72" s="253">
        <v>2340460</v>
      </c>
      <c r="AI72" s="253">
        <v>5</v>
      </c>
      <c r="AJ72" s="253">
        <v>4</v>
      </c>
      <c r="AK72" s="253">
        <v>471</v>
      </c>
      <c r="AL72" s="253">
        <v>1</v>
      </c>
      <c r="AM72" s="245"/>
      <c r="AN72" s="253" t="s">
        <v>601</v>
      </c>
      <c r="AO72" s="253">
        <v>255092899.96000001</v>
      </c>
      <c r="AP72" s="253">
        <v>595</v>
      </c>
      <c r="AQ72" s="253">
        <v>114</v>
      </c>
      <c r="AR72" s="253">
        <v>10669</v>
      </c>
      <c r="AS72" s="253">
        <v>1</v>
      </c>
      <c r="AT72" s="245"/>
      <c r="AU72" s="253" t="s">
        <v>601</v>
      </c>
      <c r="AV72" s="253">
        <v>2267100</v>
      </c>
      <c r="AW72" s="253">
        <v>5</v>
      </c>
      <c r="AX72" s="253">
        <v>3</v>
      </c>
      <c r="AY72" s="253">
        <v>482</v>
      </c>
      <c r="AZ72" s="253">
        <v>1</v>
      </c>
      <c r="BA72" s="245"/>
      <c r="BB72" s="253" t="s">
        <v>600</v>
      </c>
      <c r="BC72" s="253">
        <v>7385630527.3549995</v>
      </c>
      <c r="BD72" s="253">
        <v>31305</v>
      </c>
      <c r="BE72" s="253">
        <v>2340</v>
      </c>
      <c r="BF72" s="253">
        <v>338985</v>
      </c>
      <c r="BG72" s="253">
        <v>1</v>
      </c>
      <c r="BH72" s="247" t="s">
        <v>600</v>
      </c>
      <c r="BI72" s="253">
        <v>380504773.17000002</v>
      </c>
      <c r="BJ72" s="253">
        <v>1632</v>
      </c>
      <c r="BK72" s="253">
        <v>109</v>
      </c>
      <c r="BL72" s="253">
        <v>14731</v>
      </c>
      <c r="BM72" s="253">
        <v>1</v>
      </c>
      <c r="BN72" s="253"/>
      <c r="BO72" s="247"/>
      <c r="BP72" s="263" t="s">
        <v>617</v>
      </c>
      <c r="BQ72" s="263">
        <v>3151672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16032.23</v>
      </c>
      <c r="I73" s="164"/>
      <c r="J73" s="3"/>
      <c r="K73" s="228"/>
      <c r="L73" s="228"/>
      <c r="M73" s="228"/>
      <c r="O73" s="241" t="s">
        <v>305</v>
      </c>
      <c r="P73" s="241">
        <v>15213.93</v>
      </c>
      <c r="Q73" s="239"/>
      <c r="R73" s="157"/>
      <c r="S73" s="247" t="s">
        <v>449</v>
      </c>
      <c r="T73" s="247">
        <v>1007432552.701</v>
      </c>
      <c r="U73" s="247">
        <v>4472269</v>
      </c>
      <c r="V73" s="247">
        <v>183</v>
      </c>
      <c r="W73" s="247">
        <v>12407363</v>
      </c>
      <c r="X73" s="247">
        <v>1</v>
      </c>
      <c r="Y73" s="245"/>
      <c r="Z73" s="253" t="s">
        <v>602</v>
      </c>
      <c r="AA73" s="253">
        <v>9957900.0099999998</v>
      </c>
      <c r="AB73" s="253">
        <v>19</v>
      </c>
      <c r="AC73" s="253">
        <v>9</v>
      </c>
      <c r="AD73" s="253">
        <v>314</v>
      </c>
      <c r="AE73" s="253">
        <v>1</v>
      </c>
      <c r="AF73" s="253"/>
      <c r="AG73" s="253" t="s">
        <v>602</v>
      </c>
      <c r="AH73" s="253">
        <v>0</v>
      </c>
      <c r="AI73" s="253">
        <v>0</v>
      </c>
      <c r="AJ73" s="253">
        <v>0</v>
      </c>
      <c r="AK73" s="253">
        <v>14</v>
      </c>
      <c r="AL73" s="253">
        <v>1</v>
      </c>
      <c r="AM73" s="245"/>
      <c r="AN73" s="253" t="s">
        <v>602</v>
      </c>
      <c r="AO73" s="253">
        <v>0</v>
      </c>
      <c r="AP73" s="253">
        <v>0</v>
      </c>
      <c r="AQ73" s="253">
        <v>0</v>
      </c>
      <c r="AR73" s="253">
        <v>308</v>
      </c>
      <c r="AS73" s="253">
        <v>1</v>
      </c>
      <c r="AT73" s="245"/>
      <c r="AU73" s="253" t="s">
        <v>602</v>
      </c>
      <c r="AV73" s="253">
        <v>0</v>
      </c>
      <c r="AW73" s="253">
        <v>0</v>
      </c>
      <c r="AX73" s="253">
        <v>0</v>
      </c>
      <c r="AY73" s="253">
        <v>14</v>
      </c>
      <c r="AZ73" s="253">
        <v>1</v>
      </c>
      <c r="BA73" s="245"/>
      <c r="BB73" s="253" t="s">
        <v>612</v>
      </c>
      <c r="BC73" s="253">
        <v>0</v>
      </c>
      <c r="BD73" s="253">
        <v>0</v>
      </c>
      <c r="BE73" s="253">
        <v>0</v>
      </c>
      <c r="BF73" s="253">
        <v>176</v>
      </c>
      <c r="BG73" s="253">
        <v>1</v>
      </c>
      <c r="BH73" s="247" t="s">
        <v>612</v>
      </c>
      <c r="BI73" s="253">
        <v>0</v>
      </c>
      <c r="BJ73" s="253">
        <v>0</v>
      </c>
      <c r="BK73" s="253">
        <v>0</v>
      </c>
      <c r="BL73" s="253">
        <v>8</v>
      </c>
      <c r="BM73" s="253">
        <v>1</v>
      </c>
      <c r="BN73" s="253"/>
      <c r="BO73" s="247"/>
      <c r="BP73" s="263" t="s">
        <v>618</v>
      </c>
      <c r="BQ73" s="263">
        <v>1998795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550</v>
      </c>
      <c r="H74" s="223">
        <v>73910.330784299993</v>
      </c>
      <c r="I74" s="164"/>
      <c r="J74" s="3"/>
      <c r="K74" s="228"/>
      <c r="L74" s="228"/>
      <c r="M74" s="228"/>
      <c r="O74" s="241" t="s">
        <v>550</v>
      </c>
      <c r="P74" s="241">
        <v>72327.778713399995</v>
      </c>
      <c r="Q74" s="239"/>
      <c r="R74" s="157"/>
      <c r="S74" s="247" t="s">
        <v>450</v>
      </c>
      <c r="T74" s="247">
        <v>0</v>
      </c>
      <c r="U74" s="247">
        <v>4230010</v>
      </c>
      <c r="V74" s="247">
        <v>161</v>
      </c>
      <c r="W74" s="247">
        <v>11899416</v>
      </c>
      <c r="X74" s="247">
        <v>1</v>
      </c>
      <c r="Y74" s="245"/>
      <c r="Z74" s="253" t="s">
        <v>603</v>
      </c>
      <c r="AA74" s="253">
        <v>2977645</v>
      </c>
      <c r="AB74" s="253">
        <v>13</v>
      </c>
      <c r="AC74" s="253">
        <v>5</v>
      </c>
      <c r="AD74" s="253">
        <v>90</v>
      </c>
      <c r="AE74" s="253">
        <v>1</v>
      </c>
      <c r="AF74" s="253"/>
      <c r="AG74" s="253" t="s">
        <v>603</v>
      </c>
      <c r="AH74" s="253">
        <v>0</v>
      </c>
      <c r="AI74" s="253">
        <v>0</v>
      </c>
      <c r="AJ74" s="253">
        <v>0</v>
      </c>
      <c r="AK74" s="253">
        <v>5</v>
      </c>
      <c r="AL74" s="253">
        <v>1</v>
      </c>
      <c r="AM74" s="245"/>
      <c r="AN74" s="253" t="s">
        <v>603</v>
      </c>
      <c r="AO74" s="253">
        <v>0</v>
      </c>
      <c r="AP74" s="253">
        <v>0</v>
      </c>
      <c r="AQ74" s="253">
        <v>0</v>
      </c>
      <c r="AR74" s="253">
        <v>66</v>
      </c>
      <c r="AS74" s="253">
        <v>1</v>
      </c>
      <c r="AT74" s="245"/>
      <c r="AU74" s="253" t="s">
        <v>603</v>
      </c>
      <c r="AV74" s="253">
        <v>0</v>
      </c>
      <c r="AW74" s="253">
        <v>0</v>
      </c>
      <c r="AX74" s="253">
        <v>0</v>
      </c>
      <c r="AY74" s="253">
        <v>3</v>
      </c>
      <c r="AZ74" s="253">
        <v>1</v>
      </c>
      <c r="BA74" s="245"/>
      <c r="BB74" s="253" t="s">
        <v>601</v>
      </c>
      <c r="BC74" s="253">
        <v>242647480.03999999</v>
      </c>
      <c r="BD74" s="253">
        <v>517</v>
      </c>
      <c r="BE74" s="253">
        <v>50</v>
      </c>
      <c r="BF74" s="253">
        <v>11505</v>
      </c>
      <c r="BG74" s="253">
        <v>1</v>
      </c>
      <c r="BH74" s="247" t="s">
        <v>601</v>
      </c>
      <c r="BI74" s="253">
        <v>904000</v>
      </c>
      <c r="BJ74" s="253">
        <v>2</v>
      </c>
      <c r="BK74" s="253">
        <v>1</v>
      </c>
      <c r="BL74" s="253">
        <v>524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387.10525882000002</v>
      </c>
      <c r="I75" s="164"/>
      <c r="J75" s="3"/>
      <c r="K75" s="228"/>
      <c r="L75" s="228"/>
      <c r="M75" s="228"/>
      <c r="O75" s="241" t="s">
        <v>101</v>
      </c>
      <c r="P75" s="241">
        <v>378.91638609</v>
      </c>
      <c r="Q75" s="239"/>
      <c r="S75" s="254" t="s">
        <v>447</v>
      </c>
      <c r="T75" s="257">
        <v>8247404970.6969995</v>
      </c>
      <c r="U75" s="257">
        <v>393492</v>
      </c>
      <c r="V75" s="257">
        <v>3978</v>
      </c>
      <c r="W75" s="257">
        <v>1306483</v>
      </c>
      <c r="X75" s="257">
        <v>1</v>
      </c>
      <c r="Y75" s="245"/>
      <c r="Z75" s="253" t="s">
        <v>604</v>
      </c>
      <c r="AA75" s="253">
        <v>147644568</v>
      </c>
      <c r="AB75" s="253">
        <v>3378</v>
      </c>
      <c r="AC75" s="253">
        <v>158</v>
      </c>
      <c r="AD75" s="253">
        <v>9744</v>
      </c>
      <c r="AE75" s="253">
        <v>1</v>
      </c>
      <c r="AF75" s="253"/>
      <c r="AG75" s="253" t="s">
        <v>604</v>
      </c>
      <c r="AH75" s="253">
        <v>3801175</v>
      </c>
      <c r="AI75" s="253">
        <v>91</v>
      </c>
      <c r="AJ75" s="253">
        <v>8</v>
      </c>
      <c r="AK75" s="253">
        <v>526</v>
      </c>
      <c r="AL75" s="253">
        <v>1</v>
      </c>
      <c r="AM75" s="245"/>
      <c r="AN75" s="253" t="s">
        <v>604</v>
      </c>
      <c r="AO75" s="253">
        <v>151612654</v>
      </c>
      <c r="AP75" s="253">
        <v>3520</v>
      </c>
      <c r="AQ75" s="253">
        <v>195</v>
      </c>
      <c r="AR75" s="253">
        <v>10369</v>
      </c>
      <c r="AS75" s="253">
        <v>1</v>
      </c>
      <c r="AT75" s="245"/>
      <c r="AU75" s="253" t="s">
        <v>604</v>
      </c>
      <c r="AV75" s="253">
        <v>5981605</v>
      </c>
      <c r="AW75" s="253">
        <v>132</v>
      </c>
      <c r="AX75" s="253">
        <v>8</v>
      </c>
      <c r="AY75" s="253">
        <v>482</v>
      </c>
      <c r="AZ75" s="253">
        <v>1</v>
      </c>
      <c r="BA75" s="245"/>
      <c r="BB75" s="253" t="s">
        <v>602</v>
      </c>
      <c r="BC75" s="253">
        <v>10610500.02</v>
      </c>
      <c r="BD75" s="253">
        <v>24</v>
      </c>
      <c r="BE75" s="253">
        <v>5</v>
      </c>
      <c r="BF75" s="253">
        <v>2867</v>
      </c>
      <c r="BG75" s="253">
        <v>1</v>
      </c>
      <c r="BH75" s="247" t="s">
        <v>602</v>
      </c>
      <c r="BI75" s="253">
        <v>0</v>
      </c>
      <c r="BJ75" s="253">
        <v>0</v>
      </c>
      <c r="BK75" s="253">
        <v>0</v>
      </c>
      <c r="BL75" s="253">
        <v>126</v>
      </c>
      <c r="BM75" s="253">
        <v>1</v>
      </c>
      <c r="BN75" s="253"/>
      <c r="BO75" s="256" t="s">
        <v>478</v>
      </c>
      <c r="BP75" s="264" t="s">
        <v>566</v>
      </c>
      <c r="BQ75" s="264" t="s">
        <v>567</v>
      </c>
      <c r="BR75" s="264" t="s">
        <v>568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688.46561689999999</v>
      </c>
      <c r="I76" s="164"/>
      <c r="J76" s="3"/>
      <c r="K76" s="228"/>
      <c r="L76" s="228"/>
      <c r="M76" s="228"/>
      <c r="O76" s="241" t="s">
        <v>103</v>
      </c>
      <c r="P76" s="241">
        <v>673.98983078000003</v>
      </c>
      <c r="Q76" s="239"/>
      <c r="R76" s="157"/>
      <c r="S76" s="253"/>
      <c r="T76" s="258"/>
      <c r="U76" s="258"/>
      <c r="V76" s="258"/>
      <c r="W76" s="258"/>
      <c r="X76" s="258"/>
      <c r="Y76" s="245"/>
      <c r="Z76" s="253" t="s">
        <v>605</v>
      </c>
      <c r="AA76" s="253">
        <v>1066469.6000000001</v>
      </c>
      <c r="AB76" s="253">
        <v>85</v>
      </c>
      <c r="AC76" s="253">
        <v>8</v>
      </c>
      <c r="AD76" s="253">
        <v>1045</v>
      </c>
      <c r="AE76" s="253">
        <v>1</v>
      </c>
      <c r="AF76" s="253"/>
      <c r="AG76" s="253" t="s">
        <v>605</v>
      </c>
      <c r="AH76" s="253">
        <v>126336</v>
      </c>
      <c r="AI76" s="253">
        <v>10</v>
      </c>
      <c r="AJ76" s="253">
        <v>1</v>
      </c>
      <c r="AK76" s="253">
        <v>50</v>
      </c>
      <c r="AL76" s="253">
        <v>1</v>
      </c>
      <c r="AM76" s="245"/>
      <c r="AN76" s="253" t="s">
        <v>605</v>
      </c>
      <c r="AO76" s="253">
        <v>458080</v>
      </c>
      <c r="AP76" s="253">
        <v>35</v>
      </c>
      <c r="AQ76" s="253">
        <v>3</v>
      </c>
      <c r="AR76" s="253">
        <v>620</v>
      </c>
      <c r="AS76" s="253">
        <v>1</v>
      </c>
      <c r="AT76" s="245"/>
      <c r="AU76" s="253" t="s">
        <v>605</v>
      </c>
      <c r="AV76" s="253">
        <v>262080</v>
      </c>
      <c r="AW76" s="253">
        <v>20</v>
      </c>
      <c r="AX76" s="253">
        <v>1</v>
      </c>
      <c r="AY76" s="253">
        <v>45</v>
      </c>
      <c r="AZ76" s="253">
        <v>1</v>
      </c>
      <c r="BA76" s="245"/>
      <c r="BB76" s="253" t="s">
        <v>603</v>
      </c>
      <c r="BC76" s="253">
        <v>10091450</v>
      </c>
      <c r="BD76" s="253">
        <v>40</v>
      </c>
      <c r="BE76" s="253">
        <v>2</v>
      </c>
      <c r="BF76" s="253">
        <v>1980</v>
      </c>
      <c r="BG76" s="253">
        <v>1</v>
      </c>
      <c r="BH76" s="245" t="s">
        <v>603</v>
      </c>
      <c r="BI76" s="253">
        <v>0</v>
      </c>
      <c r="BJ76" s="253">
        <v>0</v>
      </c>
      <c r="BK76" s="253">
        <v>0</v>
      </c>
      <c r="BL76" s="253">
        <v>90</v>
      </c>
      <c r="BM76" s="253">
        <v>1</v>
      </c>
      <c r="BN76" s="253"/>
      <c r="BO76" s="247"/>
      <c r="BP76" s="263">
        <v>424269135190.29895</v>
      </c>
      <c r="BQ76" s="263">
        <v>2022276</v>
      </c>
      <c r="BR76" s="263">
        <v>265051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3958.2734967599999</v>
      </c>
      <c r="I77" s="164"/>
      <c r="J77" s="3"/>
      <c r="K77" s="228"/>
      <c r="L77" s="228"/>
      <c r="M77" s="228"/>
      <c r="O77" s="241" t="s">
        <v>306</v>
      </c>
      <c r="P77" s="241">
        <v>3509.9107093699999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606</v>
      </c>
      <c r="AA77" s="253">
        <v>7008625992.29</v>
      </c>
      <c r="AB77" s="253">
        <v>27905</v>
      </c>
      <c r="AC77" s="253">
        <v>4354</v>
      </c>
      <c r="AD77" s="253">
        <v>227907</v>
      </c>
      <c r="AE77" s="253">
        <v>1</v>
      </c>
      <c r="AF77" s="253"/>
      <c r="AG77" s="253" t="s">
        <v>606</v>
      </c>
      <c r="AH77" s="253">
        <v>266826490.12</v>
      </c>
      <c r="AI77" s="253">
        <v>1041</v>
      </c>
      <c r="AJ77" s="253">
        <v>160</v>
      </c>
      <c r="AK77" s="253">
        <v>10202</v>
      </c>
      <c r="AL77" s="253">
        <v>1</v>
      </c>
      <c r="AM77" s="245"/>
      <c r="AN77" s="253" t="s">
        <v>606</v>
      </c>
      <c r="AO77" s="253">
        <v>6609979527.5</v>
      </c>
      <c r="AP77" s="253">
        <v>27940</v>
      </c>
      <c r="AQ77" s="253">
        <v>4001</v>
      </c>
      <c r="AR77" s="253">
        <v>213028</v>
      </c>
      <c r="AS77" s="253">
        <v>1</v>
      </c>
      <c r="AT77" s="245"/>
      <c r="AU77" s="253" t="s">
        <v>606</v>
      </c>
      <c r="AV77" s="253">
        <v>327462894.72500002</v>
      </c>
      <c r="AW77" s="253">
        <v>1354</v>
      </c>
      <c r="AX77" s="253">
        <v>122</v>
      </c>
      <c r="AY77" s="253">
        <v>10335</v>
      </c>
      <c r="AZ77" s="253">
        <v>1</v>
      </c>
      <c r="BA77" s="245"/>
      <c r="BB77" s="253" t="s">
        <v>604</v>
      </c>
      <c r="BC77" s="253">
        <v>8306750</v>
      </c>
      <c r="BD77" s="253">
        <v>175</v>
      </c>
      <c r="BE77" s="253">
        <v>7</v>
      </c>
      <c r="BF77" s="253">
        <v>1330</v>
      </c>
      <c r="BG77" s="253">
        <v>1</v>
      </c>
      <c r="BH77" s="245" t="s">
        <v>604</v>
      </c>
      <c r="BI77" s="253">
        <v>0</v>
      </c>
      <c r="BJ77" s="253">
        <v>0</v>
      </c>
      <c r="BK77" s="253">
        <v>0</v>
      </c>
      <c r="BL77" s="253">
        <v>70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43343</v>
      </c>
      <c r="D78" s="190">
        <v>74699.920896080002</v>
      </c>
      <c r="E78" s="223">
        <v>1</v>
      </c>
      <c r="F78" s="209"/>
      <c r="G78" s="223" t="s">
        <v>307</v>
      </c>
      <c r="H78" s="223">
        <v>201.62806907000001</v>
      </c>
      <c r="I78" s="164"/>
      <c r="J78" s="63"/>
      <c r="K78" s="228"/>
      <c r="L78" s="228"/>
      <c r="M78" s="228"/>
      <c r="O78" s="241" t="s">
        <v>307</v>
      </c>
      <c r="P78" s="241">
        <v>212.37054816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607</v>
      </c>
      <c r="AA78" s="253">
        <v>22692901669.450001</v>
      </c>
      <c r="AB78" s="253">
        <v>96113</v>
      </c>
      <c r="AC78" s="253">
        <v>18800</v>
      </c>
      <c r="AD78" s="253">
        <v>885634</v>
      </c>
      <c r="AE78" s="253">
        <v>1</v>
      </c>
      <c r="AF78" s="253"/>
      <c r="AG78" s="253" t="s">
        <v>607</v>
      </c>
      <c r="AH78" s="253">
        <v>975016700.63</v>
      </c>
      <c r="AI78" s="253">
        <v>4066</v>
      </c>
      <c r="AJ78" s="253">
        <v>588</v>
      </c>
      <c r="AK78" s="253">
        <v>43330</v>
      </c>
      <c r="AL78" s="253">
        <v>1</v>
      </c>
      <c r="AM78" s="245"/>
      <c r="AN78" s="253" t="s">
        <v>607</v>
      </c>
      <c r="AO78" s="253">
        <v>18265977121.599998</v>
      </c>
      <c r="AP78" s="253">
        <v>86127</v>
      </c>
      <c r="AQ78" s="253">
        <v>12548</v>
      </c>
      <c r="AR78" s="253">
        <v>739821</v>
      </c>
      <c r="AS78" s="253">
        <v>1</v>
      </c>
      <c r="AT78" s="245"/>
      <c r="AU78" s="253" t="s">
        <v>607</v>
      </c>
      <c r="AV78" s="253">
        <v>725557917.90999997</v>
      </c>
      <c r="AW78" s="253">
        <v>3294</v>
      </c>
      <c r="AX78" s="253">
        <v>718</v>
      </c>
      <c r="AY78" s="253">
        <v>35075</v>
      </c>
      <c r="AZ78" s="253">
        <v>1</v>
      </c>
      <c r="BA78" s="245"/>
      <c r="BB78" s="253" t="s">
        <v>605</v>
      </c>
      <c r="BC78" s="253">
        <v>555632</v>
      </c>
      <c r="BD78" s="253">
        <v>35</v>
      </c>
      <c r="BE78" s="253">
        <v>4</v>
      </c>
      <c r="BF78" s="253">
        <v>230</v>
      </c>
      <c r="BG78" s="253">
        <v>1</v>
      </c>
      <c r="BH78" s="245" t="s">
        <v>605</v>
      </c>
      <c r="BI78" s="253">
        <v>0</v>
      </c>
      <c r="BJ78" s="253">
        <v>0</v>
      </c>
      <c r="BK78" s="253">
        <v>0</v>
      </c>
      <c r="BL78" s="253">
        <v>10</v>
      </c>
      <c r="BM78" s="253">
        <v>1</v>
      </c>
      <c r="BN78" s="253"/>
      <c r="BO78" s="256" t="s">
        <v>497</v>
      </c>
      <c r="BP78" s="264" t="s">
        <v>566</v>
      </c>
      <c r="BQ78" s="264" t="s">
        <v>567</v>
      </c>
      <c r="BR78" s="264" t="s">
        <v>568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8528.3552144999994</v>
      </c>
      <c r="I79" s="164"/>
      <c r="J79" s="63"/>
      <c r="K79" s="228"/>
      <c r="L79" s="228"/>
      <c r="M79" s="228"/>
      <c r="O79" s="241" t="s">
        <v>308</v>
      </c>
      <c r="P79" s="241">
        <v>9255.5265997000006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608</v>
      </c>
      <c r="AA79" s="253">
        <v>16411238008.469999</v>
      </c>
      <c r="AB79" s="253">
        <v>67857</v>
      </c>
      <c r="AC79" s="253">
        <v>12269</v>
      </c>
      <c r="AD79" s="253">
        <v>705456</v>
      </c>
      <c r="AE79" s="253">
        <v>1</v>
      </c>
      <c r="AF79" s="253"/>
      <c r="AG79" s="253" t="s">
        <v>608</v>
      </c>
      <c r="AH79" s="253">
        <v>722210363.12</v>
      </c>
      <c r="AI79" s="253">
        <v>2968</v>
      </c>
      <c r="AJ79" s="253">
        <v>326</v>
      </c>
      <c r="AK79" s="253">
        <v>32995</v>
      </c>
      <c r="AL79" s="253">
        <v>1</v>
      </c>
      <c r="AM79" s="245"/>
      <c r="AN79" s="253" t="s">
        <v>608</v>
      </c>
      <c r="AO79" s="253">
        <v>15190033007.459999</v>
      </c>
      <c r="AP79" s="253">
        <v>69283</v>
      </c>
      <c r="AQ79" s="253">
        <v>7733</v>
      </c>
      <c r="AR79" s="253">
        <v>620333</v>
      </c>
      <c r="AS79" s="253">
        <v>1</v>
      </c>
      <c r="AT79" s="245"/>
      <c r="AU79" s="253" t="s">
        <v>608</v>
      </c>
      <c r="AV79" s="253">
        <v>790545266.87</v>
      </c>
      <c r="AW79" s="253">
        <v>3524</v>
      </c>
      <c r="AX79" s="253">
        <v>534</v>
      </c>
      <c r="AY79" s="253">
        <v>29466</v>
      </c>
      <c r="AZ79" s="253">
        <v>1</v>
      </c>
      <c r="BA79" s="245"/>
      <c r="BB79" s="253" t="s">
        <v>606</v>
      </c>
      <c r="BC79" s="253">
        <v>7722790218.665</v>
      </c>
      <c r="BD79" s="253">
        <v>31994</v>
      </c>
      <c r="BE79" s="253">
        <v>2578</v>
      </c>
      <c r="BF79" s="253">
        <v>289486</v>
      </c>
      <c r="BG79" s="253">
        <v>1</v>
      </c>
      <c r="BH79" s="245" t="s">
        <v>606</v>
      </c>
      <c r="BI79" s="253">
        <v>315839634.70499998</v>
      </c>
      <c r="BJ79" s="253">
        <v>1328</v>
      </c>
      <c r="BK79" s="253">
        <v>74</v>
      </c>
      <c r="BL79" s="253">
        <v>11789</v>
      </c>
      <c r="BM79" s="253">
        <v>1</v>
      </c>
      <c r="BN79" s="253"/>
      <c r="BO79" s="251"/>
      <c r="BP79" s="263">
        <v>1624804322.4299901</v>
      </c>
      <c r="BQ79" s="263">
        <v>203482</v>
      </c>
      <c r="BR79" s="263">
        <v>19257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19.215812069999998</v>
      </c>
      <c r="I80" s="164"/>
      <c r="J80" s="3"/>
      <c r="K80" s="228"/>
      <c r="L80" s="228"/>
      <c r="M80" s="228"/>
      <c r="O80" s="241" t="s">
        <v>309</v>
      </c>
      <c r="P80" s="241">
        <v>17.088347160000001</v>
      </c>
      <c r="Q80" s="239"/>
      <c r="R80" s="153" t="s">
        <v>457</v>
      </c>
      <c r="S80" s="253" t="s">
        <v>565</v>
      </c>
      <c r="T80" s="258" t="s">
        <v>566</v>
      </c>
      <c r="U80" s="258" t="s">
        <v>567</v>
      </c>
      <c r="V80" s="258" t="s">
        <v>568</v>
      </c>
      <c r="W80" s="258" t="s">
        <v>569</v>
      </c>
      <c r="X80" s="258" t="s">
        <v>570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607</v>
      </c>
      <c r="BC80" s="245">
        <v>16633149560.99999</v>
      </c>
      <c r="BD80" s="245">
        <v>87779</v>
      </c>
      <c r="BE80" s="245">
        <v>11878</v>
      </c>
      <c r="BF80" s="245">
        <v>854121</v>
      </c>
      <c r="BG80" s="245">
        <v>1</v>
      </c>
      <c r="BH80" s="245" t="s">
        <v>607</v>
      </c>
      <c r="BI80" s="245">
        <v>693579380.89999998</v>
      </c>
      <c r="BJ80" s="245">
        <v>3734</v>
      </c>
      <c r="BK80" s="245">
        <v>508</v>
      </c>
      <c r="BL80" s="245">
        <v>39391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1303.58558272</v>
      </c>
      <c r="I81" s="164"/>
      <c r="J81" s="3"/>
      <c r="K81" s="228"/>
      <c r="L81" s="228"/>
      <c r="M81" s="228"/>
      <c r="O81" s="241" t="s">
        <v>311</v>
      </c>
      <c r="P81" s="241">
        <v>1150.0756960599999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222915</v>
      </c>
      <c r="X81" s="258">
        <v>0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608</v>
      </c>
      <c r="BC81" s="245">
        <v>10863374468.43</v>
      </c>
      <c r="BD81" s="245">
        <v>54154</v>
      </c>
      <c r="BE81" s="245">
        <v>6046</v>
      </c>
      <c r="BF81" s="245">
        <v>672600</v>
      </c>
      <c r="BG81" s="245">
        <v>1</v>
      </c>
      <c r="BH81" s="245" t="s">
        <v>608</v>
      </c>
      <c r="BI81" s="245">
        <v>526115924.63</v>
      </c>
      <c r="BJ81" s="245">
        <v>2663</v>
      </c>
      <c r="BK81" s="245">
        <v>375</v>
      </c>
      <c r="BL81" s="245">
        <v>29568</v>
      </c>
      <c r="BM81" s="245">
        <v>1</v>
      </c>
      <c r="BN81" s="245"/>
      <c r="BO81" s="256" t="s">
        <v>479</v>
      </c>
      <c r="BP81" s="264" t="s">
        <v>566</v>
      </c>
      <c r="BQ81" s="264" t="s">
        <v>567</v>
      </c>
      <c r="BR81" s="264" t="s">
        <v>568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9102.3262837399998</v>
      </c>
      <c r="I82" s="164"/>
      <c r="J82" s="157"/>
      <c r="K82" s="228"/>
      <c r="L82" s="228"/>
      <c r="M82" s="228"/>
      <c r="O82" s="241" t="s">
        <v>312</v>
      </c>
      <c r="P82" s="241">
        <v>9275.9826146399992</v>
      </c>
      <c r="Q82" s="239"/>
      <c r="R82" s="157"/>
      <c r="S82" s="253" t="s">
        <v>446</v>
      </c>
      <c r="T82" s="258">
        <v>33645231</v>
      </c>
      <c r="U82" s="258">
        <v>3712</v>
      </c>
      <c r="V82" s="258">
        <v>34</v>
      </c>
      <c r="W82" s="258">
        <v>1068544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391982737774.14899</v>
      </c>
      <c r="BQ82" s="263">
        <v>1868754</v>
      </c>
      <c r="BR82" s="263">
        <v>234846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1182.3868278299999</v>
      </c>
      <c r="I83" s="164"/>
      <c r="J83" s="157"/>
      <c r="K83" s="228"/>
      <c r="L83" s="228"/>
      <c r="M83" s="228"/>
      <c r="O83" s="241" t="s">
        <v>313</v>
      </c>
      <c r="P83" s="241">
        <v>1138.1979481000001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11467.679414099999</v>
      </c>
      <c r="I84" s="164"/>
      <c r="J84" s="157"/>
      <c r="K84" s="228"/>
      <c r="L84" s="228"/>
      <c r="M84" s="228"/>
      <c r="O84" s="241" t="s">
        <v>60</v>
      </c>
      <c r="P84" s="241">
        <v>11352.99630705</v>
      </c>
      <c r="Q84" s="239"/>
      <c r="R84" s="157"/>
      <c r="S84" s="253" t="s">
        <v>447</v>
      </c>
      <c r="T84" s="258">
        <v>274707735.50999999</v>
      </c>
      <c r="U84" s="258">
        <v>607015</v>
      </c>
      <c r="V84" s="258">
        <v>54</v>
      </c>
      <c r="W84" s="258">
        <v>2518229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566</v>
      </c>
      <c r="BQ84" s="264" t="s">
        <v>567</v>
      </c>
      <c r="BR84" s="264" t="s">
        <v>568</v>
      </c>
    </row>
    <row r="85" spans="1:70" x14ac:dyDescent="0.2">
      <c r="A85" s="149"/>
      <c r="B85" s="190" t="s">
        <v>557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12584.36994092</v>
      </c>
      <c r="I85" s="164"/>
      <c r="J85" s="157"/>
      <c r="K85" s="228"/>
      <c r="L85" s="228"/>
      <c r="M85" s="228"/>
      <c r="O85" s="241" t="s">
        <v>53</v>
      </c>
      <c r="P85" s="241">
        <v>12461.577867829999</v>
      </c>
      <c r="Q85" s="239"/>
      <c r="R85" s="157"/>
      <c r="S85" s="253" t="s">
        <v>571</v>
      </c>
      <c r="T85" s="258">
        <v>0</v>
      </c>
      <c r="U85" s="258">
        <v>0</v>
      </c>
      <c r="V85" s="258">
        <v>0</v>
      </c>
      <c r="W85" s="258">
        <v>0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2267688207.9699898</v>
      </c>
      <c r="BQ85" s="263">
        <v>191220</v>
      </c>
      <c r="BR85" s="263">
        <v>19336</v>
      </c>
    </row>
    <row r="86" spans="1:70" x14ac:dyDescent="0.2">
      <c r="A86" s="149"/>
      <c r="B86" s="190" t="s">
        <v>558</v>
      </c>
      <c r="C86" s="193">
        <v>42118</v>
      </c>
      <c r="D86" s="190">
        <v>1225.1600000000001</v>
      </c>
      <c r="E86" s="223">
        <v>1</v>
      </c>
      <c r="F86" s="213"/>
      <c r="G86" s="223" t="s">
        <v>551</v>
      </c>
      <c r="H86" s="223">
        <v>18073.82931329</v>
      </c>
      <c r="I86" s="164"/>
      <c r="J86" s="157"/>
      <c r="K86" s="228"/>
      <c r="L86" s="228"/>
      <c r="M86" s="228"/>
      <c r="O86" s="241" t="s">
        <v>551</v>
      </c>
      <c r="P86" s="241">
        <v>17880.234364619999</v>
      </c>
      <c r="Q86" s="239"/>
      <c r="R86" s="157"/>
      <c r="S86" s="253" t="s">
        <v>451</v>
      </c>
      <c r="T86" s="258">
        <v>0</v>
      </c>
      <c r="U86" s="258">
        <v>0</v>
      </c>
      <c r="V86" s="258">
        <v>0</v>
      </c>
      <c r="W86" s="258">
        <v>301241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559</v>
      </c>
      <c r="C87" s="193">
        <v>42143</v>
      </c>
      <c r="D87" s="190">
        <v>1310.1099999999999</v>
      </c>
      <c r="E87" s="223">
        <v>1</v>
      </c>
      <c r="F87" s="213"/>
      <c r="G87" s="223" t="s">
        <v>552</v>
      </c>
      <c r="H87" s="223">
        <v>18599.953639619998</v>
      </c>
      <c r="I87" s="164"/>
      <c r="J87" s="157"/>
      <c r="K87" s="228"/>
      <c r="L87" s="228"/>
      <c r="M87" s="228"/>
      <c r="O87" s="241" t="s">
        <v>552</v>
      </c>
      <c r="P87" s="241">
        <v>18410.388418179999</v>
      </c>
      <c r="Q87" s="239"/>
      <c r="R87" s="157"/>
      <c r="S87" s="253" t="s">
        <v>448</v>
      </c>
      <c r="T87" s="258">
        <v>0</v>
      </c>
      <c r="U87" s="258">
        <v>8454</v>
      </c>
      <c r="V87" s="258">
        <v>139</v>
      </c>
      <c r="W87" s="258">
        <v>961654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569</v>
      </c>
      <c r="BQ87" s="245"/>
      <c r="BR87" s="245"/>
    </row>
    <row r="88" spans="1:70" x14ac:dyDescent="0.2">
      <c r="A88" s="151"/>
      <c r="B88" s="190" t="s">
        <v>560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7671.2703368800003</v>
      </c>
      <c r="I88" s="164"/>
      <c r="J88" s="157"/>
      <c r="K88" s="228"/>
      <c r="L88" s="228"/>
      <c r="M88" s="228"/>
      <c r="O88" s="241" t="s">
        <v>314</v>
      </c>
      <c r="P88" s="241">
        <v>7065.9293116099998</v>
      </c>
      <c r="Q88" s="239"/>
      <c r="R88" s="157"/>
      <c r="S88" s="247" t="s">
        <v>182</v>
      </c>
      <c r="T88" s="247">
        <v>602042</v>
      </c>
      <c r="U88" s="247">
        <v>16500</v>
      </c>
      <c r="V88" s="247">
        <v>5</v>
      </c>
      <c r="W88" s="247">
        <v>1880974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132208</v>
      </c>
      <c r="BQ88" s="245"/>
      <c r="BR88" s="245"/>
    </row>
    <row r="89" spans="1:70" x14ac:dyDescent="0.2">
      <c r="A89" s="14"/>
      <c r="B89" s="190" t="s">
        <v>561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28973.592075559998</v>
      </c>
      <c r="I89" s="164"/>
      <c r="J89" s="157"/>
      <c r="K89" s="228"/>
      <c r="L89" s="228"/>
      <c r="M89" s="228"/>
      <c r="O89" s="241" t="s">
        <v>315</v>
      </c>
      <c r="P89" s="241">
        <v>25368.29063136</v>
      </c>
      <c r="Q89" s="239"/>
      <c r="S89" s="245" t="s">
        <v>446</v>
      </c>
      <c r="T89" s="245">
        <v>14661909410.5224</v>
      </c>
      <c r="U89" s="245">
        <v>44612</v>
      </c>
      <c r="V89" s="245">
        <v>12493</v>
      </c>
      <c r="W89" s="245">
        <v>828932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562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5706.6365482000001</v>
      </c>
      <c r="I90" s="164"/>
      <c r="J90" s="157"/>
      <c r="K90" s="228"/>
      <c r="L90" s="228"/>
      <c r="M90" s="228"/>
      <c r="O90" s="241" t="s">
        <v>316</v>
      </c>
      <c r="P90" s="241">
        <v>5613.3752566100002</v>
      </c>
      <c r="Q90" s="239"/>
      <c r="S90" s="245" t="s">
        <v>449</v>
      </c>
      <c r="T90" s="245">
        <v>205558.236</v>
      </c>
      <c r="U90" s="245">
        <v>481</v>
      </c>
      <c r="V90" s="245">
        <v>1</v>
      </c>
      <c r="W90" s="245">
        <v>12407363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569</v>
      </c>
      <c r="BQ90" s="245"/>
      <c r="BR90" s="245"/>
    </row>
    <row r="91" spans="1:70" x14ac:dyDescent="0.2">
      <c r="A91" s="149"/>
      <c r="B91" s="190" t="s">
        <v>563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12526.811499670001</v>
      </c>
      <c r="I91" s="164"/>
      <c r="J91" s="157"/>
      <c r="K91" s="228"/>
      <c r="L91" s="228"/>
      <c r="M91" s="228"/>
      <c r="O91" s="241" t="s">
        <v>72</v>
      </c>
      <c r="P91" s="241">
        <v>12987.95383172</v>
      </c>
      <c r="Q91" s="239"/>
      <c r="S91" s="245" t="s">
        <v>450</v>
      </c>
      <c r="T91" s="245">
        <v>0</v>
      </c>
      <c r="U91" s="245">
        <v>409</v>
      </c>
      <c r="V91" s="245">
        <v>1</v>
      </c>
      <c r="W91" s="245">
        <v>11899416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44610</v>
      </c>
      <c r="BQ91" s="245"/>
      <c r="BR91" s="245"/>
    </row>
    <row r="92" spans="1:70" x14ac:dyDescent="0.2">
      <c r="A92" s="149"/>
      <c r="B92" s="190" t="s">
        <v>564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30248.500482610001</v>
      </c>
      <c r="I92" s="164"/>
      <c r="J92" s="157"/>
      <c r="K92" s="228"/>
      <c r="L92" s="228"/>
      <c r="M92" s="228"/>
      <c r="O92" s="241" t="s">
        <v>74</v>
      </c>
      <c r="P92" s="241">
        <v>28789.49337068</v>
      </c>
      <c r="Q92" s="239"/>
      <c r="S92" s="245" t="s">
        <v>447</v>
      </c>
      <c r="T92" s="245">
        <v>1040439879.899</v>
      </c>
      <c r="U92" s="245">
        <v>27049</v>
      </c>
      <c r="V92" s="245">
        <v>166</v>
      </c>
      <c r="W92" s="245">
        <v>1306483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48936.926977900002</v>
      </c>
      <c r="I93" s="164"/>
      <c r="J93" s="157"/>
      <c r="K93" s="228"/>
      <c r="L93" s="228"/>
      <c r="M93" s="228"/>
      <c r="O93" s="241" t="s">
        <v>76</v>
      </c>
      <c r="P93" s="241">
        <v>47743.537224849999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548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69372.331363970006</v>
      </c>
      <c r="I94" s="164"/>
      <c r="J94" s="157"/>
      <c r="K94" s="228"/>
      <c r="L94" s="228"/>
      <c r="M94" s="228"/>
      <c r="O94" s="241" t="s">
        <v>78</v>
      </c>
      <c r="P94" s="241">
        <v>64955.850453749998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549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12449.563583429999</v>
      </c>
      <c r="I95" s="164"/>
      <c r="J95" s="157"/>
      <c r="K95" s="228"/>
      <c r="L95" s="228"/>
      <c r="M95" s="228"/>
      <c r="O95" s="241" t="s">
        <v>317</v>
      </c>
      <c r="P95" s="241">
        <v>11820.09153315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7026.1726317100001</v>
      </c>
      <c r="I96" s="164"/>
      <c r="J96" s="157"/>
      <c r="K96" s="228"/>
      <c r="L96" s="228"/>
      <c r="M96" s="228"/>
      <c r="O96" s="241" t="s">
        <v>318</v>
      </c>
      <c r="P96" s="241">
        <v>6926.6556162699999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7368.0010079800004</v>
      </c>
      <c r="I97" s="164"/>
      <c r="K97" s="228"/>
      <c r="L97" s="228"/>
      <c r="M97" s="228"/>
      <c r="O97" s="241" t="s">
        <v>88</v>
      </c>
      <c r="P97" s="241">
        <v>6618.2678684299999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24127.950053820001</v>
      </c>
      <c r="I98" s="164"/>
      <c r="K98" s="228"/>
      <c r="L98" s="228"/>
      <c r="M98" s="228"/>
      <c r="O98" s="241" t="s">
        <v>80</v>
      </c>
      <c r="P98" s="241">
        <v>23797.341409119999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710.04561040999999</v>
      </c>
      <c r="I99" s="164"/>
      <c r="K99" s="228"/>
      <c r="L99" s="228"/>
      <c r="M99" s="228"/>
      <c r="O99" s="241" t="s">
        <v>319</v>
      </c>
      <c r="P99" s="241">
        <v>704.98192907999999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5131.5673800100003</v>
      </c>
      <c r="I100" s="164"/>
      <c r="K100" s="228"/>
      <c r="L100" s="228"/>
      <c r="M100" s="228"/>
      <c r="O100" s="241" t="s">
        <v>86</v>
      </c>
      <c r="P100" s="241">
        <v>6248.9496072900001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4576.7810793500003</v>
      </c>
      <c r="I101" s="164"/>
      <c r="K101" s="228"/>
      <c r="L101" s="228"/>
      <c r="M101" s="228"/>
      <c r="O101" s="241" t="s">
        <v>320</v>
      </c>
      <c r="P101" s="241">
        <v>4885.7117094100004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43985.52563027</v>
      </c>
      <c r="I102" s="164"/>
      <c r="K102" s="228"/>
      <c r="L102" s="228"/>
      <c r="M102" s="228"/>
      <c r="O102" s="241" t="s">
        <v>82</v>
      </c>
      <c r="P102" s="241">
        <v>43902.71327837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29048.398740230001</v>
      </c>
      <c r="I103" s="164"/>
      <c r="K103" s="228"/>
      <c r="L103" s="228"/>
      <c r="M103" s="228"/>
      <c r="O103" s="241" t="s">
        <v>84</v>
      </c>
      <c r="P103" s="241">
        <v>29842.89586737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8700.7850894399999</v>
      </c>
      <c r="I104" s="164"/>
      <c r="K104" s="228"/>
      <c r="L104" s="228"/>
      <c r="M104" s="228"/>
      <c r="O104" s="241" t="s">
        <v>321</v>
      </c>
      <c r="P104" s="241">
        <v>8586.55957958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1614.2257454400001</v>
      </c>
      <c r="I105" s="164"/>
      <c r="K105" s="228"/>
      <c r="L105" s="228"/>
      <c r="M105" s="228"/>
      <c r="O105" s="241" t="s">
        <v>322</v>
      </c>
      <c r="P105" s="241">
        <v>1617.4355799</v>
      </c>
    </row>
    <row r="106" spans="1:16" x14ac:dyDescent="0.2">
      <c r="B106" s="190" t="s">
        <v>285</v>
      </c>
      <c r="C106" s="193">
        <v>43342</v>
      </c>
      <c r="D106" s="190">
        <v>406.47016258000002</v>
      </c>
      <c r="E106" s="223">
        <v>1</v>
      </c>
      <c r="F106" s="213"/>
      <c r="G106" s="223" t="s">
        <v>323</v>
      </c>
      <c r="H106" s="223">
        <v>167.07895782</v>
      </c>
      <c r="I106" s="164"/>
      <c r="K106" s="228"/>
      <c r="L106" s="228"/>
      <c r="M106" s="228"/>
      <c r="O106" s="241" t="s">
        <v>323</v>
      </c>
      <c r="P106" s="241">
        <v>205.68480452</v>
      </c>
    </row>
    <row r="107" spans="1:16" x14ac:dyDescent="0.2">
      <c r="B107" s="190" t="s">
        <v>286</v>
      </c>
      <c r="C107" s="193">
        <v>43342</v>
      </c>
      <c r="D107" s="190">
        <v>294.98163340000002</v>
      </c>
      <c r="E107" s="223">
        <v>1</v>
      </c>
      <c r="F107" s="213"/>
      <c r="G107" s="223" t="s">
        <v>553</v>
      </c>
      <c r="H107" s="223">
        <v>14560.48435798</v>
      </c>
      <c r="I107" s="164"/>
      <c r="K107" s="228"/>
      <c r="L107" s="228"/>
      <c r="M107" s="228"/>
      <c r="O107" s="241" t="s">
        <v>553</v>
      </c>
      <c r="P107" s="241">
        <v>14167.24762048</v>
      </c>
    </row>
    <row r="108" spans="1:16" x14ac:dyDescent="0.2">
      <c r="B108" s="190" t="s">
        <v>287</v>
      </c>
      <c r="C108" s="193">
        <v>43342</v>
      </c>
      <c r="D108" s="190">
        <v>224.81611802</v>
      </c>
      <c r="E108" s="223">
        <v>1</v>
      </c>
      <c r="F108" s="209"/>
      <c r="G108" s="223" t="s">
        <v>554</v>
      </c>
      <c r="H108" s="223">
        <v>14019.9304175</v>
      </c>
      <c r="I108" s="164"/>
      <c r="K108" s="228"/>
      <c r="L108" s="228"/>
      <c r="M108" s="228"/>
      <c r="O108" s="241" t="s">
        <v>554</v>
      </c>
      <c r="P108" s="241">
        <v>13690.96048605</v>
      </c>
    </row>
    <row r="109" spans="1:16" x14ac:dyDescent="0.2">
      <c r="B109" s="190" t="s">
        <v>288</v>
      </c>
      <c r="C109" s="193">
        <v>43342</v>
      </c>
      <c r="D109" s="190">
        <v>533.59777632999999</v>
      </c>
      <c r="E109" s="223">
        <v>1</v>
      </c>
      <c r="F109" s="209"/>
      <c r="G109" s="223" t="s">
        <v>555</v>
      </c>
      <c r="H109" s="223">
        <v>10810.69347604</v>
      </c>
      <c r="I109" s="164"/>
      <c r="K109" s="228"/>
      <c r="L109" s="228"/>
      <c r="M109" s="228"/>
      <c r="O109" s="241" t="s">
        <v>555</v>
      </c>
      <c r="P109" s="241">
        <v>10725.162228110001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9474.5309488300009</v>
      </c>
      <c r="I110" s="164"/>
      <c r="K110" s="228"/>
      <c r="L110" s="228"/>
      <c r="M110" s="228"/>
      <c r="O110" s="241" t="s">
        <v>324</v>
      </c>
      <c r="P110" s="241">
        <v>9719.5347546100002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80132.93942291</v>
      </c>
      <c r="I111" s="164"/>
      <c r="K111" s="228"/>
      <c r="L111" s="228"/>
      <c r="M111" s="228"/>
      <c r="O111" s="241" t="s">
        <v>325</v>
      </c>
      <c r="P111" s="241">
        <v>79821.045539879997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43047.378309909996</v>
      </c>
      <c r="I112" s="164"/>
      <c r="K112" s="228"/>
      <c r="L112" s="228"/>
      <c r="M112" s="228"/>
      <c r="O112" s="241" t="s">
        <v>326</v>
      </c>
      <c r="P112" s="241">
        <v>42082.436929019997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1252.705856</v>
      </c>
      <c r="I113" s="164"/>
      <c r="K113" s="228"/>
      <c r="L113" s="228"/>
      <c r="M113" s="228"/>
      <c r="O113" s="241" t="s">
        <v>327</v>
      </c>
      <c r="P113" s="241">
        <v>1155.6377843499999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747.52378891000001</v>
      </c>
      <c r="I114" s="164"/>
      <c r="K114" s="228"/>
      <c r="L114" s="228"/>
      <c r="M114" s="228"/>
      <c r="O114" s="241" t="s">
        <v>190</v>
      </c>
      <c r="P114" s="241">
        <v>746.76131412999996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3653.8401430899999</v>
      </c>
      <c r="I115" s="164"/>
      <c r="K115" s="228"/>
      <c r="L115" s="228"/>
      <c r="M115" s="228"/>
      <c r="O115" s="241" t="s">
        <v>329</v>
      </c>
      <c r="P115" s="241">
        <v>3636.9340538400002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4704.0726376800003</v>
      </c>
      <c r="I116" s="164"/>
      <c r="K116" s="228"/>
      <c r="L116" s="228"/>
      <c r="M116" s="228"/>
      <c r="O116" s="241" t="s">
        <v>330</v>
      </c>
      <c r="P116" s="241">
        <v>4216.0624189600003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622.74500799999998</v>
      </c>
      <c r="I117" s="164"/>
      <c r="K117" s="228"/>
      <c r="L117" s="228"/>
      <c r="M117" s="228"/>
      <c r="O117" s="241" t="s">
        <v>331</v>
      </c>
      <c r="P117" s="241">
        <v>639.77758609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70.154388440000005</v>
      </c>
      <c r="I118" s="164"/>
      <c r="K118" s="228"/>
      <c r="L118" s="228"/>
      <c r="M118" s="228"/>
      <c r="O118" s="241" t="s">
        <v>333</v>
      </c>
      <c r="P118" s="241">
        <v>74.40785837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133.16129029000001</v>
      </c>
      <c r="I119" s="164"/>
      <c r="K119" s="228"/>
      <c r="L119" s="228"/>
      <c r="M119" s="228"/>
      <c r="O119" s="241" t="s">
        <v>334</v>
      </c>
      <c r="P119" s="241">
        <v>126.2691133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51.79196065</v>
      </c>
      <c r="I120" s="164"/>
      <c r="K120" s="228"/>
      <c r="L120" s="228"/>
      <c r="M120" s="228"/>
      <c r="O120" s="241" t="s">
        <v>335</v>
      </c>
      <c r="P120" s="241">
        <v>53.619142859999997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94.21177677</v>
      </c>
      <c r="I121" s="164"/>
      <c r="K121" s="228"/>
      <c r="L121" s="228"/>
      <c r="M121" s="228"/>
      <c r="O121" s="241" t="s">
        <v>336</v>
      </c>
      <c r="P121" s="241">
        <v>87.200280890000002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52464.009408149999</v>
      </c>
      <c r="I122" s="164"/>
      <c r="K122" s="228"/>
      <c r="L122" s="228"/>
      <c r="M122" s="228"/>
      <c r="O122" s="241" t="s">
        <v>337</v>
      </c>
      <c r="P122" s="241">
        <v>51314.99702422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3849.19627438</v>
      </c>
      <c r="I123" s="164"/>
      <c r="K123" s="228"/>
      <c r="L123" s="228"/>
      <c r="M123" s="228"/>
      <c r="O123" s="241" t="s">
        <v>338</v>
      </c>
      <c r="P123" s="241">
        <v>4211.1209305100001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58668.477890039998</v>
      </c>
      <c r="I124" s="164"/>
      <c r="K124" s="228"/>
      <c r="L124" s="228"/>
      <c r="M124" s="228"/>
      <c r="O124" s="241" t="s">
        <v>339</v>
      </c>
      <c r="P124" s="241">
        <v>57432.461255210001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12584.36994092</v>
      </c>
      <c r="I125" s="164"/>
      <c r="K125" s="228"/>
      <c r="L125" s="228"/>
      <c r="M125" s="228"/>
      <c r="O125" s="241" t="s">
        <v>340</v>
      </c>
      <c r="P125" s="241">
        <v>12461.577867829999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837.02960532999998</v>
      </c>
      <c r="I126" s="164"/>
      <c r="K126" s="228"/>
      <c r="L126" s="228"/>
      <c r="M126" s="228"/>
      <c r="O126" s="241" t="s">
        <v>341</v>
      </c>
      <c r="P126" s="241">
        <v>824.93302000000006</v>
      </c>
    </row>
    <row r="127" spans="2:16" x14ac:dyDescent="0.2">
      <c r="B127" s="190" t="s">
        <v>303</v>
      </c>
      <c r="C127" s="193">
        <v>43341</v>
      </c>
      <c r="D127" s="190">
        <v>13134.966</v>
      </c>
      <c r="E127" s="223">
        <v>1</v>
      </c>
      <c r="F127" s="209"/>
      <c r="G127" s="223" t="s">
        <v>343</v>
      </c>
      <c r="H127" s="223">
        <v>3215.5506999099998</v>
      </c>
      <c r="I127" s="164"/>
      <c r="K127" s="228"/>
      <c r="L127" s="228"/>
      <c r="M127" s="228"/>
      <c r="O127" s="241" t="s">
        <v>343</v>
      </c>
      <c r="P127" s="241">
        <v>3170.2200355999998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11467.679414099999</v>
      </c>
      <c r="I128" s="164"/>
      <c r="K128" s="228"/>
      <c r="L128" s="228"/>
      <c r="M128" s="228"/>
      <c r="O128" s="241" t="s">
        <v>344</v>
      </c>
      <c r="P128" s="241">
        <v>11352.99630705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28169.84</v>
      </c>
      <c r="I129" s="164"/>
      <c r="K129" s="228"/>
      <c r="L129" s="228"/>
      <c r="M129" s="228"/>
      <c r="O129" s="241" t="s">
        <v>345</v>
      </c>
      <c r="P129" s="241">
        <v>29206.84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11059.84</v>
      </c>
      <c r="I130" s="164"/>
      <c r="K130" s="228"/>
      <c r="L130" s="228"/>
      <c r="M130" s="228"/>
      <c r="O130" s="241" t="s">
        <v>346</v>
      </c>
      <c r="P130" s="241">
        <v>10024.959999999999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18559.29</v>
      </c>
      <c r="I131" s="164"/>
      <c r="K131" s="228"/>
      <c r="L131" s="228"/>
      <c r="M131" s="228"/>
      <c r="O131" s="241" t="s">
        <v>347</v>
      </c>
      <c r="P131" s="241">
        <v>16733.75</v>
      </c>
    </row>
    <row r="132" spans="2:16" x14ac:dyDescent="0.2">
      <c r="B132" s="190" t="s">
        <v>550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3795.54</v>
      </c>
      <c r="I132" s="164"/>
      <c r="K132" s="228"/>
      <c r="L132" s="228"/>
      <c r="M132" s="228"/>
      <c r="O132" s="241" t="s">
        <v>348</v>
      </c>
      <c r="P132" s="241">
        <v>4138.68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4511.79</v>
      </c>
      <c r="I133" s="164"/>
      <c r="K133" s="228"/>
      <c r="L133" s="228"/>
      <c r="M133" s="228"/>
      <c r="O133" s="241" t="s">
        <v>349</v>
      </c>
      <c r="P133" s="241">
        <v>4418.8599999999997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2809.11</v>
      </c>
      <c r="I134" s="164"/>
      <c r="K134" s="228"/>
      <c r="L134" s="228"/>
      <c r="M134" s="228"/>
      <c r="O134" s="241" t="s">
        <v>350</v>
      </c>
      <c r="P134" s="241">
        <v>2749.2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21871.78</v>
      </c>
      <c r="I135" s="164"/>
      <c r="K135" s="228"/>
      <c r="L135" s="228"/>
      <c r="M135" s="228"/>
      <c r="O135" s="241" t="s">
        <v>351</v>
      </c>
      <c r="P135" s="241">
        <v>21162.080000000002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2775.37</v>
      </c>
      <c r="I136" s="164"/>
      <c r="K136" s="228"/>
      <c r="L136" s="228"/>
      <c r="M136" s="228"/>
      <c r="O136" s="241" t="s">
        <v>352</v>
      </c>
      <c r="P136" s="241">
        <v>2978.31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5894.63</v>
      </c>
      <c r="I137" s="164"/>
      <c r="K137" s="228"/>
      <c r="L137" s="228"/>
      <c r="M137" s="228"/>
      <c r="O137" s="241" t="s">
        <v>353</v>
      </c>
      <c r="P137" s="241">
        <v>5767.8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6318.6</v>
      </c>
      <c r="I138" s="164"/>
      <c r="K138" s="228"/>
      <c r="L138" s="228"/>
      <c r="M138" s="228"/>
      <c r="O138" s="241" t="s">
        <v>354</v>
      </c>
      <c r="P138" s="241">
        <v>6197.55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4802.59</v>
      </c>
      <c r="I139" s="164"/>
      <c r="K139" s="228"/>
      <c r="L139" s="228"/>
      <c r="M139" s="228"/>
      <c r="O139" s="241" t="s">
        <v>355</v>
      </c>
      <c r="P139" s="241">
        <v>5003.45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7028.97</v>
      </c>
      <c r="I140" s="164"/>
      <c r="K140" s="228"/>
      <c r="L140" s="228"/>
      <c r="M140" s="228"/>
      <c r="O140" s="241" t="s">
        <v>356</v>
      </c>
      <c r="P140" s="241">
        <v>6232.78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19277.52</v>
      </c>
      <c r="I141" s="164"/>
      <c r="K141" s="228"/>
      <c r="L141" s="228"/>
      <c r="M141" s="228"/>
      <c r="O141" s="241" t="s">
        <v>357</v>
      </c>
      <c r="P141" s="241">
        <v>20304.599999999999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12813.51</v>
      </c>
      <c r="I142" s="164"/>
      <c r="K142" s="228"/>
      <c r="L142" s="228"/>
      <c r="M142" s="228"/>
      <c r="O142" s="241" t="s">
        <v>358</v>
      </c>
      <c r="P142" s="241">
        <v>13906.06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742.52</v>
      </c>
      <c r="I143" s="164"/>
      <c r="K143" s="228"/>
      <c r="L143" s="228"/>
      <c r="M143" s="228"/>
      <c r="O143" s="241" t="s">
        <v>359</v>
      </c>
      <c r="P143" s="241">
        <v>660.31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50372.15</v>
      </c>
      <c r="I144" s="164"/>
      <c r="K144" s="228"/>
      <c r="L144" s="228"/>
      <c r="M144" s="228"/>
      <c r="O144" s="241" t="s">
        <v>360</v>
      </c>
      <c r="P144" s="241">
        <v>44440.34</v>
      </c>
    </row>
    <row r="145" spans="2:16" x14ac:dyDescent="0.2">
      <c r="B145" s="190" t="s">
        <v>551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8937.31</v>
      </c>
      <c r="I145" s="164"/>
      <c r="K145" s="228"/>
      <c r="L145" s="228"/>
      <c r="M145" s="228"/>
      <c r="O145" s="241" t="s">
        <v>361</v>
      </c>
      <c r="P145" s="241">
        <v>9107.81</v>
      </c>
    </row>
    <row r="146" spans="2:16" x14ac:dyDescent="0.2">
      <c r="B146" s="190" t="s">
        <v>552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16280.66</v>
      </c>
      <c r="I146" s="164"/>
      <c r="K146" s="228"/>
      <c r="L146" s="228"/>
      <c r="M146" s="228"/>
      <c r="O146" s="241" t="s">
        <v>362</v>
      </c>
      <c r="P146" s="241">
        <v>14995.95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24916.560000000001</v>
      </c>
      <c r="I147" s="164"/>
      <c r="K147" s="228"/>
      <c r="L147" s="228"/>
      <c r="M147" s="228"/>
      <c r="O147" s="241" t="s">
        <v>363</v>
      </c>
      <c r="P147" s="241">
        <v>21816.09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32374.77</v>
      </c>
      <c r="I148" s="164"/>
      <c r="K148" s="228"/>
      <c r="L148" s="228"/>
      <c r="M148" s="228"/>
      <c r="O148" s="241" t="s">
        <v>364</v>
      </c>
      <c r="P148" s="241">
        <v>30737.9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12011.95</v>
      </c>
      <c r="I149" s="164"/>
      <c r="K149" s="228"/>
      <c r="L149" s="228"/>
      <c r="M149" s="228"/>
      <c r="O149" s="241" t="s">
        <v>365</v>
      </c>
      <c r="P149" s="241">
        <v>11841.82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97710.56</v>
      </c>
      <c r="I150" s="164"/>
      <c r="K150" s="228"/>
      <c r="L150" s="228"/>
      <c r="M150" s="228"/>
      <c r="O150" s="241" t="s">
        <v>366</v>
      </c>
      <c r="P150" s="241">
        <v>97013.17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6109.28</v>
      </c>
      <c r="I151" s="164"/>
      <c r="K151" s="228"/>
      <c r="L151" s="228"/>
      <c r="M151" s="228"/>
      <c r="O151" s="241" t="s">
        <v>367</v>
      </c>
      <c r="P151" s="241">
        <v>6521.65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4726.8</v>
      </c>
      <c r="I152" s="164"/>
      <c r="K152" s="228"/>
      <c r="L152" s="228"/>
      <c r="M152" s="228"/>
      <c r="O152" s="241" t="s">
        <v>368</v>
      </c>
      <c r="P152" s="241">
        <v>4736.2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6456.14</v>
      </c>
      <c r="I153" s="164"/>
      <c r="K153" s="228"/>
      <c r="L153" s="228"/>
      <c r="M153" s="228"/>
      <c r="O153" s="241" t="s">
        <v>369</v>
      </c>
      <c r="P153" s="241">
        <v>7947.91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12804.79</v>
      </c>
      <c r="I154" s="164"/>
      <c r="K154" s="228"/>
      <c r="L154" s="228"/>
      <c r="M154" s="228"/>
      <c r="O154" s="241" t="s">
        <v>370</v>
      </c>
      <c r="P154" s="241">
        <v>13135.91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18933.349999999999</v>
      </c>
      <c r="I155" s="164"/>
      <c r="K155" s="228"/>
      <c r="L155" s="228"/>
      <c r="M155" s="228"/>
      <c r="O155" s="241" t="s">
        <v>371</v>
      </c>
      <c r="P155" s="241">
        <v>18859.650000000001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13545.97</v>
      </c>
      <c r="I156" s="164"/>
      <c r="K156" s="228"/>
      <c r="L156" s="228"/>
      <c r="M156" s="228"/>
      <c r="O156" s="241" t="s">
        <v>372</v>
      </c>
      <c r="P156" s="241">
        <v>13209.19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9401.49</v>
      </c>
      <c r="I157" s="164"/>
      <c r="K157" s="228"/>
      <c r="L157" s="228"/>
      <c r="M157" s="228"/>
      <c r="O157" s="241" t="s">
        <v>373</v>
      </c>
      <c r="P157" s="241">
        <v>8672.7900000000009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5957.71</v>
      </c>
      <c r="I158" s="164"/>
      <c r="K158" s="228"/>
      <c r="L158" s="228"/>
      <c r="M158" s="228"/>
      <c r="O158" s="241" t="s">
        <v>374</v>
      </c>
      <c r="P158" s="241">
        <v>5950.95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8043.07</v>
      </c>
      <c r="I159" s="164"/>
      <c r="K159" s="228"/>
      <c r="L159" s="228"/>
      <c r="M159" s="228"/>
      <c r="O159" s="241" t="s">
        <v>375</v>
      </c>
      <c r="P159" s="241">
        <v>8013.96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10676.66</v>
      </c>
      <c r="I160" s="164"/>
      <c r="K160" s="228"/>
      <c r="L160" s="228"/>
      <c r="M160" s="228"/>
      <c r="O160" s="241" t="s">
        <v>376</v>
      </c>
      <c r="P160" s="241">
        <v>9569.0400000000009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11475.75</v>
      </c>
      <c r="I161" s="164"/>
      <c r="K161" s="228"/>
      <c r="L161" s="228"/>
      <c r="M161" s="228"/>
      <c r="O161" s="241" t="s">
        <v>377</v>
      </c>
      <c r="P161" s="241">
        <v>11789.62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28169.84</v>
      </c>
      <c r="I162" s="164"/>
      <c r="K162" s="228"/>
      <c r="L162" s="228"/>
      <c r="M162" s="228"/>
      <c r="O162" s="241" t="s">
        <v>379</v>
      </c>
      <c r="P162" s="241">
        <v>29206.84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5926.15</v>
      </c>
      <c r="I163" s="164"/>
      <c r="K163" s="228"/>
      <c r="L163" s="228"/>
      <c r="M163" s="228"/>
      <c r="O163" s="241" t="s">
        <v>380</v>
      </c>
      <c r="P163" s="241">
        <v>5596.61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10931.98</v>
      </c>
      <c r="I164" s="164"/>
      <c r="K164" s="228"/>
      <c r="L164" s="228"/>
      <c r="M164" s="228"/>
      <c r="O164" s="241" t="s">
        <v>381</v>
      </c>
      <c r="P164" s="241">
        <v>10665.39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16024.61</v>
      </c>
      <c r="I165" s="164"/>
      <c r="K165" s="228"/>
      <c r="L165" s="228"/>
      <c r="M165" s="228"/>
      <c r="O165" s="241" t="s">
        <v>382</v>
      </c>
      <c r="P165" s="241">
        <v>16078.03</v>
      </c>
    </row>
    <row r="166" spans="2:16" x14ac:dyDescent="0.2">
      <c r="B166" s="190" t="s">
        <v>553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20341.759999999998</v>
      </c>
      <c r="I166" s="164"/>
      <c r="K166" s="228"/>
      <c r="L166" s="228"/>
      <c r="M166" s="228"/>
      <c r="O166" s="241" t="s">
        <v>383</v>
      </c>
      <c r="P166" s="241">
        <v>18271.87</v>
      </c>
    </row>
    <row r="167" spans="2:16" x14ac:dyDescent="0.2">
      <c r="B167" s="190" t="s">
        <v>554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40728.720000000001</v>
      </c>
      <c r="I167" s="164"/>
      <c r="K167" s="228"/>
      <c r="L167" s="228"/>
      <c r="M167" s="228"/>
      <c r="O167" s="241" t="s">
        <v>384</v>
      </c>
      <c r="P167" s="241">
        <v>40170.5</v>
      </c>
    </row>
    <row r="168" spans="2:16" x14ac:dyDescent="0.2">
      <c r="B168" s="190" t="s">
        <v>555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5902.52</v>
      </c>
      <c r="I168" s="164"/>
      <c r="K168" s="228"/>
      <c r="L168" s="228"/>
      <c r="M168" s="228"/>
      <c r="O168" s="241" t="s">
        <v>385</v>
      </c>
      <c r="P168" s="241">
        <v>7187.78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10605.2</v>
      </c>
      <c r="I169" s="164"/>
      <c r="K169" s="228"/>
      <c r="L169" s="228"/>
      <c r="M169" s="228"/>
      <c r="O169" s="241" t="s">
        <v>386</v>
      </c>
      <c r="P169" s="241">
        <v>10588.83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10672.2</v>
      </c>
      <c r="I170" s="164"/>
      <c r="K170" s="228"/>
      <c r="L170" s="228"/>
      <c r="M170" s="228"/>
      <c r="O170" s="241" t="s">
        <v>387</v>
      </c>
      <c r="P170" s="241">
        <v>10964.09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4447.1499999999996</v>
      </c>
      <c r="I171" s="164"/>
      <c r="K171" s="228"/>
      <c r="L171" s="228"/>
      <c r="M171" s="228"/>
      <c r="O171" s="241" t="s">
        <v>388</v>
      </c>
      <c r="P171" s="241">
        <v>4181.25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19923.22</v>
      </c>
      <c r="I172" s="164"/>
      <c r="K172" s="228"/>
      <c r="L172" s="228"/>
      <c r="M172" s="228"/>
      <c r="O172" s="241" t="s">
        <v>389</v>
      </c>
      <c r="P172" s="241">
        <v>19903.29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14249.35</v>
      </c>
      <c r="I173" s="164"/>
      <c r="K173" s="228"/>
      <c r="L173" s="228"/>
      <c r="M173" s="228"/>
      <c r="O173" s="241" t="s">
        <v>390</v>
      </c>
      <c r="P173" s="241">
        <v>14301.67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18014.63</v>
      </c>
      <c r="I174" s="164"/>
      <c r="K174" s="228"/>
      <c r="L174" s="228"/>
      <c r="M174" s="228"/>
      <c r="O174" s="241" t="s">
        <v>391</v>
      </c>
      <c r="P174" s="241">
        <v>18085.87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4695.51</v>
      </c>
      <c r="I175" s="164"/>
      <c r="K175" s="228"/>
      <c r="L175" s="228"/>
      <c r="M175" s="228"/>
      <c r="O175" s="241" t="s">
        <v>392</v>
      </c>
      <c r="P175" s="241">
        <v>4437.09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18061.38</v>
      </c>
      <c r="I176" s="164"/>
      <c r="K176" s="228"/>
      <c r="L176" s="228"/>
      <c r="M176" s="228"/>
      <c r="O176" s="241" t="s">
        <v>393</v>
      </c>
      <c r="P176" s="241">
        <v>18050.240000000002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13864.99</v>
      </c>
      <c r="I177" s="164"/>
      <c r="K177" s="228"/>
      <c r="L177" s="228"/>
      <c r="M177" s="228"/>
      <c r="O177" s="241" t="s">
        <v>394</v>
      </c>
      <c r="P177" s="241">
        <v>13843.59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16602.439999999999</v>
      </c>
      <c r="I178" s="164"/>
      <c r="K178" s="228"/>
      <c r="L178" s="228"/>
      <c r="M178" s="228"/>
      <c r="O178" s="241" t="s">
        <v>395</v>
      </c>
      <c r="P178" s="241">
        <v>16586.96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50368.893525580002</v>
      </c>
      <c r="I179" s="164"/>
      <c r="K179" s="228"/>
      <c r="L179" s="228"/>
      <c r="M179" s="228"/>
      <c r="O179" s="241" t="s">
        <v>396</v>
      </c>
      <c r="P179" s="241">
        <v>49178.687335640003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43329</v>
      </c>
      <c r="D182" s="190">
        <v>96.897544670000002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43343</v>
      </c>
      <c r="D192" s="190">
        <v>11059.84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43343</v>
      </c>
      <c r="D193" s="190">
        <v>18559.29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43343</v>
      </c>
      <c r="D226" s="190">
        <v>5926.15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20180831</JSEDescription>
    <JSEDate xmlns="a5d7cc70-31c1-4b2e-9a12-faea9898ee50">2018-09-07T07:00:00+00:00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BD2A1AB3-E73A-4C6D-A66B-F3571676ABD9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20180831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2018-09-06T10:01:33Z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