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AppData\Local\Microsoft\Windows\Temporary Internet Files\Content.Outlook\U39JJ3PM\"/>
    </mc:Choice>
  </mc:AlternateContent>
  <bookViews>
    <workbookView xWindow="-4290" yWindow="2025" windowWidth="9045" windowHeight="2640"/>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52511"/>
</workbook>
</file>

<file path=xl/calcChain.xml><?xml version="1.0" encoding="utf-8"?>
<calcChain xmlns="http://schemas.openxmlformats.org/spreadsheetml/2006/main">
  <c r="H124" i="1" l="1"/>
  <c r="E165" i="1" l="1"/>
  <c r="D167" i="1"/>
  <c r="D166" i="1"/>
  <c r="D164" i="1"/>
  <c r="D163" i="1"/>
  <c r="C167" i="1"/>
  <c r="C166" i="1"/>
  <c r="C164" i="1"/>
  <c r="B164" i="1"/>
  <c r="C163" i="1"/>
  <c r="B167" i="1"/>
  <c r="B166" i="1"/>
  <c r="B163" i="1"/>
  <c r="E167" i="1" l="1"/>
  <c r="E164" i="1"/>
  <c r="D168" i="1"/>
  <c r="E166" i="1"/>
  <c r="C168" i="1"/>
  <c r="E163" i="1"/>
  <c r="B168" i="1"/>
  <c r="A147" i="1"/>
  <c r="E168" i="1" l="1"/>
  <c r="D58" i="1" l="1"/>
  <c r="D57" i="1"/>
  <c r="B58" i="1"/>
  <c r="B57" i="1"/>
  <c r="C58" i="1"/>
  <c r="C57" i="1"/>
  <c r="D50" i="1"/>
  <c r="C50" i="1"/>
  <c r="B50" i="1"/>
  <c r="D49" i="1"/>
  <c r="C49" i="1"/>
  <c r="B49" i="1"/>
  <c r="B45" i="1"/>
  <c r="C45" i="1"/>
  <c r="D45" i="1"/>
  <c r="D44" i="1"/>
  <c r="C44" i="1"/>
  <c r="B44" i="1"/>
  <c r="B40" i="1"/>
  <c r="C40" i="1"/>
  <c r="D40" i="1"/>
  <c r="D39" i="1"/>
  <c r="C39" i="1"/>
  <c r="B39" i="1"/>
  <c r="E58" i="1" l="1"/>
  <c r="E57" i="1"/>
  <c r="D187" i="1"/>
  <c r="D200" i="1"/>
  <c r="D199" i="1"/>
  <c r="D194" i="1"/>
  <c r="D193" i="1"/>
  <c r="D192" i="1"/>
  <c r="E49" i="1"/>
  <c r="D48" i="1"/>
  <c r="C48" i="1"/>
  <c r="B48" i="1"/>
  <c r="E45" i="1"/>
  <c r="D43" i="1"/>
  <c r="C43" i="1"/>
  <c r="B43" i="1"/>
  <c r="D38" i="1"/>
  <c r="C38" i="1"/>
  <c r="B38" i="1"/>
  <c r="E59" i="1" l="1"/>
  <c r="E38" i="1"/>
  <c r="E39" i="1"/>
  <c r="E43" i="1"/>
  <c r="E44" i="1"/>
  <c r="E48" i="1"/>
  <c r="E40" i="1"/>
  <c r="E50" i="1"/>
  <c r="E176" i="1" l="1"/>
  <c r="E177" i="1"/>
  <c r="D205" i="1"/>
  <c r="B205" i="1"/>
  <c r="D203" i="1"/>
  <c r="C203" i="1"/>
  <c r="B203" i="1"/>
  <c r="D189" i="1"/>
  <c r="D188" i="1"/>
  <c r="D197" i="1" s="1"/>
  <c r="D201" i="1"/>
  <c r="C200" i="1"/>
  <c r="E200" i="1" s="1"/>
  <c r="C199" i="1"/>
  <c r="E199" i="1" s="1"/>
  <c r="B199" i="1"/>
  <c r="B200" i="1"/>
  <c r="C194" i="1"/>
  <c r="C193" i="1"/>
  <c r="E193" i="1" s="1"/>
  <c r="C192" i="1"/>
  <c r="E192" i="1" s="1"/>
  <c r="C189" i="1"/>
  <c r="C188" i="1"/>
  <c r="C187" i="1"/>
  <c r="B194" i="1"/>
  <c r="B193" i="1"/>
  <c r="B192" i="1"/>
  <c r="B189" i="1"/>
  <c r="B188" i="1"/>
  <c r="B187" i="1"/>
  <c r="C201" i="1" l="1"/>
  <c r="E201" i="1" s="1"/>
  <c r="E189" i="1"/>
  <c r="D198" i="1"/>
  <c r="E187" i="1"/>
  <c r="E205" i="1"/>
  <c r="E188" i="1"/>
  <c r="C198" i="1"/>
  <c r="C197" i="1"/>
  <c r="E197" i="1" s="1"/>
  <c r="E194" i="1"/>
  <c r="B201" i="1"/>
  <c r="B197" i="1"/>
  <c r="B198" i="1"/>
  <c r="E198" i="1" l="1"/>
  <c r="G408" i="1"/>
  <c r="G409" i="1"/>
  <c r="G410" i="1"/>
  <c r="G411" i="1"/>
  <c r="G412" i="1"/>
  <c r="G413" i="1"/>
  <c r="G414" i="1"/>
  <c r="G407" i="1"/>
  <c r="G399" i="1"/>
  <c r="G400" i="1"/>
  <c r="G401" i="1"/>
  <c r="G402" i="1"/>
  <c r="G403" i="1"/>
  <c r="G404" i="1"/>
  <c r="G405" i="1"/>
  <c r="G398" i="1"/>
  <c r="C367" i="1" l="1"/>
  <c r="C366" i="1"/>
  <c r="C71" i="1" l="1"/>
  <c r="D71" i="1"/>
  <c r="D92" i="1"/>
  <c r="B101" i="1"/>
  <c r="C101" i="1" s="1"/>
  <c r="B100" i="1"/>
  <c r="B99" i="1"/>
  <c r="B98" i="1"/>
  <c r="B95" i="1"/>
  <c r="C95" i="1" s="1"/>
  <c r="B94" i="1"/>
  <c r="B93" i="1"/>
  <c r="B92" i="1"/>
  <c r="D101" i="1"/>
  <c r="D100" i="1"/>
  <c r="D99" i="1"/>
  <c r="D98" i="1"/>
  <c r="D95" i="1"/>
  <c r="D94" i="1"/>
  <c r="D93" i="1"/>
  <c r="C100" i="1"/>
  <c r="C99" i="1"/>
  <c r="C98" i="1"/>
  <c r="C94" i="1"/>
  <c r="C93" i="1"/>
  <c r="C92" i="1"/>
  <c r="D82" i="1"/>
  <c r="D81" i="1"/>
  <c r="D80" i="1"/>
  <c r="D79" i="1"/>
  <c r="D76" i="1"/>
  <c r="D75" i="1"/>
  <c r="D74" i="1"/>
  <c r="D73" i="1"/>
  <c r="C81" i="1"/>
  <c r="C80" i="1"/>
  <c r="C79" i="1"/>
  <c r="B82" i="1"/>
  <c r="C82" i="1" s="1"/>
  <c r="B76" i="1"/>
  <c r="C76" i="1" s="1"/>
  <c r="B81" i="1"/>
  <c r="B80" i="1"/>
  <c r="B79" i="1"/>
  <c r="B75" i="1"/>
  <c r="B74" i="1"/>
  <c r="B73" i="1"/>
  <c r="C74" i="1"/>
  <c r="C75" i="1"/>
  <c r="C73" i="1"/>
  <c r="H332" i="1"/>
  <c r="F229" i="1"/>
  <c r="C332" i="1"/>
  <c r="E332" i="1"/>
  <c r="D149" i="1"/>
  <c r="B149" i="1"/>
  <c r="C124" i="1"/>
  <c r="G124" i="1"/>
  <c r="B124" i="1"/>
  <c r="B31" i="1"/>
  <c r="G367" i="1"/>
  <c r="I367" i="1" s="1"/>
  <c r="G368" i="1"/>
  <c r="G369" i="1"/>
  <c r="G370" i="1"/>
  <c r="G371" i="1"/>
  <c r="G372" i="1"/>
  <c r="G373" i="1"/>
  <c r="G366" i="1"/>
  <c r="I366" i="1" s="1"/>
  <c r="G388" i="1"/>
  <c r="G389" i="1"/>
  <c r="G390" i="1"/>
  <c r="G391" i="1"/>
  <c r="G392" i="1"/>
  <c r="G393" i="1"/>
  <c r="G394" i="1"/>
  <c r="G387" i="1"/>
  <c r="G378" i="1"/>
  <c r="G379" i="1"/>
  <c r="G380" i="1"/>
  <c r="G381" i="1"/>
  <c r="G382" i="1"/>
  <c r="G383" i="1"/>
  <c r="G384" i="1"/>
  <c r="G377" i="1"/>
  <c r="G357" i="1"/>
  <c r="G358" i="1"/>
  <c r="G359" i="1"/>
  <c r="G360" i="1"/>
  <c r="G361" i="1"/>
  <c r="G362" i="1"/>
  <c r="G363" i="1"/>
  <c r="G356" i="1"/>
  <c r="G346" i="1"/>
  <c r="G347" i="1"/>
  <c r="G348" i="1"/>
  <c r="G349" i="1"/>
  <c r="G350" i="1"/>
  <c r="G351" i="1"/>
  <c r="G352" i="1"/>
  <c r="G345" i="1"/>
  <c r="G336" i="1"/>
  <c r="G337" i="1"/>
  <c r="G338" i="1"/>
  <c r="G339" i="1"/>
  <c r="G340" i="1"/>
  <c r="G341" i="1"/>
  <c r="G342" i="1"/>
  <c r="G335" i="1"/>
  <c r="E73" i="1" l="1"/>
  <c r="E79" i="1"/>
  <c r="E80" i="1"/>
  <c r="E82" i="1"/>
  <c r="E74" i="1"/>
  <c r="E76" i="1"/>
  <c r="E75" i="1"/>
  <c r="E81" i="1"/>
  <c r="E95" i="1"/>
  <c r="E98" i="1"/>
  <c r="E92" i="1"/>
  <c r="E93" i="1"/>
  <c r="E99" i="1"/>
  <c r="E101" i="1"/>
  <c r="E94" i="1"/>
  <c r="E100" i="1"/>
  <c r="G374" i="1"/>
  <c r="G353" i="1"/>
  <c r="G343" i="1"/>
  <c r="C388" i="1"/>
  <c r="I388" i="1" s="1"/>
  <c r="C389" i="1"/>
  <c r="I389" i="1" s="1"/>
  <c r="C390" i="1"/>
  <c r="I390" i="1" s="1"/>
  <c r="C391" i="1"/>
  <c r="I391" i="1" s="1"/>
  <c r="C392" i="1"/>
  <c r="I392" i="1" s="1"/>
  <c r="C393" i="1"/>
  <c r="I393" i="1" s="1"/>
  <c r="C394" i="1"/>
  <c r="I394" i="1" s="1"/>
  <c r="C387" i="1"/>
  <c r="I387" i="1" s="1"/>
  <c r="D335" i="1"/>
  <c r="G395" i="1"/>
  <c r="G385" i="1"/>
  <c r="G364" i="1"/>
  <c r="D408" i="1"/>
  <c r="D409" i="1"/>
  <c r="D410" i="1"/>
  <c r="D411" i="1"/>
  <c r="D412" i="1"/>
  <c r="D413" i="1"/>
  <c r="D414" i="1"/>
  <c r="D407" i="1"/>
  <c r="D399" i="1"/>
  <c r="D400" i="1"/>
  <c r="D401" i="1"/>
  <c r="D402" i="1"/>
  <c r="D403" i="1"/>
  <c r="D404" i="1"/>
  <c r="D405" i="1"/>
  <c r="D398" i="1"/>
  <c r="C408" i="1"/>
  <c r="I408" i="1" s="1"/>
  <c r="C409" i="1"/>
  <c r="I409" i="1" s="1"/>
  <c r="C410" i="1"/>
  <c r="I410" i="1" s="1"/>
  <c r="C411" i="1"/>
  <c r="I411" i="1" s="1"/>
  <c r="C412" i="1"/>
  <c r="I412" i="1" s="1"/>
  <c r="C413" i="1"/>
  <c r="I413" i="1" s="1"/>
  <c r="C414" i="1"/>
  <c r="I414" i="1" s="1"/>
  <c r="C407" i="1"/>
  <c r="I407" i="1" s="1"/>
  <c r="C399" i="1"/>
  <c r="I399" i="1" s="1"/>
  <c r="C400" i="1"/>
  <c r="I400" i="1" s="1"/>
  <c r="C401" i="1"/>
  <c r="I401" i="1" s="1"/>
  <c r="C402" i="1"/>
  <c r="I402" i="1" s="1"/>
  <c r="C403" i="1"/>
  <c r="I403" i="1" s="1"/>
  <c r="C404" i="1"/>
  <c r="I404" i="1" s="1"/>
  <c r="C405" i="1"/>
  <c r="I405" i="1" s="1"/>
  <c r="C398" i="1"/>
  <c r="I398" i="1" s="1"/>
  <c r="D388" i="1"/>
  <c r="F388" i="1" s="1"/>
  <c r="D389" i="1"/>
  <c r="D390" i="1"/>
  <c r="D391" i="1"/>
  <c r="D392" i="1"/>
  <c r="F392" i="1" s="1"/>
  <c r="D393" i="1"/>
  <c r="D394" i="1"/>
  <c r="D387" i="1"/>
  <c r="D378" i="1"/>
  <c r="D379" i="1"/>
  <c r="D380" i="1"/>
  <c r="D381" i="1"/>
  <c r="D382" i="1"/>
  <c r="D383" i="1"/>
  <c r="D384" i="1"/>
  <c r="D377" i="1"/>
  <c r="D367" i="1"/>
  <c r="F367" i="1" s="1"/>
  <c r="D368" i="1"/>
  <c r="D369" i="1"/>
  <c r="D370" i="1"/>
  <c r="D371" i="1"/>
  <c r="D372" i="1"/>
  <c r="D373" i="1"/>
  <c r="D357" i="1"/>
  <c r="D358" i="1"/>
  <c r="D359" i="1"/>
  <c r="D360" i="1"/>
  <c r="D361" i="1"/>
  <c r="D362" i="1"/>
  <c r="D363" i="1"/>
  <c r="D356" i="1"/>
  <c r="D366" i="1"/>
  <c r="D346" i="1"/>
  <c r="D347" i="1"/>
  <c r="D348" i="1"/>
  <c r="D349" i="1"/>
  <c r="D350" i="1"/>
  <c r="D351" i="1"/>
  <c r="D352" i="1"/>
  <c r="D345" i="1"/>
  <c r="D336" i="1"/>
  <c r="D337" i="1"/>
  <c r="D338" i="1"/>
  <c r="D339" i="1"/>
  <c r="D340" i="1"/>
  <c r="D341" i="1"/>
  <c r="D342" i="1"/>
  <c r="C378" i="1"/>
  <c r="I378" i="1" s="1"/>
  <c r="C379" i="1"/>
  <c r="I379" i="1" s="1"/>
  <c r="C380" i="1"/>
  <c r="I380" i="1" s="1"/>
  <c r="C381" i="1"/>
  <c r="I381" i="1" s="1"/>
  <c r="C382" i="1"/>
  <c r="I382" i="1" s="1"/>
  <c r="C383" i="1"/>
  <c r="I383" i="1" s="1"/>
  <c r="C384" i="1"/>
  <c r="I384" i="1" s="1"/>
  <c r="C377" i="1"/>
  <c r="I377" i="1" s="1"/>
  <c r="C369" i="1"/>
  <c r="I369" i="1" s="1"/>
  <c r="C370" i="1"/>
  <c r="I370" i="1" s="1"/>
  <c r="C371" i="1"/>
  <c r="I371" i="1" s="1"/>
  <c r="C372" i="1"/>
  <c r="I372" i="1" s="1"/>
  <c r="C373" i="1"/>
  <c r="I373" i="1" s="1"/>
  <c r="C368" i="1"/>
  <c r="C357" i="1"/>
  <c r="I357" i="1" s="1"/>
  <c r="C358" i="1"/>
  <c r="I358" i="1" s="1"/>
  <c r="C359" i="1"/>
  <c r="I359" i="1" s="1"/>
  <c r="C360" i="1"/>
  <c r="I360" i="1" s="1"/>
  <c r="C361" i="1"/>
  <c r="I361" i="1" s="1"/>
  <c r="C362" i="1"/>
  <c r="I362" i="1" s="1"/>
  <c r="C363" i="1"/>
  <c r="I363" i="1" s="1"/>
  <c r="C356" i="1"/>
  <c r="I356" i="1" s="1"/>
  <c r="C346" i="1"/>
  <c r="I346" i="1" s="1"/>
  <c r="C347" i="1"/>
  <c r="I347" i="1" s="1"/>
  <c r="C348" i="1"/>
  <c r="I348" i="1" s="1"/>
  <c r="C349" i="1"/>
  <c r="I349" i="1" s="1"/>
  <c r="C350" i="1"/>
  <c r="I350" i="1" s="1"/>
  <c r="C351" i="1"/>
  <c r="I351" i="1" s="1"/>
  <c r="C352" i="1"/>
  <c r="I352" i="1" s="1"/>
  <c r="C345" i="1"/>
  <c r="I345" i="1" s="1"/>
  <c r="C336" i="1"/>
  <c r="I336" i="1" s="1"/>
  <c r="C337" i="1"/>
  <c r="I337" i="1" s="1"/>
  <c r="C338" i="1"/>
  <c r="I338" i="1" s="1"/>
  <c r="C339" i="1"/>
  <c r="I339" i="1" s="1"/>
  <c r="C340" i="1"/>
  <c r="I340" i="1" s="1"/>
  <c r="C341" i="1"/>
  <c r="I341" i="1" s="1"/>
  <c r="C342" i="1"/>
  <c r="I342" i="1" s="1"/>
  <c r="C335" i="1"/>
  <c r="G261" i="1"/>
  <c r="G250" i="1"/>
  <c r="F276" i="1"/>
  <c r="G276" i="1" s="1"/>
  <c r="F277" i="1"/>
  <c r="G277" i="1" s="1"/>
  <c r="F275" i="1"/>
  <c r="G275" i="1" s="1"/>
  <c r="F272" i="1"/>
  <c r="G272" i="1" s="1"/>
  <c r="F271" i="1"/>
  <c r="G271" i="1" s="1"/>
  <c r="F262" i="1"/>
  <c r="G262" i="1" s="1"/>
  <c r="F263" i="1"/>
  <c r="G263" i="1" s="1"/>
  <c r="F264" i="1"/>
  <c r="G264" i="1" s="1"/>
  <c r="F265" i="1"/>
  <c r="G265" i="1" s="1"/>
  <c r="F266" i="1"/>
  <c r="G266" i="1" s="1"/>
  <c r="F267" i="1"/>
  <c r="G267" i="1" s="1"/>
  <c r="F268" i="1"/>
  <c r="G268" i="1" s="1"/>
  <c r="F261" i="1"/>
  <c r="F251" i="1"/>
  <c r="G251" i="1" s="1"/>
  <c r="F252" i="1"/>
  <c r="G252" i="1" s="1"/>
  <c r="F253" i="1"/>
  <c r="G253" i="1" s="1"/>
  <c r="F254" i="1"/>
  <c r="G254" i="1" s="1"/>
  <c r="F255" i="1"/>
  <c r="G255" i="1" s="1"/>
  <c r="F256" i="1"/>
  <c r="G256" i="1" s="1"/>
  <c r="F257" i="1"/>
  <c r="G257" i="1" s="1"/>
  <c r="F258" i="1"/>
  <c r="G258" i="1" s="1"/>
  <c r="F250" i="1"/>
  <c r="F241" i="1"/>
  <c r="G241" i="1" s="1"/>
  <c r="F242" i="1"/>
  <c r="G242" i="1" s="1"/>
  <c r="F243" i="1"/>
  <c r="G243" i="1" s="1"/>
  <c r="F244" i="1"/>
  <c r="G244" i="1" s="1"/>
  <c r="F245" i="1"/>
  <c r="G245" i="1" s="1"/>
  <c r="F246" i="1"/>
  <c r="G246" i="1" s="1"/>
  <c r="F247" i="1"/>
  <c r="G247" i="1" s="1"/>
  <c r="F240" i="1"/>
  <c r="G240" i="1" s="1"/>
  <c r="F233" i="1"/>
  <c r="G233" i="1" s="1"/>
  <c r="F234" i="1"/>
  <c r="G234" i="1" s="1"/>
  <c r="F235" i="1"/>
  <c r="G235" i="1" s="1"/>
  <c r="F236" i="1"/>
  <c r="G236" i="1" s="1"/>
  <c r="F237" i="1"/>
  <c r="G237" i="1" s="1"/>
  <c r="F232" i="1"/>
  <c r="G232" i="1" s="1"/>
  <c r="H276" i="1"/>
  <c r="I276" i="1"/>
  <c r="H277" i="1"/>
  <c r="I277" i="1"/>
  <c r="I275" i="1"/>
  <c r="H275" i="1"/>
  <c r="H272" i="1"/>
  <c r="I272" i="1"/>
  <c r="I271" i="1"/>
  <c r="H271" i="1"/>
  <c r="H262" i="1"/>
  <c r="I262" i="1"/>
  <c r="H263" i="1"/>
  <c r="I263" i="1"/>
  <c r="H264" i="1"/>
  <c r="I264" i="1"/>
  <c r="H265" i="1"/>
  <c r="I265" i="1"/>
  <c r="H266" i="1"/>
  <c r="I266" i="1"/>
  <c r="H267" i="1"/>
  <c r="I267" i="1"/>
  <c r="H268" i="1"/>
  <c r="I268" i="1"/>
  <c r="I261" i="1"/>
  <c r="H261" i="1"/>
  <c r="H251" i="1"/>
  <c r="I251" i="1"/>
  <c r="H252" i="1"/>
  <c r="I252" i="1"/>
  <c r="H253" i="1"/>
  <c r="I253" i="1"/>
  <c r="H254" i="1"/>
  <c r="I254" i="1"/>
  <c r="H255" i="1"/>
  <c r="I255" i="1"/>
  <c r="H256" i="1"/>
  <c r="I256" i="1"/>
  <c r="H257" i="1"/>
  <c r="I257" i="1"/>
  <c r="H258" i="1"/>
  <c r="I258" i="1"/>
  <c r="I250" i="1"/>
  <c r="H250" i="1"/>
  <c r="H241" i="1"/>
  <c r="I241" i="1"/>
  <c r="H242" i="1"/>
  <c r="I242" i="1"/>
  <c r="H243" i="1"/>
  <c r="I243" i="1"/>
  <c r="H244" i="1"/>
  <c r="I244" i="1"/>
  <c r="H245" i="1"/>
  <c r="I245" i="1"/>
  <c r="H246" i="1"/>
  <c r="I246" i="1"/>
  <c r="H247" i="1"/>
  <c r="I247" i="1"/>
  <c r="I240" i="1"/>
  <c r="H240" i="1"/>
  <c r="I233" i="1"/>
  <c r="I234" i="1"/>
  <c r="I235" i="1"/>
  <c r="I236" i="1"/>
  <c r="I237" i="1"/>
  <c r="I232" i="1"/>
  <c r="H233" i="1"/>
  <c r="H234" i="1"/>
  <c r="H235" i="1"/>
  <c r="H236" i="1"/>
  <c r="H237" i="1"/>
  <c r="H232" i="1"/>
  <c r="D31" i="1"/>
  <c r="D30" i="1"/>
  <c r="D29" i="1"/>
  <c r="C31" i="1"/>
  <c r="C30" i="1"/>
  <c r="C29" i="1"/>
  <c r="B30" i="1"/>
  <c r="B29" i="1"/>
  <c r="C18" i="1"/>
  <c r="D18" i="1"/>
  <c r="D17" i="1"/>
  <c r="D16" i="1"/>
  <c r="C17" i="1"/>
  <c r="B18" i="1"/>
  <c r="B17" i="1"/>
  <c r="C16" i="1"/>
  <c r="B16" i="1"/>
  <c r="E31" i="1" l="1"/>
  <c r="I368" i="1"/>
  <c r="C374" i="1"/>
  <c r="I374" i="1" s="1"/>
  <c r="F335" i="1"/>
  <c r="F362" i="1"/>
  <c r="F358" i="1"/>
  <c r="F382" i="1"/>
  <c r="F378" i="1"/>
  <c r="F414" i="1"/>
  <c r="F340" i="1"/>
  <c r="F350" i="1"/>
  <c r="F371" i="1"/>
  <c r="F361" i="1"/>
  <c r="F357" i="1"/>
  <c r="C343" i="1"/>
  <c r="I343" i="1" s="1"/>
  <c r="F336" i="1"/>
  <c r="F346" i="1"/>
  <c r="F342" i="1"/>
  <c r="F338" i="1"/>
  <c r="F352" i="1"/>
  <c r="F348" i="1"/>
  <c r="F373" i="1"/>
  <c r="F369" i="1"/>
  <c r="F384" i="1"/>
  <c r="F380" i="1"/>
  <c r="F394" i="1"/>
  <c r="F390" i="1"/>
  <c r="F356" i="1"/>
  <c r="F360" i="1"/>
  <c r="F405" i="1"/>
  <c r="F401" i="1"/>
  <c r="F410" i="1"/>
  <c r="F341" i="1"/>
  <c r="F337" i="1"/>
  <c r="F351" i="1"/>
  <c r="F347" i="1"/>
  <c r="F363" i="1"/>
  <c r="F359" i="1"/>
  <c r="F372" i="1"/>
  <c r="F368" i="1"/>
  <c r="F383" i="1"/>
  <c r="F379" i="1"/>
  <c r="F393" i="1"/>
  <c r="F389" i="1"/>
  <c r="F404" i="1"/>
  <c r="F400" i="1"/>
  <c r="F413" i="1"/>
  <c r="F409" i="1"/>
  <c r="F403" i="1"/>
  <c r="F399" i="1"/>
  <c r="F412" i="1"/>
  <c r="F408" i="1"/>
  <c r="F339" i="1"/>
  <c r="D353" i="1"/>
  <c r="F345" i="1"/>
  <c r="F349" i="1"/>
  <c r="D374" i="1"/>
  <c r="F366" i="1"/>
  <c r="F370" i="1"/>
  <c r="D385" i="1"/>
  <c r="F377" i="1"/>
  <c r="F381" i="1"/>
  <c r="D395" i="1"/>
  <c r="F387" i="1"/>
  <c r="F391" i="1"/>
  <c r="F398" i="1"/>
  <c r="F402" i="1"/>
  <c r="F407" i="1"/>
  <c r="F411" i="1"/>
  <c r="D343" i="1"/>
  <c r="I335" i="1"/>
  <c r="D364" i="1"/>
  <c r="C353" i="1"/>
  <c r="I353" i="1" s="1"/>
  <c r="C364" i="1"/>
  <c r="I364" i="1" s="1"/>
  <c r="C395" i="1"/>
  <c r="I395" i="1" s="1"/>
  <c r="C385" i="1"/>
  <c r="I385" i="1" s="1"/>
  <c r="E29" i="1"/>
  <c r="E30" i="1"/>
  <c r="J23" i="7"/>
  <c r="J22" i="7"/>
  <c r="J21" i="7"/>
  <c r="J20" i="7"/>
  <c r="J17" i="7"/>
  <c r="J16" i="7"/>
  <c r="J15" i="7"/>
  <c r="J14" i="7"/>
  <c r="J11" i="7"/>
  <c r="J10" i="7"/>
  <c r="J9" i="7"/>
  <c r="J8" i="7"/>
  <c r="J3" i="7"/>
  <c r="J4" i="7"/>
  <c r="J5" i="7"/>
  <c r="J2" i="7"/>
  <c r="B22" i="1"/>
  <c r="B23" i="1"/>
  <c r="D23" i="1"/>
  <c r="D22" i="1"/>
  <c r="C23" i="1"/>
  <c r="C22" i="1"/>
  <c r="D21" i="1"/>
  <c r="C21" i="1"/>
  <c r="B21" i="1"/>
  <c r="F374" i="1" l="1"/>
  <c r="B125" i="1"/>
  <c r="E21" i="1"/>
  <c r="F343" i="1"/>
  <c r="F395" i="1"/>
  <c r="F385" i="1"/>
  <c r="F364" i="1"/>
  <c r="F353" i="1"/>
  <c r="E23" i="1"/>
  <c r="C128" i="1"/>
  <c r="G128" i="1"/>
  <c r="H128" i="1"/>
  <c r="G127" i="1"/>
  <c r="B126" i="1"/>
  <c r="C127" i="1"/>
  <c r="H127" i="1"/>
  <c r="B127" i="1"/>
  <c r="C125" i="1"/>
  <c r="G125" i="1"/>
  <c r="H125" i="1"/>
  <c r="B128" i="1"/>
  <c r="C126" i="1"/>
  <c r="G126" i="1"/>
  <c r="H126" i="1"/>
  <c r="E22" i="1"/>
  <c r="D125" i="1" l="1"/>
  <c r="D127" i="1"/>
  <c r="I126" i="1"/>
  <c r="I125" i="1"/>
  <c r="I128" i="1"/>
  <c r="D126" i="1"/>
  <c r="D128" i="1"/>
  <c r="I127" i="1"/>
  <c r="E18" i="1"/>
  <c r="E17" i="1"/>
  <c r="E16" i="1"/>
  <c r="D59" i="1"/>
  <c r="B59" i="1"/>
  <c r="H395" i="1" l="1"/>
  <c r="H385" i="1"/>
  <c r="H374" i="1"/>
  <c r="H364" i="1"/>
  <c r="H353" i="1"/>
  <c r="H343" i="1"/>
  <c r="E395" i="1"/>
  <c r="E385" i="1"/>
  <c r="E364" i="1"/>
  <c r="E353" i="1"/>
  <c r="E343" i="1"/>
  <c r="A330" i="1"/>
  <c r="A226" i="1"/>
  <c r="I185" i="1"/>
  <c r="H185" i="1"/>
  <c r="G185" i="1"/>
  <c r="F185" i="1"/>
  <c r="D185" i="1"/>
  <c r="C185" i="1"/>
  <c r="B185" i="1"/>
  <c r="I175" i="1"/>
  <c r="H175" i="1"/>
  <c r="G175" i="1"/>
  <c r="F175" i="1"/>
  <c r="D175" i="1"/>
  <c r="C175" i="1"/>
  <c r="B175" i="1"/>
  <c r="E203" i="1"/>
  <c r="I162" i="1"/>
  <c r="H162" i="1"/>
  <c r="G162" i="1"/>
  <c r="F162" i="1"/>
  <c r="D162" i="1"/>
  <c r="C162" i="1"/>
  <c r="B162" i="1"/>
  <c r="I149" i="1"/>
  <c r="H149" i="1"/>
  <c r="G149" i="1"/>
  <c r="F149" i="1"/>
  <c r="A143" i="1"/>
  <c r="D134" i="1"/>
  <c r="B71" i="1"/>
  <c r="I90" i="1"/>
  <c r="H90" i="1"/>
  <c r="G90" i="1"/>
  <c r="F90" i="1"/>
  <c r="D90" i="1"/>
  <c r="C90" i="1"/>
  <c r="B90" i="1"/>
  <c r="B56" i="1"/>
  <c r="B36" i="1"/>
  <c r="B28" i="1"/>
  <c r="B15" i="1"/>
  <c r="A61" i="1"/>
  <c r="A7" i="1"/>
  <c r="C15" i="1"/>
  <c r="D15" i="1"/>
  <c r="F15" i="1"/>
  <c r="G15" i="1"/>
  <c r="H15" i="1"/>
  <c r="I15" i="1"/>
  <c r="D56" i="1" l="1"/>
  <c r="G71" i="1"/>
  <c r="F71" i="1"/>
  <c r="I71" i="1"/>
  <c r="H71" i="1"/>
  <c r="F36" i="1"/>
  <c r="G36" i="1"/>
  <c r="G28" i="1"/>
  <c r="G56" i="1"/>
  <c r="F28" i="1"/>
  <c r="F56" i="1"/>
  <c r="D36" i="1"/>
  <c r="I28" i="1"/>
  <c r="I36" i="1"/>
  <c r="I56" i="1"/>
  <c r="D28" i="1"/>
  <c r="H28" i="1"/>
  <c r="H36" i="1"/>
  <c r="H56" i="1"/>
  <c r="C28" i="1"/>
  <c r="C56" i="1"/>
  <c r="C36" i="1"/>
  <c r="C12" i="6"/>
  <c r="B12" i="6"/>
  <c r="D12" i="6" s="1"/>
  <c r="C22" i="6"/>
  <c r="B22" i="6"/>
  <c r="D22" i="6" s="1"/>
  <c r="C33" i="6"/>
  <c r="B33" i="6"/>
  <c r="D33" i="6" s="1"/>
  <c r="C54" i="6"/>
  <c r="B54" i="6"/>
  <c r="C64" i="6"/>
  <c r="B64" i="6"/>
  <c r="E64" i="6"/>
  <c r="E54" i="6"/>
  <c r="E43" i="6"/>
  <c r="E33" i="6"/>
  <c r="E22" i="6"/>
  <c r="F43" i="6"/>
  <c r="D43" i="6"/>
  <c r="F22" i="6"/>
  <c r="E12" i="6"/>
  <c r="F64" i="6" l="1"/>
  <c r="D64" i="6"/>
  <c r="F12" i="6"/>
  <c r="F33" i="6"/>
  <c r="D54" i="6"/>
  <c r="F54" i="6"/>
  <c r="C59" i="1" l="1"/>
</calcChain>
</file>

<file path=xl/sharedStrings.xml><?xml version="1.0" encoding="utf-8"?>
<sst xmlns="http://schemas.openxmlformats.org/spreadsheetml/2006/main" count="2346" uniqueCount="661">
  <si>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</si>
  <si>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</si>
  <si>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</si>
  <si>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</si>
  <si>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</si>
  <si>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</si>
  <si>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</si>
  <si>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</si>
  <si>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</si>
  <si>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</si>
  <si>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</si>
  <si>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</si>
  <si>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</si>
  <si>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</si>
  <si>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</si>
  <si>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</si>
  <si>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</si>
  <si>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</si>
  <si>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Market Turnover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</si>
  <si>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</si>
  <si>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</si>
  <si>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</si>
  <si>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</si>
  <si>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</si>
  <si>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</si>
  <si>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</si>
  <si>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</si>
  <si>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</si>
  <si>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</si>
  <si>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</si>
  <si>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</si>
  <si>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</si>
  <si>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</si>
  <si>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</si>
  <si>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</si>
  <si>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</si>
  <si>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</si>
  <si>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</si>
  <si>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</si>
  <si>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</si>
  <si>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</si>
  <si>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</si>
  <si>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</si>
  <si>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</si>
  <si>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</si>
  <si>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</si>
  <si>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</si>
  <si>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</si>
  <si>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</si>
  <si>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</si>
  <si>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</si>
  <si>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</si>
  <si>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</si>
  <si>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</si>
  <si>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</si>
  <si>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</si>
  <si>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</si>
  <si>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</si>
  <si>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</si>
  <si>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</si>
  <si>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</si>
  <si>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</si>
  <si>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</si>
  <si>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</si>
  <si>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</si>
  <si>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</si>
  <si>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</si>
  <si>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</si>
  <si>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</si>
  <si>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</si>
  <si>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</si>
  <si>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</si>
  <si>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</si>
  <si>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</si>
  <si>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</si>
  <si>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</si>
  <si>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</si>
  <si>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</si>
  <si>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</si>
  <si>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</si>
  <si>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</si>
  <si>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</si>
  <si>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</si>
  <si>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</si>
  <si>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</si>
  <si>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</si>
  <si>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</si>
  <si>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</si>
  <si>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</si>
  <si>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</si>
  <si>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</si>
  <si>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</si>
  <si>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</si>
  <si>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</si>
  <si>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</si>
  <si>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</si>
  <si>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</si>
  <si>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</si>
  <si>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</si>
  <si>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</si>
  <si>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</si>
  <si>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</si>
  <si>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</si>
  <si>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</si>
  <si>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</si>
  <si>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</si>
  <si>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</si>
  <si>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</si>
  <si>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</si>
  <si>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</si>
  <si>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</si>
  <si>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</si>
  <si>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</si>
  <si>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</si>
  <si>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</si>
  <si>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</si>
  <si>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</si>
  <si>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</si>
  <si>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</si>
  <si>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</si>
  <si>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</si>
  <si>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</si>
  <si>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</si>
  <si>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</si>
  <si>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</si>
  <si>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</si>
  <si>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</si>
  <si>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</si>
  <si>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</si>
  <si>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</si>
  <si>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</si>
  <si>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</si>
  <si>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</si>
  <si>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</si>
  <si>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</si>
  <si>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</si>
  <si>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</si>
  <si>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</si>
  <si>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</si>
  <si>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</si>
  <si>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</si>
  <si>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</si>
  <si>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</si>
  <si>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</si>
  <si>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</si>
  <si>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</si>
  <si>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</si>
  <si>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</si>
  <si>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</si>
  <si>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</si>
  <si>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</si>
  <si>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</si>
  <si>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</si>
  <si>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</si>
  <si>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</si>
  <si>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</si>
  <si>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</si>
  <si>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</si>
  <si>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Year to Date Liquidity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</si>
  <si>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</si>
  <si>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</si>
  <si>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</si>
  <si>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</si>
  <si>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</si>
  <si>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</si>
  <si>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</si>
  <si>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</si>
  <si>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</si>
  <si>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</si>
  <si>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</si>
  <si>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</si>
  <si>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</si>
  <si>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</si>
  <si>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</si>
  <si>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</si>
  <si>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</si>
  <si>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</si>
  <si>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</si>
  <si>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</si>
  <si>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</si>
  <si>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</si>
  <si>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</si>
  <si>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</si>
  <si>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</si>
  <si>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</si>
  <si>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</si>
  <si>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</si>
  <si>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</si>
  <si>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</si>
  <si>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</si>
  <si>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</si>
  <si>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</si>
  <si>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</si>
  <si>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</si>
  <si>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</si>
  <si>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</si>
  <si>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</si>
  <si>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</si>
  <si>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</si>
  <si>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</si>
  <si>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</si>
  <si>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</si>
  <si>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</si>
  <si>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</si>
  <si>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</si>
  <si>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</si>
  <si>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</si>
  <si>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</si>
  <si>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</si>
  <si>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</si>
  <si>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</si>
  <si>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</si>
  <si>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</si>
  <si>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</si>
  <si>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</si>
  <si>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</si>
  <si>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</si>
  <si>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</si>
  <si>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</si>
  <si>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</si>
  <si>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</si>
  <si>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</si>
  <si>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</si>
  <si>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</si>
  <si>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</si>
  <si>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</si>
  <si>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</si>
  <si>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</si>
  <si>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</si>
  <si>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</si>
  <si>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</si>
  <si>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</si>
  <si>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</si>
  <si>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</si>
  <si>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</si>
  <si>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</si>
  <si>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</si>
  <si>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</si>
  <si>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</si>
  <si>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</si>
  <si>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</si>
  <si>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</si>
  <si>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</si>
  <si>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</si>
  <si>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</si>
  <si>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</si>
  <si>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</si>
  <si>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</si>
  <si>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</si>
  <si>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</si>
  <si>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</si>
  <si>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</si>
  <si>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</si>
  <si>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</si>
  <si>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</si>
  <si>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</si>
  <si>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</si>
  <si>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</si>
  <si>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</si>
  <si>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</si>
  <si>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</si>
  <si>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</si>
  <si>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</si>
  <si>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</si>
  <si>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</si>
  <si>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</si>
  <si>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</si>
  <si>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</si>
  <si>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</si>
  <si>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</si>
  <si>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</si>
  <si>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</si>
  <si>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</si>
  <si>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</si>
  <si>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</si>
  <si>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</si>
  <si>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</si>
  <si>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</si>
  <si>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</si>
  <si>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</si>
  <si>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</si>
  <si>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</si>
  <si>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</si>
  <si>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</si>
  <si>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</si>
  <si>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</si>
  <si>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</si>
  <si>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</si>
  <si>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</si>
  <si>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</si>
  <si>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</si>
  <si>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</si>
  <si>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</si>
  <si>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</si>
  <si>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</si>
  <si>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</si>
  <si>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</si>
  <si>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</si>
  <si>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</si>
  <si>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</si>
  <si>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</si>
  <si>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</si>
  <si>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</si>
  <si>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</si>
  <si>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</si>
  <si>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</si>
  <si>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</si>
  <si>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</si>
  <si>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</si>
  <si>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</si>
  <si>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</si>
  <si>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</si>
  <si>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</si>
  <si>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</si>
  <si>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</si>
  <si>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</si>
  <si>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</si>
  <si>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</si>
  <si>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</si>
  <si>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</si>
  <si>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</si>
  <si>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</si>
  <si>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</si>
  <si>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</si>
  <si>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</si>
  <si>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</si>
  <si>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</si>
  <si>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</si>
  <si>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</si>
  <si>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</si>
  <si>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</si>
  <si>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</si>
  <si>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</si>
  <si>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</si>
  <si>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</si>
  <si>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</si>
  <si>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</si>
  <si>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</si>
  <si>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</si>
  <si>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</si>
  <si>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</si>
  <si>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</si>
  <si>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</si>
  <si>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</si>
  <si>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</si>
  <si>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</si>
  <si>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</si>
  <si>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</si>
  <si>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</si>
  <si>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</si>
  <si>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</si>
  <si>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</si>
  <si>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</si>
  <si>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</si>
  <si>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</si>
  <si>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</si>
  <si>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</si>
  <si>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</si>
  <si>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</si>
  <si>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</si>
  <si>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</si>
  <si>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</si>
  <si>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</si>
  <si>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</si>
  <si>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</si>
  <si>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</si>
  <si>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</si>
  <si>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</si>
  <si>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</si>
  <si>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</si>
  <si>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</si>
  <si>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</si>
  <si>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</si>
  <si>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</si>
  <si>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</si>
  <si>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</si>
  <si>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</si>
  <si>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</si>
  <si>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</si>
  <si>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</si>
  <si>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</si>
  <si>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</si>
  <si>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</si>
  <si>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</si>
  <si>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</si>
  <si>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</si>
  <si>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</si>
  <si>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</si>
  <si>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</si>
  <si>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</si>
  <si>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</si>
  <si>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</si>
  <si>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</si>
  <si>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</si>
  <si>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</si>
  <si>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</si>
  <si>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</si>
  <si>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</si>
  <si>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</si>
  <si>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</si>
  <si>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</si>
  <si>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</si>
  <si>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</si>
  <si>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</si>
  <si>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</si>
  <si>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</si>
  <si>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</si>
  <si>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</si>
  <si>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</si>
  <si>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</si>
  <si>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</si>
  <si>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</si>
  <si>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</si>
  <si>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</si>
  <si>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</si>
  <si>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</si>
  <si>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</si>
  <si>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</si>
  <si>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</si>
  <si>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</si>
  <si>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</si>
  <si>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</si>
  <si>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</si>
  <si>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</si>
  <si>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</si>
  <si>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</si>
  <si>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</si>
  <si>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</si>
  <si>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</si>
  <si>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</si>
  <si>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</si>
  <si>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</si>
  <si>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</si>
  <si>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</si>
  <si>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</si>
  <si>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</si>
  <si>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</si>
  <si>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</si>
  <si>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</si>
  <si>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</si>
  <si>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</si>
  <si>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</si>
  <si>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</si>
  <si>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</si>
  <si>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</si>
  <si>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</si>
  <si>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</si>
  <si>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</si>
  <si>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</si>
  <si>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</si>
  <si>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</si>
  <si>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</si>
  <si>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</si>
  <si>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</si>
  <si>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</si>
  <si>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</si>
  <si>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</si>
  <si>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</si>
  <si>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</si>
  <si>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</si>
  <si>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</si>
  <si>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</si>
  <si>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</si>
  <si>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</si>
  <si>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</si>
  <si>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</si>
  <si>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</si>
  <si>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</si>
  <si>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</si>
  <si>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</si>
  <si>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</si>
  <si>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</si>
  <si>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</si>
  <si>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</si>
  <si>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</si>
  <si>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</si>
  <si>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</si>
  <si>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</si>
  <si>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</si>
  <si>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</si>
  <si>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</si>
  <si>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</si>
  <si>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</si>
  <si>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</si>
  <si>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</si>
  <si>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</si>
  <si>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</si>
  <si>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</si>
  <si>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</si>
  <si>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</si>
  <si>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</si>
  <si>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</si>
  <si>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</si>
  <si>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</si>
  <si>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</si>
  <si>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</si>
  <si>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</si>
  <si>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</si>
  <si>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</si>
  <si>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</si>
  <si>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</si>
  <si>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</si>
  <si>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</si>
  <si>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</si>
  <si>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</si>
  <si>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</si>
  <si>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</si>
  <si>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</si>
  <si>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</si>
  <si>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</si>
  <si>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</si>
  <si>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</si>
  <si>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</si>
  <si>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</si>
  <si>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</si>
  <si>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</si>
  <si>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</si>
  <si>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</si>
  <si>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</si>
  <si>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</si>
  <si>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</si>
  <si>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</si>
  <si>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</si>
  <si>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</si>
  <si>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</si>
  <si>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</si>
  <si>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</si>
  <si>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</si>
  <si>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</si>
  <si>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</si>
  <si>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</si>
  <si>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</si>
  <si>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</si>
  <si>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</si>
  <si>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</si>
  <si>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</si>
  <si>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</si>
  <si>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</si>
  <si>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</si>
  <si>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</si>
  <si>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</si>
  <si>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</si>
  <si>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</si>
  <si>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</si>
  <si>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</si>
  <si>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</si>
  <si>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</si>
  <si>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</si>
  <si>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</si>
  <si>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</si>
  <si>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</si>
  <si>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</si>
  <si>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</si>
  <si>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</si>
  <si>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</si>
  <si>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</si>
  <si>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</si>
  <si>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</si>
  <si>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</si>
  <si>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</si>
  <si>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</si>
  <si>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</si>
  <si>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</si>
  <si>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</si>
  <si>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</si>
  <si>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</si>
  <si>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</si>
  <si>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</si>
  <si>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</si>
  <si>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</si>
  <si>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</si>
  <si>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</si>
  <si>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</si>
  <si>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</si>
  <si>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</si>
  <si>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</si>
  <si>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MINI BITTER SORGHUM FUTURES</t>
  </si>
  <si>
    <t>MINI SWEET SORGUM FUTURES</t>
  </si>
  <si>
    <t>NATURAL GAS QUANTO</t>
  </si>
  <si>
    <t>PALLADIUM</t>
  </si>
  <si>
    <t>PALLADIUM QUANTO</t>
  </si>
  <si>
    <t>PLATINUM</t>
  </si>
  <si>
    <t xml:space="preserve">PLATINUM QUANTO </t>
  </si>
  <si>
    <t>QUANTO CORN COMMODITY CANDO</t>
  </si>
  <si>
    <t>QUANTO SOYBEAN COMMODITY CANDO</t>
  </si>
  <si>
    <t>SILVER</t>
  </si>
  <si>
    <t>SILVER QUANTO</t>
  </si>
  <si>
    <t xml:space="preserve">SOFT RED WHEAT FUTURES </t>
  </si>
  <si>
    <t>SORGHUM  BITTER - GH1 FUTURE</t>
  </si>
  <si>
    <t>SORGHUM FUTURES</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</si>
  <si>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</si>
  <si>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</si>
  <si>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</si>
  <si>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</si>
  <si>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</si>
  <si>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</si>
  <si>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</si>
  <si>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</si>
  <si>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</si>
  <si>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</si>
  <si>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</si>
  <si>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BEEF CARCASS</t>
  </si>
  <si>
    <t>LAMB CARCASS</t>
  </si>
  <si>
    <t>MERINO WOOL</t>
  </si>
  <si>
    <t>SOYABEAN CRUSH FUTURE</t>
  </si>
  <si>
    <t>BRENT CRUDE OIL COMMODITY CAN-DO</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</si>
  <si>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</si>
  <si>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</si>
  <si>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</si>
  <si>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</si>
  <si>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</si>
  <si>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</si>
  <si>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</si>
  <si>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</si>
  <si>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</si>
  <si>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</si>
  <si>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</si>
  <si>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</si>
  <si>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</si>
  <si>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</si>
  <si>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</si>
  <si>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</si>
  <si>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</si>
  <si>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</si>
  <si>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</si>
  <si>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</si>
  <si>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</si>
  <si>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</si>
  <si>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</si>
  <si>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</si>
  <si>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</si>
  <si>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</si>
  <si>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</si>
  <si>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</si>
  <si>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</si>
  <si>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</si>
  <si>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</si>
  <si>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</si>
  <si>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</si>
  <si>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</si>
  <si>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</si>
  <si>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</si>
  <si>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</si>
  <si>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</si>
  <si>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</si>
  <si>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</si>
  <si>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</si>
  <si>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2019/05</t>
  </si>
  <si>
    <t>CorporateActionTypeCode</t>
  </si>
  <si>
    <t>SUM_TotalValue</t>
  </si>
  <si>
    <t>AS</t>
  </si>
  <si>
    <t>GI</t>
  </si>
  <si>
    <t>SI</t>
  </si>
  <si>
    <t>SO</t>
  </si>
  <si>
    <t>SS</t>
  </si>
  <si>
    <t>TU</t>
  </si>
  <si>
    <t>Note: The monthly "local liquidity"  using the value traded and Strate market capitalisation is 64.95%</t>
  </si>
  <si>
    <t>Equity Derivatives Reports</t>
  </si>
  <si>
    <t>Currency Derivatives Reports</t>
  </si>
  <si>
    <t xml:space="preserve">Equity Derivatives Market &amp; Currency Derivatives Market </t>
  </si>
  <si>
    <t>NOTE: Due to the ITaC project this data is no longer available in this format. The new PDF format reports are be available on the new website section via the above links: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</si>
</sst>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quot;R&quot;#,##0.00_);\(&quot;R&quot;#,##0.00\)"/>
    <numFmt numFmtId="165" formatCode="_(* #,##0.00_);_(* \(#,##0.00\);_(* &quot;-&quot;??_);_(@_)"/>
    <numFmt numFmtId="166" formatCode="_ * #,##0_ ;_ * \-#,##0_ ;_ * &quot;-&quot;??_ ;_ @_ "/>
    <numFmt numFmtId="167" formatCode="_ * #,##0.0_ ;_ * \-#,##0.0_ ;_ * &quot;-&quot;??_ ;_ @_ "/>
    <numFmt numFmtId="168" formatCode="_(* #,##0_);_(* \(#,##0\);_(* &quot;-&quot;??_);_(@_)"/>
    <numFmt numFmtId="169" formatCode="mmm\-yyyy"/>
    <numFmt numFmtId="170" formatCode="#,###,###,"/>
    <numFmt numFmtId="171" formatCode="0.0"/>
  </numFmts>
  <fonts count="60" x14ac:knownFonts="1">
    <font>
      <sz val="10"/>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s>
  <cellStyleXfs count="2148">
    <xf numFmtId="0" fontId="0" fillId="0" borderId="0"/>
    <xf numFmtId="165" fontId="18" fillId="0" borderId="0" applyFont="0" applyFill="0" applyBorder="0" applyAlignment="0" applyProtection="0"/>
    <xf numFmtId="0" fontId="26" fillId="0" borderId="0" applyNumberFormat="0" applyFill="0" applyBorder="0" applyAlignment="0" applyProtection="0"/>
    <xf numFmtId="0" fontId="27" fillId="0" borderId="1" applyNumberFormat="0" applyFill="0" applyAlignment="0" applyProtection="0"/>
    <xf numFmtId="0" fontId="28" fillId="0" borderId="2" applyNumberFormat="0" applyFill="0" applyAlignment="0" applyProtection="0"/>
    <xf numFmtId="0" fontId="29" fillId="0" borderId="3" applyNumberFormat="0" applyFill="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4" applyNumberFormat="0" applyAlignment="0" applyProtection="0"/>
    <xf numFmtId="0" fontId="34" fillId="6" borderId="5" applyNumberFormat="0" applyAlignment="0" applyProtection="0"/>
    <xf numFmtId="0" fontId="35" fillId="6" borderId="4" applyNumberFormat="0" applyAlignment="0" applyProtection="0"/>
    <xf numFmtId="0" fontId="36" fillId="0" borderId="6" applyNumberFormat="0" applyFill="0" applyAlignment="0" applyProtection="0"/>
    <xf numFmtId="0" fontId="37" fillId="7" borderId="7" applyNumberFormat="0" applyAlignment="0" applyProtection="0"/>
    <xf numFmtId="0" fontId="38" fillId="0" borderId="0" applyNumberFormat="0" applyFill="0" applyBorder="0" applyAlignment="0" applyProtection="0"/>
    <xf numFmtId="0" fontId="19" fillId="8" borderId="8" applyNumberFormat="0" applyFont="0" applyAlignment="0" applyProtection="0"/>
    <xf numFmtId="0" fontId="39" fillId="0" borderId="0" applyNumberFormat="0" applyFill="0" applyBorder="0" applyAlignment="0" applyProtection="0"/>
    <xf numFmtId="0" fontId="20" fillId="0" borderId="9" applyNumberFormat="0" applyFill="0" applyAlignment="0" applyProtection="0"/>
    <xf numFmtId="0" fontId="40"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40" fillId="12" borderId="0" applyNumberFormat="0" applyBorder="0" applyAlignment="0" applyProtection="0"/>
    <xf numFmtId="0" fontId="40"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40" fillId="20" borderId="0" applyNumberFormat="0" applyBorder="0" applyAlignment="0" applyProtection="0"/>
    <xf numFmtId="0" fontId="40"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40" fillId="28" borderId="0" applyNumberFormat="0" applyBorder="0" applyAlignment="0" applyProtection="0"/>
    <xf numFmtId="0" fontId="40" fillId="29"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40" fillId="32" borderId="0" applyNumberFormat="0" applyBorder="0" applyAlignment="0" applyProtection="0"/>
    <xf numFmtId="9" fontId="19" fillId="0" borderId="0" applyFont="0" applyFill="0" applyBorder="0" applyAlignment="0" applyProtection="0"/>
    <xf numFmtId="0" fontId="11" fillId="0" borderId="0"/>
    <xf numFmtId="165" fontId="11" fillId="0" borderId="0" applyFont="0" applyFill="0" applyBorder="0" applyAlignment="0" applyProtection="0"/>
    <xf numFmtId="165" fontId="16" fillId="0" borderId="0" applyFont="0" applyFill="0" applyBorder="0" applyAlignment="0" applyProtection="0"/>
    <xf numFmtId="0" fontId="10" fillId="0" borderId="0"/>
    <xf numFmtId="165" fontId="10" fillId="0" borderId="0" applyFont="0" applyFill="0" applyBorder="0" applyAlignment="0" applyProtection="0"/>
    <xf numFmtId="0" fontId="9" fillId="0" borderId="0"/>
    <xf numFmtId="0" fontId="8" fillId="0" borderId="0"/>
    <xf numFmtId="165" fontId="8" fillId="0" borderId="0" applyFont="0" applyFill="0" applyBorder="0" applyAlignment="0" applyProtection="0"/>
    <xf numFmtId="0" fontId="8" fillId="0" borderId="0"/>
    <xf numFmtId="165" fontId="8" fillId="0" borderId="0" applyFont="0" applyFill="0" applyBorder="0" applyAlignment="0" applyProtection="0"/>
    <xf numFmtId="0" fontId="8" fillId="0" borderId="0"/>
    <xf numFmtId="0" fontId="7"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165"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0" fontId="6"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2" fillId="0" borderId="0"/>
    <xf numFmtId="165" fontId="12" fillId="0" borderId="0" applyFont="0" applyFill="0" applyBorder="0" applyAlignment="0" applyProtection="0"/>
    <xf numFmtId="9" fontId="12"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1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165"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0" fontId="4"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165" fontId="3" fillId="0" borderId="0" applyFont="0" applyFill="0" applyBorder="0" applyAlignment="0" applyProtection="0"/>
    <xf numFmtId="0" fontId="3" fillId="0" borderId="0"/>
    <xf numFmtId="165" fontId="3" fillId="0" borderId="0" applyFont="0" applyFill="0" applyBorder="0" applyAlignment="0" applyProtection="0"/>
    <xf numFmtId="0" fontId="3" fillId="0" borderId="0"/>
    <xf numFmtId="0" fontId="3"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165" fontId="3"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16" fillId="0" borderId="0" applyFont="0" applyFill="0" applyBorder="0" applyAlignment="0" applyProtection="0"/>
    <xf numFmtId="0" fontId="2" fillId="0" borderId="0"/>
    <xf numFmtId="165" fontId="2" fillId="0" borderId="0" applyFont="0" applyFill="0" applyBorder="0" applyAlignment="0" applyProtection="0"/>
    <xf numFmtId="165" fontId="16"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59" fillId="0" borderId="0" applyNumberFormat="0" applyFill="0" applyBorder="0" applyAlignment="0" applyProtection="0"/>
  </cellStyleXfs>
  <cellXfs count="383">
    <xf numFmtId="0" fontId="0" fillId="0" borderId="0" xfId="0"/>
    <xf numFmtId="0" fontId="20" fillId="0" borderId="0" xfId="0" applyFont="1"/>
    <xf numFmtId="165" fontId="0" fillId="0" borderId="0" xfId="1" applyFont="1"/>
    <xf numFmtId="166" fontId="0" fillId="0" borderId="0" xfId="1" applyNumberFormat="1" applyFont="1"/>
    <xf numFmtId="166" fontId="20" fillId="0" borderId="0" xfId="1" applyNumberFormat="1" applyFont="1"/>
    <xf numFmtId="165" fontId="20" fillId="0" borderId="0" xfId="1" applyFont="1"/>
    <xf numFmtId="14" fontId="0" fillId="0" borderId="0" xfId="0" applyNumberFormat="1" applyAlignment="1">
      <alignment horizontal="right"/>
    </xf>
    <xf numFmtId="14" fontId="20" fillId="0" borderId="0" xfId="0" applyNumberFormat="1" applyFont="1" applyAlignment="1">
      <alignment horizontal="right"/>
    </xf>
    <xf numFmtId="0" fontId="22" fillId="0" borderId="0" xfId="0" applyFont="1" applyFill="1"/>
    <xf numFmtId="0" fontId="24" fillId="0" borderId="0" xfId="0" applyFont="1" applyFill="1"/>
    <xf numFmtId="0" fontId="0" fillId="0" borderId="0" xfId="0" applyFont="1"/>
    <xf numFmtId="17" fontId="20" fillId="0" borderId="0" xfId="0" quotePrefix="1" applyNumberFormat="1" applyFont="1" applyAlignment="1">
      <alignment horizontal="right"/>
    </xf>
    <xf numFmtId="14" fontId="0" fillId="0" borderId="0" xfId="0" applyNumberFormat="1" applyFont="1" applyAlignment="1">
      <alignment horizontal="right"/>
    </xf>
    <xf numFmtId="168" fontId="23" fillId="0" borderId="0" xfId="0" applyNumberFormat="1" applyFont="1"/>
    <xf numFmtId="0" fontId="21" fillId="0" borderId="0" xfId="0" applyFont="1"/>
    <xf numFmtId="166" fontId="0" fillId="0" borderId="0" xfId="0" applyNumberFormat="1" applyFont="1"/>
    <xf numFmtId="3" fontId="20" fillId="0" borderId="0" xfId="0" applyNumberFormat="1" applyFont="1"/>
    <xf numFmtId="0" fontId="20" fillId="0" borderId="0" xfId="0" applyFont="1"/>
    <xf numFmtId="0" fontId="41" fillId="0" borderId="0" xfId="0" applyFont="1"/>
    <xf numFmtId="3" fontId="0" fillId="0" borderId="0" xfId="0" applyNumberFormat="1" applyFont="1"/>
    <xf numFmtId="165" fontId="0" fillId="0" borderId="0" xfId="0" applyNumberFormat="1"/>
    <xf numFmtId="0" fontId="25" fillId="0" borderId="0" xfId="0" applyFont="1"/>
    <xf numFmtId="168" fontId="17" fillId="0" borderId="0" xfId="0" applyNumberFormat="1" applyFont="1"/>
    <xf numFmtId="167" fontId="20" fillId="0" borderId="0" xfId="0" applyNumberFormat="1" applyFont="1"/>
    <xf numFmtId="0" fontId="20" fillId="0" borderId="0" xfId="0" applyFont="1" applyAlignment="1">
      <alignment horizontal="right"/>
    </xf>
    <xf numFmtId="0" fontId="20" fillId="0" borderId="0" xfId="0" quotePrefix="1" applyFont="1" applyAlignment="1">
      <alignment horizontal="right"/>
    </xf>
    <xf numFmtId="0" fontId="20" fillId="0" borderId="0" xfId="0" applyFont="1"/>
    <xf numFmtId="166" fontId="0" fillId="0" borderId="0" xfId="0" applyNumberFormat="1" applyFont="1"/>
    <xf numFmtId="0" fontId="0" fillId="0" borderId="0" xfId="0" applyFont="1"/>
    <xf numFmtId="166" fontId="16" fillId="0" borderId="0" xfId="0" applyNumberFormat="1" applyFont="1" applyFill="1"/>
    <xf numFmtId="3" fontId="17" fillId="0" borderId="0" xfId="0" applyNumberFormat="1" applyFont="1"/>
    <xf numFmtId="166" fontId="21" fillId="0" borderId="0" xfId="0" applyNumberFormat="1" applyFont="1" applyFill="1"/>
    <xf numFmtId="166" fontId="0" fillId="0" borderId="0" xfId="0" applyNumberFormat="1" applyFont="1" applyFill="1"/>
    <xf numFmtId="166" fontId="20" fillId="0" borderId="0" xfId="0" applyNumberFormat="1" applyFont="1"/>
    <xf numFmtId="0" fontId="20" fillId="0" borderId="0" xfId="0" applyFont="1"/>
    <xf numFmtId="0" fontId="23" fillId="0" borderId="0" xfId="0" applyFont="1"/>
    <xf numFmtId="166" fontId="17" fillId="0" borderId="0" xfId="0" applyNumberFormat="1" applyFont="1"/>
    <xf numFmtId="167" fontId="0" fillId="0" borderId="0" xfId="0" applyNumberFormat="1" applyFont="1"/>
    <xf numFmtId="167" fontId="20" fillId="0" borderId="0" xfId="0" applyNumberFormat="1" applyFont="1"/>
    <xf numFmtId="0" fontId="20" fillId="0" borderId="0" xfId="0" applyFont="1" applyAlignment="1">
      <alignment horizontal="right"/>
    </xf>
    <xf numFmtId="166" fontId="25" fillId="0" borderId="0" xfId="0" applyNumberFormat="1" applyFont="1"/>
    <xf numFmtId="0" fontId="0" fillId="0" borderId="0" xfId="0"/>
    <xf numFmtId="0" fontId="25" fillId="0" borderId="0" xfId="0" applyFont="1"/>
    <xf numFmtId="0" fontId="0" fillId="0" borderId="0" xfId="0"/>
    <xf numFmtId="166" fontId="0" fillId="0" borderId="0" xfId="0" applyNumberFormat="1" applyFont="1" applyFill="1" applyBorder="1"/>
    <xf numFmtId="166" fontId="0" fillId="0" borderId="0" xfId="0" applyNumberFormat="1" applyFont="1" applyAlignment="1">
      <alignment horizontal="right"/>
    </xf>
    <xf numFmtId="0" fontId="0" fillId="0" borderId="0" xfId="0" applyFont="1" applyAlignment="1">
      <alignment horizontal="right"/>
    </xf>
    <xf numFmtId="0" fontId="43" fillId="0" borderId="0" xfId="0" applyFont="1"/>
    <xf numFmtId="166" fontId="0" fillId="0" borderId="0" xfId="0" applyNumberFormat="1" applyFont="1" applyFill="1" applyBorder="1" applyAlignment="1">
      <alignment horizontal="right"/>
    </xf>
    <xf numFmtId="166" fontId="16" fillId="0" borderId="0" xfId="0" applyNumberFormat="1" applyFont="1"/>
    <xf numFmtId="166" fontId="21" fillId="0" borderId="0" xfId="0" applyNumberFormat="1" applyFont="1"/>
    <xf numFmtId="167" fontId="21" fillId="0" borderId="0" xfId="0" applyNumberFormat="1" applyFont="1"/>
    <xf numFmtId="0" fontId="45" fillId="0" borderId="0" xfId="0" applyFont="1"/>
    <xf numFmtId="167" fontId="0" fillId="0" borderId="0" xfId="0" applyNumberFormat="1" applyFont="1" applyAlignment="1">
      <alignment horizontal="right"/>
    </xf>
    <xf numFmtId="166" fontId="45" fillId="0" borderId="0" xfId="0" applyNumberFormat="1" applyFont="1"/>
    <xf numFmtId="166" fontId="44" fillId="0" borderId="0" xfId="0" applyNumberFormat="1" applyFont="1"/>
    <xf numFmtId="0" fontId="20" fillId="0" borderId="0" xfId="0" applyFont="1"/>
    <xf numFmtId="167" fontId="0" fillId="0" borderId="0" xfId="1" applyNumberFormat="1" applyFont="1"/>
    <xf numFmtId="0" fontId="20" fillId="0" borderId="0" xfId="0" applyFont="1"/>
    <xf numFmtId="0" fontId="22" fillId="0" borderId="0" xfId="0" applyFont="1"/>
    <xf numFmtId="0" fontId="20" fillId="0" borderId="0" xfId="0" applyFont="1"/>
    <xf numFmtId="0" fontId="20" fillId="0" borderId="0" xfId="0" applyFont="1"/>
    <xf numFmtId="166" fontId="0" fillId="0" borderId="0" xfId="0" applyNumberFormat="1" applyFont="1"/>
    <xf numFmtId="166" fontId="16" fillId="0" borderId="0" xfId="1" applyNumberFormat="1" applyFont="1"/>
    <xf numFmtId="0" fontId="20" fillId="0" borderId="0" xfId="0" applyFont="1"/>
    <xf numFmtId="0" fontId="20" fillId="0" borderId="0" xfId="0" applyFont="1"/>
    <xf numFmtId="166" fontId="23" fillId="0" borderId="0" xfId="0" quotePrefix="1" applyNumberFormat="1" applyFont="1" applyAlignment="1">
      <alignment horizontal="right"/>
    </xf>
    <xf numFmtId="166" fontId="15" fillId="0" borderId="0" xfId="0" applyNumberFormat="1" applyFont="1"/>
    <xf numFmtId="166" fontId="19" fillId="0" borderId="0" xfId="0" applyNumberFormat="1" applyFont="1"/>
    <xf numFmtId="0" fontId="44" fillId="0" borderId="0" xfId="0" applyFont="1"/>
    <xf numFmtId="166" fontId="15" fillId="0" borderId="0" xfId="0" applyNumberFormat="1" applyFont="1"/>
    <xf numFmtId="0" fontId="15" fillId="0" borderId="0" xfId="0" applyFont="1"/>
    <xf numFmtId="166" fontId="14" fillId="0" borderId="0" xfId="0" applyNumberFormat="1" applyFont="1"/>
    <xf numFmtId="166" fontId="0" fillId="0" borderId="0" xfId="0" applyNumberFormat="1"/>
    <xf numFmtId="0" fontId="20" fillId="0" borderId="0" xfId="0" applyFont="1"/>
    <xf numFmtId="166" fontId="13" fillId="0" borderId="0" xfId="0" applyNumberFormat="1" applyFont="1"/>
    <xf numFmtId="166" fontId="12" fillId="0" borderId="0" xfId="0" applyNumberFormat="1" applyFont="1"/>
    <xf numFmtId="166" fontId="12" fillId="0" borderId="0" xfId="1" applyNumberFormat="1" applyFont="1"/>
    <xf numFmtId="166" fontId="12" fillId="0" borderId="0" xfId="0" applyNumberFormat="1" applyFont="1"/>
    <xf numFmtId="166" fontId="12" fillId="0" borderId="0" xfId="0" applyNumberFormat="1" applyFont="1"/>
    <xf numFmtId="166" fontId="12" fillId="0" borderId="0" xfId="0" applyNumberFormat="1" applyFont="1"/>
    <xf numFmtId="169" fontId="42" fillId="0" borderId="0" xfId="0" applyNumberFormat="1" applyFont="1" applyFill="1" applyBorder="1" applyAlignment="1">
      <alignment horizontal="right"/>
    </xf>
    <xf numFmtId="169" fontId="42" fillId="0" borderId="0" xfId="0" applyNumberFormat="1" applyFont="1" applyFill="1" applyBorder="1" applyAlignment="1">
      <alignment wrapText="1"/>
    </xf>
    <xf numFmtId="0" fontId="21" fillId="0" borderId="0" xfId="0" quotePrefix="1" applyFont="1"/>
    <xf numFmtId="0" fontId="20" fillId="0" borderId="0" xfId="0" applyFont="1"/>
    <xf numFmtId="0" fontId="20" fillId="0" borderId="0" xfId="0" applyFont="1" applyAlignment="1">
      <alignment horizontal="left"/>
    </xf>
    <xf numFmtId="165" fontId="20" fillId="0" borderId="0" xfId="1" applyFont="1" applyAlignment="1">
      <alignment horizontal="left"/>
    </xf>
    <xf numFmtId="14" fontId="20" fillId="0" borderId="0" xfId="0" applyNumberFormat="1" applyFont="1" applyAlignment="1">
      <alignment horizontal="left"/>
    </xf>
    <xf numFmtId="166" fontId="14" fillId="0" borderId="0" xfId="1" applyNumberFormat="1" applyFont="1"/>
    <xf numFmtId="0" fontId="47" fillId="0" borderId="0" xfId="0" applyFont="1"/>
    <xf numFmtId="171" fontId="0" fillId="0" borderId="0" xfId="0" applyNumberFormat="1"/>
    <xf numFmtId="0" fontId="42" fillId="0" borderId="0" xfId="0" applyFont="1"/>
    <xf numFmtId="3" fontId="42" fillId="0" borderId="0" xfId="0" applyNumberFormat="1" applyFont="1"/>
    <xf numFmtId="171" fontId="42" fillId="0" borderId="0" xfId="0" applyNumberFormat="1" applyFont="1"/>
    <xf numFmtId="166" fontId="42" fillId="0" borderId="0" xfId="1" applyNumberFormat="1" applyFont="1"/>
    <xf numFmtId="166" fontId="42" fillId="0" borderId="0" xfId="0" applyNumberFormat="1" applyFont="1"/>
    <xf numFmtId="170" fontId="0" fillId="0" borderId="0" xfId="1" applyNumberFormat="1" applyFont="1"/>
    <xf numFmtId="170" fontId="42" fillId="0" borderId="0" xfId="0" applyNumberFormat="1" applyFont="1"/>
    <xf numFmtId="170" fontId="0" fillId="0" borderId="0" xfId="0" applyNumberFormat="1"/>
    <xf numFmtId="0" fontId="0" fillId="0" borderId="0" xfId="0" applyBorder="1"/>
    <xf numFmtId="0" fontId="42" fillId="33" borderId="0" xfId="0" applyFont="1" applyFill="1"/>
    <xf numFmtId="0" fontId="0" fillId="33" borderId="0" xfId="0" applyFill="1"/>
    <xf numFmtId="171" fontId="0" fillId="33" borderId="0" xfId="0" applyNumberFormat="1" applyFill="1"/>
    <xf numFmtId="0" fontId="42" fillId="0" borderId="0" xfId="0" applyFont="1" applyFill="1" applyBorder="1" applyAlignment="1">
      <alignment horizontal="right" wrapText="1"/>
    </xf>
    <xf numFmtId="169" fontId="42" fillId="0" borderId="0" xfId="0" applyNumberFormat="1" applyFont="1" applyFill="1" applyBorder="1" applyAlignment="1">
      <alignment horizontal="right" wrapText="1"/>
    </xf>
    <xf numFmtId="14" fontId="0" fillId="0" borderId="0" xfId="0" applyNumberFormat="1" applyBorder="1"/>
    <xf numFmtId="171" fontId="20" fillId="0" borderId="0" xfId="0" applyNumberFormat="1" applyFont="1"/>
    <xf numFmtId="0" fontId="20" fillId="0" borderId="0" xfId="0" applyFont="1"/>
    <xf numFmtId="0" fontId="0" fillId="0" borderId="11" xfId="0" applyFont="1" applyBorder="1"/>
    <xf numFmtId="0" fontId="20" fillId="0" borderId="11" xfId="0" applyFont="1" applyBorder="1"/>
    <xf numFmtId="166" fontId="0" fillId="0" borderId="11" xfId="0" applyNumberFormat="1" applyFont="1" applyBorder="1"/>
    <xf numFmtId="0" fontId="0" fillId="0" borderId="11" xfId="0" applyBorder="1"/>
    <xf numFmtId="0" fontId="0" fillId="0" borderId="11" xfId="0" applyFont="1" applyBorder="1"/>
    <xf numFmtId="166" fontId="20" fillId="0" borderId="11" xfId="0" applyNumberFormat="1" applyFont="1" applyBorder="1"/>
    <xf numFmtId="166" fontId="0" fillId="0" borderId="11" xfId="1" applyNumberFormat="1" applyFont="1" applyBorder="1"/>
    <xf numFmtId="0" fontId="0" fillId="0" borderId="12" xfId="0" applyFont="1" applyBorder="1"/>
    <xf numFmtId="0" fontId="20" fillId="0" borderId="12" xfId="0" applyFont="1" applyBorder="1"/>
    <xf numFmtId="166" fontId="0" fillId="0" borderId="12" xfId="0" applyNumberFormat="1" applyFont="1" applyBorder="1"/>
    <xf numFmtId="0" fontId="21" fillId="0" borderId="12" xfId="0" applyFont="1" applyFill="1" applyBorder="1"/>
    <xf numFmtId="0" fontId="46" fillId="0" borderId="12" xfId="0" applyFont="1" applyFill="1" applyBorder="1"/>
    <xf numFmtId="0" fontId="23" fillId="0" borderId="12" xfId="0" applyFont="1" applyBorder="1"/>
    <xf numFmtId="0" fontId="17" fillId="0" borderId="12" xfId="0" applyFont="1" applyBorder="1"/>
    <xf numFmtId="0" fontId="17" fillId="0" borderId="12" xfId="0" applyFont="1" applyFill="1" applyBorder="1"/>
    <xf numFmtId="0" fontId="17" fillId="0" borderId="0" xfId="0" applyFont="1"/>
    <xf numFmtId="0" fontId="49" fillId="0" borderId="0" xfId="0" applyFont="1" applyAlignment="1">
      <alignment vertical="center"/>
    </xf>
    <xf numFmtId="14" fontId="0" fillId="0" borderId="0" xfId="0" applyNumberFormat="1" applyFont="1"/>
    <xf numFmtId="166" fontId="25" fillId="0" borderId="0" xfId="1" applyNumberFormat="1" applyFont="1"/>
    <xf numFmtId="166" fontId="25" fillId="0" borderId="11" xfId="1" applyNumberFormat="1" applyFont="1" applyBorder="1"/>
    <xf numFmtId="166" fontId="0" fillId="0" borderId="0" xfId="0" applyNumberFormat="1" applyFont="1"/>
    <xf numFmtId="0" fontId="0" fillId="0" borderId="0" xfId="0" applyFont="1" applyFill="1"/>
    <xf numFmtId="166" fontId="0" fillId="0" borderId="0" xfId="0" applyNumberFormat="1" applyFont="1" applyFill="1"/>
    <xf numFmtId="0" fontId="0" fillId="0" borderId="0" xfId="0" applyFont="1"/>
    <xf numFmtId="0" fontId="20" fillId="33" borderId="0" xfId="0" applyFont="1" applyFill="1"/>
    <xf numFmtId="0" fontId="0" fillId="33" borderId="0" xfId="0" applyFont="1" applyFill="1"/>
    <xf numFmtId="0" fontId="51" fillId="0" borderId="0" xfId="0" applyFont="1"/>
    <xf numFmtId="171" fontId="0" fillId="0" borderId="0" xfId="0" applyNumberFormat="1" applyFont="1"/>
    <xf numFmtId="170" fontId="0" fillId="0" borderId="0" xfId="0" applyNumberFormat="1" applyFont="1"/>
    <xf numFmtId="167" fontId="0" fillId="0" borderId="11" xfId="0" applyNumberFormat="1" applyFont="1" applyBorder="1"/>
    <xf numFmtId="167" fontId="0" fillId="0" borderId="11" xfId="1" applyNumberFormat="1" applyFont="1" applyBorder="1"/>
    <xf numFmtId="166" fontId="0" fillId="0" borderId="11" xfId="0" applyNumberFormat="1" applyFont="1" applyFill="1" applyBorder="1" applyAlignment="1">
      <alignment horizontal="right"/>
    </xf>
    <xf numFmtId="0" fontId="20" fillId="0" borderId="11" xfId="0" applyFont="1" applyBorder="1"/>
    <xf numFmtId="167" fontId="0" fillId="0" borderId="11" xfId="0" applyNumberFormat="1" applyFont="1" applyBorder="1" applyAlignment="1">
      <alignment horizontal="right"/>
    </xf>
    <xf numFmtId="0" fontId="20" fillId="0" borderId="0" xfId="0" applyFont="1"/>
    <xf numFmtId="0" fontId="20" fillId="35" borderId="0" xfId="0" applyFont="1" applyFill="1"/>
    <xf numFmtId="0" fontId="20" fillId="0" borderId="0" xfId="0" quotePrefix="1" applyFont="1"/>
    <xf numFmtId="16" fontId="21" fillId="0" borderId="0" xfId="0" quotePrefix="1" applyNumberFormat="1" applyFont="1"/>
    <xf numFmtId="16" fontId="20" fillId="0" borderId="0" xfId="0" quotePrefix="1" applyNumberFormat="1" applyFont="1" applyAlignment="1">
      <alignment horizontal="left"/>
    </xf>
    <xf numFmtId="0" fontId="0" fillId="35" borderId="0" xfId="0" applyFont="1" applyFill="1"/>
    <xf numFmtId="0" fontId="52" fillId="35" borderId="0" xfId="44" applyFont="1" applyFill="1" applyAlignment="1"/>
    <xf numFmtId="14" fontId="0" fillId="0" borderId="0" xfId="0" applyNumberFormat="1"/>
    <xf numFmtId="0" fontId="0" fillId="0" borderId="0" xfId="0"/>
    <xf numFmtId="0" fontId="20" fillId="0" borderId="0" xfId="0" applyFont="1"/>
    <xf numFmtId="0" fontId="0" fillId="0" borderId="0" xfId="0" applyFont="1"/>
    <xf numFmtId="166" fontId="0" fillId="0" borderId="0" xfId="0" applyNumberFormat="1" applyFont="1"/>
    <xf numFmtId="3" fontId="0" fillId="0" borderId="0" xfId="0" applyNumberFormat="1" applyFont="1"/>
    <xf numFmtId="0" fontId="0" fillId="0" borderId="0" xfId="0" applyFont="1" applyFill="1"/>
    <xf numFmtId="0" fontId="20" fillId="35" borderId="0" xfId="0" applyFont="1" applyFill="1"/>
    <xf numFmtId="0" fontId="52" fillId="35" borderId="0" xfId="0" applyFont="1" applyFill="1"/>
    <xf numFmtId="0" fontId="10" fillId="0" borderId="0" xfId="47" applyFill="1"/>
    <xf numFmtId="0" fontId="52" fillId="0" borderId="0" xfId="47" applyFont="1" applyFill="1" applyAlignment="1"/>
    <xf numFmtId="10" fontId="20" fillId="0" borderId="0" xfId="43" applyNumberFormat="1" applyFont="1"/>
    <xf numFmtId="10" fontId="20" fillId="33" borderId="0" xfId="43" applyNumberFormat="1" applyFont="1" applyFill="1"/>
    <xf numFmtId="166" fontId="20" fillId="33" borderId="0" xfId="1" applyNumberFormat="1" applyFont="1" applyFill="1"/>
    <xf numFmtId="10" fontId="0" fillId="33" borderId="0" xfId="43" applyNumberFormat="1" applyFont="1" applyFill="1"/>
    <xf numFmtId="0" fontId="0" fillId="0" borderId="0" xfId="1" applyNumberFormat="1" applyFont="1"/>
    <xf numFmtId="0" fontId="20" fillId="0" borderId="0" xfId="0" applyNumberFormat="1" applyFont="1"/>
    <xf numFmtId="0" fontId="20" fillId="0" borderId="0" xfId="1" applyNumberFormat="1" applyFont="1"/>
    <xf numFmtId="0" fontId="0" fillId="0" borderId="0" xfId="0" applyNumberFormat="1"/>
    <xf numFmtId="0" fontId="0" fillId="0" borderId="0" xfId="0" applyNumberFormat="1" applyFont="1" applyFill="1"/>
    <xf numFmtId="0" fontId="17" fillId="0" borderId="0" xfId="0" applyNumberFormat="1" applyFont="1"/>
    <xf numFmtId="0" fontId="0" fillId="0" borderId="0" xfId="0" applyNumberFormat="1" applyFont="1"/>
    <xf numFmtId="10" fontId="0" fillId="0" borderId="0" xfId="43" applyNumberFormat="1" applyFont="1"/>
    <xf numFmtId="0" fontId="20" fillId="34" borderId="12" xfId="0" applyFont="1" applyFill="1" applyBorder="1" applyAlignment="1">
      <alignment horizontal="right" wrapText="1"/>
    </xf>
    <xf numFmtId="165" fontId="48" fillId="34" borderId="0" xfId="1" applyFont="1" applyFill="1"/>
    <xf numFmtId="165" fontId="25" fillId="0" borderId="11" xfId="1" applyFont="1" applyBorder="1"/>
    <xf numFmtId="165" fontId="25" fillId="0" borderId="0" xfId="1" applyFont="1"/>
    <xf numFmtId="165" fontId="25" fillId="0" borderId="0" xfId="1" applyFont="1" applyFill="1"/>
    <xf numFmtId="10" fontId="54" fillId="0" borderId="14" xfId="43" applyNumberFormat="1" applyFont="1" applyBorder="1"/>
    <xf numFmtId="0" fontId="0" fillId="0" borderId="0" xfId="0"/>
    <xf numFmtId="0" fontId="0" fillId="0" borderId="0" xfId="0" applyFont="1"/>
    <xf numFmtId="0" fontId="0" fillId="35" borderId="0" xfId="0" applyFont="1" applyFill="1"/>
    <xf numFmtId="0" fontId="4" fillId="0" borderId="0" xfId="334" applyFill="1"/>
    <xf numFmtId="0" fontId="52" fillId="0" borderId="0" xfId="334" applyFont="1" applyFill="1" applyAlignment="1"/>
    <xf numFmtId="14" fontId="52" fillId="0" borderId="0" xfId="334" applyNumberFormat="1" applyFont="1" applyFill="1" applyAlignment="1"/>
    <xf numFmtId="14" fontId="4" fillId="0" borderId="0" xfId="334" applyNumberFormat="1" applyFill="1"/>
    <xf numFmtId="11" fontId="0" fillId="0" borderId="0" xfId="0" applyNumberFormat="1" applyFont="1"/>
    <xf numFmtId="166" fontId="25" fillId="0" borderId="0" xfId="1" applyNumberFormat="1" applyFont="1" applyFill="1"/>
    <xf numFmtId="0" fontId="48" fillId="34" borderId="14" xfId="0" applyFont="1" applyFill="1" applyBorder="1"/>
    <xf numFmtId="165" fontId="48" fillId="34" borderId="12" xfId="1" applyFont="1" applyFill="1" applyBorder="1" applyAlignment="1">
      <alignment horizontal="left"/>
    </xf>
    <xf numFmtId="17" fontId="25" fillId="0" borderId="0" xfId="0" applyNumberFormat="1" applyFont="1" applyFill="1" applyAlignment="1">
      <alignment horizontal="right"/>
    </xf>
    <xf numFmtId="165" fontId="25" fillId="0" borderId="0" xfId="0" applyNumberFormat="1" applyFont="1" applyFill="1" applyAlignment="1">
      <alignment horizontal="right"/>
    </xf>
    <xf numFmtId="10" fontId="54" fillId="0" borderId="0" xfId="43" applyNumberFormat="1" applyFont="1" applyBorder="1"/>
    <xf numFmtId="166" fontId="48" fillId="0" borderId="0" xfId="1" applyNumberFormat="1" applyFont="1"/>
    <xf numFmtId="0" fontId="48" fillId="34" borderId="0" xfId="0" applyFont="1" applyFill="1" applyAlignment="1"/>
    <xf numFmtId="165" fontId="25" fillId="0" borderId="0" xfId="1" applyNumberFormat="1" applyFont="1"/>
    <xf numFmtId="0" fontId="25" fillId="0" borderId="0" xfId="0" applyFont="1" applyFill="1" applyAlignment="1">
      <alignment horizontal="right"/>
    </xf>
    <xf numFmtId="166" fontId="25" fillId="0" borderId="0" xfId="0" applyNumberFormat="1" applyFont="1" applyFill="1" applyAlignment="1">
      <alignment horizontal="right"/>
    </xf>
    <xf numFmtId="165" fontId="48" fillId="34" borderId="0" xfId="1" applyFont="1" applyFill="1" applyBorder="1"/>
    <xf numFmtId="0" fontId="0" fillId="0" borderId="0" xfId="0"/>
    <xf numFmtId="0" fontId="20" fillId="0" borderId="0" xfId="0" applyFont="1"/>
    <xf numFmtId="0" fontId="0" fillId="0" borderId="0" xfId="0" applyFont="1"/>
    <xf numFmtId="0" fontId="21" fillId="0" borderId="0" xfId="0" applyFont="1"/>
    <xf numFmtId="0" fontId="16" fillId="0" borderId="0" xfId="0" applyFont="1"/>
    <xf numFmtId="166" fontId="0" fillId="0" borderId="0" xfId="0" applyNumberFormat="1" applyFont="1"/>
    <xf numFmtId="0" fontId="20" fillId="0" borderId="0" xfId="0" applyFont="1" applyAlignment="1">
      <alignment horizontal="right"/>
    </xf>
    <xf numFmtId="0" fontId="20" fillId="0" borderId="0" xfId="0" quotePrefix="1" applyFont="1" applyAlignment="1">
      <alignment horizontal="right"/>
    </xf>
    <xf numFmtId="166" fontId="17" fillId="0" borderId="0" xfId="0" applyNumberFormat="1" applyFont="1"/>
    <xf numFmtId="166" fontId="0" fillId="0" borderId="0" xfId="0" applyNumberFormat="1" applyFont="1" applyAlignment="1">
      <alignment horizontal="right"/>
    </xf>
    <xf numFmtId="0" fontId="16" fillId="0" borderId="0" xfId="0" applyFont="1" applyAlignment="1">
      <alignment horizontal="right"/>
    </xf>
    <xf numFmtId="2" fontId="16" fillId="0" borderId="0" xfId="0" applyNumberFormat="1" applyFont="1"/>
    <xf numFmtId="0" fontId="0" fillId="35" borderId="0" xfId="0" applyFont="1" applyFill="1"/>
    <xf numFmtId="166" fontId="0" fillId="35" borderId="0" xfId="0" applyNumberFormat="1" applyFont="1" applyFill="1"/>
    <xf numFmtId="0" fontId="4" fillId="0" borderId="0" xfId="586" applyFill="1"/>
    <xf numFmtId="0" fontId="52" fillId="0" borderId="0" xfId="586" applyFont="1" applyFill="1" applyAlignment="1"/>
    <xf numFmtId="11" fontId="0" fillId="0" borderId="0" xfId="0" applyNumberFormat="1" applyFont="1"/>
    <xf numFmtId="0" fontId="20" fillId="0" borderId="0" xfId="0" applyFont="1" applyAlignment="1"/>
    <xf numFmtId="0" fontId="52" fillId="35" borderId="0" xfId="0" applyFont="1" applyFill="1"/>
    <xf numFmtId="0" fontId="0" fillId="0" borderId="0" xfId="0"/>
    <xf numFmtId="0" fontId="0" fillId="0" borderId="0" xfId="0" applyFont="1"/>
    <xf numFmtId="166" fontId="0" fillId="0" borderId="0" xfId="0" applyNumberFormat="1" applyFont="1"/>
    <xf numFmtId="166" fontId="19" fillId="0" borderId="0" xfId="0" applyNumberFormat="1" applyFont="1"/>
    <xf numFmtId="166" fontId="20" fillId="0" borderId="0" xfId="0" applyNumberFormat="1" applyFont="1"/>
    <xf numFmtId="166" fontId="12" fillId="0" borderId="0" xfId="0" applyNumberFormat="1" applyFont="1"/>
    <xf numFmtId="0" fontId="4" fillId="0" borderId="0" xfId="586" applyFill="1"/>
    <xf numFmtId="0" fontId="52" fillId="0" borderId="0" xfId="586" applyFont="1" applyFill="1" applyAlignment="1"/>
    <xf numFmtId="165" fontId="12" fillId="0" borderId="0" xfId="46" applyFont="1"/>
    <xf numFmtId="165" fontId="52" fillId="0" borderId="0" xfId="46" applyFont="1" applyFill="1" applyAlignment="1"/>
    <xf numFmtId="165" fontId="4" fillId="0" borderId="0" xfId="46" applyFont="1" applyFill="1"/>
    <xf numFmtId="0" fontId="0" fillId="0" borderId="0" xfId="0"/>
    <xf numFmtId="0" fontId="0" fillId="35" borderId="0" xfId="0" applyFont="1" applyFill="1"/>
    <xf numFmtId="0" fontId="4" fillId="0" borderId="0" xfId="586" applyFill="1"/>
    <xf numFmtId="0" fontId="52" fillId="0" borderId="0" xfId="586" applyFont="1" applyFill="1" applyAlignment="1"/>
    <xf numFmtId="0" fontId="52" fillId="35" borderId="0" xfId="586" applyFont="1" applyFill="1" applyAlignment="1"/>
    <xf numFmtId="11" fontId="4" fillId="0" borderId="0" xfId="586" applyNumberFormat="1" applyFill="1"/>
    <xf numFmtId="0" fontId="0" fillId="0" borderId="0" xfId="0"/>
    <xf numFmtId="0" fontId="20" fillId="0" borderId="0" xfId="0" applyFont="1"/>
    <xf numFmtId="0" fontId="0" fillId="0" borderId="0" xfId="0" applyFont="1"/>
    <xf numFmtId="0" fontId="25" fillId="0" borderId="0" xfId="0" applyFont="1"/>
    <xf numFmtId="166" fontId="25" fillId="0" borderId="0" xfId="0" applyNumberFormat="1" applyFont="1"/>
    <xf numFmtId="166" fontId="48" fillId="0" borderId="0" xfId="0" applyNumberFormat="1" applyFont="1"/>
    <xf numFmtId="0" fontId="4" fillId="0" borderId="0" xfId="0" applyFont="1"/>
    <xf numFmtId="0" fontId="52" fillId="35" borderId="0" xfId="586" applyFont="1" applyFill="1" applyAlignment="1"/>
    <xf numFmtId="0" fontId="4" fillId="0" borderId="0" xfId="586" applyFill="1"/>
    <xf numFmtId="0" fontId="52" fillId="0" borderId="0" xfId="586" applyFont="1" applyFill="1" applyAlignment="1"/>
    <xf numFmtId="0" fontId="0" fillId="0" borderId="0" xfId="0" applyFont="1" applyFill="1"/>
    <xf numFmtId="0" fontId="52" fillId="35" borderId="0" xfId="0" applyFont="1" applyFill="1"/>
    <xf numFmtId="166" fontId="52" fillId="0" borderId="0" xfId="335" applyNumberFormat="1" applyFont="1" applyFill="1" applyAlignment="1"/>
    <xf numFmtId="166" fontId="4" fillId="0" borderId="0" xfId="335" applyNumberFormat="1" applyFont="1" applyFill="1"/>
    <xf numFmtId="0" fontId="53" fillId="35" borderId="0" xfId="0" applyFont="1" applyFill="1"/>
    <xf numFmtId="0" fontId="53" fillId="35" borderId="0" xfId="586" applyFont="1" applyFill="1" applyAlignment="1"/>
    <xf numFmtId="0" fontId="52" fillId="35" borderId="0" xfId="587" applyFont="1" applyFill="1" applyAlignment="1"/>
    <xf numFmtId="0" fontId="0" fillId="0" borderId="0" xfId="0" applyNumberFormat="1" applyFont="1"/>
    <xf numFmtId="0" fontId="4" fillId="0" borderId="0" xfId="587" applyFill="1"/>
    <xf numFmtId="0" fontId="52" fillId="0" borderId="0" xfId="587" applyFont="1" applyFill="1" applyAlignment="1"/>
    <xf numFmtId="0" fontId="4" fillId="0" borderId="0" xfId="581" applyFill="1"/>
    <xf numFmtId="0" fontId="52" fillId="0" borderId="0" xfId="581" applyFont="1" applyFill="1" applyAlignment="1"/>
    <xf numFmtId="0" fontId="52" fillId="35" borderId="0" xfId="581" applyFont="1" applyFill="1" applyAlignment="1"/>
    <xf numFmtId="166" fontId="52" fillId="0" borderId="0" xfId="573" applyNumberFormat="1" applyFont="1" applyFill="1" applyAlignment="1"/>
    <xf numFmtId="166" fontId="4" fillId="0" borderId="0" xfId="573" applyNumberFormat="1" applyFont="1" applyFill="1"/>
    <xf numFmtId="166" fontId="52" fillId="0" borderId="0" xfId="46" applyNumberFormat="1" applyFont="1" applyFill="1" applyAlignment="1"/>
    <xf numFmtId="166" fontId="4" fillId="0" borderId="0" xfId="46" applyNumberFormat="1" applyFont="1" applyFill="1"/>
    <xf numFmtId="165" fontId="4" fillId="0" borderId="0" xfId="573" applyNumberFormat="1" applyFont="1" applyFill="1"/>
    <xf numFmtId="165" fontId="52" fillId="0" borderId="0" xfId="573" applyFont="1" applyFill="1" applyAlignment="1"/>
    <xf numFmtId="165" fontId="4" fillId="0" borderId="0" xfId="573" applyFont="1" applyFill="1"/>
    <xf numFmtId="165" fontId="0" fillId="0" borderId="0" xfId="46" applyFont="1"/>
    <xf numFmtId="166" fontId="0" fillId="0" borderId="0" xfId="46" applyNumberFormat="1" applyFont="1"/>
    <xf numFmtId="0" fontId="0" fillId="0" borderId="0" xfId="46" applyNumberFormat="1" applyFont="1"/>
    <xf numFmtId="0" fontId="25" fillId="0" borderId="12" xfId="0" applyFont="1" applyBorder="1"/>
    <xf numFmtId="0" fontId="48" fillId="0" borderId="12" xfId="0" applyFont="1" applyBorder="1"/>
    <xf numFmtId="0" fontId="48" fillId="34" borderId="0" xfId="0" applyFont="1" applyFill="1" applyAlignment="1">
      <alignment horizontal="right"/>
    </xf>
    <xf numFmtId="0" fontId="48" fillId="34" borderId="0" xfId="0" applyFont="1" applyFill="1"/>
    <xf numFmtId="0" fontId="48" fillId="34" borderId="12" xfId="0" quotePrefix="1" applyFont="1" applyFill="1" applyBorder="1" applyAlignment="1">
      <alignment horizontal="right"/>
    </xf>
    <xf numFmtId="0" fontId="48" fillId="34" borderId="12" xfId="0" quotePrefix="1" applyNumberFormat="1" applyFont="1" applyFill="1" applyBorder="1" applyAlignment="1">
      <alignment horizontal="right"/>
    </xf>
    <xf numFmtId="0" fontId="48" fillId="34" borderId="12" xfId="0" applyFont="1" applyFill="1" applyBorder="1" applyAlignment="1">
      <alignment horizontal="right"/>
    </xf>
    <xf numFmtId="0" fontId="48" fillId="34" borderId="12" xfId="0" applyNumberFormat="1" applyFont="1" applyFill="1" applyBorder="1" applyAlignment="1">
      <alignment horizontal="right"/>
    </xf>
    <xf numFmtId="10" fontId="25" fillId="0" borderId="0" xfId="43" applyNumberFormat="1" applyFont="1"/>
    <xf numFmtId="166" fontId="25" fillId="0" borderId="0" xfId="0" applyNumberFormat="1" applyFont="1" applyFill="1"/>
    <xf numFmtId="0" fontId="48" fillId="0" borderId="0" xfId="0" applyFont="1"/>
    <xf numFmtId="0" fontId="25" fillId="0" borderId="11" xfId="0" applyFont="1" applyBorder="1"/>
    <xf numFmtId="166" fontId="25" fillId="0" borderId="11" xfId="0" applyNumberFormat="1" applyFont="1" applyBorder="1"/>
    <xf numFmtId="10" fontId="25" fillId="0" borderId="11" xfId="43" applyNumberFormat="1" applyFont="1" applyBorder="1"/>
    <xf numFmtId="166" fontId="25" fillId="34" borderId="0" xfId="0" applyNumberFormat="1" applyFont="1" applyFill="1"/>
    <xf numFmtId="0" fontId="48" fillId="34" borderId="0" xfId="0" applyFont="1" applyFill="1" applyBorder="1" applyAlignment="1">
      <alignment horizontal="center" vertical="center"/>
    </xf>
    <xf numFmtId="0" fontId="48" fillId="34" borderId="12" xfId="0" applyFont="1" applyFill="1" applyBorder="1"/>
    <xf numFmtId="166" fontId="25" fillId="0" borderId="0" xfId="0" applyNumberFormat="1" applyFont="1" applyAlignment="1">
      <alignment horizontal="right"/>
    </xf>
    <xf numFmtId="0" fontId="48" fillId="0" borderId="11" xfId="0" applyFont="1" applyBorder="1"/>
    <xf numFmtId="166" fontId="48" fillId="0" borderId="11" xfId="0" applyNumberFormat="1" applyFont="1" applyBorder="1"/>
    <xf numFmtId="166" fontId="48" fillId="0" borderId="11" xfId="0" applyNumberFormat="1" applyFont="1" applyFill="1" applyBorder="1"/>
    <xf numFmtId="0" fontId="55" fillId="34" borderId="0" xfId="0" applyFont="1" applyFill="1"/>
    <xf numFmtId="0" fontId="55" fillId="34" borderId="0" xfId="0" applyFont="1" applyFill="1" applyAlignment="1">
      <alignment horizontal="right"/>
    </xf>
    <xf numFmtId="0" fontId="55" fillId="34" borderId="12" xfId="0" applyFont="1" applyFill="1" applyBorder="1"/>
    <xf numFmtId="0" fontId="55" fillId="0" borderId="0" xfId="0" applyFont="1" applyFill="1"/>
    <xf numFmtId="0" fontId="56" fillId="0" borderId="0" xfId="0" applyFont="1" applyFill="1"/>
    <xf numFmtId="0" fontId="25" fillId="0" borderId="0" xfId="0" applyFont="1" applyFill="1"/>
    <xf numFmtId="166" fontId="57" fillId="0" borderId="0" xfId="0" applyNumberFormat="1" applyFont="1" applyFill="1"/>
    <xf numFmtId="166" fontId="55" fillId="0" borderId="0" xfId="0" applyNumberFormat="1" applyFont="1" applyFill="1"/>
    <xf numFmtId="0" fontId="48" fillId="0" borderId="0" xfId="0" applyFont="1" applyFill="1"/>
    <xf numFmtId="0" fontId="25" fillId="0" borderId="11" xfId="0" applyFont="1" applyFill="1" applyBorder="1"/>
    <xf numFmtId="0" fontId="25" fillId="34" borderId="0" xfId="0" applyFont="1" applyFill="1"/>
    <xf numFmtId="0" fontId="55" fillId="0" borderId="11" xfId="0" applyFont="1" applyFill="1" applyBorder="1"/>
    <xf numFmtId="0" fontId="48" fillId="0" borderId="0" xfId="0" applyFont="1" applyAlignment="1">
      <alignment horizontal="right"/>
    </xf>
    <xf numFmtId="0" fontId="58" fillId="0" borderId="0" xfId="0" applyFont="1"/>
    <xf numFmtId="0" fontId="48" fillId="0" borderId="0" xfId="0" quotePrefix="1" applyFont="1" applyAlignment="1">
      <alignment horizontal="right"/>
    </xf>
    <xf numFmtId="0" fontId="55" fillId="0" borderId="0" xfId="0" applyFont="1" applyAlignment="1">
      <alignment horizontal="right"/>
    </xf>
    <xf numFmtId="0" fontId="48" fillId="34" borderId="15" xfId="0" applyFont="1" applyFill="1" applyBorder="1"/>
    <xf numFmtId="17" fontId="48" fillId="34" borderId="12" xfId="0" quotePrefix="1" applyNumberFormat="1" applyFont="1" applyFill="1" applyBorder="1" applyAlignment="1">
      <alignment horizontal="right"/>
    </xf>
    <xf numFmtId="0" fontId="48" fillId="34" borderId="16" xfId="0" applyFont="1" applyFill="1" applyBorder="1" applyAlignment="1">
      <alignment horizontal="right"/>
    </xf>
    <xf numFmtId="166" fontId="54" fillId="0" borderId="0" xfId="0" applyNumberFormat="1" applyFont="1"/>
    <xf numFmtId="3" fontId="48" fillId="34" borderId="0" xfId="0" applyNumberFormat="1" applyFont="1" applyFill="1"/>
    <xf numFmtId="9" fontId="25" fillId="0" borderId="0" xfId="0" applyNumberFormat="1" applyFont="1"/>
    <xf numFmtId="10" fontId="48" fillId="0" borderId="0" xfId="43" applyNumberFormat="1" applyFont="1"/>
    <xf numFmtId="167" fontId="48" fillId="0" borderId="0" xfId="0" applyNumberFormat="1" applyFont="1"/>
    <xf numFmtId="0" fontId="48" fillId="34" borderId="0" xfId="0" applyFont="1" applyFill="1" applyBorder="1"/>
    <xf numFmtId="0" fontId="25" fillId="34" borderId="0" xfId="0" applyFont="1" applyFill="1" applyBorder="1"/>
    <xf numFmtId="0" fontId="25" fillId="34" borderId="12" xfId="0" applyFont="1" applyFill="1" applyBorder="1"/>
    <xf numFmtId="0" fontId="48" fillId="34" borderId="12" xfId="0" applyFont="1" applyFill="1" applyBorder="1" applyAlignment="1">
      <alignment horizontal="left"/>
    </xf>
    <xf numFmtId="0" fontId="48" fillId="33" borderId="0" xfId="0" applyFont="1" applyFill="1"/>
    <xf numFmtId="14" fontId="25" fillId="0" borderId="0" xfId="0" applyNumberFormat="1" applyFont="1" applyAlignment="1">
      <alignment horizontal="right"/>
    </xf>
    <xf numFmtId="10" fontId="25" fillId="0" borderId="0" xfId="43" applyNumberFormat="1" applyFont="1" applyFill="1"/>
    <xf numFmtId="14" fontId="25" fillId="0" borderId="0" xfId="0" applyNumberFormat="1" applyFont="1" applyFill="1" applyAlignment="1">
      <alignment horizontal="right"/>
    </xf>
    <xf numFmtId="14" fontId="25" fillId="0" borderId="11" xfId="0" applyNumberFormat="1" applyFont="1" applyBorder="1" applyAlignment="1">
      <alignment horizontal="right"/>
    </xf>
    <xf numFmtId="169" fontId="48" fillId="34" borderId="12" xfId="0" applyNumberFormat="1" applyFont="1" applyFill="1" applyBorder="1" applyAlignment="1">
      <alignment horizontal="right"/>
    </xf>
    <xf numFmtId="169" fontId="48" fillId="34" borderId="12" xfId="0" applyNumberFormat="1" applyFont="1" applyFill="1" applyBorder="1" applyAlignment="1">
      <alignment horizontal="right" wrapText="1"/>
    </xf>
    <xf numFmtId="0" fontId="25" fillId="33" borderId="0" xfId="0" applyFont="1" applyFill="1"/>
    <xf numFmtId="3" fontId="4" fillId="35" borderId="0" xfId="586" applyNumberFormat="1" applyFill="1"/>
    <xf numFmtId="166" fontId="25" fillId="0" borderId="0" xfId="0" applyNumberFormat="1" applyFont="1" applyFill="1" applyBorder="1" applyAlignment="1">
      <alignment horizontal="right"/>
    </xf>
    <xf numFmtId="166" fontId="3" fillId="0" borderId="0" xfId="982" applyNumberFormat="1" applyFont="1" applyFill="1"/>
    <xf numFmtId="0" fontId="52" fillId="0" borderId="0" xfId="1100" applyFont="1" applyFill="1" applyAlignment="1"/>
    <xf numFmtId="0" fontId="3" fillId="0" borderId="0" xfId="1100" applyFill="1"/>
    <xf numFmtId="0" fontId="52" fillId="0" borderId="0" xfId="1100" applyFont="1" applyFill="1" applyAlignment="1"/>
    <xf numFmtId="166" fontId="3" fillId="0" borderId="0" xfId="982" applyNumberFormat="1" applyFont="1" applyFill="1"/>
    <xf numFmtId="0" fontId="3" fillId="0" borderId="0" xfId="1100" applyFill="1"/>
    <xf numFmtId="0" fontId="3" fillId="0" borderId="0" xfId="1100" applyFill="1"/>
    <xf numFmtId="166" fontId="3" fillId="0" borderId="0" xfId="982" applyNumberFormat="1" applyFont="1" applyFill="1"/>
    <xf numFmtId="0" fontId="52" fillId="0" borderId="0" xfId="1100" applyFont="1" applyFill="1" applyAlignment="1"/>
    <xf numFmtId="0" fontId="0" fillId="0" borderId="0" xfId="0"/>
    <xf numFmtId="0" fontId="20" fillId="35" borderId="0" xfId="0" applyFont="1" applyFill="1"/>
    <xf numFmtId="0" fontId="52" fillId="0" borderId="0" xfId="1095" applyFont="1" applyFill="1" applyAlignment="1"/>
    <xf numFmtId="0" fontId="52" fillId="35" borderId="0" xfId="1095" applyFont="1" applyFill="1" applyAlignment="1"/>
    <xf numFmtId="166" fontId="3" fillId="0" borderId="0" xfId="1087" applyNumberFormat="1" applyFont="1" applyFill="1"/>
    <xf numFmtId="165" fontId="3" fillId="0" borderId="0" xfId="1087" applyNumberFormat="1" applyFont="1" applyFill="1"/>
    <xf numFmtId="166" fontId="25" fillId="0" borderId="0" xfId="0" applyNumberFormat="1" applyFont="1" applyFill="1"/>
    <xf numFmtId="166" fontId="48" fillId="0" borderId="0" xfId="0" applyNumberFormat="1" applyFont="1" applyFill="1"/>
    <xf numFmtId="10" fontId="25" fillId="0" borderId="0" xfId="43" applyNumberFormat="1" applyFont="1" applyFill="1"/>
    <xf numFmtId="10" fontId="48" fillId="0" borderId="0" xfId="43" applyNumberFormat="1" applyFont="1" applyFill="1"/>
    <xf numFmtId="0" fontId="2" fillId="0" borderId="0" xfId="0" applyFont="1"/>
    <xf numFmtId="166" fontId="25" fillId="0" borderId="0" xfId="0" applyNumberFormat="1" applyFont="1"/>
    <xf numFmtId="166" fontId="48" fillId="0" borderId="0" xfId="0" applyNumberFormat="1" applyFont="1"/>
    <xf numFmtId="166" fontId="25" fillId="0" borderId="0" xfId="0" applyNumberFormat="1" applyFont="1" applyFill="1" applyAlignment="1">
      <alignment horizontal="right"/>
    </xf>
    <xf numFmtId="166" fontId="25" fillId="0" borderId="0" xfId="0" applyNumberFormat="1" applyFont="1" applyFill="1"/>
    <xf numFmtId="166" fontId="25" fillId="0" borderId="11" xfId="0" applyNumberFormat="1" applyFont="1" applyFill="1" applyBorder="1"/>
    <xf numFmtId="166" fontId="48" fillId="0" borderId="11" xfId="0" applyNumberFormat="1" applyFont="1" applyBorder="1"/>
    <xf numFmtId="167" fontId="25" fillId="0" borderId="0" xfId="0" applyNumberFormat="1" applyFont="1" applyAlignment="1">
      <alignment horizontal="right"/>
    </xf>
    <xf numFmtId="167" fontId="48" fillId="0" borderId="0" xfId="0" applyNumberFormat="1" applyFont="1"/>
    <xf numFmtId="14" fontId="25" fillId="0" borderId="0" xfId="0" applyNumberFormat="1" applyFont="1" applyFill="1" applyAlignment="1">
      <alignment horizontal="right"/>
    </xf>
    <xf numFmtId="166" fontId="48" fillId="0" borderId="0" xfId="0" applyNumberFormat="1" applyFont="1" applyFill="1"/>
    <xf numFmtId="164" fontId="0" fillId="0" borderId="0" xfId="0" applyNumberFormat="1" applyFont="1"/>
    <xf numFmtId="0" fontId="59" fillId="0" borderId="0" xfId="2147" applyAlignment="1">
      <alignment horizontal="left" vertical="center" indent="1"/>
    </xf>
    <xf numFmtId="0" fontId="17" fillId="0" borderId="0" xfId="0" applyFont="1" applyBorder="1" applyAlignment="1"/>
    <xf numFmtId="0" fontId="22" fillId="0" borderId="0" xfId="0" applyFont="1" applyAlignment="1">
      <alignment horizontal="center" vertical="center" wrapText="1"/>
    </xf>
    <xf numFmtId="167" fontId="25" fillId="0" borderId="0" xfId="1" applyNumberFormat="1" applyFont="1" applyFill="1"/>
    <xf numFmtId="166" fontId="0" fillId="0" borderId="0" xfId="1" applyNumberFormat="1" applyFont="1" applyAlignment="1">
      <alignment horizontal="center"/>
    </xf>
    <xf numFmtId="0" fontId="49" fillId="0" borderId="0" xfId="0" applyFont="1" applyAlignment="1">
      <alignment horizontal="center" vertical="center"/>
    </xf>
    <xf numFmtId="0" fontId="48" fillId="34" borderId="13" xfId="0" applyFont="1" applyFill="1" applyBorder="1" applyAlignment="1">
      <alignment horizontal="right"/>
    </xf>
    <xf numFmtId="0" fontId="50" fillId="34" borderId="0" xfId="0" applyFont="1" applyFill="1" applyBorder="1" applyAlignment="1">
      <alignment horizontal="center" vertical="center"/>
    </xf>
    <xf numFmtId="0" fontId="50" fillId="34" borderId="12" xfId="0" applyFont="1" applyFill="1" applyBorder="1" applyAlignment="1">
      <alignment horizontal="center" vertical="center"/>
    </xf>
    <xf numFmtId="166" fontId="25" fillId="0" borderId="0" xfId="0" applyNumberFormat="1" applyFont="1" applyFill="1" applyAlignment="1">
      <alignment horizontal="center"/>
    </xf>
    <xf numFmtId="0" fontId="48" fillId="34" borderId="13" xfId="0" applyFont="1" applyFill="1" applyBorder="1" applyAlignment="1">
      <alignment horizontal="center"/>
    </xf>
    <xf numFmtId="0" fontId="49" fillId="0" borderId="12" xfId="0" applyFont="1" applyBorder="1" applyAlignment="1">
      <alignment horizontal="center" vertical="center"/>
    </xf>
    <xf numFmtId="0" fontId="20" fillId="0" borderId="0" xfId="0" applyFont="1" applyAlignment="1">
      <alignment horizontal="left" vertical="center"/>
    </xf>
    <xf numFmtId="0" fontId="20" fillId="0" borderId="12" xfId="0" applyFont="1" applyBorder="1" applyAlignment="1">
      <alignment horizontal="left" vertical="center"/>
    </xf>
    <xf numFmtId="165" fontId="48" fillId="34" borderId="0" xfId="1" applyFont="1" applyFill="1" applyBorder="1" applyAlignment="1">
      <alignment horizontal="right" wrapText="1"/>
    </xf>
    <xf numFmtId="165" fontId="48" fillId="34" borderId="12" xfId="1" applyFont="1" applyFill="1" applyBorder="1" applyAlignment="1">
      <alignment horizontal="right" wrapText="1"/>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34" borderId="14" xfId="0" applyFont="1" applyFill="1" applyBorder="1" applyAlignment="1">
      <alignment horizontal="center"/>
    </xf>
    <xf numFmtId="0" fontId="48" fillId="34" borderId="0" xfId="0" applyFont="1" applyFill="1" applyBorder="1" applyAlignment="1">
      <alignment horizontal="right" wrapText="1"/>
    </xf>
    <xf numFmtId="0" fontId="48" fillId="34" borderId="12" xfId="0" applyFont="1" applyFill="1" applyBorder="1" applyAlignment="1">
      <alignment horizontal="right" wrapText="1"/>
    </xf>
    <xf numFmtId="14" fontId="48" fillId="34" borderId="0" xfId="0" applyNumberFormat="1" applyFont="1" applyFill="1" applyBorder="1" applyAlignment="1">
      <alignment horizontal="right" wrapText="1"/>
    </xf>
    <xf numFmtId="14" fontId="48" fillId="34" borderId="12" xfId="0" applyNumberFormat="1" applyFont="1" applyFill="1" applyBorder="1" applyAlignment="1">
      <alignment horizontal="right" wrapText="1"/>
    </xf>
    <xf numFmtId="166" fontId="20" fillId="0" borderId="0" xfId="1" applyNumberFormat="1" applyFont="1" applyAlignment="1">
      <alignment horizontal="center"/>
    </xf>
    <xf numFmtId="0" fontId="22" fillId="0" borderId="0" xfId="0" applyFont="1" applyAlignment="1">
      <alignment horizontal="center" vertical="center" wrapText="1"/>
    </xf>
    <xf numFmtId="0" fontId="20" fillId="0" borderId="10" xfId="0" applyFont="1" applyBorder="1" applyAlignment="1">
      <alignment horizontal="center"/>
    </xf>
  </cellXfs>
  <cellStyles count="2148">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2" xfId="468"/>
    <cellStyle name="Comma 10 2 2" xfId="982"/>
    <cellStyle name="Comma 10 2 2 2" xfId="2026"/>
    <cellStyle name="Comma 10 2 3" xfId="1512"/>
    <cellStyle name="Comma 10 3" xfId="725"/>
    <cellStyle name="Comma 10 3 2" xfId="1769"/>
    <cellStyle name="Comma 10 4" xfId="1249"/>
    <cellStyle name="Comma 11" xfId="70"/>
    <cellStyle name="Comma 11 2" xfId="357"/>
    <cellStyle name="Comma 11 2 2" xfId="871"/>
    <cellStyle name="Comma 11 2 2 2" xfId="1915"/>
    <cellStyle name="Comma 11 2 3" xfId="1401"/>
    <cellStyle name="Comma 11 3" xfId="614"/>
    <cellStyle name="Comma 11 3 2" xfId="1658"/>
    <cellStyle name="Comma 11 4" xfId="1130"/>
    <cellStyle name="Comma 12" xfId="1103"/>
    <cellStyle name="Comma 2" xfId="45"/>
    <cellStyle name="Comma 2 10" xfId="72"/>
    <cellStyle name="Comma 2 10 2" xfId="359"/>
    <cellStyle name="Comma 2 10 2 2" xfId="873"/>
    <cellStyle name="Comma 2 10 2 2 2" xfId="1917"/>
    <cellStyle name="Comma 2 10 2 3" xfId="1403"/>
    <cellStyle name="Comma 2 10 3" xfId="616"/>
    <cellStyle name="Comma 2 10 3 2" xfId="1660"/>
    <cellStyle name="Comma 2 10 4" xfId="1132"/>
    <cellStyle name="Comma 2 11" xfId="333"/>
    <cellStyle name="Comma 2 11 2" xfId="847"/>
    <cellStyle name="Comma 2 11 2 2" xfId="1891"/>
    <cellStyle name="Comma 2 11 3" xfId="1377"/>
    <cellStyle name="Comma 2 12" xfId="590"/>
    <cellStyle name="Comma 2 12 2" xfId="1634"/>
    <cellStyle name="Comma 2 13" xfId="1105"/>
    <cellStyle name="Comma 2 2" xfId="48"/>
    <cellStyle name="Comma 2 2 10" xfId="335"/>
    <cellStyle name="Comma 2 2 10 2" xfId="849"/>
    <cellStyle name="Comma 2 2 10 2 2" xfId="1893"/>
    <cellStyle name="Comma 2 2 10 3" xfId="1379"/>
    <cellStyle name="Comma 2 2 11" xfId="592"/>
    <cellStyle name="Comma 2 2 11 2" xfId="1636"/>
    <cellStyle name="Comma 2 2 12" xfId="1108"/>
    <cellStyle name="Comma 2 2 2" xfId="53"/>
    <cellStyle name="Comma 2 2 2 10" xfId="1113"/>
    <cellStyle name="Comma 2 2 2 2" xfId="66"/>
    <cellStyle name="Comma 2 2 2 2 2" xfId="110"/>
    <cellStyle name="Comma 2 2 2 2 2 2" xfId="188"/>
    <cellStyle name="Comma 2 2 2 2 2 2 2" xfId="310"/>
    <cellStyle name="Comma 2 2 2 2 2 2 2 2" xfId="572"/>
    <cellStyle name="Comma 2 2 2 2 2 2 2 2 2" xfId="1086"/>
    <cellStyle name="Comma 2 2 2 2 2 2 2 2 2 2" xfId="2130"/>
    <cellStyle name="Comma 2 2 2 2 2 2 2 2 3" xfId="1616"/>
    <cellStyle name="Comma 2 2 2 2 2 2 2 3" xfId="829"/>
    <cellStyle name="Comma 2 2 2 2 2 2 2 3 2" xfId="1873"/>
    <cellStyle name="Comma 2 2 2 2 2 2 2 4" xfId="1359"/>
    <cellStyle name="Comma 2 2 2 2 2 2 3" xfId="464"/>
    <cellStyle name="Comma 2 2 2 2 2 2 3 2" xfId="978"/>
    <cellStyle name="Comma 2 2 2 2 2 2 3 2 2" xfId="2022"/>
    <cellStyle name="Comma 2 2 2 2 2 2 3 3" xfId="1508"/>
    <cellStyle name="Comma 2 2 2 2 2 2 4" xfId="721"/>
    <cellStyle name="Comma 2 2 2 2 2 2 4 2" xfId="1765"/>
    <cellStyle name="Comma 2 2 2 2 2 2 5" xfId="1245"/>
    <cellStyle name="Comma 2 2 2 2 2 3" xfId="149"/>
    <cellStyle name="Comma 2 2 2 2 2 3 2" xfId="271"/>
    <cellStyle name="Comma 2 2 2 2 2 3 2 2" xfId="536"/>
    <cellStyle name="Comma 2 2 2 2 2 3 2 2 2" xfId="1050"/>
    <cellStyle name="Comma 2 2 2 2 2 3 2 2 2 2" xfId="2094"/>
    <cellStyle name="Comma 2 2 2 2 2 3 2 2 3" xfId="1580"/>
    <cellStyle name="Comma 2 2 2 2 2 3 2 3" xfId="793"/>
    <cellStyle name="Comma 2 2 2 2 2 3 2 3 2" xfId="1837"/>
    <cellStyle name="Comma 2 2 2 2 2 3 2 4" xfId="1321"/>
    <cellStyle name="Comma 2 2 2 2 2 3 3" xfId="428"/>
    <cellStyle name="Comma 2 2 2 2 2 3 3 2" xfId="942"/>
    <cellStyle name="Comma 2 2 2 2 2 3 3 2 2" xfId="1986"/>
    <cellStyle name="Comma 2 2 2 2 2 3 3 3" xfId="1472"/>
    <cellStyle name="Comma 2 2 2 2 2 3 4" xfId="685"/>
    <cellStyle name="Comma 2 2 2 2 2 3 4 2" xfId="1729"/>
    <cellStyle name="Comma 2 2 2 2 2 3 5" xfId="1207"/>
    <cellStyle name="Comma 2 2 2 2 2 4" xfId="232"/>
    <cellStyle name="Comma 2 2 2 2 2 4 2" xfId="500"/>
    <cellStyle name="Comma 2 2 2 2 2 4 2 2" xfId="1014"/>
    <cellStyle name="Comma 2 2 2 2 2 4 2 2 2" xfId="2058"/>
    <cellStyle name="Comma 2 2 2 2 2 4 2 3" xfId="1544"/>
    <cellStyle name="Comma 2 2 2 2 2 4 3" xfId="757"/>
    <cellStyle name="Comma 2 2 2 2 2 4 3 2" xfId="1801"/>
    <cellStyle name="Comma 2 2 2 2 2 4 4" xfId="1283"/>
    <cellStyle name="Comma 2 2 2 2 2 5" xfId="392"/>
    <cellStyle name="Comma 2 2 2 2 2 5 2" xfId="906"/>
    <cellStyle name="Comma 2 2 2 2 2 5 2 2" xfId="1950"/>
    <cellStyle name="Comma 2 2 2 2 2 5 3" xfId="1436"/>
    <cellStyle name="Comma 2 2 2 2 2 6" xfId="649"/>
    <cellStyle name="Comma 2 2 2 2 2 6 2" xfId="1693"/>
    <cellStyle name="Comma 2 2 2 2 2 7" xfId="1169"/>
    <cellStyle name="Comma 2 2 2 2 3" xfId="168"/>
    <cellStyle name="Comma 2 2 2 2 3 2" xfId="290"/>
    <cellStyle name="Comma 2 2 2 2 3 2 2" xfId="554"/>
    <cellStyle name="Comma 2 2 2 2 3 2 2 2" xfId="1068"/>
    <cellStyle name="Comma 2 2 2 2 3 2 2 2 2" xfId="2112"/>
    <cellStyle name="Comma 2 2 2 2 3 2 2 3" xfId="1598"/>
    <cellStyle name="Comma 2 2 2 2 3 2 3" xfId="811"/>
    <cellStyle name="Comma 2 2 2 2 3 2 3 2" xfId="1855"/>
    <cellStyle name="Comma 2 2 2 2 3 2 4" xfId="1340"/>
    <cellStyle name="Comma 2 2 2 2 3 3" xfId="446"/>
    <cellStyle name="Comma 2 2 2 2 3 3 2" xfId="960"/>
    <cellStyle name="Comma 2 2 2 2 3 3 2 2" xfId="2004"/>
    <cellStyle name="Comma 2 2 2 2 3 3 3" xfId="1490"/>
    <cellStyle name="Comma 2 2 2 2 3 4" xfId="703"/>
    <cellStyle name="Comma 2 2 2 2 3 4 2" xfId="1747"/>
    <cellStyle name="Comma 2 2 2 2 3 5" xfId="1226"/>
    <cellStyle name="Comma 2 2 2 2 4" xfId="130"/>
    <cellStyle name="Comma 2 2 2 2 4 2" xfId="252"/>
    <cellStyle name="Comma 2 2 2 2 4 2 2" xfId="518"/>
    <cellStyle name="Comma 2 2 2 2 4 2 2 2" xfId="1032"/>
    <cellStyle name="Comma 2 2 2 2 4 2 2 2 2" xfId="2076"/>
    <cellStyle name="Comma 2 2 2 2 4 2 2 3" xfId="1562"/>
    <cellStyle name="Comma 2 2 2 2 4 2 3" xfId="775"/>
    <cellStyle name="Comma 2 2 2 2 4 2 3 2" xfId="1819"/>
    <cellStyle name="Comma 2 2 2 2 4 2 4" xfId="1302"/>
    <cellStyle name="Comma 2 2 2 2 4 3" xfId="410"/>
    <cellStyle name="Comma 2 2 2 2 4 3 2" xfId="924"/>
    <cellStyle name="Comma 2 2 2 2 4 3 2 2" xfId="1968"/>
    <cellStyle name="Comma 2 2 2 2 4 3 3" xfId="1454"/>
    <cellStyle name="Comma 2 2 2 2 4 4" xfId="667"/>
    <cellStyle name="Comma 2 2 2 2 4 4 2" xfId="1711"/>
    <cellStyle name="Comma 2 2 2 2 4 5" xfId="1188"/>
    <cellStyle name="Comma 2 2 2 2 5" xfId="212"/>
    <cellStyle name="Comma 2 2 2 2 5 2" xfId="482"/>
    <cellStyle name="Comma 2 2 2 2 5 2 2" xfId="996"/>
    <cellStyle name="Comma 2 2 2 2 5 2 2 2" xfId="2040"/>
    <cellStyle name="Comma 2 2 2 2 5 2 3" xfId="1526"/>
    <cellStyle name="Comma 2 2 2 2 5 3" xfId="739"/>
    <cellStyle name="Comma 2 2 2 2 5 3 2" xfId="1783"/>
    <cellStyle name="Comma 2 2 2 2 5 4" xfId="1264"/>
    <cellStyle name="Comma 2 2 2 2 6" xfId="90"/>
    <cellStyle name="Comma 2 2 2 2 6 2" xfId="374"/>
    <cellStyle name="Comma 2 2 2 2 6 2 2" xfId="888"/>
    <cellStyle name="Comma 2 2 2 2 6 2 2 2" xfId="1932"/>
    <cellStyle name="Comma 2 2 2 2 6 2 3" xfId="1418"/>
    <cellStyle name="Comma 2 2 2 2 6 3" xfId="631"/>
    <cellStyle name="Comma 2 2 2 2 6 3 2" xfId="1675"/>
    <cellStyle name="Comma 2 2 2 2 6 4" xfId="1150"/>
    <cellStyle name="Comma 2 2 2 2 7" xfId="353"/>
    <cellStyle name="Comma 2 2 2 2 7 2" xfId="867"/>
    <cellStyle name="Comma 2 2 2 2 7 2 2" xfId="1911"/>
    <cellStyle name="Comma 2 2 2 2 7 3" xfId="1397"/>
    <cellStyle name="Comma 2 2 2 2 8" xfId="610"/>
    <cellStyle name="Comma 2 2 2 2 8 2" xfId="1654"/>
    <cellStyle name="Comma 2 2 2 2 9" xfId="1126"/>
    <cellStyle name="Comma 2 2 2 3" xfId="100"/>
    <cellStyle name="Comma 2 2 2 3 2" xfId="178"/>
    <cellStyle name="Comma 2 2 2 3 2 2" xfId="300"/>
    <cellStyle name="Comma 2 2 2 3 2 2 2" xfId="563"/>
    <cellStyle name="Comma 2 2 2 3 2 2 2 2" xfId="1077"/>
    <cellStyle name="Comma 2 2 2 3 2 2 2 2 2" xfId="2121"/>
    <cellStyle name="Comma 2 2 2 3 2 2 2 3" xfId="1607"/>
    <cellStyle name="Comma 2 2 2 3 2 2 3" xfId="820"/>
    <cellStyle name="Comma 2 2 2 3 2 2 3 2" xfId="1864"/>
    <cellStyle name="Comma 2 2 2 3 2 2 4" xfId="1349"/>
    <cellStyle name="Comma 2 2 2 3 2 3" xfId="455"/>
    <cellStyle name="Comma 2 2 2 3 2 3 2" xfId="969"/>
    <cellStyle name="Comma 2 2 2 3 2 3 2 2" xfId="2013"/>
    <cellStyle name="Comma 2 2 2 3 2 3 3" xfId="1499"/>
    <cellStyle name="Comma 2 2 2 3 2 4" xfId="712"/>
    <cellStyle name="Comma 2 2 2 3 2 4 2" xfId="1756"/>
    <cellStyle name="Comma 2 2 2 3 2 5" xfId="1235"/>
    <cellStyle name="Comma 2 2 2 3 3" xfId="139"/>
    <cellStyle name="Comma 2 2 2 3 3 2" xfId="261"/>
    <cellStyle name="Comma 2 2 2 3 3 2 2" xfId="527"/>
    <cellStyle name="Comma 2 2 2 3 3 2 2 2" xfId="1041"/>
    <cellStyle name="Comma 2 2 2 3 3 2 2 2 2" xfId="2085"/>
    <cellStyle name="Comma 2 2 2 3 3 2 2 3" xfId="1571"/>
    <cellStyle name="Comma 2 2 2 3 3 2 3" xfId="784"/>
    <cellStyle name="Comma 2 2 2 3 3 2 3 2" xfId="1828"/>
    <cellStyle name="Comma 2 2 2 3 3 2 4" xfId="1311"/>
    <cellStyle name="Comma 2 2 2 3 3 3" xfId="419"/>
    <cellStyle name="Comma 2 2 2 3 3 3 2" xfId="933"/>
    <cellStyle name="Comma 2 2 2 3 3 3 2 2" xfId="1977"/>
    <cellStyle name="Comma 2 2 2 3 3 3 3" xfId="1463"/>
    <cellStyle name="Comma 2 2 2 3 3 4" xfId="676"/>
    <cellStyle name="Comma 2 2 2 3 3 4 2" xfId="1720"/>
    <cellStyle name="Comma 2 2 2 3 3 5" xfId="1197"/>
    <cellStyle name="Comma 2 2 2 3 4" xfId="222"/>
    <cellStyle name="Comma 2 2 2 3 4 2" xfId="491"/>
    <cellStyle name="Comma 2 2 2 3 4 2 2" xfId="1005"/>
    <cellStyle name="Comma 2 2 2 3 4 2 2 2" xfId="2049"/>
    <cellStyle name="Comma 2 2 2 3 4 2 3" xfId="1535"/>
    <cellStyle name="Comma 2 2 2 3 4 3" xfId="748"/>
    <cellStyle name="Comma 2 2 2 3 4 3 2" xfId="1792"/>
    <cellStyle name="Comma 2 2 2 3 4 4" xfId="1273"/>
    <cellStyle name="Comma 2 2 2 3 5" xfId="383"/>
    <cellStyle name="Comma 2 2 2 3 5 2" xfId="897"/>
    <cellStyle name="Comma 2 2 2 3 5 2 2" xfId="1941"/>
    <cellStyle name="Comma 2 2 2 3 5 3" xfId="1427"/>
    <cellStyle name="Comma 2 2 2 3 6" xfId="640"/>
    <cellStyle name="Comma 2 2 2 3 6 2" xfId="1684"/>
    <cellStyle name="Comma 2 2 2 3 7" xfId="1159"/>
    <cellStyle name="Comma 2 2 2 4" xfId="158"/>
    <cellStyle name="Comma 2 2 2 4 2" xfId="280"/>
    <cellStyle name="Comma 2 2 2 4 2 2" xfId="545"/>
    <cellStyle name="Comma 2 2 2 4 2 2 2" xfId="1059"/>
    <cellStyle name="Comma 2 2 2 4 2 2 2 2" xfId="2103"/>
    <cellStyle name="Comma 2 2 2 4 2 2 3" xfId="1589"/>
    <cellStyle name="Comma 2 2 2 4 2 3" xfId="802"/>
    <cellStyle name="Comma 2 2 2 4 2 3 2" xfId="1846"/>
    <cellStyle name="Comma 2 2 2 4 2 4" xfId="1330"/>
    <cellStyle name="Comma 2 2 2 4 3" xfId="437"/>
    <cellStyle name="Comma 2 2 2 4 3 2" xfId="951"/>
    <cellStyle name="Comma 2 2 2 4 3 2 2" xfId="1995"/>
    <cellStyle name="Comma 2 2 2 4 3 3" xfId="1481"/>
    <cellStyle name="Comma 2 2 2 4 4" xfId="694"/>
    <cellStyle name="Comma 2 2 2 4 4 2" xfId="1738"/>
    <cellStyle name="Comma 2 2 2 4 5" xfId="1216"/>
    <cellStyle name="Comma 2 2 2 5" xfId="120"/>
    <cellStyle name="Comma 2 2 2 5 2" xfId="242"/>
    <cellStyle name="Comma 2 2 2 5 2 2" xfId="509"/>
    <cellStyle name="Comma 2 2 2 5 2 2 2" xfId="1023"/>
    <cellStyle name="Comma 2 2 2 5 2 2 2 2" xfId="2067"/>
    <cellStyle name="Comma 2 2 2 5 2 2 3" xfId="1553"/>
    <cellStyle name="Comma 2 2 2 5 2 3" xfId="766"/>
    <cellStyle name="Comma 2 2 2 5 2 3 2" xfId="1810"/>
    <cellStyle name="Comma 2 2 2 5 2 4" xfId="1292"/>
    <cellStyle name="Comma 2 2 2 5 3" xfId="401"/>
    <cellStyle name="Comma 2 2 2 5 3 2" xfId="915"/>
    <cellStyle name="Comma 2 2 2 5 3 2 2" xfId="1959"/>
    <cellStyle name="Comma 2 2 2 5 3 3" xfId="1445"/>
    <cellStyle name="Comma 2 2 2 5 4" xfId="658"/>
    <cellStyle name="Comma 2 2 2 5 4 2" xfId="1702"/>
    <cellStyle name="Comma 2 2 2 5 5" xfId="1178"/>
    <cellStyle name="Comma 2 2 2 6" xfId="202"/>
    <cellStyle name="Comma 2 2 2 6 2" xfId="473"/>
    <cellStyle name="Comma 2 2 2 6 2 2" xfId="987"/>
    <cellStyle name="Comma 2 2 2 6 2 2 2" xfId="2031"/>
    <cellStyle name="Comma 2 2 2 6 2 3" xfId="1517"/>
    <cellStyle name="Comma 2 2 2 6 3" xfId="730"/>
    <cellStyle name="Comma 2 2 2 6 3 2" xfId="1774"/>
    <cellStyle name="Comma 2 2 2 6 4" xfId="1254"/>
    <cellStyle name="Comma 2 2 2 7" xfId="76"/>
    <cellStyle name="Comma 2 2 2 7 2" xfId="363"/>
    <cellStyle name="Comma 2 2 2 7 2 2" xfId="877"/>
    <cellStyle name="Comma 2 2 2 7 2 2 2" xfId="1921"/>
    <cellStyle name="Comma 2 2 2 7 2 3" xfId="1407"/>
    <cellStyle name="Comma 2 2 2 7 3" xfId="620"/>
    <cellStyle name="Comma 2 2 2 7 3 2" xfId="1664"/>
    <cellStyle name="Comma 2 2 2 7 4" xfId="1136"/>
    <cellStyle name="Comma 2 2 2 8" xfId="340"/>
    <cellStyle name="Comma 2 2 2 8 2" xfId="854"/>
    <cellStyle name="Comma 2 2 2 8 2 2" xfId="1898"/>
    <cellStyle name="Comma 2 2 2 8 3" xfId="1384"/>
    <cellStyle name="Comma 2 2 2 9" xfId="597"/>
    <cellStyle name="Comma 2 2 2 9 2" xfId="1641"/>
    <cellStyle name="Comma 2 2 3" xfId="61"/>
    <cellStyle name="Comma 2 2 3 10" xfId="1121"/>
    <cellStyle name="Comma 2 2 3 2" xfId="93"/>
    <cellStyle name="Comma 2 2 3 2 2" xfId="113"/>
    <cellStyle name="Comma 2 2 3 2 2 2" xfId="191"/>
    <cellStyle name="Comma 2 2 3 2 2 2 2" xfId="313"/>
    <cellStyle name="Comma 2 2 3 2 2 2 2 2" xfId="575"/>
    <cellStyle name="Comma 2 2 3 2 2 2 2 2 2" xfId="1089"/>
    <cellStyle name="Comma 2 2 3 2 2 2 2 2 2 2" xfId="2133"/>
    <cellStyle name="Comma 2 2 3 2 2 2 2 2 3" xfId="1619"/>
    <cellStyle name="Comma 2 2 3 2 2 2 2 3" xfId="832"/>
    <cellStyle name="Comma 2 2 3 2 2 2 2 3 2" xfId="1876"/>
    <cellStyle name="Comma 2 2 3 2 2 2 2 4" xfId="1362"/>
    <cellStyle name="Comma 2 2 3 2 2 2 3" xfId="467"/>
    <cellStyle name="Comma 2 2 3 2 2 2 3 2" xfId="981"/>
    <cellStyle name="Comma 2 2 3 2 2 2 3 2 2" xfId="2025"/>
    <cellStyle name="Comma 2 2 3 2 2 2 3 3" xfId="1511"/>
    <cellStyle name="Comma 2 2 3 2 2 2 4" xfId="724"/>
    <cellStyle name="Comma 2 2 3 2 2 2 4 2" xfId="1768"/>
    <cellStyle name="Comma 2 2 3 2 2 2 5" xfId="1248"/>
    <cellStyle name="Comma 2 2 3 2 2 3" xfId="152"/>
    <cellStyle name="Comma 2 2 3 2 2 3 2" xfId="274"/>
    <cellStyle name="Comma 2 2 3 2 2 3 2 2" xfId="539"/>
    <cellStyle name="Comma 2 2 3 2 2 3 2 2 2" xfId="1053"/>
    <cellStyle name="Comma 2 2 3 2 2 3 2 2 2 2" xfId="2097"/>
    <cellStyle name="Comma 2 2 3 2 2 3 2 2 3" xfId="1583"/>
    <cellStyle name="Comma 2 2 3 2 2 3 2 3" xfId="796"/>
    <cellStyle name="Comma 2 2 3 2 2 3 2 3 2" xfId="1840"/>
    <cellStyle name="Comma 2 2 3 2 2 3 2 4" xfId="1324"/>
    <cellStyle name="Comma 2 2 3 2 2 3 3" xfId="431"/>
    <cellStyle name="Comma 2 2 3 2 2 3 3 2" xfId="945"/>
    <cellStyle name="Comma 2 2 3 2 2 3 3 2 2" xfId="1989"/>
    <cellStyle name="Comma 2 2 3 2 2 3 3 3" xfId="1475"/>
    <cellStyle name="Comma 2 2 3 2 2 3 4" xfId="688"/>
    <cellStyle name="Comma 2 2 3 2 2 3 4 2" xfId="1732"/>
    <cellStyle name="Comma 2 2 3 2 2 3 5" xfId="1210"/>
    <cellStyle name="Comma 2 2 3 2 2 4" xfId="235"/>
    <cellStyle name="Comma 2 2 3 2 2 4 2" xfId="503"/>
    <cellStyle name="Comma 2 2 3 2 2 4 2 2" xfId="1017"/>
    <cellStyle name="Comma 2 2 3 2 2 4 2 2 2" xfId="2061"/>
    <cellStyle name="Comma 2 2 3 2 2 4 2 3" xfId="1547"/>
    <cellStyle name="Comma 2 2 3 2 2 4 3" xfId="760"/>
    <cellStyle name="Comma 2 2 3 2 2 4 3 2" xfId="1804"/>
    <cellStyle name="Comma 2 2 3 2 2 4 4" xfId="1286"/>
    <cellStyle name="Comma 2 2 3 2 2 5" xfId="395"/>
    <cellStyle name="Comma 2 2 3 2 2 5 2" xfId="909"/>
    <cellStyle name="Comma 2 2 3 2 2 5 2 2" xfId="1953"/>
    <cellStyle name="Comma 2 2 3 2 2 5 3" xfId="1439"/>
    <cellStyle name="Comma 2 2 3 2 2 6" xfId="652"/>
    <cellStyle name="Comma 2 2 3 2 2 6 2" xfId="1696"/>
    <cellStyle name="Comma 2 2 3 2 2 7" xfId="1172"/>
    <cellStyle name="Comma 2 2 3 2 3" xfId="171"/>
    <cellStyle name="Comma 2 2 3 2 3 2" xfId="293"/>
    <cellStyle name="Comma 2 2 3 2 3 2 2" xfId="557"/>
    <cellStyle name="Comma 2 2 3 2 3 2 2 2" xfId="1071"/>
    <cellStyle name="Comma 2 2 3 2 3 2 2 2 2" xfId="2115"/>
    <cellStyle name="Comma 2 2 3 2 3 2 2 3" xfId="1601"/>
    <cellStyle name="Comma 2 2 3 2 3 2 3" xfId="814"/>
    <cellStyle name="Comma 2 2 3 2 3 2 3 2" xfId="1858"/>
    <cellStyle name="Comma 2 2 3 2 3 2 4" xfId="1343"/>
    <cellStyle name="Comma 2 2 3 2 3 3" xfId="449"/>
    <cellStyle name="Comma 2 2 3 2 3 3 2" xfId="963"/>
    <cellStyle name="Comma 2 2 3 2 3 3 2 2" xfId="2007"/>
    <cellStyle name="Comma 2 2 3 2 3 3 3" xfId="1493"/>
    <cellStyle name="Comma 2 2 3 2 3 4" xfId="706"/>
    <cellStyle name="Comma 2 2 3 2 3 4 2" xfId="1750"/>
    <cellStyle name="Comma 2 2 3 2 3 5" xfId="1229"/>
    <cellStyle name="Comma 2 2 3 2 4" xfId="133"/>
    <cellStyle name="Comma 2 2 3 2 4 2" xfId="255"/>
    <cellStyle name="Comma 2 2 3 2 4 2 2" xfId="521"/>
    <cellStyle name="Comma 2 2 3 2 4 2 2 2" xfId="1035"/>
    <cellStyle name="Comma 2 2 3 2 4 2 2 2 2" xfId="2079"/>
    <cellStyle name="Comma 2 2 3 2 4 2 2 3" xfId="1565"/>
    <cellStyle name="Comma 2 2 3 2 4 2 3" xfId="778"/>
    <cellStyle name="Comma 2 2 3 2 4 2 3 2" xfId="1822"/>
    <cellStyle name="Comma 2 2 3 2 4 2 4" xfId="1305"/>
    <cellStyle name="Comma 2 2 3 2 4 3" xfId="413"/>
    <cellStyle name="Comma 2 2 3 2 4 3 2" xfId="927"/>
    <cellStyle name="Comma 2 2 3 2 4 3 2 2" xfId="1971"/>
    <cellStyle name="Comma 2 2 3 2 4 3 3" xfId="1457"/>
    <cellStyle name="Comma 2 2 3 2 4 4" xfId="670"/>
    <cellStyle name="Comma 2 2 3 2 4 4 2" xfId="1714"/>
    <cellStyle name="Comma 2 2 3 2 4 5" xfId="1191"/>
    <cellStyle name="Comma 2 2 3 2 5" xfId="215"/>
    <cellStyle name="Comma 2 2 3 2 5 2" xfId="485"/>
    <cellStyle name="Comma 2 2 3 2 5 2 2" xfId="999"/>
    <cellStyle name="Comma 2 2 3 2 5 2 2 2" xfId="2043"/>
    <cellStyle name="Comma 2 2 3 2 5 2 3" xfId="1529"/>
    <cellStyle name="Comma 2 2 3 2 5 3" xfId="742"/>
    <cellStyle name="Comma 2 2 3 2 5 3 2" xfId="1786"/>
    <cellStyle name="Comma 2 2 3 2 5 4" xfId="1267"/>
    <cellStyle name="Comma 2 2 3 2 6" xfId="377"/>
    <cellStyle name="Comma 2 2 3 2 6 2" xfId="891"/>
    <cellStyle name="Comma 2 2 3 2 6 2 2" xfId="1935"/>
    <cellStyle name="Comma 2 2 3 2 6 3" xfId="1421"/>
    <cellStyle name="Comma 2 2 3 2 7" xfId="634"/>
    <cellStyle name="Comma 2 2 3 2 7 2" xfId="1678"/>
    <cellStyle name="Comma 2 2 3 2 8" xfId="1153"/>
    <cellStyle name="Comma 2 2 3 3" xfId="103"/>
    <cellStyle name="Comma 2 2 3 3 2" xfId="181"/>
    <cellStyle name="Comma 2 2 3 3 2 2" xfId="303"/>
    <cellStyle name="Comma 2 2 3 3 2 2 2" xfId="566"/>
    <cellStyle name="Comma 2 2 3 3 2 2 2 2" xfId="1080"/>
    <cellStyle name="Comma 2 2 3 3 2 2 2 2 2" xfId="2124"/>
    <cellStyle name="Comma 2 2 3 3 2 2 2 3" xfId="1610"/>
    <cellStyle name="Comma 2 2 3 3 2 2 3" xfId="823"/>
    <cellStyle name="Comma 2 2 3 3 2 2 3 2" xfId="1867"/>
    <cellStyle name="Comma 2 2 3 3 2 2 4" xfId="1352"/>
    <cellStyle name="Comma 2 2 3 3 2 3" xfId="458"/>
    <cellStyle name="Comma 2 2 3 3 2 3 2" xfId="972"/>
    <cellStyle name="Comma 2 2 3 3 2 3 2 2" xfId="2016"/>
    <cellStyle name="Comma 2 2 3 3 2 3 3" xfId="1502"/>
    <cellStyle name="Comma 2 2 3 3 2 4" xfId="715"/>
    <cellStyle name="Comma 2 2 3 3 2 4 2" xfId="1759"/>
    <cellStyle name="Comma 2 2 3 3 2 5" xfId="1238"/>
    <cellStyle name="Comma 2 2 3 3 3" xfId="142"/>
    <cellStyle name="Comma 2 2 3 3 3 2" xfId="264"/>
    <cellStyle name="Comma 2 2 3 3 3 2 2" xfId="530"/>
    <cellStyle name="Comma 2 2 3 3 3 2 2 2" xfId="1044"/>
    <cellStyle name="Comma 2 2 3 3 3 2 2 2 2" xfId="2088"/>
    <cellStyle name="Comma 2 2 3 3 3 2 2 3" xfId="1574"/>
    <cellStyle name="Comma 2 2 3 3 3 2 3" xfId="787"/>
    <cellStyle name="Comma 2 2 3 3 3 2 3 2" xfId="1831"/>
    <cellStyle name="Comma 2 2 3 3 3 2 4" xfId="1314"/>
    <cellStyle name="Comma 2 2 3 3 3 3" xfId="422"/>
    <cellStyle name="Comma 2 2 3 3 3 3 2" xfId="936"/>
    <cellStyle name="Comma 2 2 3 3 3 3 2 2" xfId="1980"/>
    <cellStyle name="Comma 2 2 3 3 3 3 3" xfId="1466"/>
    <cellStyle name="Comma 2 2 3 3 3 4" xfId="679"/>
    <cellStyle name="Comma 2 2 3 3 3 4 2" xfId="1723"/>
    <cellStyle name="Comma 2 2 3 3 3 5" xfId="1200"/>
    <cellStyle name="Comma 2 2 3 3 4" xfId="225"/>
    <cellStyle name="Comma 2 2 3 3 4 2" xfId="494"/>
    <cellStyle name="Comma 2 2 3 3 4 2 2" xfId="1008"/>
    <cellStyle name="Comma 2 2 3 3 4 2 2 2" xfId="2052"/>
    <cellStyle name="Comma 2 2 3 3 4 2 3" xfId="1538"/>
    <cellStyle name="Comma 2 2 3 3 4 3" xfId="751"/>
    <cellStyle name="Comma 2 2 3 3 4 3 2" xfId="1795"/>
    <cellStyle name="Comma 2 2 3 3 4 4" xfId="1276"/>
    <cellStyle name="Comma 2 2 3 3 5" xfId="386"/>
    <cellStyle name="Comma 2 2 3 3 5 2" xfId="900"/>
    <cellStyle name="Comma 2 2 3 3 5 2 2" xfId="1944"/>
    <cellStyle name="Comma 2 2 3 3 5 3" xfId="1430"/>
    <cellStyle name="Comma 2 2 3 3 6" xfId="643"/>
    <cellStyle name="Comma 2 2 3 3 6 2" xfId="1687"/>
    <cellStyle name="Comma 2 2 3 3 7" xfId="1162"/>
    <cellStyle name="Comma 2 2 3 4" xfId="161"/>
    <cellStyle name="Comma 2 2 3 4 2" xfId="283"/>
    <cellStyle name="Comma 2 2 3 4 2 2" xfId="548"/>
    <cellStyle name="Comma 2 2 3 4 2 2 2" xfId="1062"/>
    <cellStyle name="Comma 2 2 3 4 2 2 2 2" xfId="2106"/>
    <cellStyle name="Comma 2 2 3 4 2 2 3" xfId="1592"/>
    <cellStyle name="Comma 2 2 3 4 2 3" xfId="805"/>
    <cellStyle name="Comma 2 2 3 4 2 3 2" xfId="1849"/>
    <cellStyle name="Comma 2 2 3 4 2 4" xfId="1333"/>
    <cellStyle name="Comma 2 2 3 4 3" xfId="440"/>
    <cellStyle name="Comma 2 2 3 4 3 2" xfId="954"/>
    <cellStyle name="Comma 2 2 3 4 3 2 2" xfId="1998"/>
    <cellStyle name="Comma 2 2 3 4 3 3" xfId="1484"/>
    <cellStyle name="Comma 2 2 3 4 4" xfId="697"/>
    <cellStyle name="Comma 2 2 3 4 4 2" xfId="1741"/>
    <cellStyle name="Comma 2 2 3 4 5" xfId="1219"/>
    <cellStyle name="Comma 2 2 3 5" xfId="123"/>
    <cellStyle name="Comma 2 2 3 5 2" xfId="245"/>
    <cellStyle name="Comma 2 2 3 5 2 2" xfId="512"/>
    <cellStyle name="Comma 2 2 3 5 2 2 2" xfId="1026"/>
    <cellStyle name="Comma 2 2 3 5 2 2 2 2" xfId="2070"/>
    <cellStyle name="Comma 2 2 3 5 2 2 3" xfId="1556"/>
    <cellStyle name="Comma 2 2 3 5 2 3" xfId="769"/>
    <cellStyle name="Comma 2 2 3 5 2 3 2" xfId="1813"/>
    <cellStyle name="Comma 2 2 3 5 2 4" xfId="1295"/>
    <cellStyle name="Comma 2 2 3 5 3" xfId="404"/>
    <cellStyle name="Comma 2 2 3 5 3 2" xfId="918"/>
    <cellStyle name="Comma 2 2 3 5 3 2 2" xfId="1962"/>
    <cellStyle name="Comma 2 2 3 5 3 3" xfId="1448"/>
    <cellStyle name="Comma 2 2 3 5 4" xfId="661"/>
    <cellStyle name="Comma 2 2 3 5 4 2" xfId="1705"/>
    <cellStyle name="Comma 2 2 3 5 5" xfId="1181"/>
    <cellStyle name="Comma 2 2 3 6" xfId="205"/>
    <cellStyle name="Comma 2 2 3 6 2" xfId="476"/>
    <cellStyle name="Comma 2 2 3 6 2 2" xfId="990"/>
    <cellStyle name="Comma 2 2 3 6 2 2 2" xfId="2034"/>
    <cellStyle name="Comma 2 2 3 6 2 3" xfId="1520"/>
    <cellStyle name="Comma 2 2 3 6 3" xfId="733"/>
    <cellStyle name="Comma 2 2 3 6 3 2" xfId="1777"/>
    <cellStyle name="Comma 2 2 3 6 4" xfId="1257"/>
    <cellStyle name="Comma 2 2 3 7" xfId="79"/>
    <cellStyle name="Comma 2 2 3 7 2" xfId="366"/>
    <cellStyle name="Comma 2 2 3 7 2 2" xfId="880"/>
    <cellStyle name="Comma 2 2 3 7 2 2 2" xfId="1924"/>
    <cellStyle name="Comma 2 2 3 7 2 3" xfId="1410"/>
    <cellStyle name="Comma 2 2 3 7 3" xfId="623"/>
    <cellStyle name="Comma 2 2 3 7 3 2" xfId="1667"/>
    <cellStyle name="Comma 2 2 3 7 4" xfId="1139"/>
    <cellStyle name="Comma 2 2 3 8" xfId="348"/>
    <cellStyle name="Comma 2 2 3 8 2" xfId="862"/>
    <cellStyle name="Comma 2 2 3 8 2 2" xfId="1906"/>
    <cellStyle name="Comma 2 2 3 8 3" xfId="1392"/>
    <cellStyle name="Comma 2 2 3 9" xfId="605"/>
    <cellStyle name="Comma 2 2 3 9 2" xfId="1649"/>
    <cellStyle name="Comma 2 2 4" xfId="87"/>
    <cellStyle name="Comma 2 2 4 2" xfId="107"/>
    <cellStyle name="Comma 2 2 4 2 2" xfId="185"/>
    <cellStyle name="Comma 2 2 4 2 2 2" xfId="307"/>
    <cellStyle name="Comma 2 2 4 2 2 2 2" xfId="569"/>
    <cellStyle name="Comma 2 2 4 2 2 2 2 2" xfId="1083"/>
    <cellStyle name="Comma 2 2 4 2 2 2 2 2 2" xfId="2127"/>
    <cellStyle name="Comma 2 2 4 2 2 2 2 3" xfId="1613"/>
    <cellStyle name="Comma 2 2 4 2 2 2 3" xfId="826"/>
    <cellStyle name="Comma 2 2 4 2 2 2 3 2" xfId="1870"/>
    <cellStyle name="Comma 2 2 4 2 2 2 4" xfId="1356"/>
    <cellStyle name="Comma 2 2 4 2 2 3" xfId="461"/>
    <cellStyle name="Comma 2 2 4 2 2 3 2" xfId="975"/>
    <cellStyle name="Comma 2 2 4 2 2 3 2 2" xfId="2019"/>
    <cellStyle name="Comma 2 2 4 2 2 3 3" xfId="1505"/>
    <cellStyle name="Comma 2 2 4 2 2 4" xfId="718"/>
    <cellStyle name="Comma 2 2 4 2 2 4 2" xfId="1762"/>
    <cellStyle name="Comma 2 2 4 2 2 5" xfId="1242"/>
    <cellStyle name="Comma 2 2 4 2 3" xfId="146"/>
    <cellStyle name="Comma 2 2 4 2 3 2" xfId="268"/>
    <cellStyle name="Comma 2 2 4 2 3 2 2" xfId="533"/>
    <cellStyle name="Comma 2 2 4 2 3 2 2 2" xfId="1047"/>
    <cellStyle name="Comma 2 2 4 2 3 2 2 2 2" xfId="2091"/>
    <cellStyle name="Comma 2 2 4 2 3 2 2 3" xfId="1577"/>
    <cellStyle name="Comma 2 2 4 2 3 2 3" xfId="790"/>
    <cellStyle name="Comma 2 2 4 2 3 2 3 2" xfId="1834"/>
    <cellStyle name="Comma 2 2 4 2 3 2 4" xfId="1318"/>
    <cellStyle name="Comma 2 2 4 2 3 3" xfId="425"/>
    <cellStyle name="Comma 2 2 4 2 3 3 2" xfId="939"/>
    <cellStyle name="Comma 2 2 4 2 3 3 2 2" xfId="1983"/>
    <cellStyle name="Comma 2 2 4 2 3 3 3" xfId="1469"/>
    <cellStyle name="Comma 2 2 4 2 3 4" xfId="682"/>
    <cellStyle name="Comma 2 2 4 2 3 4 2" xfId="1726"/>
    <cellStyle name="Comma 2 2 4 2 3 5" xfId="1204"/>
    <cellStyle name="Comma 2 2 4 2 4" xfId="229"/>
    <cellStyle name="Comma 2 2 4 2 4 2" xfId="497"/>
    <cellStyle name="Comma 2 2 4 2 4 2 2" xfId="1011"/>
    <cellStyle name="Comma 2 2 4 2 4 2 2 2" xfId="2055"/>
    <cellStyle name="Comma 2 2 4 2 4 2 3" xfId="1541"/>
    <cellStyle name="Comma 2 2 4 2 4 3" xfId="754"/>
    <cellStyle name="Comma 2 2 4 2 4 3 2" xfId="1798"/>
    <cellStyle name="Comma 2 2 4 2 4 4" xfId="1280"/>
    <cellStyle name="Comma 2 2 4 2 5" xfId="389"/>
    <cellStyle name="Comma 2 2 4 2 5 2" xfId="903"/>
    <cellStyle name="Comma 2 2 4 2 5 2 2" xfId="1947"/>
    <cellStyle name="Comma 2 2 4 2 5 3" xfId="1433"/>
    <cellStyle name="Comma 2 2 4 2 6" xfId="646"/>
    <cellStyle name="Comma 2 2 4 2 6 2" xfId="1690"/>
    <cellStyle name="Comma 2 2 4 2 7" xfId="1166"/>
    <cellStyle name="Comma 2 2 4 3" xfId="165"/>
    <cellStyle name="Comma 2 2 4 3 2" xfId="287"/>
    <cellStyle name="Comma 2 2 4 3 2 2" xfId="551"/>
    <cellStyle name="Comma 2 2 4 3 2 2 2" xfId="1065"/>
    <cellStyle name="Comma 2 2 4 3 2 2 2 2" xfId="2109"/>
    <cellStyle name="Comma 2 2 4 3 2 2 3" xfId="1595"/>
    <cellStyle name="Comma 2 2 4 3 2 3" xfId="808"/>
    <cellStyle name="Comma 2 2 4 3 2 3 2" xfId="1852"/>
    <cellStyle name="Comma 2 2 4 3 2 4" xfId="1337"/>
    <cellStyle name="Comma 2 2 4 3 3" xfId="443"/>
    <cellStyle name="Comma 2 2 4 3 3 2" xfId="957"/>
    <cellStyle name="Comma 2 2 4 3 3 2 2" xfId="2001"/>
    <cellStyle name="Comma 2 2 4 3 3 3" xfId="1487"/>
    <cellStyle name="Comma 2 2 4 3 4" xfId="700"/>
    <cellStyle name="Comma 2 2 4 3 4 2" xfId="1744"/>
    <cellStyle name="Comma 2 2 4 3 5" xfId="1223"/>
    <cellStyle name="Comma 2 2 4 4" xfId="127"/>
    <cellStyle name="Comma 2 2 4 4 2" xfId="249"/>
    <cellStyle name="Comma 2 2 4 4 2 2" xfId="515"/>
    <cellStyle name="Comma 2 2 4 4 2 2 2" xfId="1029"/>
    <cellStyle name="Comma 2 2 4 4 2 2 2 2" xfId="2073"/>
    <cellStyle name="Comma 2 2 4 4 2 2 3" xfId="1559"/>
    <cellStyle name="Comma 2 2 4 4 2 3" xfId="772"/>
    <cellStyle name="Comma 2 2 4 4 2 3 2" xfId="1816"/>
    <cellStyle name="Comma 2 2 4 4 2 4" xfId="1299"/>
    <cellStyle name="Comma 2 2 4 4 3" xfId="407"/>
    <cellStyle name="Comma 2 2 4 4 3 2" xfId="921"/>
    <cellStyle name="Comma 2 2 4 4 3 2 2" xfId="1965"/>
    <cellStyle name="Comma 2 2 4 4 3 3" xfId="1451"/>
    <cellStyle name="Comma 2 2 4 4 4" xfId="664"/>
    <cellStyle name="Comma 2 2 4 4 4 2" xfId="1708"/>
    <cellStyle name="Comma 2 2 4 4 5" xfId="1185"/>
    <cellStyle name="Comma 2 2 4 5" xfId="209"/>
    <cellStyle name="Comma 2 2 4 5 2" xfId="479"/>
    <cellStyle name="Comma 2 2 4 5 2 2" xfId="993"/>
    <cellStyle name="Comma 2 2 4 5 2 2 2" xfId="2037"/>
    <cellStyle name="Comma 2 2 4 5 2 3" xfId="1523"/>
    <cellStyle name="Comma 2 2 4 5 3" xfId="736"/>
    <cellStyle name="Comma 2 2 4 5 3 2" xfId="1780"/>
    <cellStyle name="Comma 2 2 4 5 4" xfId="1261"/>
    <cellStyle name="Comma 2 2 4 6" xfId="371"/>
    <cellStyle name="Comma 2 2 4 6 2" xfId="885"/>
    <cellStyle name="Comma 2 2 4 6 2 2" xfId="1929"/>
    <cellStyle name="Comma 2 2 4 6 3" xfId="1415"/>
    <cellStyle name="Comma 2 2 4 7" xfId="628"/>
    <cellStyle name="Comma 2 2 4 7 2" xfId="1672"/>
    <cellStyle name="Comma 2 2 4 8" xfId="1147"/>
    <cellStyle name="Comma 2 2 5" xfId="97"/>
    <cellStyle name="Comma 2 2 5 2" xfId="175"/>
    <cellStyle name="Comma 2 2 5 2 2" xfId="297"/>
    <cellStyle name="Comma 2 2 5 2 2 2" xfId="560"/>
    <cellStyle name="Comma 2 2 5 2 2 2 2" xfId="1074"/>
    <cellStyle name="Comma 2 2 5 2 2 2 2 2" xfId="2118"/>
    <cellStyle name="Comma 2 2 5 2 2 2 3" xfId="1604"/>
    <cellStyle name="Comma 2 2 5 2 2 3" xfId="817"/>
    <cellStyle name="Comma 2 2 5 2 2 3 2" xfId="1861"/>
    <cellStyle name="Comma 2 2 5 2 2 4" xfId="1346"/>
    <cellStyle name="Comma 2 2 5 2 3" xfId="452"/>
    <cellStyle name="Comma 2 2 5 2 3 2" xfId="966"/>
    <cellStyle name="Comma 2 2 5 2 3 2 2" xfId="2010"/>
    <cellStyle name="Comma 2 2 5 2 3 3" xfId="1496"/>
    <cellStyle name="Comma 2 2 5 2 4" xfId="709"/>
    <cellStyle name="Comma 2 2 5 2 4 2" xfId="1753"/>
    <cellStyle name="Comma 2 2 5 2 5" xfId="1232"/>
    <cellStyle name="Comma 2 2 5 3" xfId="136"/>
    <cellStyle name="Comma 2 2 5 3 2" xfId="258"/>
    <cellStyle name="Comma 2 2 5 3 2 2" xfId="524"/>
    <cellStyle name="Comma 2 2 5 3 2 2 2" xfId="1038"/>
    <cellStyle name="Comma 2 2 5 3 2 2 2 2" xfId="2082"/>
    <cellStyle name="Comma 2 2 5 3 2 2 3" xfId="1568"/>
    <cellStyle name="Comma 2 2 5 3 2 3" xfId="781"/>
    <cellStyle name="Comma 2 2 5 3 2 3 2" xfId="1825"/>
    <cellStyle name="Comma 2 2 5 3 2 4" xfId="1308"/>
    <cellStyle name="Comma 2 2 5 3 3" xfId="416"/>
    <cellStyle name="Comma 2 2 5 3 3 2" xfId="930"/>
    <cellStyle name="Comma 2 2 5 3 3 2 2" xfId="1974"/>
    <cellStyle name="Comma 2 2 5 3 3 3" xfId="1460"/>
    <cellStyle name="Comma 2 2 5 3 4" xfId="673"/>
    <cellStyle name="Comma 2 2 5 3 4 2" xfId="1717"/>
    <cellStyle name="Comma 2 2 5 3 5" xfId="1194"/>
    <cellStyle name="Comma 2 2 5 4" xfId="219"/>
    <cellStyle name="Comma 2 2 5 4 2" xfId="488"/>
    <cellStyle name="Comma 2 2 5 4 2 2" xfId="1002"/>
    <cellStyle name="Comma 2 2 5 4 2 2 2" xfId="2046"/>
    <cellStyle name="Comma 2 2 5 4 2 3" xfId="1532"/>
    <cellStyle name="Comma 2 2 5 4 3" xfId="745"/>
    <cellStyle name="Comma 2 2 5 4 3 2" xfId="1789"/>
    <cellStyle name="Comma 2 2 5 4 4" xfId="1270"/>
    <cellStyle name="Comma 2 2 5 5" xfId="380"/>
    <cellStyle name="Comma 2 2 5 5 2" xfId="894"/>
    <cellStyle name="Comma 2 2 5 5 2 2" xfId="1938"/>
    <cellStyle name="Comma 2 2 5 5 3" xfId="1424"/>
    <cellStyle name="Comma 2 2 5 6" xfId="637"/>
    <cellStyle name="Comma 2 2 5 6 2" xfId="1681"/>
    <cellStyle name="Comma 2 2 5 7" xfId="1156"/>
    <cellStyle name="Comma 2 2 6" xfId="155"/>
    <cellStyle name="Comma 2 2 6 2" xfId="277"/>
    <cellStyle name="Comma 2 2 6 2 2" xfId="542"/>
    <cellStyle name="Comma 2 2 6 2 2 2" xfId="1056"/>
    <cellStyle name="Comma 2 2 6 2 2 2 2" xfId="2100"/>
    <cellStyle name="Comma 2 2 6 2 2 3" xfId="1586"/>
    <cellStyle name="Comma 2 2 6 2 3" xfId="799"/>
    <cellStyle name="Comma 2 2 6 2 3 2" xfId="1843"/>
    <cellStyle name="Comma 2 2 6 2 4" xfId="1327"/>
    <cellStyle name="Comma 2 2 6 3" xfId="434"/>
    <cellStyle name="Comma 2 2 6 3 2" xfId="948"/>
    <cellStyle name="Comma 2 2 6 3 2 2" xfId="1992"/>
    <cellStyle name="Comma 2 2 6 3 3" xfId="1478"/>
    <cellStyle name="Comma 2 2 6 4" xfId="691"/>
    <cellStyle name="Comma 2 2 6 4 2" xfId="1735"/>
    <cellStyle name="Comma 2 2 6 5" xfId="1213"/>
    <cellStyle name="Comma 2 2 7" xfId="117"/>
    <cellStyle name="Comma 2 2 7 2" xfId="239"/>
    <cellStyle name="Comma 2 2 7 2 2" xfId="506"/>
    <cellStyle name="Comma 2 2 7 2 2 2" xfId="1020"/>
    <cellStyle name="Comma 2 2 7 2 2 2 2" xfId="2064"/>
    <cellStyle name="Comma 2 2 7 2 2 3" xfId="1550"/>
    <cellStyle name="Comma 2 2 7 2 3" xfId="763"/>
    <cellStyle name="Comma 2 2 7 2 3 2" xfId="1807"/>
    <cellStyle name="Comma 2 2 7 2 4" xfId="1289"/>
    <cellStyle name="Comma 2 2 7 3" xfId="398"/>
    <cellStyle name="Comma 2 2 7 3 2" xfId="912"/>
    <cellStyle name="Comma 2 2 7 3 2 2" xfId="1956"/>
    <cellStyle name="Comma 2 2 7 3 3" xfId="1442"/>
    <cellStyle name="Comma 2 2 7 4" xfId="655"/>
    <cellStyle name="Comma 2 2 7 4 2" xfId="1699"/>
    <cellStyle name="Comma 2 2 7 5" xfId="1175"/>
    <cellStyle name="Comma 2 2 8" xfId="199"/>
    <cellStyle name="Comma 2 2 8 2" xfId="470"/>
    <cellStyle name="Comma 2 2 8 2 2" xfId="984"/>
    <cellStyle name="Comma 2 2 8 2 2 2" xfId="2028"/>
    <cellStyle name="Comma 2 2 8 2 3" xfId="1514"/>
    <cellStyle name="Comma 2 2 8 3" xfId="727"/>
    <cellStyle name="Comma 2 2 8 3 2" xfId="1771"/>
    <cellStyle name="Comma 2 2 8 4" xfId="1251"/>
    <cellStyle name="Comma 2 2 9" xfId="73"/>
    <cellStyle name="Comma 2 2 9 2" xfId="360"/>
    <cellStyle name="Comma 2 2 9 2 2" xfId="874"/>
    <cellStyle name="Comma 2 2 9 2 2 2" xfId="1918"/>
    <cellStyle name="Comma 2 2 9 2 3" xfId="1404"/>
    <cellStyle name="Comma 2 2 9 3" xfId="617"/>
    <cellStyle name="Comma 2 2 9 3 2" xfId="1661"/>
    <cellStyle name="Comma 2 2 9 4" xfId="1133"/>
    <cellStyle name="Comma 2 3" xfId="51"/>
    <cellStyle name="Comma 2 3 10" xfId="1111"/>
    <cellStyle name="Comma 2 3 2" xfId="64"/>
    <cellStyle name="Comma 2 3 2 2" xfId="109"/>
    <cellStyle name="Comma 2 3 2 2 2" xfId="187"/>
    <cellStyle name="Comma 2 3 2 2 2 2" xfId="309"/>
    <cellStyle name="Comma 2 3 2 2 2 2 2" xfId="571"/>
    <cellStyle name="Comma 2 3 2 2 2 2 2 2" xfId="1085"/>
    <cellStyle name="Comma 2 3 2 2 2 2 2 2 2" xfId="2129"/>
    <cellStyle name="Comma 2 3 2 2 2 2 2 3" xfId="1615"/>
    <cellStyle name="Comma 2 3 2 2 2 2 3" xfId="828"/>
    <cellStyle name="Comma 2 3 2 2 2 2 3 2" xfId="1872"/>
    <cellStyle name="Comma 2 3 2 2 2 2 4" xfId="1358"/>
    <cellStyle name="Comma 2 3 2 2 2 3" xfId="463"/>
    <cellStyle name="Comma 2 3 2 2 2 3 2" xfId="977"/>
    <cellStyle name="Comma 2 3 2 2 2 3 2 2" xfId="2021"/>
    <cellStyle name="Comma 2 3 2 2 2 3 3" xfId="1507"/>
    <cellStyle name="Comma 2 3 2 2 2 4" xfId="720"/>
    <cellStyle name="Comma 2 3 2 2 2 4 2" xfId="1764"/>
    <cellStyle name="Comma 2 3 2 2 2 5" xfId="1244"/>
    <cellStyle name="Comma 2 3 2 2 3" xfId="148"/>
    <cellStyle name="Comma 2 3 2 2 3 2" xfId="270"/>
    <cellStyle name="Comma 2 3 2 2 3 2 2" xfId="535"/>
    <cellStyle name="Comma 2 3 2 2 3 2 2 2" xfId="1049"/>
    <cellStyle name="Comma 2 3 2 2 3 2 2 2 2" xfId="2093"/>
    <cellStyle name="Comma 2 3 2 2 3 2 2 3" xfId="1579"/>
    <cellStyle name="Comma 2 3 2 2 3 2 3" xfId="792"/>
    <cellStyle name="Comma 2 3 2 2 3 2 3 2" xfId="1836"/>
    <cellStyle name="Comma 2 3 2 2 3 2 4" xfId="1320"/>
    <cellStyle name="Comma 2 3 2 2 3 3" xfId="427"/>
    <cellStyle name="Comma 2 3 2 2 3 3 2" xfId="941"/>
    <cellStyle name="Comma 2 3 2 2 3 3 2 2" xfId="1985"/>
    <cellStyle name="Comma 2 3 2 2 3 3 3" xfId="1471"/>
    <cellStyle name="Comma 2 3 2 2 3 4" xfId="684"/>
    <cellStyle name="Comma 2 3 2 2 3 4 2" xfId="1728"/>
    <cellStyle name="Comma 2 3 2 2 3 5" xfId="1206"/>
    <cellStyle name="Comma 2 3 2 2 4" xfId="231"/>
    <cellStyle name="Comma 2 3 2 2 4 2" xfId="499"/>
    <cellStyle name="Comma 2 3 2 2 4 2 2" xfId="1013"/>
    <cellStyle name="Comma 2 3 2 2 4 2 2 2" xfId="2057"/>
    <cellStyle name="Comma 2 3 2 2 4 2 3" xfId="1543"/>
    <cellStyle name="Comma 2 3 2 2 4 3" xfId="756"/>
    <cellStyle name="Comma 2 3 2 2 4 3 2" xfId="1800"/>
    <cellStyle name="Comma 2 3 2 2 4 4" xfId="1282"/>
    <cellStyle name="Comma 2 3 2 2 5" xfId="391"/>
    <cellStyle name="Comma 2 3 2 2 5 2" xfId="905"/>
    <cellStyle name="Comma 2 3 2 2 5 2 2" xfId="1949"/>
    <cellStyle name="Comma 2 3 2 2 5 3" xfId="1435"/>
    <cellStyle name="Comma 2 3 2 2 6" xfId="648"/>
    <cellStyle name="Comma 2 3 2 2 6 2" xfId="1692"/>
    <cellStyle name="Comma 2 3 2 2 7" xfId="1168"/>
    <cellStyle name="Comma 2 3 2 3" xfId="167"/>
    <cellStyle name="Comma 2 3 2 3 2" xfId="289"/>
    <cellStyle name="Comma 2 3 2 3 2 2" xfId="553"/>
    <cellStyle name="Comma 2 3 2 3 2 2 2" xfId="1067"/>
    <cellStyle name="Comma 2 3 2 3 2 2 2 2" xfId="2111"/>
    <cellStyle name="Comma 2 3 2 3 2 2 3" xfId="1597"/>
    <cellStyle name="Comma 2 3 2 3 2 3" xfId="810"/>
    <cellStyle name="Comma 2 3 2 3 2 3 2" xfId="1854"/>
    <cellStyle name="Comma 2 3 2 3 2 4" xfId="1339"/>
    <cellStyle name="Comma 2 3 2 3 3" xfId="445"/>
    <cellStyle name="Comma 2 3 2 3 3 2" xfId="959"/>
    <cellStyle name="Comma 2 3 2 3 3 2 2" xfId="2003"/>
    <cellStyle name="Comma 2 3 2 3 3 3" xfId="1489"/>
    <cellStyle name="Comma 2 3 2 3 4" xfId="702"/>
    <cellStyle name="Comma 2 3 2 3 4 2" xfId="1746"/>
    <cellStyle name="Comma 2 3 2 3 5" xfId="1225"/>
    <cellStyle name="Comma 2 3 2 4" xfId="129"/>
    <cellStyle name="Comma 2 3 2 4 2" xfId="251"/>
    <cellStyle name="Comma 2 3 2 4 2 2" xfId="517"/>
    <cellStyle name="Comma 2 3 2 4 2 2 2" xfId="1031"/>
    <cellStyle name="Comma 2 3 2 4 2 2 2 2" xfId="2075"/>
    <cellStyle name="Comma 2 3 2 4 2 2 3" xfId="1561"/>
    <cellStyle name="Comma 2 3 2 4 2 3" xfId="774"/>
    <cellStyle name="Comma 2 3 2 4 2 3 2" xfId="1818"/>
    <cellStyle name="Comma 2 3 2 4 2 4" xfId="1301"/>
    <cellStyle name="Comma 2 3 2 4 3" xfId="409"/>
    <cellStyle name="Comma 2 3 2 4 3 2" xfId="923"/>
    <cellStyle name="Comma 2 3 2 4 3 2 2" xfId="1967"/>
    <cellStyle name="Comma 2 3 2 4 3 3" xfId="1453"/>
    <cellStyle name="Comma 2 3 2 4 4" xfId="666"/>
    <cellStyle name="Comma 2 3 2 4 4 2" xfId="1710"/>
    <cellStyle name="Comma 2 3 2 4 5" xfId="1187"/>
    <cellStyle name="Comma 2 3 2 5" xfId="211"/>
    <cellStyle name="Comma 2 3 2 5 2" xfId="481"/>
    <cellStyle name="Comma 2 3 2 5 2 2" xfId="995"/>
    <cellStyle name="Comma 2 3 2 5 2 2 2" xfId="2039"/>
    <cellStyle name="Comma 2 3 2 5 2 3" xfId="1525"/>
    <cellStyle name="Comma 2 3 2 5 3" xfId="738"/>
    <cellStyle name="Comma 2 3 2 5 3 2" xfId="1782"/>
    <cellStyle name="Comma 2 3 2 5 4" xfId="1263"/>
    <cellStyle name="Comma 2 3 2 6" xfId="89"/>
    <cellStyle name="Comma 2 3 2 6 2" xfId="373"/>
    <cellStyle name="Comma 2 3 2 6 2 2" xfId="887"/>
    <cellStyle name="Comma 2 3 2 6 2 2 2" xfId="1931"/>
    <cellStyle name="Comma 2 3 2 6 2 3" xfId="1417"/>
    <cellStyle name="Comma 2 3 2 6 3" xfId="630"/>
    <cellStyle name="Comma 2 3 2 6 3 2" xfId="1674"/>
    <cellStyle name="Comma 2 3 2 6 4" xfId="1149"/>
    <cellStyle name="Comma 2 3 2 7" xfId="351"/>
    <cellStyle name="Comma 2 3 2 7 2" xfId="865"/>
    <cellStyle name="Comma 2 3 2 7 2 2" xfId="1909"/>
    <cellStyle name="Comma 2 3 2 7 3" xfId="1395"/>
    <cellStyle name="Comma 2 3 2 8" xfId="608"/>
    <cellStyle name="Comma 2 3 2 8 2" xfId="1652"/>
    <cellStyle name="Comma 2 3 2 9" xfId="1124"/>
    <cellStyle name="Comma 2 3 3" xfId="99"/>
    <cellStyle name="Comma 2 3 3 2" xfId="177"/>
    <cellStyle name="Comma 2 3 3 2 2" xfId="299"/>
    <cellStyle name="Comma 2 3 3 2 2 2" xfId="562"/>
    <cellStyle name="Comma 2 3 3 2 2 2 2" xfId="1076"/>
    <cellStyle name="Comma 2 3 3 2 2 2 2 2" xfId="2120"/>
    <cellStyle name="Comma 2 3 3 2 2 2 3" xfId="1606"/>
    <cellStyle name="Comma 2 3 3 2 2 3" xfId="819"/>
    <cellStyle name="Comma 2 3 3 2 2 3 2" xfId="1863"/>
    <cellStyle name="Comma 2 3 3 2 2 4" xfId="1348"/>
    <cellStyle name="Comma 2 3 3 2 3" xfId="454"/>
    <cellStyle name="Comma 2 3 3 2 3 2" xfId="968"/>
    <cellStyle name="Comma 2 3 3 2 3 2 2" xfId="2012"/>
    <cellStyle name="Comma 2 3 3 2 3 3" xfId="1498"/>
    <cellStyle name="Comma 2 3 3 2 4" xfId="711"/>
    <cellStyle name="Comma 2 3 3 2 4 2" xfId="1755"/>
    <cellStyle name="Comma 2 3 3 2 5" xfId="1234"/>
    <cellStyle name="Comma 2 3 3 3" xfId="138"/>
    <cellStyle name="Comma 2 3 3 3 2" xfId="260"/>
    <cellStyle name="Comma 2 3 3 3 2 2" xfId="526"/>
    <cellStyle name="Comma 2 3 3 3 2 2 2" xfId="1040"/>
    <cellStyle name="Comma 2 3 3 3 2 2 2 2" xfId="2084"/>
    <cellStyle name="Comma 2 3 3 3 2 2 3" xfId="1570"/>
    <cellStyle name="Comma 2 3 3 3 2 3" xfId="783"/>
    <cellStyle name="Comma 2 3 3 3 2 3 2" xfId="1827"/>
    <cellStyle name="Comma 2 3 3 3 2 4" xfId="1310"/>
    <cellStyle name="Comma 2 3 3 3 3" xfId="418"/>
    <cellStyle name="Comma 2 3 3 3 3 2" xfId="932"/>
    <cellStyle name="Comma 2 3 3 3 3 2 2" xfId="1976"/>
    <cellStyle name="Comma 2 3 3 3 3 3" xfId="1462"/>
    <cellStyle name="Comma 2 3 3 3 4" xfId="675"/>
    <cellStyle name="Comma 2 3 3 3 4 2" xfId="1719"/>
    <cellStyle name="Comma 2 3 3 3 5" xfId="1196"/>
    <cellStyle name="Comma 2 3 3 4" xfId="221"/>
    <cellStyle name="Comma 2 3 3 4 2" xfId="490"/>
    <cellStyle name="Comma 2 3 3 4 2 2" xfId="1004"/>
    <cellStyle name="Comma 2 3 3 4 2 2 2" xfId="2048"/>
    <cellStyle name="Comma 2 3 3 4 2 3" xfId="1534"/>
    <cellStyle name="Comma 2 3 3 4 3" xfId="747"/>
    <cellStyle name="Comma 2 3 3 4 3 2" xfId="1791"/>
    <cellStyle name="Comma 2 3 3 4 4" xfId="1272"/>
    <cellStyle name="Comma 2 3 3 5" xfId="382"/>
    <cellStyle name="Comma 2 3 3 5 2" xfId="896"/>
    <cellStyle name="Comma 2 3 3 5 2 2" xfId="1940"/>
    <cellStyle name="Comma 2 3 3 5 3" xfId="1426"/>
    <cellStyle name="Comma 2 3 3 6" xfId="639"/>
    <cellStyle name="Comma 2 3 3 6 2" xfId="1683"/>
    <cellStyle name="Comma 2 3 3 7" xfId="1158"/>
    <cellStyle name="Comma 2 3 4" xfId="157"/>
    <cellStyle name="Comma 2 3 4 2" xfId="279"/>
    <cellStyle name="Comma 2 3 4 2 2" xfId="544"/>
    <cellStyle name="Comma 2 3 4 2 2 2" xfId="1058"/>
    <cellStyle name="Comma 2 3 4 2 2 2 2" xfId="2102"/>
    <cellStyle name="Comma 2 3 4 2 2 3" xfId="1588"/>
    <cellStyle name="Comma 2 3 4 2 3" xfId="801"/>
    <cellStyle name="Comma 2 3 4 2 3 2" xfId="1845"/>
    <cellStyle name="Comma 2 3 4 2 4" xfId="1329"/>
    <cellStyle name="Comma 2 3 4 3" xfId="436"/>
    <cellStyle name="Comma 2 3 4 3 2" xfId="950"/>
    <cellStyle name="Comma 2 3 4 3 2 2" xfId="1994"/>
    <cellStyle name="Comma 2 3 4 3 3" xfId="1480"/>
    <cellStyle name="Comma 2 3 4 4" xfId="693"/>
    <cellStyle name="Comma 2 3 4 4 2" xfId="1737"/>
    <cellStyle name="Comma 2 3 4 5" xfId="1215"/>
    <cellStyle name="Comma 2 3 5" xfId="119"/>
    <cellStyle name="Comma 2 3 5 2" xfId="241"/>
    <cellStyle name="Comma 2 3 5 2 2" xfId="508"/>
    <cellStyle name="Comma 2 3 5 2 2 2" xfId="1022"/>
    <cellStyle name="Comma 2 3 5 2 2 2 2" xfId="2066"/>
    <cellStyle name="Comma 2 3 5 2 2 3" xfId="1552"/>
    <cellStyle name="Comma 2 3 5 2 3" xfId="765"/>
    <cellStyle name="Comma 2 3 5 2 3 2" xfId="1809"/>
    <cellStyle name="Comma 2 3 5 2 4" xfId="1291"/>
    <cellStyle name="Comma 2 3 5 3" xfId="400"/>
    <cellStyle name="Comma 2 3 5 3 2" xfId="914"/>
    <cellStyle name="Comma 2 3 5 3 2 2" xfId="1958"/>
    <cellStyle name="Comma 2 3 5 3 3" xfId="1444"/>
    <cellStyle name="Comma 2 3 5 4" xfId="657"/>
    <cellStyle name="Comma 2 3 5 4 2" xfId="1701"/>
    <cellStyle name="Comma 2 3 5 5" xfId="1177"/>
    <cellStyle name="Comma 2 3 6" xfId="201"/>
    <cellStyle name="Comma 2 3 6 2" xfId="472"/>
    <cellStyle name="Comma 2 3 6 2 2" xfId="986"/>
    <cellStyle name="Comma 2 3 6 2 2 2" xfId="2030"/>
    <cellStyle name="Comma 2 3 6 2 3" xfId="1516"/>
    <cellStyle name="Comma 2 3 6 3" xfId="729"/>
    <cellStyle name="Comma 2 3 6 3 2" xfId="1773"/>
    <cellStyle name="Comma 2 3 6 4" xfId="1253"/>
    <cellStyle name="Comma 2 3 7" xfId="75"/>
    <cellStyle name="Comma 2 3 7 2" xfId="362"/>
    <cellStyle name="Comma 2 3 7 2 2" xfId="876"/>
    <cellStyle name="Comma 2 3 7 2 2 2" xfId="1920"/>
    <cellStyle name="Comma 2 3 7 2 3" xfId="1406"/>
    <cellStyle name="Comma 2 3 7 3" xfId="619"/>
    <cellStyle name="Comma 2 3 7 3 2" xfId="1663"/>
    <cellStyle name="Comma 2 3 7 4" xfId="1135"/>
    <cellStyle name="Comma 2 3 8" xfId="338"/>
    <cellStyle name="Comma 2 3 8 2" xfId="852"/>
    <cellStyle name="Comma 2 3 8 2 2" xfId="1896"/>
    <cellStyle name="Comma 2 3 8 3" xfId="1382"/>
    <cellStyle name="Comma 2 3 9" xfId="595"/>
    <cellStyle name="Comma 2 3 9 2" xfId="1639"/>
    <cellStyle name="Comma 2 4" xfId="59"/>
    <cellStyle name="Comma 2 4 10" xfId="1119"/>
    <cellStyle name="Comma 2 4 2" xfId="92"/>
    <cellStyle name="Comma 2 4 2 2" xfId="112"/>
    <cellStyle name="Comma 2 4 2 2 2" xfId="190"/>
    <cellStyle name="Comma 2 4 2 2 2 2" xfId="312"/>
    <cellStyle name="Comma 2 4 2 2 2 2 2" xfId="574"/>
    <cellStyle name="Comma 2 4 2 2 2 2 2 2" xfId="1088"/>
    <cellStyle name="Comma 2 4 2 2 2 2 2 2 2" xfId="2132"/>
    <cellStyle name="Comma 2 4 2 2 2 2 2 3" xfId="1618"/>
    <cellStyle name="Comma 2 4 2 2 2 2 3" xfId="831"/>
    <cellStyle name="Comma 2 4 2 2 2 2 3 2" xfId="1875"/>
    <cellStyle name="Comma 2 4 2 2 2 2 4" xfId="1361"/>
    <cellStyle name="Comma 2 4 2 2 2 3" xfId="466"/>
    <cellStyle name="Comma 2 4 2 2 2 3 2" xfId="980"/>
    <cellStyle name="Comma 2 4 2 2 2 3 2 2" xfId="2024"/>
    <cellStyle name="Comma 2 4 2 2 2 3 3" xfId="1510"/>
    <cellStyle name="Comma 2 4 2 2 2 4" xfId="723"/>
    <cellStyle name="Comma 2 4 2 2 2 4 2" xfId="1767"/>
    <cellStyle name="Comma 2 4 2 2 2 5" xfId="1247"/>
    <cellStyle name="Comma 2 4 2 2 3" xfId="151"/>
    <cellStyle name="Comma 2 4 2 2 3 2" xfId="273"/>
    <cellStyle name="Comma 2 4 2 2 3 2 2" xfId="538"/>
    <cellStyle name="Comma 2 4 2 2 3 2 2 2" xfId="1052"/>
    <cellStyle name="Comma 2 4 2 2 3 2 2 2 2" xfId="2096"/>
    <cellStyle name="Comma 2 4 2 2 3 2 2 3" xfId="1582"/>
    <cellStyle name="Comma 2 4 2 2 3 2 3" xfId="795"/>
    <cellStyle name="Comma 2 4 2 2 3 2 3 2" xfId="1839"/>
    <cellStyle name="Comma 2 4 2 2 3 2 4" xfId="1323"/>
    <cellStyle name="Comma 2 4 2 2 3 3" xfId="430"/>
    <cellStyle name="Comma 2 4 2 2 3 3 2" xfId="944"/>
    <cellStyle name="Comma 2 4 2 2 3 3 2 2" xfId="1988"/>
    <cellStyle name="Comma 2 4 2 2 3 3 3" xfId="1474"/>
    <cellStyle name="Comma 2 4 2 2 3 4" xfId="687"/>
    <cellStyle name="Comma 2 4 2 2 3 4 2" xfId="1731"/>
    <cellStyle name="Comma 2 4 2 2 3 5" xfId="1209"/>
    <cellStyle name="Comma 2 4 2 2 4" xfId="234"/>
    <cellStyle name="Comma 2 4 2 2 4 2" xfId="502"/>
    <cellStyle name="Comma 2 4 2 2 4 2 2" xfId="1016"/>
    <cellStyle name="Comma 2 4 2 2 4 2 2 2" xfId="2060"/>
    <cellStyle name="Comma 2 4 2 2 4 2 3" xfId="1546"/>
    <cellStyle name="Comma 2 4 2 2 4 3" xfId="759"/>
    <cellStyle name="Comma 2 4 2 2 4 3 2" xfId="1803"/>
    <cellStyle name="Comma 2 4 2 2 4 4" xfId="1285"/>
    <cellStyle name="Comma 2 4 2 2 5" xfId="394"/>
    <cellStyle name="Comma 2 4 2 2 5 2" xfId="908"/>
    <cellStyle name="Comma 2 4 2 2 5 2 2" xfId="1952"/>
    <cellStyle name="Comma 2 4 2 2 5 3" xfId="1438"/>
    <cellStyle name="Comma 2 4 2 2 6" xfId="651"/>
    <cellStyle name="Comma 2 4 2 2 6 2" xfId="1695"/>
    <cellStyle name="Comma 2 4 2 2 7" xfId="1171"/>
    <cellStyle name="Comma 2 4 2 3" xfId="170"/>
    <cellStyle name="Comma 2 4 2 3 2" xfId="292"/>
    <cellStyle name="Comma 2 4 2 3 2 2" xfId="556"/>
    <cellStyle name="Comma 2 4 2 3 2 2 2" xfId="1070"/>
    <cellStyle name="Comma 2 4 2 3 2 2 2 2" xfId="2114"/>
    <cellStyle name="Comma 2 4 2 3 2 2 3" xfId="1600"/>
    <cellStyle name="Comma 2 4 2 3 2 3" xfId="813"/>
    <cellStyle name="Comma 2 4 2 3 2 3 2" xfId="1857"/>
    <cellStyle name="Comma 2 4 2 3 2 4" xfId="1342"/>
    <cellStyle name="Comma 2 4 2 3 3" xfId="448"/>
    <cellStyle name="Comma 2 4 2 3 3 2" xfId="962"/>
    <cellStyle name="Comma 2 4 2 3 3 2 2" xfId="2006"/>
    <cellStyle name="Comma 2 4 2 3 3 3" xfId="1492"/>
    <cellStyle name="Comma 2 4 2 3 4" xfId="705"/>
    <cellStyle name="Comma 2 4 2 3 4 2" xfId="1749"/>
    <cellStyle name="Comma 2 4 2 3 5" xfId="1228"/>
    <cellStyle name="Comma 2 4 2 4" xfId="132"/>
    <cellStyle name="Comma 2 4 2 4 2" xfId="254"/>
    <cellStyle name="Comma 2 4 2 4 2 2" xfId="520"/>
    <cellStyle name="Comma 2 4 2 4 2 2 2" xfId="1034"/>
    <cellStyle name="Comma 2 4 2 4 2 2 2 2" xfId="2078"/>
    <cellStyle name="Comma 2 4 2 4 2 2 3" xfId="1564"/>
    <cellStyle name="Comma 2 4 2 4 2 3" xfId="777"/>
    <cellStyle name="Comma 2 4 2 4 2 3 2" xfId="1821"/>
    <cellStyle name="Comma 2 4 2 4 2 4" xfId="1304"/>
    <cellStyle name="Comma 2 4 2 4 3" xfId="412"/>
    <cellStyle name="Comma 2 4 2 4 3 2" xfId="926"/>
    <cellStyle name="Comma 2 4 2 4 3 2 2" xfId="1970"/>
    <cellStyle name="Comma 2 4 2 4 3 3" xfId="1456"/>
    <cellStyle name="Comma 2 4 2 4 4" xfId="669"/>
    <cellStyle name="Comma 2 4 2 4 4 2" xfId="1713"/>
    <cellStyle name="Comma 2 4 2 4 5" xfId="1190"/>
    <cellStyle name="Comma 2 4 2 5" xfId="214"/>
    <cellStyle name="Comma 2 4 2 5 2" xfId="484"/>
    <cellStyle name="Comma 2 4 2 5 2 2" xfId="998"/>
    <cellStyle name="Comma 2 4 2 5 2 2 2" xfId="2042"/>
    <cellStyle name="Comma 2 4 2 5 2 3" xfId="1528"/>
    <cellStyle name="Comma 2 4 2 5 3" xfId="741"/>
    <cellStyle name="Comma 2 4 2 5 3 2" xfId="1785"/>
    <cellStyle name="Comma 2 4 2 5 4" xfId="1266"/>
    <cellStyle name="Comma 2 4 2 6" xfId="376"/>
    <cellStyle name="Comma 2 4 2 6 2" xfId="890"/>
    <cellStyle name="Comma 2 4 2 6 2 2" xfId="1934"/>
    <cellStyle name="Comma 2 4 2 6 3" xfId="1420"/>
    <cellStyle name="Comma 2 4 2 7" xfId="633"/>
    <cellStyle name="Comma 2 4 2 7 2" xfId="1677"/>
    <cellStyle name="Comma 2 4 2 8" xfId="1152"/>
    <cellStyle name="Comma 2 4 3" xfId="102"/>
    <cellStyle name="Comma 2 4 3 2" xfId="180"/>
    <cellStyle name="Comma 2 4 3 2 2" xfId="302"/>
    <cellStyle name="Comma 2 4 3 2 2 2" xfId="565"/>
    <cellStyle name="Comma 2 4 3 2 2 2 2" xfId="1079"/>
    <cellStyle name="Comma 2 4 3 2 2 2 2 2" xfId="2123"/>
    <cellStyle name="Comma 2 4 3 2 2 2 3" xfId="1609"/>
    <cellStyle name="Comma 2 4 3 2 2 3" xfId="822"/>
    <cellStyle name="Comma 2 4 3 2 2 3 2" xfId="1866"/>
    <cellStyle name="Comma 2 4 3 2 2 4" xfId="1351"/>
    <cellStyle name="Comma 2 4 3 2 3" xfId="457"/>
    <cellStyle name="Comma 2 4 3 2 3 2" xfId="971"/>
    <cellStyle name="Comma 2 4 3 2 3 2 2" xfId="2015"/>
    <cellStyle name="Comma 2 4 3 2 3 3" xfId="1501"/>
    <cellStyle name="Comma 2 4 3 2 4" xfId="714"/>
    <cellStyle name="Comma 2 4 3 2 4 2" xfId="1758"/>
    <cellStyle name="Comma 2 4 3 2 5" xfId="1237"/>
    <cellStyle name="Comma 2 4 3 3" xfId="141"/>
    <cellStyle name="Comma 2 4 3 3 2" xfId="263"/>
    <cellStyle name="Comma 2 4 3 3 2 2" xfId="529"/>
    <cellStyle name="Comma 2 4 3 3 2 2 2" xfId="1043"/>
    <cellStyle name="Comma 2 4 3 3 2 2 2 2" xfId="2087"/>
    <cellStyle name="Comma 2 4 3 3 2 2 3" xfId="1573"/>
    <cellStyle name="Comma 2 4 3 3 2 3" xfId="786"/>
    <cellStyle name="Comma 2 4 3 3 2 3 2" xfId="1830"/>
    <cellStyle name="Comma 2 4 3 3 2 4" xfId="1313"/>
    <cellStyle name="Comma 2 4 3 3 3" xfId="421"/>
    <cellStyle name="Comma 2 4 3 3 3 2" xfId="935"/>
    <cellStyle name="Comma 2 4 3 3 3 2 2" xfId="1979"/>
    <cellStyle name="Comma 2 4 3 3 3 3" xfId="1465"/>
    <cellStyle name="Comma 2 4 3 3 4" xfId="678"/>
    <cellStyle name="Comma 2 4 3 3 4 2" xfId="1722"/>
    <cellStyle name="Comma 2 4 3 3 5" xfId="1199"/>
    <cellStyle name="Comma 2 4 3 4" xfId="224"/>
    <cellStyle name="Comma 2 4 3 4 2" xfId="493"/>
    <cellStyle name="Comma 2 4 3 4 2 2" xfId="1007"/>
    <cellStyle name="Comma 2 4 3 4 2 2 2" xfId="2051"/>
    <cellStyle name="Comma 2 4 3 4 2 3" xfId="1537"/>
    <cellStyle name="Comma 2 4 3 4 3" xfId="750"/>
    <cellStyle name="Comma 2 4 3 4 3 2" xfId="1794"/>
    <cellStyle name="Comma 2 4 3 4 4" xfId="1275"/>
    <cellStyle name="Comma 2 4 3 5" xfId="385"/>
    <cellStyle name="Comma 2 4 3 5 2" xfId="899"/>
    <cellStyle name="Comma 2 4 3 5 2 2" xfId="1943"/>
    <cellStyle name="Comma 2 4 3 5 3" xfId="1429"/>
    <cellStyle name="Comma 2 4 3 6" xfId="642"/>
    <cellStyle name="Comma 2 4 3 6 2" xfId="1686"/>
    <cellStyle name="Comma 2 4 3 7" xfId="1161"/>
    <cellStyle name="Comma 2 4 4" xfId="160"/>
    <cellStyle name="Comma 2 4 4 2" xfId="282"/>
    <cellStyle name="Comma 2 4 4 2 2" xfId="547"/>
    <cellStyle name="Comma 2 4 4 2 2 2" xfId="1061"/>
    <cellStyle name="Comma 2 4 4 2 2 2 2" xfId="2105"/>
    <cellStyle name="Comma 2 4 4 2 2 3" xfId="1591"/>
    <cellStyle name="Comma 2 4 4 2 3" xfId="804"/>
    <cellStyle name="Comma 2 4 4 2 3 2" xfId="1848"/>
    <cellStyle name="Comma 2 4 4 2 4" xfId="1332"/>
    <cellStyle name="Comma 2 4 4 3" xfId="439"/>
    <cellStyle name="Comma 2 4 4 3 2" xfId="953"/>
    <cellStyle name="Comma 2 4 4 3 2 2" xfId="1997"/>
    <cellStyle name="Comma 2 4 4 3 3" xfId="1483"/>
    <cellStyle name="Comma 2 4 4 4" xfId="696"/>
    <cellStyle name="Comma 2 4 4 4 2" xfId="1740"/>
    <cellStyle name="Comma 2 4 4 5" xfId="1218"/>
    <cellStyle name="Comma 2 4 5" xfId="122"/>
    <cellStyle name="Comma 2 4 5 2" xfId="244"/>
    <cellStyle name="Comma 2 4 5 2 2" xfId="511"/>
    <cellStyle name="Comma 2 4 5 2 2 2" xfId="1025"/>
    <cellStyle name="Comma 2 4 5 2 2 2 2" xfId="2069"/>
    <cellStyle name="Comma 2 4 5 2 2 3" xfId="1555"/>
    <cellStyle name="Comma 2 4 5 2 3" xfId="768"/>
    <cellStyle name="Comma 2 4 5 2 3 2" xfId="1812"/>
    <cellStyle name="Comma 2 4 5 2 4" xfId="1294"/>
    <cellStyle name="Comma 2 4 5 3" xfId="403"/>
    <cellStyle name="Comma 2 4 5 3 2" xfId="917"/>
    <cellStyle name="Comma 2 4 5 3 2 2" xfId="1961"/>
    <cellStyle name="Comma 2 4 5 3 3" xfId="1447"/>
    <cellStyle name="Comma 2 4 5 4" xfId="660"/>
    <cellStyle name="Comma 2 4 5 4 2" xfId="1704"/>
    <cellStyle name="Comma 2 4 5 5" xfId="1180"/>
    <cellStyle name="Comma 2 4 6" xfId="204"/>
    <cellStyle name="Comma 2 4 6 2" xfId="475"/>
    <cellStyle name="Comma 2 4 6 2 2" xfId="989"/>
    <cellStyle name="Comma 2 4 6 2 2 2" xfId="2033"/>
    <cellStyle name="Comma 2 4 6 2 3" xfId="1519"/>
    <cellStyle name="Comma 2 4 6 3" xfId="732"/>
    <cellStyle name="Comma 2 4 6 3 2" xfId="1776"/>
    <cellStyle name="Comma 2 4 6 4" xfId="1256"/>
    <cellStyle name="Comma 2 4 7" xfId="78"/>
    <cellStyle name="Comma 2 4 7 2" xfId="365"/>
    <cellStyle name="Comma 2 4 7 2 2" xfId="879"/>
    <cellStyle name="Comma 2 4 7 2 2 2" xfId="1923"/>
    <cellStyle name="Comma 2 4 7 2 3" xfId="1409"/>
    <cellStyle name="Comma 2 4 7 3" xfId="622"/>
    <cellStyle name="Comma 2 4 7 3 2" xfId="1666"/>
    <cellStyle name="Comma 2 4 7 4" xfId="1138"/>
    <cellStyle name="Comma 2 4 8" xfId="346"/>
    <cellStyle name="Comma 2 4 8 2" xfId="860"/>
    <cellStyle name="Comma 2 4 8 2 2" xfId="1904"/>
    <cellStyle name="Comma 2 4 8 3" xfId="1390"/>
    <cellStyle name="Comma 2 4 9" xfId="603"/>
    <cellStyle name="Comma 2 4 9 2" xfId="1647"/>
    <cellStyle name="Comma 2 5" xfId="86"/>
    <cellStyle name="Comma 2 5 2" xfId="106"/>
    <cellStyle name="Comma 2 5 2 2" xfId="184"/>
    <cellStyle name="Comma 2 5 2 2 2" xfId="306"/>
    <cellStyle name="Comma 2 5 2 2 2 2" xfId="568"/>
    <cellStyle name="Comma 2 5 2 2 2 2 2" xfId="1082"/>
    <cellStyle name="Comma 2 5 2 2 2 2 2 2" xfId="2126"/>
    <cellStyle name="Comma 2 5 2 2 2 2 3" xfId="1612"/>
    <cellStyle name="Comma 2 5 2 2 2 3" xfId="825"/>
    <cellStyle name="Comma 2 5 2 2 2 3 2" xfId="1869"/>
    <cellStyle name="Comma 2 5 2 2 2 4" xfId="1355"/>
    <cellStyle name="Comma 2 5 2 2 3" xfId="460"/>
    <cellStyle name="Comma 2 5 2 2 3 2" xfId="974"/>
    <cellStyle name="Comma 2 5 2 2 3 2 2" xfId="2018"/>
    <cellStyle name="Comma 2 5 2 2 3 3" xfId="1504"/>
    <cellStyle name="Comma 2 5 2 2 4" xfId="717"/>
    <cellStyle name="Comma 2 5 2 2 4 2" xfId="1761"/>
    <cellStyle name="Comma 2 5 2 2 5" xfId="1241"/>
    <cellStyle name="Comma 2 5 2 3" xfId="145"/>
    <cellStyle name="Comma 2 5 2 3 2" xfId="267"/>
    <cellStyle name="Comma 2 5 2 3 2 2" xfId="532"/>
    <cellStyle name="Comma 2 5 2 3 2 2 2" xfId="1046"/>
    <cellStyle name="Comma 2 5 2 3 2 2 2 2" xfId="2090"/>
    <cellStyle name="Comma 2 5 2 3 2 2 3" xfId="1576"/>
    <cellStyle name="Comma 2 5 2 3 2 3" xfId="789"/>
    <cellStyle name="Comma 2 5 2 3 2 3 2" xfId="1833"/>
    <cellStyle name="Comma 2 5 2 3 2 4" xfId="1317"/>
    <cellStyle name="Comma 2 5 2 3 3" xfId="424"/>
    <cellStyle name="Comma 2 5 2 3 3 2" xfId="938"/>
    <cellStyle name="Comma 2 5 2 3 3 2 2" xfId="1982"/>
    <cellStyle name="Comma 2 5 2 3 3 3" xfId="1468"/>
    <cellStyle name="Comma 2 5 2 3 4" xfId="681"/>
    <cellStyle name="Comma 2 5 2 3 4 2" xfId="1725"/>
    <cellStyle name="Comma 2 5 2 3 5" xfId="1203"/>
    <cellStyle name="Comma 2 5 2 4" xfId="228"/>
    <cellStyle name="Comma 2 5 2 4 2" xfId="496"/>
    <cellStyle name="Comma 2 5 2 4 2 2" xfId="1010"/>
    <cellStyle name="Comma 2 5 2 4 2 2 2" xfId="2054"/>
    <cellStyle name="Comma 2 5 2 4 2 3" xfId="1540"/>
    <cellStyle name="Comma 2 5 2 4 3" xfId="753"/>
    <cellStyle name="Comma 2 5 2 4 3 2" xfId="1797"/>
    <cellStyle name="Comma 2 5 2 4 4" xfId="1279"/>
    <cellStyle name="Comma 2 5 2 5" xfId="388"/>
    <cellStyle name="Comma 2 5 2 5 2" xfId="902"/>
    <cellStyle name="Comma 2 5 2 5 2 2" xfId="1946"/>
    <cellStyle name="Comma 2 5 2 5 3" xfId="1432"/>
    <cellStyle name="Comma 2 5 2 6" xfId="645"/>
    <cellStyle name="Comma 2 5 2 6 2" xfId="1689"/>
    <cellStyle name="Comma 2 5 2 7" xfId="1165"/>
    <cellStyle name="Comma 2 5 3" xfId="164"/>
    <cellStyle name="Comma 2 5 3 2" xfId="286"/>
    <cellStyle name="Comma 2 5 3 2 2" xfId="550"/>
    <cellStyle name="Comma 2 5 3 2 2 2" xfId="1064"/>
    <cellStyle name="Comma 2 5 3 2 2 2 2" xfId="2108"/>
    <cellStyle name="Comma 2 5 3 2 2 3" xfId="1594"/>
    <cellStyle name="Comma 2 5 3 2 3" xfId="807"/>
    <cellStyle name="Comma 2 5 3 2 3 2" xfId="1851"/>
    <cellStyle name="Comma 2 5 3 2 4" xfId="1336"/>
    <cellStyle name="Comma 2 5 3 3" xfId="442"/>
    <cellStyle name="Comma 2 5 3 3 2" xfId="956"/>
    <cellStyle name="Comma 2 5 3 3 2 2" xfId="2000"/>
    <cellStyle name="Comma 2 5 3 3 3" xfId="1486"/>
    <cellStyle name="Comma 2 5 3 4" xfId="699"/>
    <cellStyle name="Comma 2 5 3 4 2" xfId="1743"/>
    <cellStyle name="Comma 2 5 3 5" xfId="1222"/>
    <cellStyle name="Comma 2 5 4" xfId="126"/>
    <cellStyle name="Comma 2 5 4 2" xfId="248"/>
    <cellStyle name="Comma 2 5 4 2 2" xfId="514"/>
    <cellStyle name="Comma 2 5 4 2 2 2" xfId="1028"/>
    <cellStyle name="Comma 2 5 4 2 2 2 2" xfId="2072"/>
    <cellStyle name="Comma 2 5 4 2 2 3" xfId="1558"/>
    <cellStyle name="Comma 2 5 4 2 3" xfId="771"/>
    <cellStyle name="Comma 2 5 4 2 3 2" xfId="1815"/>
    <cellStyle name="Comma 2 5 4 2 4" xfId="1298"/>
    <cellStyle name="Comma 2 5 4 3" xfId="406"/>
    <cellStyle name="Comma 2 5 4 3 2" xfId="920"/>
    <cellStyle name="Comma 2 5 4 3 2 2" xfId="1964"/>
    <cellStyle name="Comma 2 5 4 3 3" xfId="1450"/>
    <cellStyle name="Comma 2 5 4 4" xfId="663"/>
    <cellStyle name="Comma 2 5 4 4 2" xfId="1707"/>
    <cellStyle name="Comma 2 5 4 5" xfId="1184"/>
    <cellStyle name="Comma 2 5 5" xfId="208"/>
    <cellStyle name="Comma 2 5 5 2" xfId="478"/>
    <cellStyle name="Comma 2 5 5 2 2" xfId="992"/>
    <cellStyle name="Comma 2 5 5 2 2 2" xfId="2036"/>
    <cellStyle name="Comma 2 5 5 2 3" xfId="1522"/>
    <cellStyle name="Comma 2 5 5 3" xfId="735"/>
    <cellStyle name="Comma 2 5 5 3 2" xfId="1779"/>
    <cellStyle name="Comma 2 5 5 4" xfId="1260"/>
    <cellStyle name="Comma 2 5 6" xfId="370"/>
    <cellStyle name="Comma 2 5 6 2" xfId="884"/>
    <cellStyle name="Comma 2 5 6 2 2" xfId="1928"/>
    <cellStyle name="Comma 2 5 6 3" xfId="1414"/>
    <cellStyle name="Comma 2 5 7" xfId="627"/>
    <cellStyle name="Comma 2 5 7 2" xfId="1671"/>
    <cellStyle name="Comma 2 5 8" xfId="1146"/>
    <cellStyle name="Comma 2 6" xfId="96"/>
    <cellStyle name="Comma 2 6 2" xfId="174"/>
    <cellStyle name="Comma 2 6 2 2" xfId="296"/>
    <cellStyle name="Comma 2 6 2 2 2" xfId="559"/>
    <cellStyle name="Comma 2 6 2 2 2 2" xfId="1073"/>
    <cellStyle name="Comma 2 6 2 2 2 2 2" xfId="2117"/>
    <cellStyle name="Comma 2 6 2 2 2 3" xfId="1603"/>
    <cellStyle name="Comma 2 6 2 2 3" xfId="816"/>
    <cellStyle name="Comma 2 6 2 2 3 2" xfId="1860"/>
    <cellStyle name="Comma 2 6 2 2 4" xfId="1345"/>
    <cellStyle name="Comma 2 6 2 3" xfId="451"/>
    <cellStyle name="Comma 2 6 2 3 2" xfId="965"/>
    <cellStyle name="Comma 2 6 2 3 2 2" xfId="2009"/>
    <cellStyle name="Comma 2 6 2 3 3" xfId="1495"/>
    <cellStyle name="Comma 2 6 2 4" xfId="708"/>
    <cellStyle name="Comma 2 6 2 4 2" xfId="1752"/>
    <cellStyle name="Comma 2 6 2 5" xfId="1231"/>
    <cellStyle name="Comma 2 6 3" xfId="135"/>
    <cellStyle name="Comma 2 6 3 2" xfId="257"/>
    <cellStyle name="Comma 2 6 3 2 2" xfId="523"/>
    <cellStyle name="Comma 2 6 3 2 2 2" xfId="1037"/>
    <cellStyle name="Comma 2 6 3 2 2 2 2" xfId="2081"/>
    <cellStyle name="Comma 2 6 3 2 2 3" xfId="1567"/>
    <cellStyle name="Comma 2 6 3 2 3" xfId="780"/>
    <cellStyle name="Comma 2 6 3 2 3 2" xfId="1824"/>
    <cellStyle name="Comma 2 6 3 2 4" xfId="1307"/>
    <cellStyle name="Comma 2 6 3 3" xfId="415"/>
    <cellStyle name="Comma 2 6 3 3 2" xfId="929"/>
    <cellStyle name="Comma 2 6 3 3 2 2" xfId="1973"/>
    <cellStyle name="Comma 2 6 3 3 3" xfId="1459"/>
    <cellStyle name="Comma 2 6 3 4" xfId="672"/>
    <cellStyle name="Comma 2 6 3 4 2" xfId="1716"/>
    <cellStyle name="Comma 2 6 3 5" xfId="1193"/>
    <cellStyle name="Comma 2 6 4" xfId="218"/>
    <cellStyle name="Comma 2 6 4 2" xfId="487"/>
    <cellStyle name="Comma 2 6 4 2 2" xfId="1001"/>
    <cellStyle name="Comma 2 6 4 2 2 2" xfId="2045"/>
    <cellStyle name="Comma 2 6 4 2 3" xfId="1531"/>
    <cellStyle name="Comma 2 6 4 3" xfId="744"/>
    <cellStyle name="Comma 2 6 4 3 2" xfId="1788"/>
    <cellStyle name="Comma 2 6 4 4" xfId="1269"/>
    <cellStyle name="Comma 2 6 5" xfId="379"/>
    <cellStyle name="Comma 2 6 5 2" xfId="893"/>
    <cellStyle name="Comma 2 6 5 2 2" xfId="1937"/>
    <cellStyle name="Comma 2 6 5 3" xfId="1423"/>
    <cellStyle name="Comma 2 6 6" xfId="636"/>
    <cellStyle name="Comma 2 6 6 2" xfId="1680"/>
    <cellStyle name="Comma 2 6 7" xfId="1155"/>
    <cellStyle name="Comma 2 7" xfId="154"/>
    <cellStyle name="Comma 2 7 2" xfId="276"/>
    <cellStyle name="Comma 2 7 2 2" xfId="541"/>
    <cellStyle name="Comma 2 7 2 2 2" xfId="1055"/>
    <cellStyle name="Comma 2 7 2 2 2 2" xfId="2099"/>
    <cellStyle name="Comma 2 7 2 2 3" xfId="1585"/>
    <cellStyle name="Comma 2 7 2 3" xfId="798"/>
    <cellStyle name="Comma 2 7 2 3 2" xfId="1842"/>
    <cellStyle name="Comma 2 7 2 4" xfId="1326"/>
    <cellStyle name="Comma 2 7 3" xfId="433"/>
    <cellStyle name="Comma 2 7 3 2" xfId="947"/>
    <cellStyle name="Comma 2 7 3 2 2" xfId="1991"/>
    <cellStyle name="Comma 2 7 3 3" xfId="1477"/>
    <cellStyle name="Comma 2 7 4" xfId="690"/>
    <cellStyle name="Comma 2 7 4 2" xfId="1734"/>
    <cellStyle name="Comma 2 7 5" xfId="1212"/>
    <cellStyle name="Comma 2 8" xfId="116"/>
    <cellStyle name="Comma 2 8 2" xfId="238"/>
    <cellStyle name="Comma 2 8 2 2" xfId="505"/>
    <cellStyle name="Comma 2 8 2 2 2" xfId="1019"/>
    <cellStyle name="Comma 2 8 2 2 2 2" xfId="2063"/>
    <cellStyle name="Comma 2 8 2 2 3" xfId="1549"/>
    <cellStyle name="Comma 2 8 2 3" xfId="762"/>
    <cellStyle name="Comma 2 8 2 3 2" xfId="1806"/>
    <cellStyle name="Comma 2 8 2 4" xfId="1288"/>
    <cellStyle name="Comma 2 8 3" xfId="397"/>
    <cellStyle name="Comma 2 8 3 2" xfId="911"/>
    <cellStyle name="Comma 2 8 3 2 2" xfId="1955"/>
    <cellStyle name="Comma 2 8 3 3" xfId="1441"/>
    <cellStyle name="Comma 2 8 4" xfId="654"/>
    <cellStyle name="Comma 2 8 4 2" xfId="1698"/>
    <cellStyle name="Comma 2 8 5" xfId="1174"/>
    <cellStyle name="Comma 2 9" xfId="198"/>
    <cellStyle name="Comma 2 9 2" xfId="469"/>
    <cellStyle name="Comma 2 9 2 2" xfId="983"/>
    <cellStyle name="Comma 2 9 2 2 2" xfId="2027"/>
    <cellStyle name="Comma 2 9 2 3" xfId="1513"/>
    <cellStyle name="Comma 2 9 3" xfId="726"/>
    <cellStyle name="Comma 2 9 3 2" xfId="1770"/>
    <cellStyle name="Comma 2 9 4" xfId="1250"/>
    <cellStyle name="Comma 3" xfId="46"/>
    <cellStyle name="Comma 3 2" xfId="88"/>
    <cellStyle name="Comma 3 2 2" xfId="108"/>
    <cellStyle name="Comma 3 2 2 2" xfId="186"/>
    <cellStyle name="Comma 3 2 2 2 2" xfId="308"/>
    <cellStyle name="Comma 3 2 2 2 2 2" xfId="570"/>
    <cellStyle name="Comma 3 2 2 2 2 2 2" xfId="1084"/>
    <cellStyle name="Comma 3 2 2 2 2 2 2 2" xfId="2128"/>
    <cellStyle name="Comma 3 2 2 2 2 2 3" xfId="1614"/>
    <cellStyle name="Comma 3 2 2 2 2 3" xfId="827"/>
    <cellStyle name="Comma 3 2 2 2 2 3 2" xfId="1871"/>
    <cellStyle name="Comma 3 2 2 2 2 4" xfId="1357"/>
    <cellStyle name="Comma 3 2 2 2 3" xfId="462"/>
    <cellStyle name="Comma 3 2 2 2 3 2" xfId="976"/>
    <cellStyle name="Comma 3 2 2 2 3 2 2" xfId="2020"/>
    <cellStyle name="Comma 3 2 2 2 3 3" xfId="1506"/>
    <cellStyle name="Comma 3 2 2 2 4" xfId="719"/>
    <cellStyle name="Comma 3 2 2 2 4 2" xfId="1763"/>
    <cellStyle name="Comma 3 2 2 2 5" xfId="1243"/>
    <cellStyle name="Comma 3 2 2 3" xfId="147"/>
    <cellStyle name="Comma 3 2 2 3 2" xfId="269"/>
    <cellStyle name="Comma 3 2 2 3 2 2" xfId="534"/>
    <cellStyle name="Comma 3 2 2 3 2 2 2" xfId="1048"/>
    <cellStyle name="Comma 3 2 2 3 2 2 2 2" xfId="2092"/>
    <cellStyle name="Comma 3 2 2 3 2 2 3" xfId="1578"/>
    <cellStyle name="Comma 3 2 2 3 2 3" xfId="791"/>
    <cellStyle name="Comma 3 2 2 3 2 3 2" xfId="1835"/>
    <cellStyle name="Comma 3 2 2 3 2 4" xfId="1319"/>
    <cellStyle name="Comma 3 2 2 3 3" xfId="426"/>
    <cellStyle name="Comma 3 2 2 3 3 2" xfId="940"/>
    <cellStyle name="Comma 3 2 2 3 3 2 2" xfId="1984"/>
    <cellStyle name="Comma 3 2 2 3 3 3" xfId="1470"/>
    <cellStyle name="Comma 3 2 2 3 4" xfId="683"/>
    <cellStyle name="Comma 3 2 2 3 4 2" xfId="1727"/>
    <cellStyle name="Comma 3 2 2 3 5" xfId="1205"/>
    <cellStyle name="Comma 3 2 2 4" xfId="230"/>
    <cellStyle name="Comma 3 2 2 4 2" xfId="498"/>
    <cellStyle name="Comma 3 2 2 4 2 2" xfId="1012"/>
    <cellStyle name="Comma 3 2 2 4 2 2 2" xfId="2056"/>
    <cellStyle name="Comma 3 2 2 4 2 3" xfId="1542"/>
    <cellStyle name="Comma 3 2 2 4 3" xfId="755"/>
    <cellStyle name="Comma 3 2 2 4 3 2" xfId="1799"/>
    <cellStyle name="Comma 3 2 2 4 4" xfId="1281"/>
    <cellStyle name="Comma 3 2 2 5" xfId="390"/>
    <cellStyle name="Comma 3 2 2 5 2" xfId="904"/>
    <cellStyle name="Comma 3 2 2 5 2 2" xfId="1948"/>
    <cellStyle name="Comma 3 2 2 5 3" xfId="1434"/>
    <cellStyle name="Comma 3 2 2 6" xfId="647"/>
    <cellStyle name="Comma 3 2 2 6 2" xfId="1691"/>
    <cellStyle name="Comma 3 2 2 7" xfId="1167"/>
    <cellStyle name="Comma 3 2 3" xfId="166"/>
    <cellStyle name="Comma 3 2 3 2" xfId="288"/>
    <cellStyle name="Comma 3 2 3 2 2" xfId="552"/>
    <cellStyle name="Comma 3 2 3 2 2 2" xfId="1066"/>
    <cellStyle name="Comma 3 2 3 2 2 2 2" xfId="2110"/>
    <cellStyle name="Comma 3 2 3 2 2 3" xfId="1596"/>
    <cellStyle name="Comma 3 2 3 2 3" xfId="809"/>
    <cellStyle name="Comma 3 2 3 2 3 2" xfId="1853"/>
    <cellStyle name="Comma 3 2 3 2 4" xfId="1338"/>
    <cellStyle name="Comma 3 2 3 3" xfId="444"/>
    <cellStyle name="Comma 3 2 3 3 2" xfId="958"/>
    <cellStyle name="Comma 3 2 3 3 2 2" xfId="2002"/>
    <cellStyle name="Comma 3 2 3 3 3" xfId="1488"/>
    <cellStyle name="Comma 3 2 3 4" xfId="701"/>
    <cellStyle name="Comma 3 2 3 4 2" xfId="1745"/>
    <cellStyle name="Comma 3 2 3 5" xfId="1224"/>
    <cellStyle name="Comma 3 2 4" xfId="128"/>
    <cellStyle name="Comma 3 2 4 2" xfId="250"/>
    <cellStyle name="Comma 3 2 4 2 2" xfId="516"/>
    <cellStyle name="Comma 3 2 4 2 2 2" xfId="1030"/>
    <cellStyle name="Comma 3 2 4 2 2 2 2" xfId="2074"/>
    <cellStyle name="Comma 3 2 4 2 2 3" xfId="1560"/>
    <cellStyle name="Comma 3 2 4 2 3" xfId="773"/>
    <cellStyle name="Comma 3 2 4 2 3 2" xfId="1817"/>
    <cellStyle name="Comma 3 2 4 2 4" xfId="1300"/>
    <cellStyle name="Comma 3 2 4 3" xfId="408"/>
    <cellStyle name="Comma 3 2 4 3 2" xfId="922"/>
    <cellStyle name="Comma 3 2 4 3 2 2" xfId="1966"/>
    <cellStyle name="Comma 3 2 4 3 3" xfId="1452"/>
    <cellStyle name="Comma 3 2 4 4" xfId="665"/>
    <cellStyle name="Comma 3 2 4 4 2" xfId="1709"/>
    <cellStyle name="Comma 3 2 4 5" xfId="1186"/>
    <cellStyle name="Comma 3 2 5" xfId="210"/>
    <cellStyle name="Comma 3 2 5 2" xfId="480"/>
    <cellStyle name="Comma 3 2 5 2 2" xfId="994"/>
    <cellStyle name="Comma 3 2 5 2 2 2" xfId="2038"/>
    <cellStyle name="Comma 3 2 5 2 3" xfId="1524"/>
    <cellStyle name="Comma 3 2 5 3" xfId="737"/>
    <cellStyle name="Comma 3 2 5 3 2" xfId="1781"/>
    <cellStyle name="Comma 3 2 5 4" xfId="1262"/>
    <cellStyle name="Comma 3 2 6" xfId="372"/>
    <cellStyle name="Comma 3 2 6 2" xfId="886"/>
    <cellStyle name="Comma 3 2 6 2 2" xfId="1930"/>
    <cellStyle name="Comma 3 2 6 3" xfId="1416"/>
    <cellStyle name="Comma 3 2 7" xfId="629"/>
    <cellStyle name="Comma 3 2 7 2" xfId="1673"/>
    <cellStyle name="Comma 3 2 8" xfId="1148"/>
    <cellStyle name="Comma 3 3" xfId="98"/>
    <cellStyle name="Comma 3 3 2" xfId="176"/>
    <cellStyle name="Comma 3 3 2 2" xfId="298"/>
    <cellStyle name="Comma 3 3 2 2 2" xfId="561"/>
    <cellStyle name="Comma 3 3 2 2 2 2" xfId="1075"/>
    <cellStyle name="Comma 3 3 2 2 2 2 2" xfId="2119"/>
    <cellStyle name="Comma 3 3 2 2 2 3" xfId="1605"/>
    <cellStyle name="Comma 3 3 2 2 3" xfId="818"/>
    <cellStyle name="Comma 3 3 2 2 3 2" xfId="1862"/>
    <cellStyle name="Comma 3 3 2 2 4" xfId="1347"/>
    <cellStyle name="Comma 3 3 2 3" xfId="453"/>
    <cellStyle name="Comma 3 3 2 3 2" xfId="967"/>
    <cellStyle name="Comma 3 3 2 3 2 2" xfId="2011"/>
    <cellStyle name="Comma 3 3 2 3 3" xfId="1497"/>
    <cellStyle name="Comma 3 3 2 4" xfId="710"/>
    <cellStyle name="Comma 3 3 2 4 2" xfId="1754"/>
    <cellStyle name="Comma 3 3 2 5" xfId="1233"/>
    <cellStyle name="Comma 3 3 3" xfId="137"/>
    <cellStyle name="Comma 3 3 3 2" xfId="259"/>
    <cellStyle name="Comma 3 3 3 2 2" xfId="525"/>
    <cellStyle name="Comma 3 3 3 2 2 2" xfId="1039"/>
    <cellStyle name="Comma 3 3 3 2 2 2 2" xfId="2083"/>
    <cellStyle name="Comma 3 3 3 2 2 3" xfId="1569"/>
    <cellStyle name="Comma 3 3 3 2 3" xfId="782"/>
    <cellStyle name="Comma 3 3 3 2 3 2" xfId="1826"/>
    <cellStyle name="Comma 3 3 3 2 4" xfId="1309"/>
    <cellStyle name="Comma 3 3 3 3" xfId="417"/>
    <cellStyle name="Comma 3 3 3 3 2" xfId="931"/>
    <cellStyle name="Comma 3 3 3 3 2 2" xfId="1975"/>
    <cellStyle name="Comma 3 3 3 3 3" xfId="1461"/>
    <cellStyle name="Comma 3 3 3 4" xfId="674"/>
    <cellStyle name="Comma 3 3 3 4 2" xfId="1718"/>
    <cellStyle name="Comma 3 3 3 5" xfId="1195"/>
    <cellStyle name="Comma 3 3 4" xfId="220"/>
    <cellStyle name="Comma 3 3 4 2" xfId="489"/>
    <cellStyle name="Comma 3 3 4 2 2" xfId="1003"/>
    <cellStyle name="Comma 3 3 4 2 2 2" xfId="2047"/>
    <cellStyle name="Comma 3 3 4 2 3" xfId="1533"/>
    <cellStyle name="Comma 3 3 4 3" xfId="746"/>
    <cellStyle name="Comma 3 3 4 3 2" xfId="1790"/>
    <cellStyle name="Comma 3 3 4 4" xfId="1271"/>
    <cellStyle name="Comma 3 3 5" xfId="381"/>
    <cellStyle name="Comma 3 3 5 2" xfId="895"/>
    <cellStyle name="Comma 3 3 5 2 2" xfId="1939"/>
    <cellStyle name="Comma 3 3 5 3" xfId="1425"/>
    <cellStyle name="Comma 3 3 6" xfId="638"/>
    <cellStyle name="Comma 3 3 6 2" xfId="1682"/>
    <cellStyle name="Comma 3 3 7" xfId="1157"/>
    <cellStyle name="Comma 3 4" xfId="156"/>
    <cellStyle name="Comma 3 4 2" xfId="278"/>
    <cellStyle name="Comma 3 4 2 2" xfId="543"/>
    <cellStyle name="Comma 3 4 2 2 2" xfId="1057"/>
    <cellStyle name="Comma 3 4 2 2 2 2" xfId="2101"/>
    <cellStyle name="Comma 3 4 2 2 3" xfId="1587"/>
    <cellStyle name="Comma 3 4 2 3" xfId="800"/>
    <cellStyle name="Comma 3 4 2 3 2" xfId="1844"/>
    <cellStyle name="Comma 3 4 2 4" xfId="1328"/>
    <cellStyle name="Comma 3 4 3" xfId="435"/>
    <cellStyle name="Comma 3 4 3 2" xfId="949"/>
    <cellStyle name="Comma 3 4 3 2 2" xfId="1993"/>
    <cellStyle name="Comma 3 4 3 3" xfId="1479"/>
    <cellStyle name="Comma 3 4 4" xfId="692"/>
    <cellStyle name="Comma 3 4 4 2" xfId="1736"/>
    <cellStyle name="Comma 3 4 5" xfId="1214"/>
    <cellStyle name="Comma 3 5" xfId="118"/>
    <cellStyle name="Comma 3 5 2" xfId="240"/>
    <cellStyle name="Comma 3 5 2 2" xfId="507"/>
    <cellStyle name="Comma 3 5 2 2 2" xfId="1021"/>
    <cellStyle name="Comma 3 5 2 2 2 2" xfId="2065"/>
    <cellStyle name="Comma 3 5 2 2 3" xfId="1551"/>
    <cellStyle name="Comma 3 5 2 3" xfId="764"/>
    <cellStyle name="Comma 3 5 2 3 2" xfId="1808"/>
    <cellStyle name="Comma 3 5 2 4" xfId="1290"/>
    <cellStyle name="Comma 3 5 3" xfId="399"/>
    <cellStyle name="Comma 3 5 3 2" xfId="913"/>
    <cellStyle name="Comma 3 5 3 2 2" xfId="1957"/>
    <cellStyle name="Comma 3 5 3 3" xfId="1443"/>
    <cellStyle name="Comma 3 5 4" xfId="656"/>
    <cellStyle name="Comma 3 5 4 2" xfId="1700"/>
    <cellStyle name="Comma 3 5 5" xfId="1176"/>
    <cellStyle name="Comma 3 6" xfId="200"/>
    <cellStyle name="Comma 3 6 2" xfId="471"/>
    <cellStyle name="Comma 3 6 2 2" xfId="985"/>
    <cellStyle name="Comma 3 6 2 2 2" xfId="2029"/>
    <cellStyle name="Comma 3 6 2 3" xfId="1515"/>
    <cellStyle name="Comma 3 6 3" xfId="728"/>
    <cellStyle name="Comma 3 6 3 2" xfId="1772"/>
    <cellStyle name="Comma 3 6 4" xfId="1252"/>
    <cellStyle name="Comma 3 7" xfId="74"/>
    <cellStyle name="Comma 3 7 2" xfId="361"/>
    <cellStyle name="Comma 3 7 2 2" xfId="875"/>
    <cellStyle name="Comma 3 7 2 2 2" xfId="1919"/>
    <cellStyle name="Comma 3 7 2 3" xfId="1405"/>
    <cellStyle name="Comma 3 7 3" xfId="618"/>
    <cellStyle name="Comma 3 7 3 2" xfId="1662"/>
    <cellStyle name="Comma 3 7 4" xfId="1134"/>
    <cellStyle name="Comma 3 8" xfId="1106"/>
    <cellStyle name="Comma 4" xfId="57"/>
    <cellStyle name="Comma 4 10" xfId="1117"/>
    <cellStyle name="Comma 4 2" xfId="91"/>
    <cellStyle name="Comma 4 2 2" xfId="111"/>
    <cellStyle name="Comma 4 2 2 2" xfId="189"/>
    <cellStyle name="Comma 4 2 2 2 2" xfId="311"/>
    <cellStyle name="Comma 4 2 2 2 2 2" xfId="573"/>
    <cellStyle name="Comma 4 2 2 2 2 2 2" xfId="1087"/>
    <cellStyle name="Comma 4 2 2 2 2 2 2 2" xfId="2131"/>
    <cellStyle name="Comma 4 2 2 2 2 2 3" xfId="1617"/>
    <cellStyle name="Comma 4 2 2 2 2 3" xfId="830"/>
    <cellStyle name="Comma 4 2 2 2 2 3 2" xfId="1874"/>
    <cellStyle name="Comma 4 2 2 2 2 4" xfId="1360"/>
    <cellStyle name="Comma 4 2 2 2 3" xfId="465"/>
    <cellStyle name="Comma 4 2 2 2 3 2" xfId="979"/>
    <cellStyle name="Comma 4 2 2 2 3 2 2" xfId="2023"/>
    <cellStyle name="Comma 4 2 2 2 3 3" xfId="1509"/>
    <cellStyle name="Comma 4 2 2 2 4" xfId="722"/>
    <cellStyle name="Comma 4 2 2 2 4 2" xfId="1766"/>
    <cellStyle name="Comma 4 2 2 2 5" xfId="1246"/>
    <cellStyle name="Comma 4 2 2 3" xfId="150"/>
    <cellStyle name="Comma 4 2 2 3 2" xfId="272"/>
    <cellStyle name="Comma 4 2 2 3 2 2" xfId="537"/>
    <cellStyle name="Comma 4 2 2 3 2 2 2" xfId="1051"/>
    <cellStyle name="Comma 4 2 2 3 2 2 2 2" xfId="2095"/>
    <cellStyle name="Comma 4 2 2 3 2 2 3" xfId="1581"/>
    <cellStyle name="Comma 4 2 2 3 2 3" xfId="794"/>
    <cellStyle name="Comma 4 2 2 3 2 3 2" xfId="1838"/>
    <cellStyle name="Comma 4 2 2 3 2 4" xfId="1322"/>
    <cellStyle name="Comma 4 2 2 3 3" xfId="429"/>
    <cellStyle name="Comma 4 2 2 3 3 2" xfId="943"/>
    <cellStyle name="Comma 4 2 2 3 3 2 2" xfId="1987"/>
    <cellStyle name="Comma 4 2 2 3 3 3" xfId="1473"/>
    <cellStyle name="Comma 4 2 2 3 4" xfId="686"/>
    <cellStyle name="Comma 4 2 2 3 4 2" xfId="1730"/>
    <cellStyle name="Comma 4 2 2 3 5" xfId="1208"/>
    <cellStyle name="Comma 4 2 2 4" xfId="233"/>
    <cellStyle name="Comma 4 2 2 4 2" xfId="501"/>
    <cellStyle name="Comma 4 2 2 4 2 2" xfId="1015"/>
    <cellStyle name="Comma 4 2 2 4 2 2 2" xfId="2059"/>
    <cellStyle name="Comma 4 2 2 4 2 3" xfId="1545"/>
    <cellStyle name="Comma 4 2 2 4 3" xfId="758"/>
    <cellStyle name="Comma 4 2 2 4 3 2" xfId="1802"/>
    <cellStyle name="Comma 4 2 2 4 4" xfId="1284"/>
    <cellStyle name="Comma 4 2 2 5" xfId="393"/>
    <cellStyle name="Comma 4 2 2 5 2" xfId="907"/>
    <cellStyle name="Comma 4 2 2 5 2 2" xfId="1951"/>
    <cellStyle name="Comma 4 2 2 5 3" xfId="1437"/>
    <cellStyle name="Comma 4 2 2 6" xfId="650"/>
    <cellStyle name="Comma 4 2 2 6 2" xfId="1694"/>
    <cellStyle name="Comma 4 2 2 7" xfId="1170"/>
    <cellStyle name="Comma 4 2 3" xfId="169"/>
    <cellStyle name="Comma 4 2 3 2" xfId="291"/>
    <cellStyle name="Comma 4 2 3 2 2" xfId="555"/>
    <cellStyle name="Comma 4 2 3 2 2 2" xfId="1069"/>
    <cellStyle name="Comma 4 2 3 2 2 2 2" xfId="2113"/>
    <cellStyle name="Comma 4 2 3 2 2 3" xfId="1599"/>
    <cellStyle name="Comma 4 2 3 2 3" xfId="812"/>
    <cellStyle name="Comma 4 2 3 2 3 2" xfId="1856"/>
    <cellStyle name="Comma 4 2 3 2 4" xfId="1341"/>
    <cellStyle name="Comma 4 2 3 3" xfId="447"/>
    <cellStyle name="Comma 4 2 3 3 2" xfId="961"/>
    <cellStyle name="Comma 4 2 3 3 2 2" xfId="2005"/>
    <cellStyle name="Comma 4 2 3 3 3" xfId="1491"/>
    <cellStyle name="Comma 4 2 3 4" xfId="704"/>
    <cellStyle name="Comma 4 2 3 4 2" xfId="1748"/>
    <cellStyle name="Comma 4 2 3 5" xfId="1227"/>
    <cellStyle name="Comma 4 2 4" xfId="131"/>
    <cellStyle name="Comma 4 2 4 2" xfId="253"/>
    <cellStyle name="Comma 4 2 4 2 2" xfId="519"/>
    <cellStyle name="Comma 4 2 4 2 2 2" xfId="1033"/>
    <cellStyle name="Comma 4 2 4 2 2 2 2" xfId="2077"/>
    <cellStyle name="Comma 4 2 4 2 2 3" xfId="1563"/>
    <cellStyle name="Comma 4 2 4 2 3" xfId="776"/>
    <cellStyle name="Comma 4 2 4 2 3 2" xfId="1820"/>
    <cellStyle name="Comma 4 2 4 2 4" xfId="1303"/>
    <cellStyle name="Comma 4 2 4 3" xfId="411"/>
    <cellStyle name="Comma 4 2 4 3 2" xfId="925"/>
    <cellStyle name="Comma 4 2 4 3 2 2" xfId="1969"/>
    <cellStyle name="Comma 4 2 4 3 3" xfId="1455"/>
    <cellStyle name="Comma 4 2 4 4" xfId="668"/>
    <cellStyle name="Comma 4 2 4 4 2" xfId="1712"/>
    <cellStyle name="Comma 4 2 4 5" xfId="1189"/>
    <cellStyle name="Comma 4 2 5" xfId="213"/>
    <cellStyle name="Comma 4 2 5 2" xfId="483"/>
    <cellStyle name="Comma 4 2 5 2 2" xfId="997"/>
    <cellStyle name="Comma 4 2 5 2 2 2" xfId="2041"/>
    <cellStyle name="Comma 4 2 5 2 3" xfId="1527"/>
    <cellStyle name="Comma 4 2 5 3" xfId="740"/>
    <cellStyle name="Comma 4 2 5 3 2" xfId="1784"/>
    <cellStyle name="Comma 4 2 5 4" xfId="1265"/>
    <cellStyle name="Comma 4 2 6" xfId="375"/>
    <cellStyle name="Comma 4 2 6 2" xfId="889"/>
    <cellStyle name="Comma 4 2 6 2 2" xfId="1933"/>
    <cellStyle name="Comma 4 2 6 3" xfId="1419"/>
    <cellStyle name="Comma 4 2 7" xfId="632"/>
    <cellStyle name="Comma 4 2 7 2" xfId="1676"/>
    <cellStyle name="Comma 4 2 8" xfId="1151"/>
    <cellStyle name="Comma 4 3" xfId="101"/>
    <cellStyle name="Comma 4 3 2" xfId="179"/>
    <cellStyle name="Comma 4 3 2 2" xfId="301"/>
    <cellStyle name="Comma 4 3 2 2 2" xfId="564"/>
    <cellStyle name="Comma 4 3 2 2 2 2" xfId="1078"/>
    <cellStyle name="Comma 4 3 2 2 2 2 2" xfId="2122"/>
    <cellStyle name="Comma 4 3 2 2 2 3" xfId="1608"/>
    <cellStyle name="Comma 4 3 2 2 3" xfId="821"/>
    <cellStyle name="Comma 4 3 2 2 3 2" xfId="1865"/>
    <cellStyle name="Comma 4 3 2 2 4" xfId="1350"/>
    <cellStyle name="Comma 4 3 2 3" xfId="456"/>
    <cellStyle name="Comma 4 3 2 3 2" xfId="970"/>
    <cellStyle name="Comma 4 3 2 3 2 2" xfId="2014"/>
    <cellStyle name="Comma 4 3 2 3 3" xfId="1500"/>
    <cellStyle name="Comma 4 3 2 4" xfId="713"/>
    <cellStyle name="Comma 4 3 2 4 2" xfId="1757"/>
    <cellStyle name="Comma 4 3 2 5" xfId="1236"/>
    <cellStyle name="Comma 4 3 3" xfId="140"/>
    <cellStyle name="Comma 4 3 3 2" xfId="262"/>
    <cellStyle name="Comma 4 3 3 2 2" xfId="528"/>
    <cellStyle name="Comma 4 3 3 2 2 2" xfId="1042"/>
    <cellStyle name="Comma 4 3 3 2 2 2 2" xfId="2086"/>
    <cellStyle name="Comma 4 3 3 2 2 3" xfId="1572"/>
    <cellStyle name="Comma 4 3 3 2 3" xfId="785"/>
    <cellStyle name="Comma 4 3 3 2 3 2" xfId="1829"/>
    <cellStyle name="Comma 4 3 3 2 4" xfId="1312"/>
    <cellStyle name="Comma 4 3 3 3" xfId="420"/>
    <cellStyle name="Comma 4 3 3 3 2" xfId="934"/>
    <cellStyle name="Comma 4 3 3 3 2 2" xfId="1978"/>
    <cellStyle name="Comma 4 3 3 3 3" xfId="1464"/>
    <cellStyle name="Comma 4 3 3 4" xfId="677"/>
    <cellStyle name="Comma 4 3 3 4 2" xfId="1721"/>
    <cellStyle name="Comma 4 3 3 5" xfId="1198"/>
    <cellStyle name="Comma 4 3 4" xfId="223"/>
    <cellStyle name="Comma 4 3 4 2" xfId="492"/>
    <cellStyle name="Comma 4 3 4 2 2" xfId="1006"/>
    <cellStyle name="Comma 4 3 4 2 2 2" xfId="2050"/>
    <cellStyle name="Comma 4 3 4 2 3" xfId="1536"/>
    <cellStyle name="Comma 4 3 4 3" xfId="749"/>
    <cellStyle name="Comma 4 3 4 3 2" xfId="1793"/>
    <cellStyle name="Comma 4 3 4 4" xfId="1274"/>
    <cellStyle name="Comma 4 3 5" xfId="384"/>
    <cellStyle name="Comma 4 3 5 2" xfId="898"/>
    <cellStyle name="Comma 4 3 5 2 2" xfId="1942"/>
    <cellStyle name="Comma 4 3 5 3" xfId="1428"/>
    <cellStyle name="Comma 4 3 6" xfId="641"/>
    <cellStyle name="Comma 4 3 6 2" xfId="1685"/>
    <cellStyle name="Comma 4 3 7" xfId="1160"/>
    <cellStyle name="Comma 4 4" xfId="159"/>
    <cellStyle name="Comma 4 4 2" xfId="281"/>
    <cellStyle name="Comma 4 4 2 2" xfId="546"/>
    <cellStyle name="Comma 4 4 2 2 2" xfId="1060"/>
    <cellStyle name="Comma 4 4 2 2 2 2" xfId="2104"/>
    <cellStyle name="Comma 4 4 2 2 3" xfId="1590"/>
    <cellStyle name="Comma 4 4 2 3" xfId="803"/>
    <cellStyle name="Comma 4 4 2 3 2" xfId="1847"/>
    <cellStyle name="Comma 4 4 2 4" xfId="1331"/>
    <cellStyle name="Comma 4 4 3" xfId="438"/>
    <cellStyle name="Comma 4 4 3 2" xfId="952"/>
    <cellStyle name="Comma 4 4 3 2 2" xfId="1996"/>
    <cellStyle name="Comma 4 4 3 3" xfId="1482"/>
    <cellStyle name="Comma 4 4 4" xfId="695"/>
    <cellStyle name="Comma 4 4 4 2" xfId="1739"/>
    <cellStyle name="Comma 4 4 5" xfId="1217"/>
    <cellStyle name="Comma 4 5" xfId="121"/>
    <cellStyle name="Comma 4 5 2" xfId="243"/>
    <cellStyle name="Comma 4 5 2 2" xfId="510"/>
    <cellStyle name="Comma 4 5 2 2 2" xfId="1024"/>
    <cellStyle name="Comma 4 5 2 2 2 2" xfId="2068"/>
    <cellStyle name="Comma 4 5 2 2 3" xfId="1554"/>
    <cellStyle name="Comma 4 5 2 3" xfId="767"/>
    <cellStyle name="Comma 4 5 2 3 2" xfId="1811"/>
    <cellStyle name="Comma 4 5 2 4" xfId="1293"/>
    <cellStyle name="Comma 4 5 3" xfId="402"/>
    <cellStyle name="Comma 4 5 3 2" xfId="916"/>
    <cellStyle name="Comma 4 5 3 2 2" xfId="1960"/>
    <cellStyle name="Comma 4 5 3 3" xfId="1446"/>
    <cellStyle name="Comma 4 5 4" xfId="659"/>
    <cellStyle name="Comma 4 5 4 2" xfId="1703"/>
    <cellStyle name="Comma 4 5 5" xfId="1179"/>
    <cellStyle name="Comma 4 6" xfId="203"/>
    <cellStyle name="Comma 4 6 2" xfId="474"/>
    <cellStyle name="Comma 4 6 2 2" xfId="988"/>
    <cellStyle name="Comma 4 6 2 2 2" xfId="2032"/>
    <cellStyle name="Comma 4 6 2 3" xfId="1518"/>
    <cellStyle name="Comma 4 6 3" xfId="731"/>
    <cellStyle name="Comma 4 6 3 2" xfId="1775"/>
    <cellStyle name="Comma 4 6 4" xfId="1255"/>
    <cellStyle name="Comma 4 7" xfId="77"/>
    <cellStyle name="Comma 4 7 2" xfId="364"/>
    <cellStyle name="Comma 4 7 2 2" xfId="878"/>
    <cellStyle name="Comma 4 7 2 2 2" xfId="1922"/>
    <cellStyle name="Comma 4 7 2 3" xfId="1408"/>
    <cellStyle name="Comma 4 7 3" xfId="621"/>
    <cellStyle name="Comma 4 7 3 2" xfId="1665"/>
    <cellStyle name="Comma 4 7 4" xfId="1137"/>
    <cellStyle name="Comma 4 8" xfId="344"/>
    <cellStyle name="Comma 4 8 2" xfId="858"/>
    <cellStyle name="Comma 4 8 2 2" xfId="1902"/>
    <cellStyle name="Comma 4 8 3" xfId="1388"/>
    <cellStyle name="Comma 4 9" xfId="601"/>
    <cellStyle name="Comma 4 9 2" xfId="1645"/>
    <cellStyle name="Comma 5" xfId="84"/>
    <cellStyle name="Comma 5 2" xfId="105"/>
    <cellStyle name="Comma 5 2 2" xfId="183"/>
    <cellStyle name="Comma 5 2 2 2" xfId="305"/>
    <cellStyle name="Comma 5 2 2 2 2" xfId="567"/>
    <cellStyle name="Comma 5 2 2 2 2 2" xfId="1081"/>
    <cellStyle name="Comma 5 2 2 2 2 2 2" xfId="2125"/>
    <cellStyle name="Comma 5 2 2 2 2 3" xfId="1611"/>
    <cellStyle name="Comma 5 2 2 2 3" xfId="824"/>
    <cellStyle name="Comma 5 2 2 2 3 2" xfId="1868"/>
    <cellStyle name="Comma 5 2 2 2 4" xfId="1354"/>
    <cellStyle name="Comma 5 2 2 3" xfId="459"/>
    <cellStyle name="Comma 5 2 2 3 2" xfId="973"/>
    <cellStyle name="Comma 5 2 2 3 2 2" xfId="2017"/>
    <cellStyle name="Comma 5 2 2 3 3" xfId="1503"/>
    <cellStyle name="Comma 5 2 2 4" xfId="716"/>
    <cellStyle name="Comma 5 2 2 4 2" xfId="1760"/>
    <cellStyle name="Comma 5 2 2 5" xfId="1240"/>
    <cellStyle name="Comma 5 2 3" xfId="144"/>
    <cellStyle name="Comma 5 2 3 2" xfId="266"/>
    <cellStyle name="Comma 5 2 3 2 2" xfId="531"/>
    <cellStyle name="Comma 5 2 3 2 2 2" xfId="1045"/>
    <cellStyle name="Comma 5 2 3 2 2 2 2" xfId="2089"/>
    <cellStyle name="Comma 5 2 3 2 2 3" xfId="1575"/>
    <cellStyle name="Comma 5 2 3 2 3" xfId="788"/>
    <cellStyle name="Comma 5 2 3 2 3 2" xfId="1832"/>
    <cellStyle name="Comma 5 2 3 2 4" xfId="1316"/>
    <cellStyle name="Comma 5 2 3 3" xfId="423"/>
    <cellStyle name="Comma 5 2 3 3 2" xfId="937"/>
    <cellStyle name="Comma 5 2 3 3 2 2" xfId="1981"/>
    <cellStyle name="Comma 5 2 3 3 3" xfId="1467"/>
    <cellStyle name="Comma 5 2 3 4" xfId="680"/>
    <cellStyle name="Comma 5 2 3 4 2" xfId="1724"/>
    <cellStyle name="Comma 5 2 3 5" xfId="1202"/>
    <cellStyle name="Comma 5 2 4" xfId="227"/>
    <cellStyle name="Comma 5 2 4 2" xfId="495"/>
    <cellStyle name="Comma 5 2 4 2 2" xfId="1009"/>
    <cellStyle name="Comma 5 2 4 2 2 2" xfId="2053"/>
    <cellStyle name="Comma 5 2 4 2 3" xfId="1539"/>
    <cellStyle name="Comma 5 2 4 3" xfId="752"/>
    <cellStyle name="Comma 5 2 4 3 2" xfId="1796"/>
    <cellStyle name="Comma 5 2 4 4" xfId="1278"/>
    <cellStyle name="Comma 5 2 5" xfId="387"/>
    <cellStyle name="Comma 5 2 5 2" xfId="901"/>
    <cellStyle name="Comma 5 2 5 2 2" xfId="1945"/>
    <cellStyle name="Comma 5 2 5 3" xfId="1431"/>
    <cellStyle name="Comma 5 2 6" xfId="644"/>
    <cellStyle name="Comma 5 2 6 2" xfId="1688"/>
    <cellStyle name="Comma 5 2 7" xfId="1164"/>
    <cellStyle name="Comma 5 3" xfId="163"/>
    <cellStyle name="Comma 5 3 2" xfId="285"/>
    <cellStyle name="Comma 5 3 2 2" xfId="549"/>
    <cellStyle name="Comma 5 3 2 2 2" xfId="1063"/>
    <cellStyle name="Comma 5 3 2 2 2 2" xfId="2107"/>
    <cellStyle name="Comma 5 3 2 2 3" xfId="1593"/>
    <cellStyle name="Comma 5 3 2 3" xfId="806"/>
    <cellStyle name="Comma 5 3 2 3 2" xfId="1850"/>
    <cellStyle name="Comma 5 3 2 4" xfId="1335"/>
    <cellStyle name="Comma 5 3 3" xfId="441"/>
    <cellStyle name="Comma 5 3 3 2" xfId="955"/>
    <cellStyle name="Comma 5 3 3 2 2" xfId="1999"/>
    <cellStyle name="Comma 5 3 3 3" xfId="1485"/>
    <cellStyle name="Comma 5 3 4" xfId="698"/>
    <cellStyle name="Comma 5 3 4 2" xfId="1742"/>
    <cellStyle name="Comma 5 3 5" xfId="1221"/>
    <cellStyle name="Comma 5 4" xfId="125"/>
    <cellStyle name="Comma 5 4 2" xfId="247"/>
    <cellStyle name="Comma 5 4 2 2" xfId="513"/>
    <cellStyle name="Comma 5 4 2 2 2" xfId="1027"/>
    <cellStyle name="Comma 5 4 2 2 2 2" xfId="2071"/>
    <cellStyle name="Comma 5 4 2 2 3" xfId="1557"/>
    <cellStyle name="Comma 5 4 2 3" xfId="770"/>
    <cellStyle name="Comma 5 4 2 3 2" xfId="1814"/>
    <cellStyle name="Comma 5 4 2 4" xfId="1297"/>
    <cellStyle name="Comma 5 4 3" xfId="405"/>
    <cellStyle name="Comma 5 4 3 2" xfId="919"/>
    <cellStyle name="Comma 5 4 3 2 2" xfId="1963"/>
    <cellStyle name="Comma 5 4 3 3" xfId="1449"/>
    <cellStyle name="Comma 5 4 4" xfId="662"/>
    <cellStyle name="Comma 5 4 4 2" xfId="1706"/>
    <cellStyle name="Comma 5 4 5" xfId="1183"/>
    <cellStyle name="Comma 5 5" xfId="207"/>
    <cellStyle name="Comma 5 5 2" xfId="477"/>
    <cellStyle name="Comma 5 5 2 2" xfId="991"/>
    <cellStyle name="Comma 5 5 2 2 2" xfId="2035"/>
    <cellStyle name="Comma 5 5 2 3" xfId="1521"/>
    <cellStyle name="Comma 5 5 3" xfId="734"/>
    <cellStyle name="Comma 5 5 3 2" xfId="1778"/>
    <cellStyle name="Comma 5 5 4" xfId="1259"/>
    <cellStyle name="Comma 5 6" xfId="368"/>
    <cellStyle name="Comma 5 6 2" xfId="882"/>
    <cellStyle name="Comma 5 6 2 2" xfId="1926"/>
    <cellStyle name="Comma 5 6 3" xfId="1412"/>
    <cellStyle name="Comma 5 7" xfId="625"/>
    <cellStyle name="Comma 5 7 2" xfId="1669"/>
    <cellStyle name="Comma 5 8" xfId="1144"/>
    <cellStyle name="Comma 6" xfId="81"/>
    <cellStyle name="Comma 6 2" xfId="104"/>
    <cellStyle name="Comma 6 2 2" xfId="182"/>
    <cellStyle name="Comma 6 2 2 2" xfId="304"/>
    <cellStyle name="Comma 6 2 2 2 2" xfId="1353"/>
    <cellStyle name="Comma 6 2 2 3" xfId="1239"/>
    <cellStyle name="Comma 6 2 3" xfId="143"/>
    <cellStyle name="Comma 6 2 3 2" xfId="265"/>
    <cellStyle name="Comma 6 2 3 2 2" xfId="1315"/>
    <cellStyle name="Comma 6 2 3 3" xfId="1201"/>
    <cellStyle name="Comma 6 2 4" xfId="226"/>
    <cellStyle name="Comma 6 2 4 2" xfId="1277"/>
    <cellStyle name="Comma 6 2 5" xfId="1163"/>
    <cellStyle name="Comma 6 3" xfId="162"/>
    <cellStyle name="Comma 6 3 2" xfId="284"/>
    <cellStyle name="Comma 6 3 2 2" xfId="1334"/>
    <cellStyle name="Comma 6 3 3" xfId="1220"/>
    <cellStyle name="Comma 6 4" xfId="124"/>
    <cellStyle name="Comma 6 4 2" xfId="246"/>
    <cellStyle name="Comma 6 4 2 2" xfId="1296"/>
    <cellStyle name="Comma 6 4 3" xfId="1182"/>
    <cellStyle name="Comma 6 5" xfId="206"/>
    <cellStyle name="Comma 6 5 2" xfId="1258"/>
    <cellStyle name="Comma 6 6" xfId="1141"/>
    <cellStyle name="Comma 7" xfId="95"/>
    <cellStyle name="Comma 7 2" xfId="173"/>
    <cellStyle name="Comma 7 2 2" xfId="295"/>
    <cellStyle name="Comma 7 2 2 2" xfId="558"/>
    <cellStyle name="Comma 7 2 2 2 2" xfId="1072"/>
    <cellStyle name="Comma 7 2 2 2 2 2" xfId="2116"/>
    <cellStyle name="Comma 7 2 2 2 3" xfId="1602"/>
    <cellStyle name="Comma 7 2 2 3" xfId="815"/>
    <cellStyle name="Comma 7 2 2 3 2" xfId="1859"/>
    <cellStyle name="Comma 7 2 2 4" xfId="1344"/>
    <cellStyle name="Comma 7 2 3" xfId="450"/>
    <cellStyle name="Comma 7 2 3 2" xfId="964"/>
    <cellStyle name="Comma 7 2 3 2 2" xfId="2008"/>
    <cellStyle name="Comma 7 2 3 3" xfId="1494"/>
    <cellStyle name="Comma 7 2 4" xfId="707"/>
    <cellStyle name="Comma 7 2 4 2" xfId="1751"/>
    <cellStyle name="Comma 7 2 5" xfId="1230"/>
    <cellStyle name="Comma 7 3" xfId="134"/>
    <cellStyle name="Comma 7 3 2" xfId="256"/>
    <cellStyle name="Comma 7 3 2 2" xfId="522"/>
    <cellStyle name="Comma 7 3 2 2 2" xfId="1036"/>
    <cellStyle name="Comma 7 3 2 2 2 2" xfId="2080"/>
    <cellStyle name="Comma 7 3 2 2 3" xfId="1566"/>
    <cellStyle name="Comma 7 3 2 3" xfId="779"/>
    <cellStyle name="Comma 7 3 2 3 2" xfId="1823"/>
    <cellStyle name="Comma 7 3 2 4" xfId="1306"/>
    <cellStyle name="Comma 7 3 3" xfId="414"/>
    <cellStyle name="Comma 7 3 3 2" xfId="928"/>
    <cellStyle name="Comma 7 3 3 2 2" xfId="1972"/>
    <cellStyle name="Comma 7 3 3 3" xfId="1458"/>
    <cellStyle name="Comma 7 3 4" xfId="671"/>
    <cellStyle name="Comma 7 3 4 2" xfId="1715"/>
    <cellStyle name="Comma 7 3 5" xfId="1192"/>
    <cellStyle name="Comma 7 4" xfId="217"/>
    <cellStyle name="Comma 7 4 2" xfId="486"/>
    <cellStyle name="Comma 7 4 2 2" xfId="1000"/>
    <cellStyle name="Comma 7 4 2 2 2" xfId="2044"/>
    <cellStyle name="Comma 7 4 2 3" xfId="1530"/>
    <cellStyle name="Comma 7 4 3" xfId="743"/>
    <cellStyle name="Comma 7 4 3 2" xfId="1787"/>
    <cellStyle name="Comma 7 4 4" xfId="1268"/>
    <cellStyle name="Comma 7 5" xfId="378"/>
    <cellStyle name="Comma 7 5 2" xfId="892"/>
    <cellStyle name="Comma 7 5 2 2" xfId="1936"/>
    <cellStyle name="Comma 7 5 3" xfId="1422"/>
    <cellStyle name="Comma 7 6" xfId="635"/>
    <cellStyle name="Comma 7 6 2" xfId="1679"/>
    <cellStyle name="Comma 7 7" xfId="1154"/>
    <cellStyle name="Comma 8" xfId="153"/>
    <cellStyle name="Comma 8 2" xfId="275"/>
    <cellStyle name="Comma 8 2 2" xfId="540"/>
    <cellStyle name="Comma 8 2 2 2" xfId="1054"/>
    <cellStyle name="Comma 8 2 2 2 2" xfId="2098"/>
    <cellStyle name="Comma 8 2 2 3" xfId="1584"/>
    <cellStyle name="Comma 8 2 3" xfId="797"/>
    <cellStyle name="Comma 8 2 3 2" xfId="1841"/>
    <cellStyle name="Comma 8 2 4" xfId="1325"/>
    <cellStyle name="Comma 8 3" xfId="432"/>
    <cellStyle name="Comma 8 3 2" xfId="946"/>
    <cellStyle name="Comma 8 3 2 2" xfId="1990"/>
    <cellStyle name="Comma 8 3 3" xfId="1476"/>
    <cellStyle name="Comma 8 4" xfId="689"/>
    <cellStyle name="Comma 8 4 2" xfId="1733"/>
    <cellStyle name="Comma 8 5" xfId="1211"/>
    <cellStyle name="Comma 9" xfId="115"/>
    <cellStyle name="Comma 9 2" xfId="237"/>
    <cellStyle name="Comma 9 2 2" xfId="504"/>
    <cellStyle name="Comma 9 2 2 2" xfId="1018"/>
    <cellStyle name="Comma 9 2 2 2 2" xfId="2062"/>
    <cellStyle name="Comma 9 2 2 3" xfId="1548"/>
    <cellStyle name="Comma 9 2 3" xfId="761"/>
    <cellStyle name="Comma 9 2 3 2" xfId="1805"/>
    <cellStyle name="Comma 9 2 4" xfId="1287"/>
    <cellStyle name="Comma 9 3" xfId="396"/>
    <cellStyle name="Comma 9 3 2" xfId="910"/>
    <cellStyle name="Comma 9 3 2 2" xfId="1954"/>
    <cellStyle name="Comma 9 3 3" xfId="1440"/>
    <cellStyle name="Comma 9 4" xfId="653"/>
    <cellStyle name="Comma 9 4 2" xfId="1697"/>
    <cellStyle name="Comma 9 5" xfId="117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2147" builtinId="8"/>
    <cellStyle name="Input" xfId="10" builtinId="20" customBuiltin="1"/>
    <cellStyle name="Linked Cell" xfId="13" builtinId="24" customBuiltin="1"/>
    <cellStyle name="Neutral" xfId="9" builtinId="28" customBuiltin="1"/>
    <cellStyle name="Normal" xfId="0" builtinId="0"/>
    <cellStyle name="Normal 2" xfId="44"/>
    <cellStyle name="Normal 2 2" xfId="47"/>
    <cellStyle name="Normal 2 2 2" xfId="52"/>
    <cellStyle name="Normal 2 2 2 2" xfId="65"/>
    <cellStyle name="Normal 2 2 2 2 2" xfId="329"/>
    <cellStyle name="Normal 2 2 2 2 2 2" xfId="586"/>
    <cellStyle name="Normal 2 2 2 2 2 2 2" xfId="1100"/>
    <cellStyle name="Normal 2 2 2 2 2 2 2 2" xfId="2144"/>
    <cellStyle name="Normal 2 2 2 2 2 2 3" xfId="1630"/>
    <cellStyle name="Normal 2 2 2 2 2 3" xfId="843"/>
    <cellStyle name="Normal 2 2 2 2 2 3 2" xfId="1887"/>
    <cellStyle name="Normal 2 2 2 2 2 4" xfId="1373"/>
    <cellStyle name="Normal 2 2 2 2 3" xfId="352"/>
    <cellStyle name="Normal 2 2 2 2 3 2" xfId="866"/>
    <cellStyle name="Normal 2 2 2 2 3 2 2" xfId="1910"/>
    <cellStyle name="Normal 2 2 2 2 3 3" xfId="1396"/>
    <cellStyle name="Normal 2 2 2 2 4" xfId="609"/>
    <cellStyle name="Normal 2 2 2 2 4 2" xfId="1653"/>
    <cellStyle name="Normal 2 2 2 2 5" xfId="1125"/>
    <cellStyle name="Normal 2 2 2 3" xfId="321"/>
    <cellStyle name="Normal 2 2 2 3 2" xfId="578"/>
    <cellStyle name="Normal 2 2 2 3 2 2" xfId="1092"/>
    <cellStyle name="Normal 2 2 2 3 2 2 2" xfId="2136"/>
    <cellStyle name="Normal 2 2 2 3 2 3" xfId="1622"/>
    <cellStyle name="Normal 2 2 2 3 3" xfId="835"/>
    <cellStyle name="Normal 2 2 2 3 3 2" xfId="1879"/>
    <cellStyle name="Normal 2 2 2 3 4" xfId="1365"/>
    <cellStyle name="Normal 2 2 2 4" xfId="339"/>
    <cellStyle name="Normal 2 2 2 4 2" xfId="853"/>
    <cellStyle name="Normal 2 2 2 4 2 2" xfId="1897"/>
    <cellStyle name="Normal 2 2 2 4 3" xfId="1383"/>
    <cellStyle name="Normal 2 2 2 5" xfId="596"/>
    <cellStyle name="Normal 2 2 2 5 2" xfId="1640"/>
    <cellStyle name="Normal 2 2 2 6" xfId="1112"/>
    <cellStyle name="Normal 2 2 3" xfId="60"/>
    <cellStyle name="Normal 2 2 3 2" xfId="326"/>
    <cellStyle name="Normal 2 2 3 2 2" xfId="583"/>
    <cellStyle name="Normal 2 2 3 2 2 2" xfId="1097"/>
    <cellStyle name="Normal 2 2 3 2 2 2 2" xfId="2141"/>
    <cellStyle name="Normal 2 2 3 2 2 3" xfId="1627"/>
    <cellStyle name="Normal 2 2 3 2 3" xfId="840"/>
    <cellStyle name="Normal 2 2 3 2 3 2" xfId="1884"/>
    <cellStyle name="Normal 2 2 3 2 4" xfId="1370"/>
    <cellStyle name="Normal 2 2 3 3" xfId="347"/>
    <cellStyle name="Normal 2 2 3 3 2" xfId="861"/>
    <cellStyle name="Normal 2 2 3 3 2 2" xfId="1905"/>
    <cellStyle name="Normal 2 2 3 3 3" xfId="1391"/>
    <cellStyle name="Normal 2 2 3 4" xfId="604"/>
    <cellStyle name="Normal 2 2 3 4 2" xfId="1648"/>
    <cellStyle name="Normal 2 2 3 5" xfId="1120"/>
    <cellStyle name="Normal 2 2 4" xfId="83"/>
    <cellStyle name="Normal 2 2 4 2" xfId="367"/>
    <cellStyle name="Normal 2 2 4 2 2" xfId="881"/>
    <cellStyle name="Normal 2 2 4 2 2 2" xfId="1925"/>
    <cellStyle name="Normal 2 2 4 2 3" xfId="1411"/>
    <cellStyle name="Normal 2 2 4 3" xfId="624"/>
    <cellStyle name="Normal 2 2 4 3 2" xfId="1668"/>
    <cellStyle name="Normal 2 2 4 4" xfId="1143"/>
    <cellStyle name="Normal 2 2 5" xfId="334"/>
    <cellStyle name="Normal 2 2 5 2" xfId="848"/>
    <cellStyle name="Normal 2 2 5 2 2" xfId="1892"/>
    <cellStyle name="Normal 2 2 5 3" xfId="1378"/>
    <cellStyle name="Normal 2 2 6" xfId="591"/>
    <cellStyle name="Normal 2 2 6 2" xfId="1635"/>
    <cellStyle name="Normal 2 2 7" xfId="1107"/>
    <cellStyle name="Normal 2 3" xfId="50"/>
    <cellStyle name="Normal 2 3 2" xfId="63"/>
    <cellStyle name="Normal 2 3 2 2" xfId="328"/>
    <cellStyle name="Normal 2 3 2 2 2" xfId="585"/>
    <cellStyle name="Normal 2 3 2 2 2 2" xfId="1099"/>
    <cellStyle name="Normal 2 3 2 2 2 2 2" xfId="2143"/>
    <cellStyle name="Normal 2 3 2 2 2 3" xfId="1629"/>
    <cellStyle name="Normal 2 3 2 2 3" xfId="842"/>
    <cellStyle name="Normal 2 3 2 2 3 2" xfId="1886"/>
    <cellStyle name="Normal 2 3 2 2 4" xfId="1372"/>
    <cellStyle name="Normal 2 3 2 3" xfId="350"/>
    <cellStyle name="Normal 2 3 2 3 2" xfId="864"/>
    <cellStyle name="Normal 2 3 2 3 2 2" xfId="1908"/>
    <cellStyle name="Normal 2 3 2 3 3" xfId="1394"/>
    <cellStyle name="Normal 2 3 2 4" xfId="607"/>
    <cellStyle name="Normal 2 3 2 4 2" xfId="1651"/>
    <cellStyle name="Normal 2 3 2 5" xfId="1123"/>
    <cellStyle name="Normal 2 3 3" xfId="320"/>
    <cellStyle name="Normal 2 3 3 2" xfId="577"/>
    <cellStyle name="Normal 2 3 3 2 2" xfId="1091"/>
    <cellStyle name="Normal 2 3 3 2 2 2" xfId="2135"/>
    <cellStyle name="Normal 2 3 3 2 3" xfId="1621"/>
    <cellStyle name="Normal 2 3 3 3" xfId="834"/>
    <cellStyle name="Normal 2 3 3 3 2" xfId="1878"/>
    <cellStyle name="Normal 2 3 3 4" xfId="1364"/>
    <cellStyle name="Normal 2 3 4" xfId="337"/>
    <cellStyle name="Normal 2 3 4 2" xfId="851"/>
    <cellStyle name="Normal 2 3 4 2 2" xfId="1895"/>
    <cellStyle name="Normal 2 3 4 3" xfId="1381"/>
    <cellStyle name="Normal 2 3 5" xfId="594"/>
    <cellStyle name="Normal 2 3 5 2" xfId="1638"/>
    <cellStyle name="Normal 2 3 6" xfId="1110"/>
    <cellStyle name="Normal 2 4" xfId="58"/>
    <cellStyle name="Normal 2 4 2" xfId="325"/>
    <cellStyle name="Normal 2 4 2 2" xfId="582"/>
    <cellStyle name="Normal 2 4 2 2 2" xfId="1096"/>
    <cellStyle name="Normal 2 4 2 2 2 2" xfId="2140"/>
    <cellStyle name="Normal 2 4 2 2 3" xfId="1626"/>
    <cellStyle name="Normal 2 4 2 3" xfId="839"/>
    <cellStyle name="Normal 2 4 2 3 2" xfId="1883"/>
    <cellStyle name="Normal 2 4 2 4" xfId="1369"/>
    <cellStyle name="Normal 2 4 3" xfId="345"/>
    <cellStyle name="Normal 2 4 3 2" xfId="859"/>
    <cellStyle name="Normal 2 4 3 2 2" xfId="1903"/>
    <cellStyle name="Normal 2 4 3 3" xfId="1389"/>
    <cellStyle name="Normal 2 4 4" xfId="602"/>
    <cellStyle name="Normal 2 4 4 2" xfId="1646"/>
    <cellStyle name="Normal 2 4 5" xfId="1118"/>
    <cellStyle name="Normal 2 5" xfId="80"/>
    <cellStyle name="Normal 2 5 2" xfId="1140"/>
    <cellStyle name="Normal 2 6" xfId="332"/>
    <cellStyle name="Normal 2 6 2" xfId="846"/>
    <cellStyle name="Normal 2 6 2 2" xfId="1890"/>
    <cellStyle name="Normal 2 6 3" xfId="1376"/>
    <cellStyle name="Normal 2 7" xfId="589"/>
    <cellStyle name="Normal 2 7 2" xfId="1633"/>
    <cellStyle name="Normal 2 8" xfId="1104"/>
    <cellStyle name="Normal 3" xfId="49"/>
    <cellStyle name="Normal 3 10" xfId="1109"/>
    <cellStyle name="Normal 3 2" xfId="54"/>
    <cellStyle name="Normal 3 2 2" xfId="67"/>
    <cellStyle name="Normal 3 2 2 2" xfId="196"/>
    <cellStyle name="Normal 3 2 2 2 2" xfId="318"/>
    <cellStyle name="Normal 3 2 2 3" xfId="314"/>
    <cellStyle name="Normal 3 2 2 4" xfId="192"/>
    <cellStyle name="Normal 3 2 2 5" xfId="330"/>
    <cellStyle name="Normal 3 2 2 5 2" xfId="587"/>
    <cellStyle name="Normal 3 2 2 5 2 2" xfId="1101"/>
    <cellStyle name="Normal 3 2 2 5 2 2 2" xfId="2145"/>
    <cellStyle name="Normal 3 2 2 5 2 3" xfId="1631"/>
    <cellStyle name="Normal 3 2 2 5 3" xfId="844"/>
    <cellStyle name="Normal 3 2 2 5 3 2" xfId="1888"/>
    <cellStyle name="Normal 3 2 2 5 4" xfId="1374"/>
    <cellStyle name="Normal 3 2 2 6" xfId="354"/>
    <cellStyle name="Normal 3 2 2 6 2" xfId="868"/>
    <cellStyle name="Normal 3 2 2 6 2 2" xfId="1912"/>
    <cellStyle name="Normal 3 2 2 6 3" xfId="1398"/>
    <cellStyle name="Normal 3 2 2 7" xfId="611"/>
    <cellStyle name="Normal 3 2 2 7 2" xfId="1655"/>
    <cellStyle name="Normal 3 2 2 8" xfId="1127"/>
    <cellStyle name="Normal 3 2 3" xfId="194"/>
    <cellStyle name="Normal 3 2 3 2" xfId="316"/>
    <cellStyle name="Normal 3 2 4" xfId="236"/>
    <cellStyle name="Normal 3 2 5" xfId="114"/>
    <cellStyle name="Normal 3 2 6" xfId="322"/>
    <cellStyle name="Normal 3 2 6 2" xfId="579"/>
    <cellStyle name="Normal 3 2 6 2 2" xfId="1093"/>
    <cellStyle name="Normal 3 2 6 2 2 2" xfId="2137"/>
    <cellStyle name="Normal 3 2 6 2 3" xfId="1623"/>
    <cellStyle name="Normal 3 2 6 3" xfId="836"/>
    <cellStyle name="Normal 3 2 6 3 2" xfId="1880"/>
    <cellStyle name="Normal 3 2 6 4" xfId="1366"/>
    <cellStyle name="Normal 3 2 7" xfId="341"/>
    <cellStyle name="Normal 3 2 7 2" xfId="855"/>
    <cellStyle name="Normal 3 2 7 2 2" xfId="1899"/>
    <cellStyle name="Normal 3 2 7 3" xfId="1385"/>
    <cellStyle name="Normal 3 2 8" xfId="598"/>
    <cellStyle name="Normal 3 2 8 2" xfId="1642"/>
    <cellStyle name="Normal 3 2 9" xfId="1114"/>
    <cellStyle name="Normal 3 3" xfId="62"/>
    <cellStyle name="Normal 3 3 2" xfId="195"/>
    <cellStyle name="Normal 3 3 2 2" xfId="317"/>
    <cellStyle name="Normal 3 3 3" xfId="294"/>
    <cellStyle name="Normal 3 3 4" xfId="172"/>
    <cellStyle name="Normal 3 3 5" xfId="327"/>
    <cellStyle name="Normal 3 3 5 2" xfId="584"/>
    <cellStyle name="Normal 3 3 5 2 2" xfId="1098"/>
    <cellStyle name="Normal 3 3 5 2 2 2" xfId="2142"/>
    <cellStyle name="Normal 3 3 5 2 3" xfId="1628"/>
    <cellStyle name="Normal 3 3 5 3" xfId="841"/>
    <cellStyle name="Normal 3 3 5 3 2" xfId="1885"/>
    <cellStyle name="Normal 3 3 5 4" xfId="1371"/>
    <cellStyle name="Normal 3 3 6" xfId="349"/>
    <cellStyle name="Normal 3 3 6 2" xfId="863"/>
    <cellStyle name="Normal 3 3 6 2 2" xfId="1907"/>
    <cellStyle name="Normal 3 3 6 3" xfId="1393"/>
    <cellStyle name="Normal 3 3 7" xfId="606"/>
    <cellStyle name="Normal 3 3 7 2" xfId="1650"/>
    <cellStyle name="Normal 3 3 8" xfId="1122"/>
    <cellStyle name="Normal 3 4" xfId="193"/>
    <cellStyle name="Normal 3 4 2" xfId="315"/>
    <cellStyle name="Normal 3 5" xfId="216"/>
    <cellStyle name="Normal 3 6" xfId="94"/>
    <cellStyle name="Normal 3 7" xfId="319"/>
    <cellStyle name="Normal 3 7 2" xfId="576"/>
    <cellStyle name="Normal 3 7 2 2" xfId="1090"/>
    <cellStyle name="Normal 3 7 2 2 2" xfId="2134"/>
    <cellStyle name="Normal 3 7 2 3" xfId="1620"/>
    <cellStyle name="Normal 3 7 3" xfId="833"/>
    <cellStyle name="Normal 3 7 3 2" xfId="1877"/>
    <cellStyle name="Normal 3 7 4" xfId="1363"/>
    <cellStyle name="Normal 3 8" xfId="336"/>
    <cellStyle name="Normal 3 8 2" xfId="850"/>
    <cellStyle name="Normal 3 8 2 2" xfId="1894"/>
    <cellStyle name="Normal 3 8 3" xfId="1380"/>
    <cellStyle name="Normal 3 9" xfId="593"/>
    <cellStyle name="Normal 3 9 2" xfId="1637"/>
    <cellStyle name="Normal 4" xfId="55"/>
    <cellStyle name="Normal 4 2" xfId="68"/>
    <cellStyle name="Normal 4 2 2" xfId="331"/>
    <cellStyle name="Normal 4 2 2 2" xfId="588"/>
    <cellStyle name="Normal 4 2 2 2 2" xfId="1102"/>
    <cellStyle name="Normal 4 2 2 2 2 2" xfId="2146"/>
    <cellStyle name="Normal 4 2 2 2 3" xfId="1632"/>
    <cellStyle name="Normal 4 2 2 3" xfId="845"/>
    <cellStyle name="Normal 4 2 2 3 2" xfId="1889"/>
    <cellStyle name="Normal 4 2 2 4" xfId="1375"/>
    <cellStyle name="Normal 4 2 3" xfId="355"/>
    <cellStyle name="Normal 4 2 3 2" xfId="869"/>
    <cellStyle name="Normal 4 2 3 2 2" xfId="1913"/>
    <cellStyle name="Normal 4 2 3 3" xfId="1399"/>
    <cellStyle name="Normal 4 2 4" xfId="612"/>
    <cellStyle name="Normal 4 2 4 2" xfId="1656"/>
    <cellStyle name="Normal 4 2 5" xfId="1128"/>
    <cellStyle name="Normal 4 3" xfId="323"/>
    <cellStyle name="Normal 4 3 2" xfId="580"/>
    <cellStyle name="Normal 4 3 2 2" xfId="1094"/>
    <cellStyle name="Normal 4 3 2 2 2" xfId="2138"/>
    <cellStyle name="Normal 4 3 2 3" xfId="1624"/>
    <cellStyle name="Normal 4 3 3" xfId="837"/>
    <cellStyle name="Normal 4 3 3 2" xfId="1881"/>
    <cellStyle name="Normal 4 3 4" xfId="1367"/>
    <cellStyle name="Normal 4 4" xfId="342"/>
    <cellStyle name="Normal 4 4 2" xfId="856"/>
    <cellStyle name="Normal 4 4 2 2" xfId="1900"/>
    <cellStyle name="Normal 4 4 3" xfId="1386"/>
    <cellStyle name="Normal 4 5" xfId="599"/>
    <cellStyle name="Normal 4 5 2" xfId="1643"/>
    <cellStyle name="Normal 4 6" xfId="1115"/>
    <cellStyle name="Normal 5" xfId="56"/>
    <cellStyle name="Normal 5 2" xfId="324"/>
    <cellStyle name="Normal 5 2 2" xfId="581"/>
    <cellStyle name="Normal 5 2 2 2" xfId="1095"/>
    <cellStyle name="Normal 5 2 2 2 2" xfId="2139"/>
    <cellStyle name="Normal 5 2 2 3" xfId="1625"/>
    <cellStyle name="Normal 5 2 3" xfId="838"/>
    <cellStyle name="Normal 5 2 3 2" xfId="1882"/>
    <cellStyle name="Normal 5 2 4" xfId="1368"/>
    <cellStyle name="Normal 5 3" xfId="343"/>
    <cellStyle name="Normal 5 3 2" xfId="857"/>
    <cellStyle name="Normal 5 3 2 2" xfId="1901"/>
    <cellStyle name="Normal 5 3 3" xfId="1387"/>
    <cellStyle name="Normal 5 4" xfId="600"/>
    <cellStyle name="Normal 5 4 2" xfId="1644"/>
    <cellStyle name="Normal 5 5" xfId="1116"/>
    <cellStyle name="Normal 6" xfId="69"/>
    <cellStyle name="Normal 6 2" xfId="356"/>
    <cellStyle name="Normal 6 2 2" xfId="870"/>
    <cellStyle name="Normal 6 2 2 2" xfId="1914"/>
    <cellStyle name="Normal 6 2 3" xfId="1400"/>
    <cellStyle name="Normal 6 3" xfId="613"/>
    <cellStyle name="Normal 6 3 2" xfId="1657"/>
    <cellStyle name="Normal 6 4" xfId="1129"/>
    <cellStyle name="Note" xfId="16" builtinId="10" customBuiltin="1"/>
    <cellStyle name="Output" xfId="11" builtinId="21" customBuiltin="1"/>
    <cellStyle name="Percent" xfId="43" builtinId="5"/>
    <cellStyle name="Percent 2" xfId="85"/>
    <cellStyle name="Percent 2 2" xfId="369"/>
    <cellStyle name="Percent 2 2 2" xfId="883"/>
    <cellStyle name="Percent 2 2 2 2" xfId="1927"/>
    <cellStyle name="Percent 2 2 3" xfId="1413"/>
    <cellStyle name="Percent 2 3" xfId="626"/>
    <cellStyle name="Percent 2 3 2" xfId="1670"/>
    <cellStyle name="Percent 2 4" xfId="1145"/>
    <cellStyle name="Percent 3" xfId="82"/>
    <cellStyle name="Percent 3 2" xfId="1142"/>
    <cellStyle name="Percent 4" xfId="71"/>
    <cellStyle name="Percent 4 2" xfId="358"/>
    <cellStyle name="Percent 4 2 2" xfId="872"/>
    <cellStyle name="Percent 4 2 2 2" xfId="1916"/>
    <cellStyle name="Percent 4 2 3" xfId="1402"/>
    <cellStyle name="Percent 4 3" xfId="615"/>
    <cellStyle name="Percent 4 3 2" xfId="1659"/>
    <cellStyle name="Percent 4 4" xfId="1131"/>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219</xdr:row>
      <xdr:rowOff>19049</xdr:rowOff>
    </xdr:from>
    <xdr:to>
      <xdr:col>8</xdr:col>
      <xdr:colOff>1028699</xdr:colOff>
      <xdr:row>224</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323</xdr:row>
      <xdr:rowOff>0</xdr:rowOff>
    </xdr:from>
    <xdr:to>
      <xdr:col>8</xdr:col>
      <xdr:colOff>1028699</xdr:colOff>
      <xdr:row>329</xdr:row>
      <xdr:rowOff>49530</xdr:rowOff>
    </xdr:to>
    <xdr:pic>
      <xdr:nvPicPr>
        <xdr:cNvPr id="18" name="Picture 17"/>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9026425"/>
          <a:ext cx="10163174" cy="952500"/>
        </a:xfrm>
        <a:prstGeom prst="rect">
          <a:avLst/>
        </a:prstGeom>
      </xdr:spPr>
    </xdr:pic>
    <xdr:clientData/>
  </xdr:twoCellAnchor>
  <xdr:twoCellAnchor editAs="oneCell">
    <xdr:from>
      <xdr:col>0</xdr:col>
      <xdr:colOff>0</xdr:colOff>
      <xdr:row>316</xdr:row>
      <xdr:rowOff>31750</xdr:rowOff>
    </xdr:from>
    <xdr:to>
      <xdr:col>8</xdr:col>
      <xdr:colOff>1028699</xdr:colOff>
      <xdr:row>328</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3816250"/>
          <a:ext cx="10156824" cy="2012950"/>
        </a:xfrm>
        <a:prstGeom prst="rect">
          <a:avLst/>
        </a:prstGeom>
      </xdr:spPr>
    </xdr:pic>
    <xdr:clientData/>
  </xdr:twoCellAnchor>
  <xdr:twoCellAnchor editAs="oneCell">
    <xdr:from>
      <xdr:col>0</xdr:col>
      <xdr:colOff>0</xdr:colOff>
      <xdr:row>113</xdr:row>
      <xdr:rowOff>91440</xdr:rowOff>
    </xdr:from>
    <xdr:to>
      <xdr:col>8</xdr:col>
      <xdr:colOff>1028699</xdr:colOff>
      <xdr:row>119</xdr:row>
      <xdr:rowOff>34290</xdr:rowOff>
    </xdr:to>
    <xdr:pic>
      <xdr:nvPicPr>
        <xdr:cNvPr id="8" name="Picture 7"/>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442180"/>
          <a:ext cx="10424159" cy="986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15"/>
  <sheetViews>
    <sheetView showGridLines="0" tabSelected="1" zoomScaleNormal="100" workbookViewId="0">
      <selection activeCell="K17" sqref="K17"/>
    </sheetView>
  </sheetViews>
  <sheetFormatPr defaultColWidth="9.140625" defaultRowHeight="12.75" x14ac:dyDescent="0.2"/>
  <cols>
    <col min="1" max="1" width="35" style="10" customWidth="1"/>
    <col min="2" max="2" width="14" style="10" customWidth="1"/>
    <col min="3" max="3" width="16.42578125" style="10" customWidth="1"/>
    <col min="4" max="4" width="13.28515625" style="10" customWidth="1"/>
    <col min="5" max="5" width="10.7109375" style="10" customWidth="1"/>
    <col min="6" max="6" width="15.5703125" style="10" bestFit="1" customWidth="1"/>
    <col min="7" max="8" width="16" style="10" bestFit="1" customWidth="1"/>
    <col min="9" max="9" width="15.5703125" style="10" bestFit="1" customWidth="1"/>
    <col min="10" max="10" width="18.7109375" style="10" bestFit="1" customWidth="1"/>
    <col min="11" max="11" width="18.7109375" style="170" bestFit="1" customWidth="1"/>
    <col min="12" max="12" width="17.140625" style="170" customWidth="1"/>
    <col min="13" max="16384" width="9.140625" style="10"/>
  </cols>
  <sheetData>
    <row r="3" spans="1:12" x14ac:dyDescent="0.2">
      <c r="H3" s="125">
        <v>43616</v>
      </c>
    </row>
    <row r="7" spans="1:12" x14ac:dyDescent="0.2">
      <c r="A7" s="107" t="str">
        <f>"Market Profile - "&amp; TEXT($H$3,"MMM")&amp;" "&amp;TEXT($H$3,"YYYY")</f>
        <v>Market Profile - May 2019</v>
      </c>
    </row>
    <row r="8" spans="1:12" x14ac:dyDescent="0.2">
      <c r="A8" s="107"/>
      <c r="G8" s="362" t="s">
        <v>190</v>
      </c>
      <c r="H8" s="362"/>
      <c r="I8" s="362"/>
    </row>
    <row r="9" spans="1:12" x14ac:dyDescent="0.2">
      <c r="A9" s="107"/>
      <c r="G9" s="362"/>
      <c r="H9" s="362"/>
      <c r="I9" s="362"/>
    </row>
    <row r="10" spans="1:12" x14ac:dyDescent="0.2">
      <c r="A10" s="107"/>
    </row>
    <row r="11" spans="1:12" x14ac:dyDescent="0.2">
      <c r="K11" s="167"/>
    </row>
    <row r="12" spans="1:12" s="107" customFormat="1" ht="12.75" customHeight="1" thickBot="1" x14ac:dyDescent="0.25">
      <c r="A12" s="115" t="s">
        <v>0</v>
      </c>
      <c r="B12" s="116"/>
      <c r="C12" s="116"/>
      <c r="D12" s="116"/>
      <c r="E12" s="116"/>
      <c r="F12" s="116"/>
      <c r="G12" s="116"/>
      <c r="H12" s="116"/>
      <c r="I12" s="116"/>
      <c r="K12" s="165"/>
      <c r="L12" s="165"/>
    </row>
    <row r="13" spans="1:12" s="107" customFormat="1" ht="12.75" customHeight="1" x14ac:dyDescent="0.25">
      <c r="A13" s="364" t="s">
        <v>161</v>
      </c>
      <c r="B13" s="269" t="s">
        <v>1</v>
      </c>
      <c r="C13" s="269" t="s">
        <v>170</v>
      </c>
      <c r="D13" s="269" t="s">
        <v>170</v>
      </c>
      <c r="E13" s="269" t="s">
        <v>2</v>
      </c>
      <c r="F13" s="269"/>
      <c r="G13" s="269"/>
      <c r="H13" s="269"/>
      <c r="I13" s="270"/>
      <c r="K13" s="165"/>
      <c r="L13" s="165"/>
    </row>
    <row r="14" spans="1:12" s="107" customFormat="1" ht="12.75" customHeight="1" x14ac:dyDescent="0.25">
      <c r="A14" s="364"/>
      <c r="B14" s="269" t="s">
        <v>3</v>
      </c>
      <c r="C14" s="269" t="s">
        <v>4</v>
      </c>
      <c r="D14" s="269" t="s">
        <v>4</v>
      </c>
      <c r="E14" s="269" t="s">
        <v>5</v>
      </c>
      <c r="F14" s="269"/>
      <c r="G14" s="269"/>
      <c r="H14" s="269"/>
      <c r="I14" s="270"/>
      <c r="K14" s="165"/>
      <c r="L14" s="165"/>
    </row>
    <row r="15" spans="1:12" s="107" customFormat="1" ht="12.75" customHeight="1" thickBot="1" x14ac:dyDescent="0.3">
      <c r="A15" s="365"/>
      <c r="B15" s="271" t="str">
        <f>TEXT($H$3,"MMM")&amp;" "&amp;TEXT($H$3,"YYYY")</f>
        <v>May 2019</v>
      </c>
      <c r="C15" s="271" t="str">
        <f>TEXT($H$3,"YYYY")</f>
        <v>2019</v>
      </c>
      <c r="D15" s="272">
        <f>TEXT($H$3,"YYYY")-1</f>
        <v>2018</v>
      </c>
      <c r="E15" s="273" t="s">
        <v>6</v>
      </c>
      <c r="F15" s="274">
        <f>TEXT($H$3,"YYYY")-1</f>
        <v>2018</v>
      </c>
      <c r="G15" s="274">
        <f>TEXT($H$3,"YYYY")-2</f>
        <v>2017</v>
      </c>
      <c r="H15" s="274">
        <f>TEXT($H$3,"YYYY")-3</f>
        <v>2016</v>
      </c>
      <c r="I15" s="274">
        <f>TEXT($H$3,"YYYY")-4</f>
        <v>2015</v>
      </c>
      <c r="J15" s="16"/>
      <c r="K15" s="165"/>
      <c r="L15" s="165"/>
    </row>
    <row r="16" spans="1:12" ht="12.75" customHeight="1" x14ac:dyDescent="0.2">
      <c r="A16" s="237" t="s">
        <v>116</v>
      </c>
      <c r="B16" s="126">
        <f>Data!D2</f>
        <v>6539855</v>
      </c>
      <c r="C16" s="126">
        <f>Data!D5</f>
        <v>29535808</v>
      </c>
      <c r="D16" s="238">
        <f>Data!D8</f>
        <v>28053154</v>
      </c>
      <c r="E16" s="275">
        <f>(C16-D16)/ABS(D16)</f>
        <v>5.2851597364061094E-2</v>
      </c>
      <c r="F16" s="349">
        <v>70356164</v>
      </c>
      <c r="G16" s="349">
        <v>67786095</v>
      </c>
      <c r="H16" s="349">
        <v>71179762</v>
      </c>
      <c r="I16" s="349">
        <v>61894253</v>
      </c>
      <c r="J16" s="3"/>
      <c r="K16" s="164"/>
      <c r="L16" s="164"/>
    </row>
    <row r="17" spans="1:12" ht="12.75" customHeight="1" x14ac:dyDescent="0.2">
      <c r="A17" s="237" t="s">
        <v>117</v>
      </c>
      <c r="B17" s="126">
        <f>Data!B2/1000000</f>
        <v>6337.047998</v>
      </c>
      <c r="C17" s="126">
        <f>Data!B5/1000000</f>
        <v>31765.648582000002</v>
      </c>
      <c r="D17" s="238">
        <f>Data!B8/1000000</f>
        <v>35601.593894999998</v>
      </c>
      <c r="E17" s="275">
        <f t="shared" ref="E17:E18" si="0">(C17-D17)/ABS(D17)</f>
        <v>-0.10774644877736018</v>
      </c>
      <c r="F17" s="349">
        <v>91717</v>
      </c>
      <c r="G17" s="349">
        <v>85958</v>
      </c>
      <c r="H17" s="349">
        <v>79501</v>
      </c>
      <c r="I17" s="349">
        <v>74406</v>
      </c>
      <c r="J17" s="3"/>
      <c r="K17" s="164"/>
      <c r="L17" s="164"/>
    </row>
    <row r="18" spans="1:12" ht="12.75" customHeight="1" x14ac:dyDescent="0.2">
      <c r="A18" s="237" t="s">
        <v>118</v>
      </c>
      <c r="B18" s="126">
        <f>Data!C2/1000000</f>
        <v>437427.58018830535</v>
      </c>
      <c r="C18" s="126">
        <f>Data!C5/1000000</f>
        <v>2010814.2775578387</v>
      </c>
      <c r="D18" s="238">
        <f>Data!C8/1000000</f>
        <v>2449608.1212502751</v>
      </c>
      <c r="E18" s="275">
        <f t="shared" si="0"/>
        <v>-0.17912817968144099</v>
      </c>
      <c r="F18" s="349">
        <v>5537665</v>
      </c>
      <c r="G18" s="349">
        <v>5479433</v>
      </c>
      <c r="H18" s="349">
        <v>5892768</v>
      </c>
      <c r="I18" s="349">
        <v>5015419</v>
      </c>
      <c r="J18" s="3"/>
      <c r="K18" s="167"/>
      <c r="L18" s="164"/>
    </row>
    <row r="19" spans="1:12" ht="12.75" customHeight="1" x14ac:dyDescent="0.2">
      <c r="A19" s="237"/>
      <c r="B19" s="194"/>
      <c r="C19" s="126"/>
      <c r="D19" s="238"/>
      <c r="E19" s="237"/>
      <c r="F19" s="349"/>
      <c r="G19" s="349"/>
      <c r="H19" s="349"/>
      <c r="I19" s="349"/>
      <c r="J19" s="3"/>
      <c r="K19" s="164"/>
      <c r="L19" s="164"/>
    </row>
    <row r="20" spans="1:12" s="107" customFormat="1" ht="12.75" customHeight="1" x14ac:dyDescent="0.25">
      <c r="A20" s="277" t="s">
        <v>162</v>
      </c>
      <c r="B20" s="192"/>
      <c r="C20" s="192"/>
      <c r="D20" s="239"/>
      <c r="E20" s="237"/>
      <c r="F20" s="349"/>
      <c r="G20" s="349"/>
      <c r="H20" s="355"/>
      <c r="I20" s="355"/>
      <c r="J20" s="3"/>
      <c r="K20" s="164"/>
      <c r="L20" s="164"/>
    </row>
    <row r="21" spans="1:12" ht="12.75" customHeight="1" x14ac:dyDescent="0.2">
      <c r="A21" s="237" t="s">
        <v>116</v>
      </c>
      <c r="B21" s="126">
        <f>Data!F2</f>
        <v>1082</v>
      </c>
      <c r="C21" s="126">
        <f>Data!F5</f>
        <v>5363</v>
      </c>
      <c r="D21" s="238">
        <f>Data!F8</f>
        <v>12625</v>
      </c>
      <c r="E21" s="275">
        <f>(C21-D21)/ABS(D21)</f>
        <v>-0.57520792079207916</v>
      </c>
      <c r="F21" s="349">
        <v>21951</v>
      </c>
      <c r="G21" s="349">
        <v>36150</v>
      </c>
      <c r="H21" s="349">
        <v>38735</v>
      </c>
      <c r="I21" s="349">
        <v>30897</v>
      </c>
      <c r="J21" s="3"/>
      <c r="K21" s="164"/>
      <c r="L21" s="164"/>
    </row>
    <row r="22" spans="1:12" ht="12.75" customHeight="1" x14ac:dyDescent="0.2">
      <c r="A22" s="237" t="s">
        <v>117</v>
      </c>
      <c r="B22" s="126">
        <f>Data!G2/1000000</f>
        <v>377.70346000000001</v>
      </c>
      <c r="C22" s="126">
        <f>Data!G5/1000000</f>
        <v>2782.5634399999999</v>
      </c>
      <c r="D22" s="238">
        <f>Data!G8/1000000</f>
        <v>3738.8964919999999</v>
      </c>
      <c r="E22" s="275">
        <f t="shared" ref="E22:E23" si="1">(C22-D22)/ABS(D22)</f>
        <v>-0.25577949377476372</v>
      </c>
      <c r="F22" s="349">
        <v>8350</v>
      </c>
      <c r="G22" s="349">
        <v>10343</v>
      </c>
      <c r="H22" s="349">
        <v>6935</v>
      </c>
      <c r="I22" s="349">
        <v>7273</v>
      </c>
      <c r="J22" s="3"/>
      <c r="K22" s="164"/>
      <c r="L22" s="164"/>
    </row>
    <row r="23" spans="1:12" ht="12.75" customHeight="1" thickBot="1" x14ac:dyDescent="0.25">
      <c r="A23" s="278" t="s">
        <v>118</v>
      </c>
      <c r="B23" s="127">
        <f>Data!H2/1000000</f>
        <v>12033.953173195325</v>
      </c>
      <c r="C23" s="127">
        <f>Data!H5/1000000</f>
        <v>92808.581267263682</v>
      </c>
      <c r="D23" s="279">
        <f>Data!H8/1000000</f>
        <v>167885.13055225962</v>
      </c>
      <c r="E23" s="280">
        <f t="shared" si="1"/>
        <v>-0.44718998661782</v>
      </c>
      <c r="F23" s="350">
        <v>328909</v>
      </c>
      <c r="G23" s="350">
        <v>417329</v>
      </c>
      <c r="H23" s="350">
        <v>379199</v>
      </c>
      <c r="I23" s="350">
        <v>336258</v>
      </c>
    </row>
    <row r="24" spans="1:12" ht="12.75" customHeight="1" thickTop="1" x14ac:dyDescent="0.2">
      <c r="B24" s="3"/>
      <c r="C24" s="3"/>
      <c r="D24" s="3"/>
      <c r="E24" s="3"/>
      <c r="F24" s="27"/>
      <c r="G24" s="27"/>
      <c r="H24" s="27"/>
      <c r="I24" s="27"/>
    </row>
    <row r="25" spans="1:12" s="107" customFormat="1" ht="12.75" customHeight="1" thickBot="1" x14ac:dyDescent="0.25">
      <c r="A25" s="115" t="s">
        <v>7</v>
      </c>
      <c r="B25" s="116"/>
      <c r="C25" s="116"/>
      <c r="D25" s="116"/>
      <c r="E25" s="116"/>
      <c r="F25" s="116"/>
      <c r="G25" s="117"/>
      <c r="H25" s="116"/>
      <c r="I25" s="116"/>
      <c r="K25" s="165"/>
      <c r="L25" s="165"/>
    </row>
    <row r="26" spans="1:12" s="107" customFormat="1" ht="12.75" customHeight="1" x14ac:dyDescent="0.25">
      <c r="A26" s="270"/>
      <c r="B26" s="269" t="s">
        <v>1</v>
      </c>
      <c r="C26" s="269" t="s">
        <v>170</v>
      </c>
      <c r="D26" s="269" t="s">
        <v>170</v>
      </c>
      <c r="E26" s="269" t="s">
        <v>8</v>
      </c>
      <c r="F26" s="269"/>
      <c r="G26" s="281"/>
      <c r="H26" s="270"/>
      <c r="I26" s="270"/>
      <c r="K26" s="165"/>
      <c r="L26" s="165"/>
    </row>
    <row r="27" spans="1:12" s="107" customFormat="1" ht="12.75" customHeight="1" x14ac:dyDescent="0.25">
      <c r="A27" s="282"/>
      <c r="B27" s="269" t="s">
        <v>3</v>
      </c>
      <c r="C27" s="269" t="s">
        <v>4</v>
      </c>
      <c r="D27" s="269" t="s">
        <v>4</v>
      </c>
      <c r="E27" s="269" t="s">
        <v>9</v>
      </c>
      <c r="F27" s="269"/>
      <c r="G27" s="269"/>
      <c r="H27" s="269"/>
      <c r="I27" s="270"/>
      <c r="K27" s="165"/>
      <c r="L27" s="165"/>
    </row>
    <row r="28" spans="1:12" s="107" customFormat="1" ht="12.75" customHeight="1" thickBot="1" x14ac:dyDescent="0.3">
      <c r="A28" s="283"/>
      <c r="B28" s="271" t="str">
        <f>TEXT($H$3,"MMM")&amp;" "&amp;TEXT($H$3,"YYYY")</f>
        <v>May 2019</v>
      </c>
      <c r="C28" s="271" t="str">
        <f>$C$15</f>
        <v>2019</v>
      </c>
      <c r="D28" s="271">
        <f>$D$15</f>
        <v>2018</v>
      </c>
      <c r="E28" s="273" t="s">
        <v>6</v>
      </c>
      <c r="F28" s="273">
        <f>$F$15</f>
        <v>2018</v>
      </c>
      <c r="G28" s="283">
        <f>$G$15</f>
        <v>2017</v>
      </c>
      <c r="H28" s="283">
        <f>$H$15</f>
        <v>2016</v>
      </c>
      <c r="I28" s="283">
        <f>$I$15</f>
        <v>2015</v>
      </c>
      <c r="K28" s="165"/>
      <c r="L28" s="165"/>
    </row>
    <row r="29" spans="1:12" ht="12.75" customHeight="1" x14ac:dyDescent="0.2">
      <c r="A29" s="237" t="s">
        <v>10</v>
      </c>
      <c r="B29" s="238">
        <f>Data!O2/1000000</f>
        <v>83760.244769839992</v>
      </c>
      <c r="C29" s="238">
        <f>Data!O5/1000000</f>
        <v>387360.43263884995</v>
      </c>
      <c r="D29" s="238">
        <f>Data!O8/1000000</f>
        <v>519540.08643168001</v>
      </c>
      <c r="E29" s="186">
        <f>C29-D29</f>
        <v>-132179.65379283007</v>
      </c>
      <c r="F29" s="346">
        <v>1074516</v>
      </c>
      <c r="G29" s="346">
        <v>992119</v>
      </c>
      <c r="H29" s="284">
        <v>1010947</v>
      </c>
      <c r="I29" s="284">
        <v>969468</v>
      </c>
      <c r="J29" s="128"/>
    </row>
    <row r="30" spans="1:12" ht="12.75" customHeight="1" x14ac:dyDescent="0.2">
      <c r="A30" s="237" t="s">
        <v>11</v>
      </c>
      <c r="B30" s="238">
        <f>Data!P2/1000000</f>
        <v>-92885.862317199993</v>
      </c>
      <c r="C30" s="238">
        <f>Data!P5/1000000</f>
        <v>-423226.58485603001</v>
      </c>
      <c r="D30" s="238">
        <f>Data!P8/1000000</f>
        <v>-506539.88657023996</v>
      </c>
      <c r="E30" s="186">
        <f>C30-D30</f>
        <v>83313.301714209956</v>
      </c>
      <c r="F30" s="346">
        <v>-1127559</v>
      </c>
      <c r="G30" s="346">
        <v>-1039685</v>
      </c>
      <c r="H30" s="284">
        <v>-1134812</v>
      </c>
      <c r="I30" s="284">
        <v>-970485</v>
      </c>
      <c r="J30" s="128"/>
    </row>
    <row r="31" spans="1:12" s="107" customFormat="1" ht="12.75" customHeight="1" thickBot="1" x14ac:dyDescent="0.3">
      <c r="A31" s="285" t="s">
        <v>12</v>
      </c>
      <c r="B31" s="286">
        <f>Data!Q2/1000000</f>
        <v>-9125.6175473600015</v>
      </c>
      <c r="C31" s="286">
        <f>Data!Q5/1000000</f>
        <v>-35866.152217180002</v>
      </c>
      <c r="D31" s="286">
        <f>Data!Q8/1000000</f>
        <v>13000.19986144</v>
      </c>
      <c r="E31" s="287">
        <f>C31-D31</f>
        <v>-48866.352078620002</v>
      </c>
      <c r="F31" s="351">
        <v>-53042</v>
      </c>
      <c r="G31" s="351">
        <v>-47566</v>
      </c>
      <c r="H31" s="351">
        <v>-123865</v>
      </c>
      <c r="I31" s="351">
        <v>-1017</v>
      </c>
      <c r="J31" s="128"/>
      <c r="K31" s="165"/>
      <c r="L31" s="165"/>
    </row>
    <row r="32" spans="1:12" ht="12.75" customHeight="1" thickTop="1" x14ac:dyDescent="0.2">
      <c r="B32" s="27"/>
      <c r="C32" s="27"/>
      <c r="D32" s="27"/>
      <c r="E32" s="27"/>
      <c r="F32" s="27"/>
      <c r="G32" s="27"/>
      <c r="H32" s="27"/>
      <c r="I32" s="27"/>
      <c r="J32" s="128"/>
    </row>
    <row r="33" spans="1:14" ht="12.75" customHeight="1" thickBot="1" x14ac:dyDescent="0.25">
      <c r="A33" s="122" t="s">
        <v>156</v>
      </c>
      <c r="B33" s="118"/>
      <c r="C33" s="118"/>
      <c r="D33" s="118"/>
      <c r="E33" s="118"/>
      <c r="F33" s="118"/>
      <c r="G33" s="117"/>
      <c r="H33" s="118"/>
      <c r="I33" s="118"/>
    </row>
    <row r="34" spans="1:14" s="107" customFormat="1" ht="12.75" customHeight="1" x14ac:dyDescent="0.25">
      <c r="A34" s="288"/>
      <c r="B34" s="269" t="s">
        <v>1</v>
      </c>
      <c r="C34" s="269" t="s">
        <v>170</v>
      </c>
      <c r="D34" s="269" t="s">
        <v>170</v>
      </c>
      <c r="E34" s="289" t="s">
        <v>2</v>
      </c>
      <c r="F34" s="289"/>
      <c r="G34" s="281"/>
      <c r="H34" s="289"/>
      <c r="I34" s="288"/>
      <c r="K34" s="164"/>
      <c r="L34" s="165"/>
    </row>
    <row r="35" spans="1:14" s="107" customFormat="1" ht="12.75" customHeight="1" x14ac:dyDescent="0.25">
      <c r="A35" s="288"/>
      <c r="B35" s="269" t="s">
        <v>3</v>
      </c>
      <c r="C35" s="269" t="s">
        <v>4</v>
      </c>
      <c r="D35" s="269" t="s">
        <v>4</v>
      </c>
      <c r="E35" s="289" t="s">
        <v>5</v>
      </c>
      <c r="F35" s="269"/>
      <c r="G35" s="281"/>
      <c r="H35" s="289"/>
      <c r="I35" s="288"/>
      <c r="K35" s="164"/>
      <c r="L35" s="165"/>
    </row>
    <row r="36" spans="1:14" s="107" customFormat="1" ht="12.75" customHeight="1" thickBot="1" x14ac:dyDescent="0.3">
      <c r="A36" s="290"/>
      <c r="B36" s="271" t="str">
        <f>TEXT($H$3,"MMM")&amp;" "&amp;TEXT($H$3,"YYYY")</f>
        <v>May 2019</v>
      </c>
      <c r="C36" s="271" t="str">
        <f>$C$15</f>
        <v>2019</v>
      </c>
      <c r="D36" s="271">
        <f>$D$15</f>
        <v>2018</v>
      </c>
      <c r="E36" s="273" t="s">
        <v>6</v>
      </c>
      <c r="F36" s="273">
        <f>$F$15</f>
        <v>2018</v>
      </c>
      <c r="G36" s="283">
        <f>$G$15</f>
        <v>2017</v>
      </c>
      <c r="H36" s="283">
        <f>$H$15</f>
        <v>2016</v>
      </c>
      <c r="I36" s="283">
        <f>$I$15</f>
        <v>2015</v>
      </c>
      <c r="K36" s="166"/>
      <c r="L36" s="170"/>
    </row>
    <row r="37" spans="1:14" ht="12.75" customHeight="1" x14ac:dyDescent="0.25">
      <c r="A37" s="291" t="s">
        <v>145</v>
      </c>
      <c r="B37" s="292"/>
      <c r="C37" s="292"/>
      <c r="D37" s="292"/>
      <c r="E37" s="291"/>
      <c r="F37" s="291"/>
      <c r="G37" s="276"/>
      <c r="H37" s="291"/>
      <c r="I37" s="291"/>
      <c r="K37" s="164"/>
      <c r="M37" s="19"/>
      <c r="N37" s="19"/>
    </row>
    <row r="38" spans="1:14" ht="12.75" customHeight="1" x14ac:dyDescent="0.2">
      <c r="A38" s="293" t="s">
        <v>116</v>
      </c>
      <c r="B38" s="276">
        <f>Data!CK1</f>
        <v>28417</v>
      </c>
      <c r="C38" s="276">
        <f>Data!CK6</f>
        <v>121669</v>
      </c>
      <c r="D38" s="276">
        <f>Data!CK11</f>
        <v>128589</v>
      </c>
      <c r="E38" s="275">
        <f t="shared" ref="E38:E40" si="2">IFERROR(IF(OR(AND(D38="",C38=""),AND(D38=0,C38=0)),"",
IF(OR(D38="",D38=0),1,
IF(OR(D38&lt;&gt;"",D38&lt;&gt;0),(C38-D38)/ABS(D38)))),-1)</f>
        <v>-5.3814867523660652E-2</v>
      </c>
      <c r="F38" s="349">
        <v>302385</v>
      </c>
      <c r="G38" s="349">
        <v>291730</v>
      </c>
      <c r="H38" s="349">
        <v>283127</v>
      </c>
      <c r="I38" s="349">
        <v>290607</v>
      </c>
      <c r="J38" s="29"/>
      <c r="K38" s="164"/>
      <c r="M38" s="19"/>
      <c r="N38" s="19"/>
    </row>
    <row r="39" spans="1:14" ht="12.75" customHeight="1" x14ac:dyDescent="0.2">
      <c r="A39" s="293" t="s">
        <v>146</v>
      </c>
      <c r="B39" s="276">
        <f>Data!CK2/1000000</f>
        <v>886379.75337199995</v>
      </c>
      <c r="C39" s="276">
        <f>Data!CK7/1000000</f>
        <v>3919634.2412709999</v>
      </c>
      <c r="D39" s="276">
        <f>Data!CK12/1000000</f>
        <v>4025082.1011379999</v>
      </c>
      <c r="E39" s="275">
        <f t="shared" si="2"/>
        <v>-2.6197691678683289E-2</v>
      </c>
      <c r="F39" s="349">
        <v>9185860</v>
      </c>
      <c r="G39" s="349">
        <v>7876304</v>
      </c>
      <c r="H39" s="349">
        <v>7321629</v>
      </c>
      <c r="I39" s="349">
        <v>6653964</v>
      </c>
      <c r="J39" s="27"/>
      <c r="K39" s="164"/>
    </row>
    <row r="40" spans="1:14" ht="12.75" customHeight="1" x14ac:dyDescent="0.2">
      <c r="A40" s="293" t="s">
        <v>147</v>
      </c>
      <c r="B40" s="276">
        <f>Data!CK3/1000000</f>
        <v>912068.59859869059</v>
      </c>
      <c r="C40" s="276">
        <f>Data!CK8/1000000</f>
        <v>3974295.3182266098</v>
      </c>
      <c r="D40" s="276">
        <f>Data!CK13/1000000</f>
        <v>4221983.1925133457</v>
      </c>
      <c r="E40" s="275">
        <f t="shared" si="2"/>
        <v>-5.8666238824908103E-2</v>
      </c>
      <c r="F40" s="349">
        <v>9451509</v>
      </c>
      <c r="G40" s="349">
        <v>8198143</v>
      </c>
      <c r="H40" s="349">
        <v>7580050</v>
      </c>
      <c r="I40" s="349">
        <v>7166248</v>
      </c>
      <c r="J40" s="29"/>
      <c r="L40" s="169"/>
    </row>
    <row r="41" spans="1:14" ht="12.75" customHeight="1" x14ac:dyDescent="0.2">
      <c r="A41" s="293"/>
      <c r="B41" s="238"/>
      <c r="C41" s="294"/>
      <c r="D41" s="294"/>
      <c r="E41" s="175"/>
      <c r="F41" s="349"/>
      <c r="G41" s="349"/>
      <c r="H41" s="349"/>
      <c r="I41" s="294"/>
      <c r="M41" s="19"/>
      <c r="N41" s="19"/>
    </row>
    <row r="42" spans="1:14" s="107" customFormat="1" ht="12.75" customHeight="1" x14ac:dyDescent="0.25">
      <c r="A42" s="291" t="s">
        <v>148</v>
      </c>
      <c r="B42" s="276"/>
      <c r="C42" s="276"/>
      <c r="D42" s="276"/>
      <c r="E42" s="175"/>
      <c r="F42" s="349"/>
      <c r="G42" s="349"/>
      <c r="H42" s="295"/>
      <c r="I42" s="295"/>
      <c r="K42" s="165"/>
      <c r="L42" s="165"/>
      <c r="M42" s="16"/>
      <c r="N42" s="16"/>
    </row>
    <row r="43" spans="1:14" ht="12.75" customHeight="1" x14ac:dyDescent="0.2">
      <c r="A43" s="293" t="s">
        <v>116</v>
      </c>
      <c r="B43" s="276">
        <f>Data!CN1</f>
        <v>16211</v>
      </c>
      <c r="C43" s="276">
        <f>Data!CN6</f>
        <v>75675</v>
      </c>
      <c r="D43" s="276">
        <f>Data!CN11</f>
        <v>63099</v>
      </c>
      <c r="E43" s="275">
        <f t="shared" ref="E43:E45" si="3">IFERROR(IF(OR(AND(D43="",C43=""),AND(D43=0,C43=0)),"",
IF(OR(D43="",D43=0),1,
IF(OR(D43&lt;&gt;"",D43&lt;&gt;0),(C43-D43)/ABS(D43)))),-1)</f>
        <v>0.19930585270764989</v>
      </c>
      <c r="F43" s="349">
        <v>161055</v>
      </c>
      <c r="G43" s="349">
        <v>153015</v>
      </c>
      <c r="H43" s="349">
        <v>170507</v>
      </c>
      <c r="I43" s="349">
        <v>157998</v>
      </c>
      <c r="J43" s="27"/>
      <c r="L43" s="165"/>
      <c r="M43" s="19"/>
      <c r="N43" s="19"/>
    </row>
    <row r="44" spans="1:14" ht="12.75" customHeight="1" x14ac:dyDescent="0.2">
      <c r="A44" s="293" t="s">
        <v>149</v>
      </c>
      <c r="B44" s="276">
        <f>Data!CN2/1000000</f>
        <v>2380095.8716600002</v>
      </c>
      <c r="C44" s="276">
        <f>Data!CN7/1000000</f>
        <v>10524530.670112999</v>
      </c>
      <c r="D44" s="276">
        <f>Data!CN12/1000000</f>
        <v>8047545.0846480001</v>
      </c>
      <c r="E44" s="275">
        <f t="shared" si="3"/>
        <v>0.30779393708402475</v>
      </c>
      <c r="F44" s="349">
        <v>20951365</v>
      </c>
      <c r="G44" s="349">
        <v>19085335</v>
      </c>
      <c r="H44" s="349">
        <v>19586029</v>
      </c>
      <c r="I44" s="349">
        <v>15650220</v>
      </c>
      <c r="J44" s="29"/>
      <c r="L44" s="165"/>
    </row>
    <row r="45" spans="1:14" ht="12.75" customHeight="1" x14ac:dyDescent="0.2">
      <c r="A45" s="293" t="s">
        <v>147</v>
      </c>
      <c r="B45" s="276">
        <f>Data!CN3/1000000</f>
        <v>2379800.3619961329</v>
      </c>
      <c r="C45" s="276">
        <f>Data!CN8/1000000</f>
        <v>10285517.794483094</v>
      </c>
      <c r="D45" s="276">
        <f>Data!CN13/1000000</f>
        <v>8157397.3513947148</v>
      </c>
      <c r="E45" s="275">
        <f t="shared" si="3"/>
        <v>0.26088228284288767</v>
      </c>
      <c r="F45" s="349">
        <v>20334924</v>
      </c>
      <c r="G45" s="349">
        <v>18571364</v>
      </c>
      <c r="H45" s="349">
        <v>19133372</v>
      </c>
      <c r="I45" s="349">
        <v>16112281</v>
      </c>
      <c r="J45" s="29"/>
      <c r="L45" s="165"/>
    </row>
    <row r="46" spans="1:14" ht="12.75" customHeight="1" x14ac:dyDescent="0.2">
      <c r="A46" s="293"/>
      <c r="B46" s="238"/>
      <c r="C46" s="294"/>
      <c r="D46" s="294"/>
      <c r="E46" s="175"/>
      <c r="F46" s="349"/>
      <c r="G46" s="349"/>
      <c r="H46" s="349"/>
      <c r="I46" s="349"/>
      <c r="L46" s="165"/>
    </row>
    <row r="47" spans="1:14" ht="12.75" customHeight="1" x14ac:dyDescent="0.25">
      <c r="A47" s="296" t="s">
        <v>155</v>
      </c>
      <c r="B47" s="238"/>
      <c r="C47" s="294"/>
      <c r="D47" s="294"/>
      <c r="E47" s="175"/>
      <c r="F47" s="349"/>
      <c r="G47" s="349"/>
      <c r="H47" s="349"/>
      <c r="I47" s="349"/>
      <c r="J47" s="27"/>
      <c r="L47" s="165"/>
    </row>
    <row r="48" spans="1:14" s="107" customFormat="1" ht="12.75" customHeight="1" x14ac:dyDescent="0.2">
      <c r="A48" s="293" t="s">
        <v>116</v>
      </c>
      <c r="B48" s="126">
        <f>Data!CQ1</f>
        <v>779</v>
      </c>
      <c r="C48" s="126">
        <f>Data!CQ6</f>
        <v>3756</v>
      </c>
      <c r="D48" s="238">
        <f>Data!CQ11</f>
        <v>3635</v>
      </c>
      <c r="E48" s="275">
        <f t="shared" ref="E48:E50" si="4">IFERROR(IF(OR(AND(D48="",C48=""),AND(D48=0,C48=0)),"",
IF(OR(D48="",D48=0),1,
IF(OR(D48&lt;&gt;"",D48&lt;&gt;0),(C48-D48)/ABS(D48)))),-1)</f>
        <v>3.3287482806052267E-2</v>
      </c>
      <c r="F48" s="349">
        <v>8603</v>
      </c>
      <c r="G48" s="349">
        <v>8729</v>
      </c>
      <c r="H48" s="349">
        <v>7665</v>
      </c>
      <c r="I48" s="349">
        <v>5572</v>
      </c>
      <c r="J48" s="27"/>
      <c r="K48" s="165"/>
      <c r="L48" s="169"/>
    </row>
    <row r="49" spans="1:12" s="107" customFormat="1" ht="12.75" customHeight="1" x14ac:dyDescent="0.2">
      <c r="A49" s="293" t="s">
        <v>149</v>
      </c>
      <c r="B49" s="126">
        <f>Data!CQ2/1000000</f>
        <v>72325.664598999996</v>
      </c>
      <c r="C49" s="126">
        <f>Data!CQ7/1000000</f>
        <v>278453.53295099997</v>
      </c>
      <c r="D49" s="238">
        <f>Data!CQ12/1000000</f>
        <v>263973.53030099999</v>
      </c>
      <c r="E49" s="275">
        <f t="shared" si="4"/>
        <v>5.4853994767918315E-2</v>
      </c>
      <c r="F49" s="349">
        <v>658610</v>
      </c>
      <c r="G49" s="349">
        <v>737277</v>
      </c>
      <c r="H49" s="349">
        <v>747909</v>
      </c>
      <c r="I49" s="349">
        <v>434632</v>
      </c>
      <c r="J49" s="32"/>
      <c r="K49" s="165"/>
      <c r="L49" s="169"/>
    </row>
    <row r="50" spans="1:12" s="107" customFormat="1" ht="12.75" customHeight="1" thickBot="1" x14ac:dyDescent="0.25">
      <c r="A50" s="297" t="s">
        <v>147</v>
      </c>
      <c r="B50" s="127">
        <f>Data!CQ3/1000000</f>
        <v>15934.237360110001</v>
      </c>
      <c r="C50" s="127">
        <f>Data!CQ8/1000000</f>
        <v>91614.614028190001</v>
      </c>
      <c r="D50" s="279">
        <f>Data!CQ13/1000000</f>
        <v>83129.245286919991</v>
      </c>
      <c r="E50" s="280">
        <f t="shared" si="4"/>
        <v>0.10207441090055396</v>
      </c>
      <c r="F50" s="350">
        <v>206820</v>
      </c>
      <c r="G50" s="350">
        <v>305414</v>
      </c>
      <c r="H50" s="350">
        <v>370548</v>
      </c>
      <c r="I50" s="350">
        <v>240709</v>
      </c>
      <c r="J50" s="32"/>
      <c r="K50" s="16"/>
      <c r="L50" s="169"/>
    </row>
    <row r="51" spans="1:12" s="107" customFormat="1" ht="12.75" customHeight="1" thickTop="1" x14ac:dyDescent="0.2">
      <c r="A51" s="8" t="s">
        <v>150</v>
      </c>
      <c r="B51" s="129"/>
      <c r="C51" s="129"/>
      <c r="D51" s="129"/>
      <c r="E51" s="129"/>
      <c r="F51" s="32"/>
      <c r="G51" s="27"/>
      <c r="H51" s="129"/>
      <c r="I51" s="129"/>
      <c r="K51" s="165"/>
      <c r="L51" s="165"/>
    </row>
    <row r="52" spans="1:12" s="107" customFormat="1" ht="12.75" customHeight="1" x14ac:dyDescent="0.2">
      <c r="A52" s="8"/>
      <c r="B52" s="130"/>
      <c r="C52" s="130"/>
      <c r="D52" s="130"/>
      <c r="E52" s="28"/>
      <c r="F52" s="32"/>
      <c r="G52" s="27"/>
      <c r="H52" s="129"/>
      <c r="I52" s="129"/>
      <c r="K52" s="165"/>
      <c r="L52" s="165"/>
    </row>
    <row r="53" spans="1:12" ht="12.75" customHeight="1" thickBot="1" x14ac:dyDescent="0.25">
      <c r="A53" s="122" t="s">
        <v>151</v>
      </c>
      <c r="B53" s="118"/>
      <c r="C53" s="119"/>
      <c r="D53" s="118"/>
      <c r="E53" s="118"/>
      <c r="F53" s="115"/>
      <c r="G53" s="117"/>
      <c r="H53" s="118"/>
      <c r="I53" s="118"/>
      <c r="J53" s="30"/>
    </row>
    <row r="54" spans="1:12" ht="12.75" customHeight="1" x14ac:dyDescent="0.25">
      <c r="A54" s="288"/>
      <c r="B54" s="269" t="s">
        <v>1</v>
      </c>
      <c r="C54" s="269" t="s">
        <v>170</v>
      </c>
      <c r="D54" s="269" t="s">
        <v>170</v>
      </c>
      <c r="E54" s="289" t="s">
        <v>8</v>
      </c>
      <c r="F54" s="298"/>
      <c r="G54" s="281"/>
      <c r="H54" s="288"/>
      <c r="I54" s="288"/>
      <c r="J54" s="30"/>
    </row>
    <row r="55" spans="1:12" ht="12.75" customHeight="1" x14ac:dyDescent="0.25">
      <c r="A55" s="288"/>
      <c r="B55" s="269" t="s">
        <v>3</v>
      </c>
      <c r="C55" s="269" t="s">
        <v>4</v>
      </c>
      <c r="D55" s="269" t="s">
        <v>4</v>
      </c>
      <c r="E55" s="289" t="s">
        <v>9</v>
      </c>
      <c r="F55" s="298"/>
      <c r="G55" s="281"/>
      <c r="H55" s="288"/>
      <c r="I55" s="288"/>
      <c r="J55" s="30"/>
    </row>
    <row r="56" spans="1:12" ht="12.75" customHeight="1" thickBot="1" x14ac:dyDescent="0.3">
      <c r="A56" s="290"/>
      <c r="B56" s="271" t="str">
        <f>TEXT($H$3,"MMM")&amp;" "&amp;TEXT($H$3,"YYYY")</f>
        <v>May 2019</v>
      </c>
      <c r="C56" s="271" t="str">
        <f>$C$15</f>
        <v>2019</v>
      </c>
      <c r="D56" s="271">
        <f>$D$15</f>
        <v>2018</v>
      </c>
      <c r="E56" s="273" t="s">
        <v>6</v>
      </c>
      <c r="F56" s="273">
        <f>$F$15</f>
        <v>2018</v>
      </c>
      <c r="G56" s="283">
        <f>$G$15</f>
        <v>2017</v>
      </c>
      <c r="H56" s="283">
        <f>$H$15</f>
        <v>2016</v>
      </c>
      <c r="I56" s="283">
        <f>$I$15</f>
        <v>2015</v>
      </c>
      <c r="J56" s="107"/>
      <c r="L56" s="169"/>
    </row>
    <row r="57" spans="1:12" ht="12.75" customHeight="1" x14ac:dyDescent="0.2">
      <c r="A57" s="293" t="s">
        <v>152</v>
      </c>
      <c r="B57" s="276">
        <f>(SUMIFS(Data!$CZ$14:$CZ$25,Data!$CU$14:$CU$25,"Standard Trade")+SUMIFS(Data!$CZ$14:$CZ$25,Data!$CU$14:$CU$25,"Standard Trade (Spot)"))/1000000</f>
        <v>109338.88694</v>
      </c>
      <c r="C57" s="276">
        <f>(SUMIFS(Data!$CZ$1:$CZ$12,Data!$CU$1:$CU$12,"Standard Trade")+SUMIFS(Data!$CZ$1:$CZ$12,Data!$CU$1:$CU$12,"Standard Trade (Spot)"))/1000000</f>
        <v>488102.30353999999</v>
      </c>
      <c r="D57" s="276">
        <f>(SUMIFS(Data!$CZ$27:$CZ$38,Data!$CU$27:$CU$38,"Standard Trade")+SUMIFS(Data!$CZ$27:$CZ$38,Data!$CU$27:$CU$38,"Standard Trade (Spot)"))/1000000</f>
        <v>505506.82096799999</v>
      </c>
      <c r="E57" s="186">
        <f>C57-D57</f>
        <v>-17404.517427999992</v>
      </c>
      <c r="F57" s="349">
        <v>1118355</v>
      </c>
      <c r="G57" s="349">
        <v>1072127</v>
      </c>
      <c r="H57" s="294">
        <v>954436</v>
      </c>
      <c r="I57" s="294">
        <v>821507</v>
      </c>
      <c r="J57" s="27"/>
      <c r="L57" s="169"/>
    </row>
    <row r="58" spans="1:12" ht="12.75" customHeight="1" x14ac:dyDescent="0.2">
      <c r="A58" s="293" t="s">
        <v>153</v>
      </c>
      <c r="B58" s="276">
        <f>(SUMIFS(Data!$DC$14:$DC$25,Data!$CU$14:$CU$25,"Standard Trade")+SUMIFS(Data!$DC$14:$DC$25,Data!$CU$14:$CU$25,"Standard Trade (Spot)"))/1000000</f>
        <v>110970.150137</v>
      </c>
      <c r="C58" s="276">
        <f>(SUMIFS(Data!$DC$1:$DC$12,Data!$CU$1:$CU$12,"Standard Trade")+SUMIFS(Data!$DC$1:$DC$12,Data!$CU$1:$CU$12,"Standard Trade (Spot)"))/1000000</f>
        <v>466215.58638400002</v>
      </c>
      <c r="D58" s="276">
        <f>(SUMIFS(Data!$DC$27:$DC$38,Data!$CU$27:$CU$38,"Standard Trade")+SUMIFS(Data!$DC$27:$DC$38,Data!$CU$27:$CU$38,"Standard Trade (Spot)"))/1000000</f>
        <v>509550.44123499998</v>
      </c>
      <c r="E58" s="186">
        <f>C58-D58</f>
        <v>-43334.854850999953</v>
      </c>
      <c r="F58" s="349">
        <v>1183484</v>
      </c>
      <c r="G58" s="349">
        <v>1016544</v>
      </c>
      <c r="H58" s="294">
        <v>922129</v>
      </c>
      <c r="I58" s="294">
        <v>820729</v>
      </c>
      <c r="J58" s="27"/>
      <c r="L58" s="169"/>
    </row>
    <row r="59" spans="1:12" ht="12.75" customHeight="1" thickBot="1" x14ac:dyDescent="0.3">
      <c r="A59" s="299" t="s">
        <v>12</v>
      </c>
      <c r="B59" s="286">
        <f>B57-B58</f>
        <v>-1631.2631970000075</v>
      </c>
      <c r="C59" s="286">
        <f t="shared" ref="C59" si="5">C57-C58</f>
        <v>21886.71715599997</v>
      </c>
      <c r="D59" s="286">
        <f>D57-D58</f>
        <v>-4043.6202669999911</v>
      </c>
      <c r="E59" s="286">
        <f>E57-E58</f>
        <v>25930.337422999961</v>
      </c>
      <c r="F59" s="351">
        <v>-65129</v>
      </c>
      <c r="G59" s="351">
        <v>55583</v>
      </c>
      <c r="H59" s="351">
        <v>32307</v>
      </c>
      <c r="I59" s="351">
        <v>778</v>
      </c>
      <c r="J59" s="33"/>
      <c r="L59" s="169"/>
    </row>
    <row r="60" spans="1:12" ht="12.75" customHeight="1" thickTop="1" x14ac:dyDescent="0.2">
      <c r="A60" s="9" t="s">
        <v>174</v>
      </c>
      <c r="B60" s="31"/>
      <c r="C60" s="31"/>
      <c r="D60" s="31"/>
      <c r="E60" s="31"/>
      <c r="F60" s="107"/>
      <c r="G60" s="27"/>
      <c r="H60" s="31"/>
      <c r="I60" s="31"/>
      <c r="J60" s="30"/>
    </row>
    <row r="61" spans="1:12" ht="12.75" customHeight="1" x14ac:dyDescent="0.2">
      <c r="A61" s="107" t="str">
        <f>"Market Profile - "&amp; TEXT($H$3,"MMM")&amp;" "&amp;TEXT($H$3,"YYYY")</f>
        <v>Market Profile - May 2019</v>
      </c>
      <c r="B61" s="219"/>
      <c r="C61" s="219"/>
      <c r="D61" s="219"/>
      <c r="E61" s="236"/>
      <c r="F61" s="124"/>
      <c r="G61" s="124"/>
      <c r="H61" s="124"/>
      <c r="I61" s="219"/>
    </row>
    <row r="62" spans="1:12" s="236" customFormat="1" ht="12.75" customHeight="1" x14ac:dyDescent="0.2">
      <c r="A62" s="235"/>
      <c r="B62" s="219"/>
      <c r="C62" s="219"/>
      <c r="D62" s="219"/>
      <c r="F62" s="124"/>
      <c r="G62" s="124"/>
      <c r="H62" s="124"/>
      <c r="I62" s="219"/>
      <c r="K62" s="251"/>
      <c r="L62" s="251"/>
    </row>
    <row r="63" spans="1:12" s="236" customFormat="1" ht="12.75" customHeight="1" x14ac:dyDescent="0.2">
      <c r="A63" s="235"/>
      <c r="B63" s="219"/>
      <c r="C63" s="219"/>
      <c r="D63" s="219"/>
      <c r="F63" s="124"/>
      <c r="G63" s="124"/>
      <c r="H63" s="124"/>
      <c r="I63" s="219"/>
      <c r="K63" s="251"/>
      <c r="L63" s="251"/>
    </row>
    <row r="64" spans="1:12" s="236" customFormat="1" ht="12.75" customHeight="1" x14ac:dyDescent="0.2">
      <c r="A64" s="235"/>
      <c r="B64" s="219"/>
      <c r="C64" s="219"/>
      <c r="D64" s="219"/>
      <c r="F64" s="124"/>
      <c r="G64" s="124"/>
      <c r="H64" s="124"/>
      <c r="I64" s="219"/>
      <c r="K64" s="251"/>
      <c r="L64" s="251"/>
    </row>
    <row r="65" spans="1:9" ht="12.75" customHeight="1" x14ac:dyDescent="0.2">
      <c r="A65" s="235"/>
      <c r="B65" s="219"/>
      <c r="C65" s="219"/>
      <c r="D65" s="219"/>
      <c r="E65" s="236"/>
      <c r="F65" s="362" t="s">
        <v>190</v>
      </c>
      <c r="G65" s="362"/>
      <c r="H65" s="362"/>
      <c r="I65" s="219"/>
    </row>
    <row r="66" spans="1:9" x14ac:dyDescent="0.2">
      <c r="A66" s="236"/>
      <c r="B66" s="154"/>
      <c r="C66" s="236"/>
      <c r="D66" s="236"/>
      <c r="E66" s="236"/>
      <c r="F66" s="362"/>
      <c r="G66" s="362"/>
      <c r="H66" s="362"/>
      <c r="I66" s="236"/>
    </row>
    <row r="67" spans="1:9" x14ac:dyDescent="0.2">
      <c r="B67" s="19"/>
      <c r="F67" s="24"/>
      <c r="G67" s="27"/>
    </row>
    <row r="68" spans="1:9" ht="13.5" thickBot="1" x14ac:dyDescent="0.25">
      <c r="A68" s="121" t="s">
        <v>154</v>
      </c>
      <c r="B68" s="116"/>
      <c r="C68" s="116"/>
      <c r="D68" s="116"/>
      <c r="E68" s="116"/>
      <c r="F68" s="115"/>
      <c r="G68" s="117"/>
      <c r="H68" s="116"/>
      <c r="I68" s="116"/>
    </row>
    <row r="69" spans="1:9" ht="15" x14ac:dyDescent="0.25">
      <c r="A69" s="288"/>
      <c r="B69" s="269" t="s">
        <v>1</v>
      </c>
      <c r="C69" s="269" t="s">
        <v>170</v>
      </c>
      <c r="D69" s="269" t="s">
        <v>170</v>
      </c>
      <c r="E69" s="289" t="s">
        <v>13</v>
      </c>
      <c r="F69" s="298"/>
      <c r="G69" s="281"/>
      <c r="H69" s="288"/>
      <c r="I69" s="288"/>
    </row>
    <row r="70" spans="1:9" ht="15" x14ac:dyDescent="0.25">
      <c r="A70" s="288"/>
      <c r="B70" s="269" t="s">
        <v>3</v>
      </c>
      <c r="C70" s="269" t="s">
        <v>4</v>
      </c>
      <c r="D70" s="269" t="s">
        <v>4</v>
      </c>
      <c r="E70" s="289" t="s">
        <v>9</v>
      </c>
      <c r="F70" s="298"/>
      <c r="G70" s="281"/>
      <c r="H70" s="288"/>
      <c r="I70" s="288"/>
    </row>
    <row r="71" spans="1:9" ht="15.75" thickBot="1" x14ac:dyDescent="0.3">
      <c r="A71" s="290"/>
      <c r="B71" s="271" t="str">
        <f>TEXT($H$3,"MMM")&amp;" "&amp;TEXT($H$3,"YYYY")</f>
        <v>May 2019</v>
      </c>
      <c r="C71" s="271" t="str">
        <f>TEXT($H$3,"YYYY")</f>
        <v>2019</v>
      </c>
      <c r="D71" s="272">
        <f>TEXT($H$3,"YYYY")-1</f>
        <v>2018</v>
      </c>
      <c r="E71" s="273" t="s">
        <v>6</v>
      </c>
      <c r="F71" s="273">
        <f>$F$15</f>
        <v>2018</v>
      </c>
      <c r="G71" s="283">
        <f>$G$15</f>
        <v>2017</v>
      </c>
      <c r="H71" s="283">
        <f>$H$15</f>
        <v>2016</v>
      </c>
      <c r="I71" s="283">
        <f>$I$15</f>
        <v>2015</v>
      </c>
    </row>
    <row r="72" spans="1:9" ht="15" x14ac:dyDescent="0.25">
      <c r="A72" s="277" t="s">
        <v>14</v>
      </c>
      <c r="B72" s="237"/>
      <c r="C72" s="237"/>
      <c r="D72" s="237"/>
      <c r="E72" s="237"/>
      <c r="F72" s="237"/>
      <c r="G72" s="237"/>
      <c r="H72" s="237"/>
      <c r="I72" s="237"/>
    </row>
    <row r="73" spans="1:9" ht="14.25" x14ac:dyDescent="0.2">
      <c r="A73" s="237" t="s">
        <v>116</v>
      </c>
      <c r="B73" s="126">
        <f>Data!BR20</f>
        <v>385</v>
      </c>
      <c r="C73" s="238">
        <f>Data!BR32</f>
        <v>5059</v>
      </c>
      <c r="D73" s="238">
        <f>Data!BR38</f>
        <v>6342</v>
      </c>
      <c r="E73" s="275">
        <f t="shared" ref="E73:E76" si="6">IFERROR(IF(OR(AND(D73="",C73=""),AND(D73=0,C73=0)),"",
IF(OR(D73="",D73=0),1,
IF(OR(D73&lt;&gt;"",D73&lt;&gt;0),(C73-D73)/ABS(D73)))),-1)</f>
        <v>-0.20230211289813937</v>
      </c>
      <c r="F73" s="346">
        <v>12477</v>
      </c>
      <c r="G73" s="346">
        <v>12791</v>
      </c>
      <c r="H73" s="346">
        <v>14410</v>
      </c>
      <c r="I73" s="346">
        <v>9505</v>
      </c>
    </row>
    <row r="74" spans="1:9" ht="14.25" x14ac:dyDescent="0.2">
      <c r="A74" s="237" t="s">
        <v>142</v>
      </c>
      <c r="B74" s="126">
        <f>Data!BQ20</f>
        <v>434695</v>
      </c>
      <c r="C74" s="238">
        <f>Data!BQ32</f>
        <v>4820948</v>
      </c>
      <c r="D74" s="238">
        <f>Data!BQ38</f>
        <v>6310514</v>
      </c>
      <c r="E74" s="275">
        <f t="shared" si="6"/>
        <v>-0.23604511455009847</v>
      </c>
      <c r="F74" s="346">
        <v>11788350</v>
      </c>
      <c r="G74" s="346">
        <v>11946344</v>
      </c>
      <c r="H74" s="346">
        <v>9230179</v>
      </c>
      <c r="I74" s="346">
        <v>5344460</v>
      </c>
    </row>
    <row r="75" spans="1:9" ht="14.25" x14ac:dyDescent="0.2">
      <c r="A75" s="237" t="s">
        <v>118</v>
      </c>
      <c r="B75" s="126">
        <f>Data!BP20/1000000</f>
        <v>45131.244108190003</v>
      </c>
      <c r="C75" s="238">
        <f>Data!BP32/1000000</f>
        <v>529992.64581378002</v>
      </c>
      <c r="D75" s="238">
        <f>Data!BP38/1000000</f>
        <v>705393.76494707994</v>
      </c>
      <c r="E75" s="275">
        <f t="shared" si="6"/>
        <v>-0.24865703079535847</v>
      </c>
      <c r="F75" s="346">
        <v>1282927</v>
      </c>
      <c r="G75" s="346">
        <v>1329270</v>
      </c>
      <c r="H75" s="346">
        <v>1073119</v>
      </c>
      <c r="I75" s="346">
        <v>698663</v>
      </c>
    </row>
    <row r="76" spans="1:9" ht="14.25" x14ac:dyDescent="0.2">
      <c r="A76" s="237" t="s">
        <v>141</v>
      </c>
      <c r="B76" s="126">
        <f>Data!BP26</f>
        <v>771638</v>
      </c>
      <c r="C76" s="238">
        <f>B76</f>
        <v>771638</v>
      </c>
      <c r="D76" s="238">
        <f>Data!BP44</f>
        <v>815217</v>
      </c>
      <c r="E76" s="275">
        <f t="shared" si="6"/>
        <v>-5.3456932325994182E-2</v>
      </c>
      <c r="F76" s="346">
        <v>829599</v>
      </c>
      <c r="G76" s="346">
        <v>1021723</v>
      </c>
      <c r="H76" s="346">
        <v>802030</v>
      </c>
      <c r="I76" s="346">
        <v>621382</v>
      </c>
    </row>
    <row r="77" spans="1:9" ht="14.25" x14ac:dyDescent="0.2">
      <c r="A77" s="237"/>
      <c r="B77" s="126"/>
      <c r="C77" s="238"/>
      <c r="D77" s="238"/>
      <c r="E77" s="237"/>
      <c r="F77" s="346"/>
      <c r="G77" s="346"/>
      <c r="H77" s="346"/>
      <c r="I77" s="346"/>
    </row>
    <row r="78" spans="1:9" ht="15" x14ac:dyDescent="0.25">
      <c r="A78" s="277" t="s">
        <v>15</v>
      </c>
      <c r="B78" s="126"/>
      <c r="C78" s="238"/>
      <c r="D78" s="238"/>
      <c r="E78" s="237"/>
      <c r="F78" s="346"/>
      <c r="G78" s="346"/>
      <c r="H78" s="346"/>
      <c r="I78" s="346"/>
    </row>
    <row r="79" spans="1:9" ht="14.25" x14ac:dyDescent="0.2">
      <c r="A79" s="237" t="s">
        <v>116</v>
      </c>
      <c r="B79" s="126">
        <f>Data!BR23</f>
        <v>160</v>
      </c>
      <c r="C79" s="126">
        <f>Data!BR35</f>
        <v>637</v>
      </c>
      <c r="D79" s="126">
        <f>Data!BR41</f>
        <v>316</v>
      </c>
      <c r="E79" s="275">
        <f t="shared" ref="E79:E82" si="7">IFERROR(IF(OR(AND(D79="",C79=""),AND(D79=0,C79=0)),"",
IF(OR(D79="",D79=0),1,
IF(OR(D79&lt;&gt;"",D79&lt;&gt;0),(C79-D79)/ABS(D79)))),-1)</f>
        <v>1.0158227848101267</v>
      </c>
      <c r="F79" s="126">
        <v>949</v>
      </c>
      <c r="G79" s="126">
        <v>809</v>
      </c>
      <c r="H79" s="126">
        <v>825</v>
      </c>
      <c r="I79" s="126">
        <v>1013</v>
      </c>
    </row>
    <row r="80" spans="1:9" ht="14.25" x14ac:dyDescent="0.2">
      <c r="A80" s="237" t="s">
        <v>142</v>
      </c>
      <c r="B80" s="126">
        <f>Data!BQ23</f>
        <v>157005</v>
      </c>
      <c r="C80" s="126">
        <f>Data!BQ35</f>
        <v>473440</v>
      </c>
      <c r="D80" s="126">
        <f>Data!BQ41</f>
        <v>169922</v>
      </c>
      <c r="E80" s="275">
        <f t="shared" si="7"/>
        <v>1.7862195595626229</v>
      </c>
      <c r="F80" s="126">
        <v>428713</v>
      </c>
      <c r="G80" s="126">
        <v>307322</v>
      </c>
      <c r="H80" s="126">
        <v>205539</v>
      </c>
      <c r="I80" s="126">
        <v>348297</v>
      </c>
    </row>
    <row r="81" spans="1:10" ht="14.25" x14ac:dyDescent="0.2">
      <c r="A81" s="237" t="s">
        <v>187</v>
      </c>
      <c r="B81" s="126">
        <f>Data!BP23/1000000</f>
        <v>14927.02076035</v>
      </c>
      <c r="C81" s="126">
        <f>Data!BP35/1000000</f>
        <v>47529.721389730003</v>
      </c>
      <c r="D81" s="126">
        <f>Data!BP41/1000000</f>
        <v>17290.343946459998</v>
      </c>
      <c r="E81" s="275">
        <f t="shared" si="7"/>
        <v>1.7489170566477468</v>
      </c>
      <c r="F81" s="126">
        <v>42643</v>
      </c>
      <c r="G81" s="126">
        <v>29060</v>
      </c>
      <c r="H81" s="126">
        <v>21987</v>
      </c>
      <c r="I81" s="126">
        <v>37202</v>
      </c>
    </row>
    <row r="82" spans="1:10" ht="15" thickBot="1" x14ac:dyDescent="0.25">
      <c r="A82" s="278" t="s">
        <v>141</v>
      </c>
      <c r="B82" s="127">
        <f>Data!BP29</f>
        <v>114402</v>
      </c>
      <c r="C82" s="127">
        <f>B82</f>
        <v>114402</v>
      </c>
      <c r="D82" s="127">
        <f>Data!BP47</f>
        <v>82545</v>
      </c>
      <c r="E82" s="280">
        <f t="shared" si="7"/>
        <v>0.385934944575686</v>
      </c>
      <c r="F82" s="127">
        <v>140000</v>
      </c>
      <c r="G82" s="127">
        <v>97761</v>
      </c>
      <c r="H82" s="127">
        <v>36955</v>
      </c>
      <c r="I82" s="127">
        <v>75609</v>
      </c>
    </row>
    <row r="83" spans="1:10" ht="13.5" thickTop="1" x14ac:dyDescent="0.2">
      <c r="A83" s="9" t="s">
        <v>188</v>
      </c>
      <c r="B83" s="3"/>
      <c r="C83" s="15"/>
      <c r="D83" s="15"/>
      <c r="E83" s="28"/>
      <c r="F83" s="24"/>
      <c r="G83" s="27"/>
      <c r="H83" s="27"/>
      <c r="I83" s="27"/>
    </row>
    <row r="84" spans="1:10" x14ac:dyDescent="0.2">
      <c r="A84" s="9" t="s">
        <v>189</v>
      </c>
      <c r="B84" s="3"/>
      <c r="C84" s="15"/>
      <c r="D84" s="15"/>
      <c r="E84" s="28"/>
      <c r="F84" s="24"/>
      <c r="G84" s="27"/>
      <c r="H84" s="27"/>
      <c r="I84" s="27"/>
    </row>
    <row r="85" spans="1:10" x14ac:dyDescent="0.2">
      <c r="A85" s="35"/>
      <c r="B85" s="19"/>
      <c r="F85" s="24"/>
      <c r="G85" s="27"/>
    </row>
    <row r="86" spans="1:10" x14ac:dyDescent="0.2">
      <c r="B86" s="3"/>
      <c r="C86" s="3"/>
      <c r="D86" s="3"/>
      <c r="J86" s="107"/>
    </row>
    <row r="87" spans="1:10" ht="13.5" thickBot="1" x14ac:dyDescent="0.25">
      <c r="A87" s="121" t="s">
        <v>157</v>
      </c>
      <c r="B87" s="116"/>
      <c r="C87" s="116"/>
      <c r="D87" s="116"/>
      <c r="E87" s="116"/>
      <c r="F87" s="117"/>
      <c r="G87" s="117"/>
      <c r="H87" s="116"/>
      <c r="I87" s="116"/>
    </row>
    <row r="88" spans="1:10" ht="15" x14ac:dyDescent="0.25">
      <c r="A88" s="288"/>
      <c r="B88" s="269" t="s">
        <v>1</v>
      </c>
      <c r="C88" s="269" t="s">
        <v>170</v>
      </c>
      <c r="D88" s="269" t="s">
        <v>170</v>
      </c>
      <c r="E88" s="289" t="s">
        <v>13</v>
      </c>
      <c r="F88" s="298"/>
      <c r="G88" s="281"/>
      <c r="H88" s="288"/>
      <c r="I88" s="288"/>
    </row>
    <row r="89" spans="1:10" ht="15" x14ac:dyDescent="0.25">
      <c r="A89" s="288"/>
      <c r="B89" s="269" t="s">
        <v>3</v>
      </c>
      <c r="C89" s="269" t="s">
        <v>4</v>
      </c>
      <c r="D89" s="269" t="s">
        <v>4</v>
      </c>
      <c r="E89" s="289" t="s">
        <v>9</v>
      </c>
      <c r="F89" s="298"/>
      <c r="G89" s="281"/>
      <c r="H89" s="288"/>
      <c r="I89" s="288"/>
    </row>
    <row r="90" spans="1:10" ht="15.75" thickBot="1" x14ac:dyDescent="0.3">
      <c r="A90" s="290"/>
      <c r="B90" s="271" t="str">
        <f>TEXT($H$3,"MMM")&amp;" "&amp;TEXT($H$3,"YYYY")</f>
        <v>May 2019</v>
      </c>
      <c r="C90" s="271" t="str">
        <f>TEXT($H$3,"YYYY")</f>
        <v>2019</v>
      </c>
      <c r="D90" s="271">
        <f>TEXT($H$3,"YYYY")-1</f>
        <v>2018</v>
      </c>
      <c r="E90" s="273" t="s">
        <v>6</v>
      </c>
      <c r="F90" s="273">
        <f>TEXT($H$3,"YYYY")-1</f>
        <v>2018</v>
      </c>
      <c r="G90" s="283">
        <f>TEXT($H$3,"YYYY")-2</f>
        <v>2017</v>
      </c>
      <c r="H90" s="283">
        <f>TEXT($H$3,"YYYY")-3</f>
        <v>2016</v>
      </c>
      <c r="I90" s="283">
        <f>TEXT($H$3,"YYYY")-4</f>
        <v>2015</v>
      </c>
    </row>
    <row r="91" spans="1:10" ht="15" x14ac:dyDescent="0.25">
      <c r="A91" s="277" t="s">
        <v>14</v>
      </c>
      <c r="B91" s="302"/>
      <c r="C91" s="302"/>
      <c r="D91" s="302"/>
      <c r="E91" s="300"/>
      <c r="F91" s="300"/>
      <c r="G91" s="303"/>
      <c r="H91" s="303"/>
      <c r="I91" s="303"/>
    </row>
    <row r="92" spans="1:10" ht="14.25" x14ac:dyDescent="0.2">
      <c r="A92" s="237" t="s">
        <v>116</v>
      </c>
      <c r="B92" s="238">
        <f>SUMIFS(Data!$AC:$AC,Data!$AE:$AE,"1")</f>
        <v>40274</v>
      </c>
      <c r="C92" s="238">
        <f>Data!BR76</f>
        <v>162599</v>
      </c>
      <c r="D92" s="238">
        <f>Data!BR82</f>
        <v>156155</v>
      </c>
      <c r="E92" s="275">
        <f>IFERROR(IF(OR(AND(D92="",C92=""),AND(D92=0,C92=0)),"",
IF(OR(D92="",D92=0),1,
IF(OR(D92&lt;&gt;"",D92&lt;&gt;0),(C92-D92)/ABS(D92)))),-1)</f>
        <v>4.1266690147609746E-2</v>
      </c>
      <c r="F92" s="346">
        <v>401483</v>
      </c>
      <c r="G92" s="346">
        <v>345698</v>
      </c>
      <c r="H92" s="346">
        <v>343265</v>
      </c>
      <c r="I92" s="346">
        <v>319935</v>
      </c>
    </row>
    <row r="93" spans="1:10" ht="14.25" x14ac:dyDescent="0.2">
      <c r="A93" s="237" t="s">
        <v>140</v>
      </c>
      <c r="B93" s="238">
        <f>SUMIFS(Data!$AB:$AB,Data!$AE:$AE,"1")/1000</f>
        <v>294.983</v>
      </c>
      <c r="C93" s="238">
        <f>Data!BQ76</f>
        <v>1180608</v>
      </c>
      <c r="D93" s="238">
        <f>Data!BQ82</f>
        <v>1167667</v>
      </c>
      <c r="E93" s="275">
        <f t="shared" ref="E93:E95" si="8">IFERROR(IF(OR(AND(D93="",C93=""),AND(D93=0,C93=0)),"",
IF(OR(D93="",D93=0),1,
IF(OR(D93&lt;&gt;"",D93&lt;&gt;0),(C93-D93)/ABS(D93)))),-1)</f>
        <v>1.1082783019473874E-2</v>
      </c>
      <c r="F93" s="346">
        <v>3080836</v>
      </c>
      <c r="G93" s="346">
        <v>2718</v>
      </c>
      <c r="H93" s="346">
        <v>2955</v>
      </c>
      <c r="I93" s="346">
        <v>2956</v>
      </c>
    </row>
    <row r="94" spans="1:10" ht="14.25" x14ac:dyDescent="0.2">
      <c r="A94" s="237" t="s">
        <v>118</v>
      </c>
      <c r="B94" s="238">
        <f>SUMIFS(Data!$AA:$AA,Data!$AE:$AE,"1")/1000000</f>
        <v>69186.907848950985</v>
      </c>
      <c r="C94" s="238">
        <f>Data!BP76/1000000</f>
        <v>295561.59562072798</v>
      </c>
      <c r="D94" s="238">
        <f>Data!BP82/1000000</f>
        <v>240477.85061060995</v>
      </c>
      <c r="E94" s="275">
        <f t="shared" si="8"/>
        <v>0.22905953654464226</v>
      </c>
      <c r="F94" s="346">
        <v>674379</v>
      </c>
      <c r="G94" s="346">
        <v>566037</v>
      </c>
      <c r="H94" s="346">
        <v>943312</v>
      </c>
      <c r="I94" s="346">
        <v>736984</v>
      </c>
    </row>
    <row r="95" spans="1:10" ht="14.25" x14ac:dyDescent="0.2">
      <c r="A95" s="237" t="s">
        <v>141</v>
      </c>
      <c r="B95" s="238">
        <f>SUMIFS(Data!$AK:$AK,Data!$AL:$AL,"1")</f>
        <v>110059</v>
      </c>
      <c r="C95" s="238">
        <f>B95</f>
        <v>110059</v>
      </c>
      <c r="D95" s="238">
        <f>Data!BP88</f>
        <v>126321</v>
      </c>
      <c r="E95" s="275">
        <f t="shared" si="8"/>
        <v>-0.12873552299300986</v>
      </c>
      <c r="F95" s="346">
        <v>111034</v>
      </c>
      <c r="G95" s="346">
        <v>117783</v>
      </c>
      <c r="H95" s="346">
        <v>65553</v>
      </c>
      <c r="I95" s="346">
        <v>89089</v>
      </c>
    </row>
    <row r="96" spans="1:10" ht="14.25" x14ac:dyDescent="0.2">
      <c r="A96" s="237"/>
      <c r="B96" s="238"/>
      <c r="C96" s="238"/>
      <c r="D96" s="238"/>
      <c r="E96" s="237"/>
      <c r="F96" s="346"/>
      <c r="G96" s="346"/>
      <c r="H96" s="346"/>
      <c r="I96" s="346"/>
    </row>
    <row r="97" spans="1:12" ht="15" x14ac:dyDescent="0.25">
      <c r="A97" s="277" t="s">
        <v>15</v>
      </c>
      <c r="B97" s="238"/>
      <c r="C97" s="238"/>
      <c r="D97" s="238"/>
      <c r="E97" s="237"/>
      <c r="F97" s="346"/>
      <c r="G97" s="346"/>
      <c r="H97" s="346"/>
      <c r="I97" s="346"/>
    </row>
    <row r="98" spans="1:12" ht="14.25" x14ac:dyDescent="0.2">
      <c r="A98" s="237" t="s">
        <v>116</v>
      </c>
      <c r="B98" s="238">
        <f>SUMIFS(Data!$AC:$AC,Data!$AE:$AE,"0")</f>
        <v>2681</v>
      </c>
      <c r="C98" s="238">
        <f>Data!BR79</f>
        <v>15757</v>
      </c>
      <c r="D98" s="238">
        <f>Data!BR85</f>
        <v>12292</v>
      </c>
      <c r="E98" s="275">
        <f>IFERROR(IF(OR(AND(D98="",C98=""),AND(D98=0,C98=0)),"",
IF(OR(D98="",D98=0),1,
IF(OR(D98&lt;&gt;"",D98&lt;&gt;0),(C98-D98)/ABS(D98)))),-1)</f>
        <v>0.28189066059225515</v>
      </c>
      <c r="F98" s="346">
        <v>34033</v>
      </c>
      <c r="G98" s="346">
        <v>30024</v>
      </c>
      <c r="H98" s="346">
        <v>43815</v>
      </c>
      <c r="I98" s="346">
        <v>42966</v>
      </c>
    </row>
    <row r="99" spans="1:12" ht="14.25" x14ac:dyDescent="0.2">
      <c r="A99" s="237" t="s">
        <v>140</v>
      </c>
      <c r="B99" s="238">
        <f>SUMIFS(Data!$AB:$AB,Data!$AE:$AE,"0")/1000</f>
        <v>27.632999999999999</v>
      </c>
      <c r="C99" s="238">
        <f>Data!BQ79</f>
        <v>164169</v>
      </c>
      <c r="D99" s="238">
        <f>Data!BQ85</f>
        <v>120016</v>
      </c>
      <c r="E99" s="275">
        <f t="shared" ref="E99:E100" si="9">IFERROR(IF(OR(AND(D99="",C99=""),AND(D99=0,C99=0)),"",
IF(OR(D99="",D99=0),1,
IF(OR(D99&lt;&gt;"",D99&lt;&gt;0),(C99-D99)/ABS(D99)))),-1)</f>
        <v>0.36789261431809089</v>
      </c>
      <c r="F99" s="346">
        <v>351110</v>
      </c>
      <c r="G99" s="346">
        <v>291</v>
      </c>
      <c r="H99" s="346">
        <v>471</v>
      </c>
      <c r="I99" s="346">
        <v>544</v>
      </c>
    </row>
    <row r="100" spans="1:12" ht="14.25" x14ac:dyDescent="0.2">
      <c r="A100" s="237" t="s">
        <v>118</v>
      </c>
      <c r="B100" s="238">
        <f>SUMIFS(Data!$AA:$AA,Data!$AE:$AE,"0")/1000000</f>
        <v>393.73720744999997</v>
      </c>
      <c r="C100" s="238">
        <f>Data!BP79/1000000</f>
        <v>3146.6766078299897</v>
      </c>
      <c r="D100" s="238">
        <f>Data!BP85/1000000</f>
        <v>857.96356161998995</v>
      </c>
      <c r="E100" s="275">
        <f t="shared" si="9"/>
        <v>2.6676110135592435</v>
      </c>
      <c r="F100" s="346">
        <v>4094</v>
      </c>
      <c r="G100" s="346">
        <v>3233</v>
      </c>
      <c r="H100" s="346">
        <v>14527</v>
      </c>
      <c r="I100" s="346">
        <v>12378</v>
      </c>
    </row>
    <row r="101" spans="1:12" ht="14.25" x14ac:dyDescent="0.2">
      <c r="A101" s="237" t="s">
        <v>141</v>
      </c>
      <c r="B101" s="238">
        <f>SUMIFS(Data!$AK:$AK,Data!$AL:$AL,"0")</f>
        <v>60710</v>
      </c>
      <c r="C101" s="238">
        <f>B101</f>
        <v>60710</v>
      </c>
      <c r="D101" s="238">
        <f>Data!BP91</f>
        <v>57136</v>
      </c>
      <c r="E101" s="275">
        <f>IFERROR(IF(OR(AND(D101="",C101=""),AND(D101=0,C101=0)),"",
IF(OR(D101="",D101=0),1,
IF(OR(D101&lt;&gt;"",D101&lt;&gt;0),(C101-D101)/ABS(D101)))),-1)</f>
        <v>6.2552506300756094E-2</v>
      </c>
      <c r="F101" s="346">
        <v>71176</v>
      </c>
      <c r="G101" s="346">
        <v>50578</v>
      </c>
      <c r="H101" s="346">
        <v>36968</v>
      </c>
      <c r="I101" s="346">
        <v>87294</v>
      </c>
    </row>
    <row r="102" spans="1:12" s="236" customFormat="1" ht="14.25" x14ac:dyDescent="0.2">
      <c r="A102" s="237"/>
      <c r="B102" s="346"/>
      <c r="C102" s="346"/>
      <c r="D102" s="346"/>
      <c r="E102" s="275"/>
      <c r="F102" s="346"/>
      <c r="G102" s="346"/>
      <c r="H102" s="346"/>
      <c r="I102" s="346"/>
      <c r="K102" s="251"/>
      <c r="L102" s="251"/>
    </row>
    <row r="103" spans="1:12" s="236" customFormat="1" ht="14.25" x14ac:dyDescent="0.2">
      <c r="A103" s="237"/>
      <c r="B103" s="346"/>
      <c r="C103" s="346"/>
      <c r="D103" s="346"/>
      <c r="E103" s="275"/>
      <c r="F103" s="346"/>
      <c r="G103" s="346"/>
      <c r="H103" s="346"/>
      <c r="I103" s="346"/>
      <c r="K103" s="251"/>
      <c r="L103" s="251"/>
    </row>
    <row r="104" spans="1:12" s="236" customFormat="1" ht="14.25" x14ac:dyDescent="0.2">
      <c r="A104" s="237"/>
      <c r="B104" s="346"/>
      <c r="C104" s="346"/>
      <c r="D104" s="346"/>
      <c r="E104" s="275"/>
      <c r="F104" s="346"/>
      <c r="G104" s="346"/>
      <c r="H104" s="346"/>
      <c r="I104" s="346"/>
      <c r="K104" s="251"/>
      <c r="L104" s="251"/>
    </row>
    <row r="105" spans="1:12" s="236" customFormat="1" ht="14.25" x14ac:dyDescent="0.2">
      <c r="A105" s="237"/>
      <c r="B105" s="346"/>
      <c r="C105" s="346"/>
      <c r="D105" s="346"/>
      <c r="E105" s="275"/>
      <c r="F105" s="346"/>
      <c r="G105" s="346"/>
      <c r="H105" s="346"/>
      <c r="I105" s="346"/>
      <c r="K105" s="251"/>
      <c r="L105" s="251"/>
    </row>
    <row r="106" spans="1:12" s="236" customFormat="1" ht="14.25" x14ac:dyDescent="0.2">
      <c r="A106" s="237"/>
      <c r="B106" s="346"/>
      <c r="C106" s="346"/>
      <c r="D106" s="346"/>
      <c r="E106" s="275"/>
      <c r="F106" s="346"/>
      <c r="G106" s="346"/>
      <c r="H106" s="346"/>
      <c r="I106" s="346"/>
      <c r="K106" s="251"/>
      <c r="L106" s="251"/>
    </row>
    <row r="107" spans="1:12" s="236" customFormat="1" ht="14.25" x14ac:dyDescent="0.2">
      <c r="A107" s="237"/>
      <c r="B107" s="346"/>
      <c r="C107" s="346"/>
      <c r="D107" s="346"/>
      <c r="E107" s="275"/>
      <c r="F107" s="346"/>
      <c r="G107" s="346"/>
      <c r="H107" s="346"/>
      <c r="I107" s="346"/>
      <c r="K107" s="251"/>
      <c r="L107" s="251"/>
    </row>
    <row r="108" spans="1:12" s="236" customFormat="1" ht="14.25" x14ac:dyDescent="0.2">
      <c r="A108" s="237"/>
      <c r="B108" s="346"/>
      <c r="C108" s="346"/>
      <c r="D108" s="346"/>
      <c r="E108" s="275"/>
      <c r="F108" s="346"/>
      <c r="G108" s="346"/>
      <c r="H108" s="346"/>
      <c r="I108" s="346"/>
      <c r="K108" s="251"/>
      <c r="L108" s="251"/>
    </row>
    <row r="109" spans="1:12" s="236" customFormat="1" ht="14.25" x14ac:dyDescent="0.2">
      <c r="A109" s="237"/>
      <c r="B109" s="346"/>
      <c r="C109" s="346"/>
      <c r="D109" s="346"/>
      <c r="E109" s="275"/>
      <c r="F109" s="346"/>
      <c r="G109" s="346"/>
      <c r="H109" s="346"/>
      <c r="I109" s="346"/>
      <c r="K109" s="251"/>
      <c r="L109" s="251"/>
    </row>
    <row r="110" spans="1:12" s="236" customFormat="1" ht="14.25" x14ac:dyDescent="0.2">
      <c r="A110" s="237"/>
      <c r="B110" s="346"/>
      <c r="C110" s="346"/>
      <c r="D110" s="346"/>
      <c r="E110" s="275"/>
      <c r="F110" s="346"/>
      <c r="G110" s="346"/>
      <c r="H110" s="346"/>
      <c r="I110" s="346"/>
      <c r="K110" s="251"/>
      <c r="L110" s="251"/>
    </row>
    <row r="111" spans="1:12" s="236" customFormat="1" ht="14.25" x14ac:dyDescent="0.2">
      <c r="A111" s="237"/>
      <c r="B111" s="346"/>
      <c r="C111" s="346"/>
      <c r="D111" s="346"/>
      <c r="E111" s="275"/>
      <c r="F111" s="346"/>
      <c r="G111" s="346"/>
      <c r="H111" s="346"/>
      <c r="I111" s="346"/>
      <c r="K111" s="251"/>
      <c r="L111" s="251"/>
    </row>
    <row r="112" spans="1:12" s="236" customFormat="1" ht="14.25" x14ac:dyDescent="0.2">
      <c r="A112" s="237"/>
      <c r="B112" s="346"/>
      <c r="C112" s="346"/>
      <c r="D112" s="346"/>
      <c r="E112" s="275"/>
      <c r="F112" s="346"/>
      <c r="G112" s="346"/>
      <c r="H112" s="346"/>
      <c r="I112" s="346"/>
      <c r="K112" s="251"/>
      <c r="L112" s="251"/>
    </row>
    <row r="113" spans="1:12" s="236" customFormat="1" ht="14.25" x14ac:dyDescent="0.2">
      <c r="A113" s="237"/>
      <c r="B113" s="346"/>
      <c r="C113" s="346"/>
      <c r="D113" s="346"/>
      <c r="E113" s="275"/>
      <c r="F113" s="346"/>
      <c r="G113" s="346"/>
      <c r="H113" s="346"/>
      <c r="I113" s="346"/>
      <c r="K113" s="251"/>
      <c r="L113" s="251"/>
    </row>
    <row r="114" spans="1:12" s="236" customFormat="1" ht="14.25" x14ac:dyDescent="0.2">
      <c r="A114" s="237"/>
      <c r="B114" s="346"/>
      <c r="C114" s="346"/>
      <c r="D114" s="346"/>
      <c r="E114" s="275"/>
      <c r="F114" s="346"/>
      <c r="G114" s="346"/>
      <c r="H114" s="346"/>
      <c r="I114" s="346"/>
      <c r="K114" s="251"/>
      <c r="L114" s="251"/>
    </row>
    <row r="115" spans="1:12" s="236" customFormat="1" ht="14.25" x14ac:dyDescent="0.2">
      <c r="A115" s="237"/>
      <c r="B115" s="346"/>
      <c r="C115" s="346"/>
      <c r="D115" s="346"/>
      <c r="E115" s="275"/>
      <c r="F115" s="346"/>
      <c r="G115" s="346"/>
      <c r="H115" s="346"/>
      <c r="I115" s="346"/>
      <c r="K115" s="251"/>
      <c r="L115" s="251"/>
    </row>
    <row r="116" spans="1:12" s="236" customFormat="1" ht="14.25" x14ac:dyDescent="0.2">
      <c r="A116" s="237"/>
      <c r="B116" s="346"/>
      <c r="C116" s="346"/>
      <c r="D116" s="346"/>
      <c r="E116" s="275"/>
      <c r="F116" s="346"/>
      <c r="G116" s="346"/>
      <c r="H116" s="346"/>
      <c r="I116" s="346"/>
      <c r="K116" s="251"/>
      <c r="L116" s="251"/>
    </row>
    <row r="117" spans="1:12" s="236" customFormat="1" ht="14.25" x14ac:dyDescent="0.2">
      <c r="A117" s="237"/>
      <c r="B117" s="346"/>
      <c r="C117" s="346"/>
      <c r="D117" s="346"/>
      <c r="E117" s="275"/>
      <c r="F117" s="346"/>
      <c r="G117" s="346"/>
      <c r="H117" s="346"/>
      <c r="I117" s="346"/>
      <c r="K117" s="251"/>
      <c r="L117" s="251"/>
    </row>
    <row r="118" spans="1:12" s="236" customFormat="1" ht="14.25" x14ac:dyDescent="0.2">
      <c r="A118" s="237"/>
      <c r="B118" s="346"/>
      <c r="C118" s="346"/>
      <c r="D118" s="346"/>
      <c r="E118" s="275"/>
      <c r="F118" s="346"/>
      <c r="G118" s="346"/>
      <c r="H118" s="346"/>
      <c r="I118" s="346"/>
      <c r="K118" s="251"/>
      <c r="L118" s="251"/>
    </row>
    <row r="119" spans="1:12" x14ac:dyDescent="0.2">
      <c r="B119" s="3"/>
    </row>
    <row r="120" spans="1:12" ht="12.75" customHeight="1" x14ac:dyDescent="0.2">
      <c r="B120" s="3"/>
      <c r="F120" s="362" t="s">
        <v>191</v>
      </c>
      <c r="G120" s="362"/>
      <c r="H120" s="362"/>
      <c r="I120" s="124"/>
    </row>
    <row r="121" spans="1:12" ht="12.75" customHeight="1" x14ac:dyDescent="0.2">
      <c r="B121" s="3"/>
      <c r="F121" s="362"/>
      <c r="G121" s="362"/>
      <c r="H121" s="362"/>
      <c r="I121" s="124"/>
      <c r="J121" s="155"/>
    </row>
    <row r="122" spans="1:12" ht="13.5" thickBot="1" x14ac:dyDescent="0.25">
      <c r="A122" s="121" t="s">
        <v>119</v>
      </c>
      <c r="B122" s="116"/>
      <c r="C122" s="115"/>
      <c r="D122" s="116"/>
      <c r="E122" s="116"/>
      <c r="F122" s="115"/>
      <c r="G122" s="116"/>
      <c r="H122" s="115"/>
      <c r="I122" s="115"/>
      <c r="J122" s="155"/>
    </row>
    <row r="123" spans="1:12" ht="15" x14ac:dyDescent="0.25">
      <c r="A123" s="298"/>
      <c r="B123" s="193" t="s">
        <v>163</v>
      </c>
      <c r="C123" s="270"/>
      <c r="D123" s="187"/>
      <c r="E123" s="270"/>
      <c r="F123" s="270"/>
      <c r="G123" s="270" t="s">
        <v>164</v>
      </c>
      <c r="H123" s="270"/>
      <c r="I123" s="270"/>
      <c r="J123" s="155"/>
    </row>
    <row r="124" spans="1:12" ht="15.75" thickBot="1" x14ac:dyDescent="0.3">
      <c r="A124" s="283"/>
      <c r="B124" s="271" t="str">
        <f>TEXT($H$3,"MMM")&amp;" "&amp;TEXT($H$3,"YYYY")</f>
        <v>May 2019</v>
      </c>
      <c r="C124" s="271" t="str">
        <f>TEXT(DATE(2000,TEXT(H3,"M")-1,1),"mmm")&amp; " "&amp; TEXT(H3,"YYYY")</f>
        <v>Apr 2019</v>
      </c>
      <c r="D124" s="273" t="s">
        <v>120</v>
      </c>
      <c r="E124" s="271"/>
      <c r="F124" s="271"/>
      <c r="G124" s="271" t="str">
        <f>TEXT($H$3,"MMM")&amp;" "&amp;TEXT($H$3,"YYYY")</f>
        <v>May 2019</v>
      </c>
      <c r="H124" s="271" t="str">
        <f>TEXT($H$3,"MMM")&amp;" "&amp;TEXT($H$3,"YYYY")-1</f>
        <v>May 2018</v>
      </c>
      <c r="I124" s="273" t="s">
        <v>120</v>
      </c>
      <c r="J124" s="155"/>
    </row>
    <row r="125" spans="1:12" ht="14.25" x14ac:dyDescent="0.2">
      <c r="A125" s="237" t="s">
        <v>121</v>
      </c>
      <c r="B125" s="307">
        <f>VLOOKUP("ABuy",Data!$J$1:$M$5,4,FALSE)/1000000</f>
        <v>147194.64616013644</v>
      </c>
      <c r="C125" s="307">
        <f>VLOOKUP("ABuy",Data!$J$7:$M$11,4,FALSE)/1000000</f>
        <v>126753.62660731953</v>
      </c>
      <c r="D125" s="177">
        <f>((B125/C125)-1)</f>
        <v>0.16126575704332957</v>
      </c>
      <c r="E125" s="307"/>
      <c r="F125" s="307"/>
      <c r="G125" s="307">
        <f>VLOOKUP("Abuy",Data!$J$13:$M$17,4,FALSE)/1000000</f>
        <v>141849.62443417002</v>
      </c>
      <c r="H125" s="307">
        <f>VLOOKUP("Abuy",Data!$J$19:$M$23,4,FALSE)/1000000</f>
        <v>119993.83037863001</v>
      </c>
      <c r="I125" s="191">
        <f>((G125/H125)-1)</f>
        <v>0.18214098163693904</v>
      </c>
      <c r="J125" s="155"/>
    </row>
    <row r="126" spans="1:12" ht="14.25" x14ac:dyDescent="0.2">
      <c r="A126" s="237" t="s">
        <v>122</v>
      </c>
      <c r="B126" s="307">
        <f>VLOOKUP("ASell",Data!$J$1:$M$5,4,FALSE)/1000000</f>
        <v>151405.73935415727</v>
      </c>
      <c r="C126" s="307">
        <f>VLOOKUP("Asell",Data!$J$7:$M$11,4,FALSE)/1000000</f>
        <v>130169.0600045852</v>
      </c>
      <c r="D126" s="191">
        <f t="shared" ref="D126:D128" si="10">((B126/C126)-1)</f>
        <v>0.16314690563812939</v>
      </c>
      <c r="E126" s="307"/>
      <c r="F126" s="307"/>
      <c r="G126" s="307">
        <f>VLOOKUP("Asell",Data!$J$13:$M$17,4,FALSE)/1000000</f>
        <v>146108.44106644997</v>
      </c>
      <c r="H126" s="307">
        <f>VLOOKUP("Asell",Data!$J$19:$M$23,4,FALSE)/1000000</f>
        <v>123913.89483555</v>
      </c>
      <c r="I126" s="191">
        <f t="shared" ref="I126:I128" si="11">((G126/H126)-1)</f>
        <v>0.17911265125154086</v>
      </c>
      <c r="J126" s="155"/>
    </row>
    <row r="127" spans="1:12" ht="14.25" x14ac:dyDescent="0.2">
      <c r="A127" s="237" t="s">
        <v>123</v>
      </c>
      <c r="B127" s="307">
        <f>VLOOKUP("PBuy",Data!$J$1:$M$5,4,FALSE)/1000000</f>
        <v>290232.93402816891</v>
      </c>
      <c r="C127" s="307">
        <f>VLOOKUP("Pbuy",Data!$J$7:$M$11,4,FALSE)/1000000</f>
        <v>224892.27309662229</v>
      </c>
      <c r="D127" s="191">
        <f t="shared" si="10"/>
        <v>0.29054204500602743</v>
      </c>
      <c r="E127" s="307"/>
      <c r="F127" s="307"/>
      <c r="G127" s="307">
        <f>VLOOKUP("Pbuy",Data!$J$13:$M$17,4,FALSE)/1000000</f>
        <v>283544.00258094002</v>
      </c>
      <c r="H127" s="307">
        <f>VLOOKUP("Pbuy",Data!$J$19:$M$23,4,FALSE)/1000000</f>
        <v>214342.20341231002</v>
      </c>
      <c r="I127" s="191">
        <f t="shared" si="11"/>
        <v>0.32285661930755172</v>
      </c>
      <c r="J127" s="155"/>
    </row>
    <row r="128" spans="1:12" ht="14.25" x14ac:dyDescent="0.2">
      <c r="A128" s="237" t="s">
        <v>124</v>
      </c>
      <c r="B128" s="307">
        <f>VLOOKUP("PSell",Data!$J$1:$M$5,4,FALSE)/1000000</f>
        <v>286021.84083414805</v>
      </c>
      <c r="C128" s="307">
        <f>VLOOKUP("Psell",Data!$J$7:$M$11,4,FALSE)/1000000</f>
        <v>221476.83969935658</v>
      </c>
      <c r="D128" s="191">
        <f t="shared" si="10"/>
        <v>0.29143002592238543</v>
      </c>
      <c r="E128" s="307"/>
      <c r="F128" s="307"/>
      <c r="G128" s="307">
        <f>VLOOKUP("Psell",Data!$J$13:$M$17,4,FALSE)/1000000</f>
        <v>279285.18594865996</v>
      </c>
      <c r="H128" s="307">
        <f>VLOOKUP("Psell",Data!$J$19:$M$23,4,FALSE)/1000000</f>
        <v>210422.13895539002</v>
      </c>
      <c r="I128" s="191">
        <f t="shared" si="11"/>
        <v>0.32726141524428209</v>
      </c>
      <c r="J128" s="155"/>
    </row>
    <row r="129" spans="1:10" ht="14.25" x14ac:dyDescent="0.2">
      <c r="A129" s="237"/>
      <c r="B129" s="238"/>
      <c r="C129" s="238"/>
      <c r="D129" s="237"/>
      <c r="E129" s="238"/>
      <c r="F129" s="238"/>
      <c r="G129" s="237"/>
      <c r="H129" s="237"/>
      <c r="I129" s="237"/>
      <c r="J129" s="155"/>
    </row>
    <row r="130" spans="1:10" ht="15.75" thickBot="1" x14ac:dyDescent="0.3">
      <c r="A130" s="267" t="s">
        <v>125</v>
      </c>
      <c r="B130" s="268"/>
      <c r="C130" s="268"/>
      <c r="D130" s="268"/>
      <c r="E130" s="268"/>
      <c r="F130" s="268"/>
      <c r="G130" s="268"/>
      <c r="H130" s="267"/>
      <c r="I130" s="267"/>
      <c r="J130" s="155"/>
    </row>
    <row r="131" spans="1:10" ht="15.75" thickBot="1" x14ac:dyDescent="0.3">
      <c r="A131" s="283"/>
      <c r="B131" s="273" t="s">
        <v>126</v>
      </c>
      <c r="C131" s="273" t="s">
        <v>4</v>
      </c>
      <c r="D131" s="367" t="s">
        <v>127</v>
      </c>
      <c r="E131" s="367"/>
      <c r="F131" s="273" t="s">
        <v>128</v>
      </c>
      <c r="G131" s="363" t="s">
        <v>129</v>
      </c>
      <c r="H131" s="363"/>
      <c r="I131" s="273" t="s">
        <v>28</v>
      </c>
      <c r="J131" s="155"/>
    </row>
    <row r="132" spans="1:10" ht="15" x14ac:dyDescent="0.25">
      <c r="A132" s="277"/>
      <c r="B132" s="300"/>
      <c r="C132" s="300"/>
      <c r="D132" s="300"/>
      <c r="E132" s="300"/>
      <c r="F132" s="300"/>
      <c r="G132" s="300"/>
      <c r="H132" s="237"/>
      <c r="I132" s="300"/>
      <c r="J132" s="155"/>
    </row>
    <row r="133" spans="1:10" ht="14.25" x14ac:dyDescent="0.2">
      <c r="A133" s="237" t="s">
        <v>116</v>
      </c>
      <c r="B133" s="196">
        <v>667996</v>
      </c>
      <c r="C133" s="319">
        <v>42349</v>
      </c>
      <c r="D133" s="366">
        <v>1959547</v>
      </c>
      <c r="E133" s="366"/>
      <c r="F133" s="319">
        <v>42349</v>
      </c>
      <c r="G133" s="366">
        <v>7331360</v>
      </c>
      <c r="H133" s="366"/>
      <c r="I133" s="189" t="s">
        <v>520</v>
      </c>
    </row>
    <row r="134" spans="1:10" ht="14.25" x14ac:dyDescent="0.2">
      <c r="A134" s="237" t="s">
        <v>510</v>
      </c>
      <c r="B134" s="348">
        <v>1391491</v>
      </c>
      <c r="C134" s="354">
        <v>43012</v>
      </c>
      <c r="D134" s="366">
        <f>2513652909/1000000</f>
        <v>2513.6529089999999</v>
      </c>
      <c r="E134" s="366"/>
      <c r="F134" s="319">
        <v>42349</v>
      </c>
      <c r="G134" s="366">
        <v>9748834</v>
      </c>
      <c r="H134" s="366"/>
      <c r="I134" s="195" t="s">
        <v>130</v>
      </c>
    </row>
    <row r="135" spans="1:10" ht="14.25" x14ac:dyDescent="0.2">
      <c r="A135" s="237" t="s">
        <v>509</v>
      </c>
      <c r="B135" s="348">
        <v>74815</v>
      </c>
      <c r="C135" s="354">
        <v>43090</v>
      </c>
      <c r="D135" s="366">
        <v>165827</v>
      </c>
      <c r="E135" s="366"/>
      <c r="F135" s="319">
        <v>42631</v>
      </c>
      <c r="G135" s="366">
        <v>612552</v>
      </c>
      <c r="H135" s="366"/>
      <c r="I135" s="195" t="s">
        <v>520</v>
      </c>
    </row>
    <row r="136" spans="1:10" ht="14.25" x14ac:dyDescent="0.2">
      <c r="A136" s="237" t="s">
        <v>485</v>
      </c>
      <c r="B136" s="190">
        <v>16176.59</v>
      </c>
      <c r="C136" s="354">
        <v>43039</v>
      </c>
      <c r="D136" s="196"/>
      <c r="E136" s="195"/>
      <c r="F136" s="196"/>
      <c r="G136" s="195"/>
      <c r="H136" s="293"/>
      <c r="I136" s="293"/>
    </row>
    <row r="137" spans="1:10" ht="13.5" thickBot="1" x14ac:dyDescent="0.25">
      <c r="A137" s="108"/>
      <c r="B137" s="108"/>
      <c r="C137" s="108"/>
      <c r="D137" s="108"/>
      <c r="E137" s="108"/>
      <c r="F137" s="108"/>
      <c r="G137" s="108"/>
      <c r="H137" s="108"/>
      <c r="I137" s="108"/>
    </row>
    <row r="138" spans="1:10" ht="13.5" thickTop="1" x14ac:dyDescent="0.2"/>
    <row r="143" spans="1:10" ht="12.75" customHeight="1" x14ac:dyDescent="0.2">
      <c r="A143" s="107" t="str">
        <f>"Market Profile - "&amp; TEXT($H$3,"MMM")&amp;" "&amp;TEXT($H$3,"YYYY")</f>
        <v>Market Profile - May 2019</v>
      </c>
      <c r="G143" s="124"/>
      <c r="H143" s="124"/>
    </row>
    <row r="144" spans="1:10" ht="12.75" customHeight="1" x14ac:dyDescent="0.2">
      <c r="F144" s="362" t="s">
        <v>191</v>
      </c>
      <c r="G144" s="362"/>
      <c r="H144" s="362"/>
    </row>
    <row r="145" spans="1:11" x14ac:dyDescent="0.2">
      <c r="F145" s="362"/>
      <c r="G145" s="362"/>
      <c r="H145" s="362"/>
    </row>
    <row r="146" spans="1:11" x14ac:dyDescent="0.2">
      <c r="K146" s="125"/>
    </row>
    <row r="147" spans="1:11" ht="13.5" thickBot="1" x14ac:dyDescent="0.25">
      <c r="A147" s="115" t="str">
        <f>"Position in the world league in "&amp;TEXT(DATE(YEAR(H3),MONTH(H3)-1,DAY(H3)),"MMMM") &amp;" "&amp; TEXT(H3,"YYYY")&amp;" (based on the WFE statistics)"</f>
        <v>Position in the world league in May 2019 (based on the WFE statistics)</v>
      </c>
      <c r="B147" s="120"/>
      <c r="C147" s="120"/>
      <c r="D147" s="120"/>
      <c r="E147" s="120"/>
      <c r="F147" s="120"/>
      <c r="G147" s="120"/>
      <c r="H147" s="120"/>
      <c r="I147" s="120"/>
      <c r="K147" s="125"/>
    </row>
    <row r="148" spans="1:11" ht="15" x14ac:dyDescent="0.25">
      <c r="A148" s="270"/>
      <c r="B148" s="270"/>
      <c r="C148" s="270"/>
      <c r="D148" s="270"/>
      <c r="E148" s="304"/>
      <c r="F148" s="375" t="s">
        <v>196</v>
      </c>
      <c r="G148" s="375"/>
      <c r="H148" s="375"/>
      <c r="I148" s="375"/>
    </row>
    <row r="149" spans="1:11" ht="15.75" thickBot="1" x14ac:dyDescent="0.3">
      <c r="A149" s="283"/>
      <c r="B149" s="305" t="str">
        <f>TEXT(DATE(2000,TEXT(H3,"M")-1,1),"mmm")&amp; " "&amp; TEXT(H3,"YYYY")</f>
        <v>Apr 2019</v>
      </c>
      <c r="C149" s="273" t="s">
        <v>16</v>
      </c>
      <c r="D149" s="305" t="str">
        <f>TEXT(DATE(2000,TEXT(H3,"M")-1,1),"mmm")&amp; " "&amp; TEXT(H3,"YYYY")-1</f>
        <v>Apr 2018</v>
      </c>
      <c r="E149" s="306" t="s">
        <v>16</v>
      </c>
      <c r="F149" s="283">
        <f>TEXT($H$3,"YYYY")-1</f>
        <v>2018</v>
      </c>
      <c r="G149" s="273">
        <f>TEXT($H$3,"YYYY")-2</f>
        <v>2017</v>
      </c>
      <c r="H149" s="283">
        <f>TEXT($H$3,"YYYY")-3</f>
        <v>2016</v>
      </c>
      <c r="I149" s="273">
        <f>TEXT($H$3,"YYYY")-4</f>
        <v>2015</v>
      </c>
    </row>
    <row r="150" spans="1:11" ht="14.25" x14ac:dyDescent="0.2">
      <c r="A150" s="237" t="s">
        <v>17</v>
      </c>
      <c r="B150" s="349">
        <v>982563.57737546402</v>
      </c>
      <c r="C150" s="325">
        <v>18</v>
      </c>
      <c r="D150" s="349">
        <v>1165292.3589942099</v>
      </c>
      <c r="E150" s="325">
        <v>17</v>
      </c>
      <c r="F150" s="293">
        <v>19</v>
      </c>
      <c r="G150" s="325">
        <v>17</v>
      </c>
      <c r="H150" s="293">
        <v>18</v>
      </c>
      <c r="I150" s="325">
        <v>17</v>
      </c>
      <c r="K150" s="125"/>
    </row>
    <row r="151" spans="1:11" ht="14.25" x14ac:dyDescent="0.2">
      <c r="A151" s="237" t="s">
        <v>18</v>
      </c>
      <c r="B151" s="349">
        <v>24561.080378845039</v>
      </c>
      <c r="C151" s="325">
        <v>19</v>
      </c>
      <c r="D151" s="349">
        <v>31249.586296995221</v>
      </c>
      <c r="E151" s="325">
        <v>21</v>
      </c>
      <c r="F151" s="293">
        <v>19</v>
      </c>
      <c r="G151" s="325">
        <v>20</v>
      </c>
      <c r="H151" s="293">
        <v>20</v>
      </c>
      <c r="I151" s="325">
        <v>24</v>
      </c>
      <c r="K151" s="251"/>
    </row>
    <row r="152" spans="1:11" ht="14.25" x14ac:dyDescent="0.2">
      <c r="A152" s="237" t="s">
        <v>158</v>
      </c>
      <c r="B152" s="343">
        <v>0.32455241996552581</v>
      </c>
      <c r="C152" s="325">
        <v>26</v>
      </c>
      <c r="D152" s="360">
        <v>0.39806955422400897</v>
      </c>
      <c r="E152" s="325">
        <v>26</v>
      </c>
      <c r="F152" s="293">
        <v>25</v>
      </c>
      <c r="G152" s="325">
        <v>30</v>
      </c>
      <c r="H152" s="293">
        <v>22</v>
      </c>
      <c r="I152" s="325">
        <v>29</v>
      </c>
      <c r="K152" s="251"/>
    </row>
    <row r="153" spans="1:11" ht="14.25" x14ac:dyDescent="0.2">
      <c r="A153" s="237" t="s">
        <v>159</v>
      </c>
      <c r="B153" s="343">
        <v>0.32272763720007847</v>
      </c>
      <c r="C153" s="325">
        <v>28</v>
      </c>
      <c r="D153" s="360">
        <v>0.29495502783238026</v>
      </c>
      <c r="E153" s="325">
        <v>30</v>
      </c>
      <c r="F153" s="293">
        <v>30</v>
      </c>
      <c r="G153" s="325">
        <v>25</v>
      </c>
      <c r="H153" s="293">
        <v>22</v>
      </c>
      <c r="I153" s="325">
        <v>29</v>
      </c>
      <c r="K153" s="251"/>
    </row>
    <row r="154" spans="1:11" ht="13.5" thickBot="1" x14ac:dyDescent="0.25">
      <c r="A154" s="108"/>
      <c r="B154" s="138"/>
      <c r="C154" s="139"/>
      <c r="D154" s="138"/>
      <c r="E154" s="139"/>
      <c r="F154" s="108"/>
      <c r="G154" s="139"/>
      <c r="H154" s="108"/>
      <c r="I154" s="139"/>
      <c r="K154" s="251"/>
    </row>
    <row r="155" spans="1:11" ht="13.5" thickTop="1" x14ac:dyDescent="0.2">
      <c r="A155" s="18" t="s">
        <v>19</v>
      </c>
      <c r="B155" s="18"/>
      <c r="D155" s="27"/>
      <c r="E155" s="49"/>
      <c r="K155" s="251"/>
    </row>
    <row r="156" spans="1:11" x14ac:dyDescent="0.2">
      <c r="A156" s="18" t="s">
        <v>20</v>
      </c>
      <c r="B156" s="36"/>
      <c r="K156" s="251"/>
    </row>
    <row r="157" spans="1:11" x14ac:dyDescent="0.2">
      <c r="K157" s="251"/>
    </row>
    <row r="158" spans="1:11" x14ac:dyDescent="0.2">
      <c r="A158" s="123" t="s">
        <v>160</v>
      </c>
      <c r="K158" s="251"/>
    </row>
    <row r="159" spans="1:11" ht="13.5" thickBot="1" x14ac:dyDescent="0.25">
      <c r="A159" s="116" t="s">
        <v>143</v>
      </c>
      <c r="B159" s="116"/>
      <c r="C159" s="116"/>
      <c r="D159" s="116"/>
      <c r="E159" s="116"/>
      <c r="F159" s="116"/>
      <c r="G159" s="116"/>
      <c r="H159" s="116"/>
      <c r="I159" s="116"/>
    </row>
    <row r="160" spans="1:11" ht="15" x14ac:dyDescent="0.25">
      <c r="A160" s="270"/>
      <c r="B160" s="269" t="s">
        <v>1</v>
      </c>
      <c r="C160" s="269" t="s">
        <v>172</v>
      </c>
      <c r="D160" s="269" t="s">
        <v>172</v>
      </c>
      <c r="E160" s="269" t="s">
        <v>2</v>
      </c>
      <c r="F160" s="308"/>
      <c r="G160" s="270"/>
      <c r="H160" s="270"/>
      <c r="I160" s="270"/>
    </row>
    <row r="161" spans="1:9" ht="15" x14ac:dyDescent="0.25">
      <c r="A161" s="270"/>
      <c r="B161" s="269" t="s">
        <v>3</v>
      </c>
      <c r="C161" s="269" t="s">
        <v>171</v>
      </c>
      <c r="D161" s="269" t="s">
        <v>171</v>
      </c>
      <c r="E161" s="269" t="s">
        <v>5</v>
      </c>
      <c r="F161" s="308"/>
      <c r="G161" s="270"/>
      <c r="H161" s="270"/>
      <c r="I161" s="270"/>
    </row>
    <row r="162" spans="1:9" ht="15.75" thickBot="1" x14ac:dyDescent="0.3">
      <c r="A162" s="283"/>
      <c r="B162" s="271" t="str">
        <f>TEXT($H$3,"MMM")&amp;" "&amp;TEXT($H$3,"YYYY")</f>
        <v>May 2019</v>
      </c>
      <c r="C162" s="271" t="str">
        <f>TEXT($H$3,"YYYY")</f>
        <v>2019</v>
      </c>
      <c r="D162" s="271">
        <f>TEXT($H$3,"YYYY")-1</f>
        <v>2018</v>
      </c>
      <c r="E162" s="273" t="s">
        <v>6</v>
      </c>
      <c r="F162" s="273">
        <f>TEXT($H$3,"YYYY")-1</f>
        <v>2018</v>
      </c>
      <c r="G162" s="273">
        <f>TEXT($H$3,"YYYY")-2</f>
        <v>2017</v>
      </c>
      <c r="H162" s="273">
        <f>TEXT($H$3,"YYYY")-3</f>
        <v>2016</v>
      </c>
      <c r="I162" s="273">
        <f>TEXT($H$3,"YYYY")-4</f>
        <v>2015</v>
      </c>
    </row>
    <row r="163" spans="1:9" ht="14.25" x14ac:dyDescent="0.2">
      <c r="A163" s="237" t="s">
        <v>21</v>
      </c>
      <c r="B163" s="186">
        <f>SUMIF(Data!$DG$1:$DG$15,"AS",Data!$DH$1:$DH$15)/1000000</f>
        <v>169.3356</v>
      </c>
      <c r="C163" s="341">
        <f>SUMIF(Data!$DJ$1:$DJ$15,"AS",Data!$DK$1:$DK$15)/1000000</f>
        <v>942.40990835000002</v>
      </c>
      <c r="D163" s="341">
        <f>SUMIF(Data!$DM$1:$DM$15,"AS",Data!$DN$1:$DN$15)/1000000</f>
        <v>1288.7453455799998</v>
      </c>
      <c r="E163" s="343">
        <f>IFERROR(IF(OR(AND(D163="",C163=""),AND(D163=0,C163=0)),0,
IF(OR(D163="",D163=0),1,
IF(OR(D163&lt;&gt;"",D163&lt;&gt;0),(C163-D163)/ABS(D163)))),-1)</f>
        <v>-0.26873845823600745</v>
      </c>
      <c r="F163" s="348">
        <v>5231</v>
      </c>
      <c r="G163" s="349">
        <v>23315</v>
      </c>
      <c r="H163" s="349">
        <v>13085</v>
      </c>
      <c r="I163" s="349">
        <v>93130</v>
      </c>
    </row>
    <row r="164" spans="1:9" ht="14.25" x14ac:dyDescent="0.2">
      <c r="A164" s="237" t="s">
        <v>22</v>
      </c>
      <c r="B164" s="186">
        <f>(SUMIF(Data!$DG$1:$DG$15,"RT",Data!$DH$1:$DH$15)+SUMIF(Data!$DG$1:$DG$15,"TU",Data!$DH$1:$DH$15))/1000000</f>
        <v>0</v>
      </c>
      <c r="C164" s="341">
        <f>(SUMIF(Data!$DJ$1:$DJ$15,"RT",Data!$DK$1:$DK$15)+SUMIF(Data!$DJ$1:$DJ$15,"TU",Data!$DK$1:$DK$15))/1000000</f>
        <v>1161.1092679999999</v>
      </c>
      <c r="D164" s="341">
        <f>(SUMIF(Data!$DM$1:$DM$15,"RT",Data!$DN$1:$DN$15)+SUMIF(Data!$DM$1:$DM$15,"TU",Data!$DN$1:$DN$15))/1000000</f>
        <v>2995.1492065700004</v>
      </c>
      <c r="E164" s="343">
        <f t="shared" ref="E164:E167" si="12">IFERROR(IF(OR(AND(D164="",C164=""),AND(D164=0,C164=0)),0,
IF(OR(D164="",D164=0),1,
IF(OR(D164&lt;&gt;"",D164&lt;&gt;0),(C164-D164)/ABS(D164)))),-1)</f>
        <v>-0.61233675255541453</v>
      </c>
      <c r="F164" s="348">
        <v>5097</v>
      </c>
      <c r="G164" s="349">
        <v>32688</v>
      </c>
      <c r="H164" s="349">
        <v>24160</v>
      </c>
      <c r="I164" s="349">
        <v>35842</v>
      </c>
    </row>
    <row r="165" spans="1:9" ht="14.25" x14ac:dyDescent="0.2">
      <c r="A165" s="237" t="s">
        <v>169</v>
      </c>
      <c r="B165" s="186">
        <v>0</v>
      </c>
      <c r="C165" s="341">
        <v>0</v>
      </c>
      <c r="D165" s="341">
        <v>0</v>
      </c>
      <c r="E165" s="343">
        <f t="shared" si="12"/>
        <v>0</v>
      </c>
      <c r="F165" s="348" t="s">
        <v>521</v>
      </c>
      <c r="G165" s="176" t="s">
        <v>522</v>
      </c>
      <c r="H165" s="176" t="s">
        <v>523</v>
      </c>
      <c r="I165" s="176" t="s">
        <v>524</v>
      </c>
    </row>
    <row r="166" spans="1:9" ht="14.25" x14ac:dyDescent="0.2">
      <c r="A166" s="237" t="s">
        <v>23</v>
      </c>
      <c r="B166" s="186">
        <f>(SUMIF(Data!$DG$1:$DG$15,"SO",Data!$DH$1:$DH$15)+SUMIF(Data!$DG$1:$DG$15,"SS",Data!$DH$1:$DH$15))/1000000</f>
        <v>77.633046109999995</v>
      </c>
      <c r="C166" s="341">
        <f>(SUMIF(Data!$DJ$1:$DJ$15,"SO",Data!$DK$1:$DK$15)+SUMIF(Data!$DJ$1:$DJ$15,"SS",Data!$DK$1:$DK$15))/1000000</f>
        <v>1802.89316549</v>
      </c>
      <c r="D166" s="341">
        <f>(SUMIF(Data!$DM$1:$DM$15,"SO",Data!$DN$1:$DN$15)+SUMIF(Data!$DM$1:$DM$15,"SS",Data!$DN$1:$DN$15))/1000000</f>
        <v>1778.8067567400001</v>
      </c>
      <c r="E166" s="343">
        <f t="shared" si="12"/>
        <v>1.35407675166148E-2</v>
      </c>
      <c r="F166" s="348">
        <v>6461</v>
      </c>
      <c r="G166" s="349">
        <v>9468</v>
      </c>
      <c r="H166" s="349">
        <v>9374</v>
      </c>
      <c r="I166" s="349">
        <v>11688</v>
      </c>
    </row>
    <row r="167" spans="1:9" ht="14.25" x14ac:dyDescent="0.2">
      <c r="A167" s="237" t="s">
        <v>24</v>
      </c>
      <c r="B167" s="186">
        <f>(SUMIF(Data!$DG$1:$DG$15,"SI",Data!$DH$1:$DH$15)+SUMIF(Data!$DG$1:$DG$15,"GI",Data!$DH$1:$DH$15))/1000000</f>
        <v>2446.1538425500003</v>
      </c>
      <c r="C167" s="341">
        <f>(SUMIF(Data!$DJ$1:$DJ$15,"SI",Data!$DK$1:$DK$15)+SUMIF(Data!$DJ$1:$DJ$15,"GI",Data!$DK$1:$DK$15))/1000000</f>
        <v>17516.306861099998</v>
      </c>
      <c r="D167" s="341">
        <f>(SUMIF(Data!$DM$1:$DM$15,"SI",Data!$DN$1:$DN$15)+SUMIF(Data!$DM$1:$DM$15,"GI",Data!$DN$1:$DN$15))/1000000</f>
        <v>12127.15860164</v>
      </c>
      <c r="E167" s="343">
        <f t="shared" si="12"/>
        <v>0.44438672210745261</v>
      </c>
      <c r="F167" s="348">
        <v>38830</v>
      </c>
      <c r="G167" s="349">
        <v>35048</v>
      </c>
      <c r="H167" s="349">
        <v>69649</v>
      </c>
      <c r="I167" s="349">
        <v>109530</v>
      </c>
    </row>
    <row r="168" spans="1:9" ht="15" x14ac:dyDescent="0.25">
      <c r="A168" s="277" t="s">
        <v>25</v>
      </c>
      <c r="B168" s="342">
        <f>SUM(B163:B167)</f>
        <v>2693.1224886600003</v>
      </c>
      <c r="C168" s="342">
        <f>SUM(C163:C167)</f>
        <v>21422.719202939996</v>
      </c>
      <c r="D168" s="342">
        <f>SUM(D163:D167)</f>
        <v>18189.859910530002</v>
      </c>
      <c r="E168" s="344">
        <f>IFERROR(IF(OR(AND(D168="",C168=""),AND(D168=0,C168=0)),0,
IF(OR(D168="",D168=0),1,
IF(OR(D168&lt;&gt;"",D168&lt;&gt;0),(C168-D168)/ABS(D168)))),-1)</f>
        <v>0.17772865257409218</v>
      </c>
      <c r="F168" s="355">
        <v>55620</v>
      </c>
      <c r="G168" s="355">
        <v>100520</v>
      </c>
      <c r="H168" s="355">
        <v>116269</v>
      </c>
      <c r="I168" s="355">
        <v>250190</v>
      </c>
    </row>
    <row r="169" spans="1:9" ht="13.5" thickBot="1" x14ac:dyDescent="0.25">
      <c r="A169" s="109"/>
      <c r="B169" s="113"/>
      <c r="C169" s="113"/>
      <c r="D169" s="113"/>
      <c r="E169" s="140"/>
      <c r="F169" s="113"/>
      <c r="G169" s="113"/>
      <c r="H169" s="113"/>
      <c r="I169" s="113"/>
    </row>
    <row r="170" spans="1:9" ht="13.5" thickTop="1" x14ac:dyDescent="0.2">
      <c r="A170" s="18" t="s">
        <v>167</v>
      </c>
      <c r="B170" s="27"/>
      <c r="D170" s="28"/>
      <c r="E170" s="28"/>
      <c r="F170" s="28"/>
    </row>
    <row r="172" spans="1:9" ht="13.5" thickBot="1" x14ac:dyDescent="0.25">
      <c r="A172" s="121" t="s">
        <v>26</v>
      </c>
      <c r="B172" s="115"/>
      <c r="C172" s="115"/>
      <c r="D172" s="115"/>
      <c r="E172" s="115"/>
      <c r="F172" s="115"/>
      <c r="G172" s="115"/>
      <c r="H172" s="115"/>
      <c r="I172" s="115"/>
    </row>
    <row r="173" spans="1:9" ht="15" x14ac:dyDescent="0.25">
      <c r="A173" s="270"/>
      <c r="B173" s="269" t="s">
        <v>1</v>
      </c>
      <c r="C173" s="269" t="s">
        <v>172</v>
      </c>
      <c r="D173" s="269" t="s">
        <v>172</v>
      </c>
      <c r="E173" s="269" t="s">
        <v>27</v>
      </c>
      <c r="F173" s="308"/>
      <c r="G173" s="270"/>
      <c r="H173" s="270"/>
      <c r="I173" s="270"/>
    </row>
    <row r="174" spans="1:9" ht="15" x14ac:dyDescent="0.25">
      <c r="A174" s="270"/>
      <c r="B174" s="269" t="s">
        <v>3</v>
      </c>
      <c r="C174" s="269" t="s">
        <v>171</v>
      </c>
      <c r="D174" s="269" t="s">
        <v>171</v>
      </c>
      <c r="E174" s="269" t="s">
        <v>5</v>
      </c>
      <c r="F174" s="308"/>
      <c r="G174" s="270"/>
      <c r="H174" s="270"/>
      <c r="I174" s="270"/>
    </row>
    <row r="175" spans="1:9" ht="15.75" thickBot="1" x14ac:dyDescent="0.3">
      <c r="A175" s="283"/>
      <c r="B175" s="271" t="str">
        <f>TEXT($H$3,"MMM")&amp;" "&amp;TEXT($H$3,"YYYY")</f>
        <v>May 2019</v>
      </c>
      <c r="C175" s="271" t="str">
        <f>TEXT($H$3,"YYYY")</f>
        <v>2019</v>
      </c>
      <c r="D175" s="271">
        <f>TEXT($H$3,"YYYY")-1</f>
        <v>2018</v>
      </c>
      <c r="E175" s="273" t="s">
        <v>6</v>
      </c>
      <c r="F175" s="273">
        <f>TEXT($H$3,"YYYY")-1</f>
        <v>2018</v>
      </c>
      <c r="G175" s="273">
        <f>TEXT($H$3,"YYYY")-2</f>
        <v>2017</v>
      </c>
      <c r="H175" s="273">
        <f>TEXT($H$3,"YYYY")-3</f>
        <v>2016</v>
      </c>
      <c r="I175" s="273">
        <f>TEXT($H$3,"YYYY")-4</f>
        <v>2015</v>
      </c>
    </row>
    <row r="176" spans="1:9" ht="14.25" x14ac:dyDescent="0.2">
      <c r="A176" s="237" t="s">
        <v>165</v>
      </c>
      <c r="B176" s="275">
        <v>0.38840000000000002</v>
      </c>
      <c r="C176" s="275">
        <v>0.36699999999999999</v>
      </c>
      <c r="D176" s="275">
        <v>0.42099999999999999</v>
      </c>
      <c r="E176" s="275">
        <f>IFERROR(IF(OR(AND(D176="",C176=""),AND(D176=0,C176=0)),"",
IF(OR(D176="",D176=0),1,
IF(OR(D176&lt;&gt;"",D176&lt;&gt;0),(C176-D176)/ABS(D176)))),-1)</f>
        <v>-0.12826603325415675</v>
      </c>
      <c r="F176" s="352">
        <v>44.7</v>
      </c>
      <c r="G176" s="352">
        <v>35.9</v>
      </c>
      <c r="H176" s="352">
        <v>34.9</v>
      </c>
      <c r="I176" s="352">
        <v>42.8</v>
      </c>
    </row>
    <row r="177" spans="1:9" ht="14.25" x14ac:dyDescent="0.2">
      <c r="A177" s="236" t="s">
        <v>166</v>
      </c>
      <c r="B177" s="275">
        <v>0.378</v>
      </c>
      <c r="C177" s="275">
        <v>0.3503</v>
      </c>
      <c r="D177" s="275">
        <v>0.3921</v>
      </c>
      <c r="E177" s="275">
        <f>IFERROR(IF(OR(AND(D177="",C177=""),AND(D177=0,C177=0)),"",
IF(OR(D177="",D177=0),1,
IF(OR(D177&lt;&gt;"",D177&lt;&gt;0),(C177-D177)/ABS(D177)))),-1)</f>
        <v>-0.10660545779137975</v>
      </c>
      <c r="F177" s="352">
        <v>42</v>
      </c>
      <c r="G177" s="352">
        <v>33</v>
      </c>
      <c r="H177" s="352">
        <v>32.6</v>
      </c>
      <c r="I177" s="352">
        <v>39.9</v>
      </c>
    </row>
    <row r="178" spans="1:9" ht="13.5" thickBot="1" x14ac:dyDescent="0.25">
      <c r="A178" s="108"/>
      <c r="B178" s="138"/>
      <c r="C178" s="138"/>
      <c r="D178" s="137"/>
      <c r="E178" s="112"/>
      <c r="F178" s="141"/>
      <c r="G178" s="141"/>
      <c r="H178" s="141"/>
      <c r="I178" s="141"/>
    </row>
    <row r="179" spans="1:9" ht="13.5" thickTop="1" x14ac:dyDescent="0.2">
      <c r="A179" s="18" t="s">
        <v>656</v>
      </c>
      <c r="B179" s="37"/>
      <c r="C179" s="53"/>
      <c r="D179" s="46"/>
      <c r="E179" s="53"/>
      <c r="F179" s="53"/>
      <c r="G179" s="53"/>
      <c r="H179" s="37"/>
      <c r="I179" s="37"/>
    </row>
    <row r="181" spans="1:9" x14ac:dyDescent="0.2">
      <c r="B181" s="107"/>
      <c r="C181" s="107"/>
      <c r="D181" s="107" t="s">
        <v>143</v>
      </c>
      <c r="E181" s="107"/>
      <c r="F181" s="107"/>
      <c r="G181" s="107"/>
      <c r="H181" s="107"/>
      <c r="I181" s="107"/>
    </row>
    <row r="182" spans="1:9" ht="13.5" thickBot="1" x14ac:dyDescent="0.25">
      <c r="A182" s="121" t="s">
        <v>144</v>
      </c>
      <c r="B182" s="116"/>
      <c r="C182" s="116"/>
      <c r="D182" s="116"/>
      <c r="E182" s="116"/>
      <c r="F182" s="116"/>
      <c r="G182" s="116"/>
      <c r="H182" s="116"/>
      <c r="I182" s="116"/>
    </row>
    <row r="183" spans="1:9" ht="15" x14ac:dyDescent="0.25">
      <c r="A183" s="270"/>
      <c r="B183" s="269" t="s">
        <v>1</v>
      </c>
      <c r="C183" s="269" t="s">
        <v>172</v>
      </c>
      <c r="D183" s="269" t="s">
        <v>172</v>
      </c>
      <c r="E183" s="269" t="s">
        <v>27</v>
      </c>
      <c r="F183" s="308"/>
      <c r="G183" s="270"/>
      <c r="H183" s="270"/>
      <c r="I183" s="270"/>
    </row>
    <row r="184" spans="1:9" ht="15" x14ac:dyDescent="0.25">
      <c r="A184" s="270"/>
      <c r="B184" s="269" t="s">
        <v>3</v>
      </c>
      <c r="C184" s="269" t="s">
        <v>4</v>
      </c>
      <c r="D184" s="269" t="s">
        <v>171</v>
      </c>
      <c r="E184" s="269" t="s">
        <v>5</v>
      </c>
      <c r="F184" s="308"/>
      <c r="G184" s="270"/>
      <c r="H184" s="270"/>
      <c r="I184" s="270"/>
    </row>
    <row r="185" spans="1:9" ht="15.75" thickBot="1" x14ac:dyDescent="0.3">
      <c r="A185" s="283"/>
      <c r="B185" s="271" t="str">
        <f>TEXT($H$3,"MMM")&amp;" "&amp;TEXT($H$3,"YYYY")</f>
        <v>May 2019</v>
      </c>
      <c r="C185" s="271" t="str">
        <f>TEXT($H$3,"YYYY")</f>
        <v>2019</v>
      </c>
      <c r="D185" s="271">
        <f>TEXT($H$3,"YYYY")-1</f>
        <v>2018</v>
      </c>
      <c r="E185" s="273" t="s">
        <v>6</v>
      </c>
      <c r="F185" s="273">
        <f>TEXT($H$3,"YYYY")-1</f>
        <v>2018</v>
      </c>
      <c r="G185" s="273">
        <f>TEXT($H$3,"YYYY")-2</f>
        <v>2017</v>
      </c>
      <c r="H185" s="273">
        <f>TEXT($H$3,"YYYY")-3</f>
        <v>2016</v>
      </c>
      <c r="I185" s="273">
        <f>TEXT($H$3,"YYYY")-4</f>
        <v>2015</v>
      </c>
    </row>
    <row r="186" spans="1:9" ht="15" x14ac:dyDescent="0.25">
      <c r="A186" s="301" t="s">
        <v>183</v>
      </c>
      <c r="B186" s="237"/>
      <c r="C186" s="237"/>
      <c r="D186" s="237"/>
      <c r="E186" s="237"/>
      <c r="F186" s="237"/>
      <c r="G186" s="237"/>
      <c r="H186" s="237"/>
      <c r="I186" s="237"/>
    </row>
    <row r="187" spans="1:9" ht="14.25" x14ac:dyDescent="0.2">
      <c r="A187" s="237" t="s">
        <v>29</v>
      </c>
      <c r="B187" s="238">
        <f ca="1">SUMIF(Data!$BT$1:$BT$7,"&lt;&gt;AltX",Data!$BU$1:$BU$6)</f>
        <v>317</v>
      </c>
      <c r="C187" s="238">
        <f>SUMIF(Data!$BT$9:$BT$14,"&lt;&gt;AltX",Data!BU9:BU14)</f>
        <v>317</v>
      </c>
      <c r="D187" s="238">
        <f>SUMIF(Data!$BT$17:$BT$23,"&lt;&gt;AltX",Data!$BU$17:$BU$24)</f>
        <v>326</v>
      </c>
      <c r="E187" s="275">
        <f>IFERROR(IF(OR(AND(D187="",C187=""),AND(D187=0,C187=0)),"",
IF(OR(D187="",D187=0),1,
IF(OR(D187&lt;&gt;"",D187&lt;&gt;0),(C187-D187)/ABS(D187)))),-1)</f>
        <v>-2.7607361963190184E-2</v>
      </c>
      <c r="F187" s="346">
        <v>326</v>
      </c>
      <c r="G187" s="346">
        <v>324</v>
      </c>
      <c r="H187" s="346">
        <v>328</v>
      </c>
      <c r="I187" s="346">
        <v>331</v>
      </c>
    </row>
    <row r="188" spans="1:9" ht="14.25" x14ac:dyDescent="0.2">
      <c r="A188" s="237" t="s">
        <v>30</v>
      </c>
      <c r="B188" s="238">
        <f ca="1">SUMIF(Data!$BT$1:$BT$7,"&lt;&gt;AltX",Data!$BV$1:$BV$6)</f>
        <v>0</v>
      </c>
      <c r="C188" s="238">
        <f>SUMIF(Data!$BT$9:$BT$14,"&lt;&gt;AltX",Data!BV9:BV14)</f>
        <v>1</v>
      </c>
      <c r="D188" s="238">
        <f>SUMIF(Data!$BT$17:$BT$23,"&lt;&gt;AltX",Data!$BV$17:$BV$23)</f>
        <v>5</v>
      </c>
      <c r="E188" s="275">
        <f t="shared" ref="E188:E189" si="13">IFERROR(IF(OR(AND(D188="",C188=""),AND(D188=0,C188=0)),"",
IF(OR(D188="",D188=0),1,
IF(OR(D188&lt;&gt;"",D188&lt;&gt;0),(C188-D188)/ABS(D188)))),-1)</f>
        <v>-0.8</v>
      </c>
      <c r="F188" s="346">
        <v>11</v>
      </c>
      <c r="G188" s="346">
        <v>13</v>
      </c>
      <c r="H188" s="346">
        <v>11</v>
      </c>
      <c r="I188" s="346">
        <v>15</v>
      </c>
    </row>
    <row r="189" spans="1:9" ht="14.25" x14ac:dyDescent="0.2">
      <c r="A189" s="237" t="s">
        <v>31</v>
      </c>
      <c r="B189" s="238">
        <f ca="1">SUMIF(Data!$BT$1:$BT$7,"&lt;&gt;AltX",Data!$BW$1:$BW$6)</f>
        <v>0</v>
      </c>
      <c r="C189" s="238">
        <f>SUMIF(Data!$BT$9:$BT$14,"&lt;&gt;AltX",Data!BW9:BW14)</f>
        <v>9</v>
      </c>
      <c r="D189" s="238">
        <f>SUMIF(Data!$BT$17:$BT$23,"&lt;&gt;AltX",Data!$BW$17:$BW$23)</f>
        <v>3</v>
      </c>
      <c r="E189" s="275">
        <f t="shared" si="13"/>
        <v>2</v>
      </c>
      <c r="F189" s="346">
        <v>9</v>
      </c>
      <c r="G189" s="346">
        <v>21</v>
      </c>
      <c r="H189" s="346">
        <v>17</v>
      </c>
      <c r="I189" s="346">
        <v>18</v>
      </c>
    </row>
    <row r="190" spans="1:9" ht="14.25" x14ac:dyDescent="0.2">
      <c r="A190" s="237"/>
      <c r="B190" s="238"/>
      <c r="C190" s="238"/>
      <c r="D190" s="238"/>
      <c r="E190" s="309"/>
      <c r="F190" s="346"/>
      <c r="G190" s="346"/>
      <c r="H190" s="346"/>
      <c r="I190" s="346"/>
    </row>
    <row r="191" spans="1:9" ht="15" x14ac:dyDescent="0.25">
      <c r="A191" s="277" t="s">
        <v>137</v>
      </c>
      <c r="B191" s="238"/>
      <c r="C191" s="238"/>
      <c r="D191" s="238"/>
      <c r="E191" s="309"/>
      <c r="F191" s="346"/>
      <c r="G191" s="346"/>
      <c r="H191" s="346"/>
      <c r="I191" s="346"/>
    </row>
    <row r="192" spans="1:9" ht="14.25" x14ac:dyDescent="0.2">
      <c r="A192" s="237" t="s">
        <v>29</v>
      </c>
      <c r="B192" s="238">
        <f ca="1">SUMIF(Data!$BT$1:$BT$7,"AltX",Data!$BU$1:$BU$6)</f>
        <v>44</v>
      </c>
      <c r="C192" s="238">
        <f>SUMIF(Data!$BT$9:$BT$14,"AltX",Data!BU9:BU14)</f>
        <v>44</v>
      </c>
      <c r="D192" s="238">
        <f>SUMIF(Data!$BT$17:$BT$23,"AltX",Data!$BU$17:$BU$24)</f>
        <v>49</v>
      </c>
      <c r="E192" s="275">
        <f t="shared" ref="E192:E193" si="14">IFERROR(IF(OR(AND(D192="",C192=""),AND(D192=0,C192=0)),"",
IF(OR(D192="",D192=0),1,
IF(OR(D192&lt;&gt;"",D192&lt;&gt;0),(C192-D192)/ABS(D192)))),-1)</f>
        <v>-0.10204081632653061</v>
      </c>
      <c r="F192" s="346">
        <v>46</v>
      </c>
      <c r="G192" s="346">
        <v>53</v>
      </c>
      <c r="H192" s="346">
        <v>60</v>
      </c>
      <c r="I192" s="346">
        <v>64</v>
      </c>
    </row>
    <row r="193" spans="1:9" ht="14.25" x14ac:dyDescent="0.2">
      <c r="A193" s="237" t="s">
        <v>30</v>
      </c>
      <c r="B193" s="238">
        <f ca="1">SUMIF(Data!$BT$1:$BT$7,"AltX",Data!$BV$1:$BV$6)</f>
        <v>0</v>
      </c>
      <c r="C193" s="238">
        <f>SUMIF(Data!$BT$9:$BT$14,"AltX",Data!BV9:BV14)</f>
        <v>0</v>
      </c>
      <c r="D193" s="238">
        <f>SUMIF(Data!$BT$17:$BT$23,"AltX",Data!$BV$17:$BV$23)</f>
        <v>1</v>
      </c>
      <c r="E193" s="275">
        <f t="shared" si="14"/>
        <v>-1</v>
      </c>
      <c r="F193" s="346">
        <v>1</v>
      </c>
      <c r="G193" s="346">
        <v>8</v>
      </c>
      <c r="H193" s="346">
        <v>7</v>
      </c>
      <c r="I193" s="346">
        <v>8</v>
      </c>
    </row>
    <row r="194" spans="1:9" ht="14.25" x14ac:dyDescent="0.2">
      <c r="A194" s="237" t="s">
        <v>31</v>
      </c>
      <c r="B194" s="238">
        <f ca="1">SUMIF(Data!$BT$1:$BT$7,"AltX",Data!$BW$1:$BW$6)</f>
        <v>0</v>
      </c>
      <c r="C194" s="238">
        <f>SUMIF(Data!$BT$9:$BT$14,"AltX",Data!BW9:BW14)</f>
        <v>3</v>
      </c>
      <c r="D194" s="238">
        <f>SUMIF(Data!$BT$17:$BT$23,"AltX",Data!$BW$17:$BW$23)</f>
        <v>5</v>
      </c>
      <c r="E194" s="275">
        <f t="shared" ref="E194" ca="1" si="15">IFERROR(IF(OR(AND(C194="",B194=""),AND(C194=0,B194=0)),"",
IF(OR(C194="",C194=0),1,
IF(OR(C194&lt;&gt;"",C194&lt;&gt;0),(B194-C194)/ABS(C194)))),-1)</f>
        <v>-1</v>
      </c>
      <c r="F194" s="346">
        <v>8</v>
      </c>
      <c r="G194" s="346">
        <v>11</v>
      </c>
      <c r="H194" s="346">
        <v>8</v>
      </c>
      <c r="I194" s="346">
        <v>1</v>
      </c>
    </row>
    <row r="195" spans="1:9" ht="14.25" x14ac:dyDescent="0.2">
      <c r="A195" s="237"/>
      <c r="B195" s="238"/>
      <c r="C195" s="238"/>
      <c r="D195" s="238"/>
      <c r="E195" s="309"/>
      <c r="F195" s="346"/>
      <c r="G195" s="346"/>
      <c r="H195" s="346"/>
      <c r="I195" s="346"/>
    </row>
    <row r="196" spans="1:9" ht="15" x14ac:dyDescent="0.25">
      <c r="A196" s="277" t="s">
        <v>32</v>
      </c>
      <c r="B196" s="238"/>
      <c r="C196" s="238"/>
      <c r="D196" s="238"/>
      <c r="E196" s="309"/>
      <c r="F196" s="346"/>
      <c r="G196" s="346"/>
      <c r="H196" s="346"/>
      <c r="I196" s="346"/>
    </row>
    <row r="197" spans="1:9" ht="14.25" x14ac:dyDescent="0.2">
      <c r="A197" s="237" t="s">
        <v>30</v>
      </c>
      <c r="B197" s="238">
        <f t="shared" ref="B197:D198" ca="1" si="16">B188+B193</f>
        <v>0</v>
      </c>
      <c r="C197" s="238">
        <f t="shared" si="16"/>
        <v>1</v>
      </c>
      <c r="D197" s="238">
        <f t="shared" si="16"/>
        <v>6</v>
      </c>
      <c r="E197" s="275">
        <f t="shared" ref="E197:E203" si="17">IFERROR(IF(OR(AND(D197="",C197=""),AND(D197=0,C197=0)),"",
IF(OR(D197="",D197=0),1,
IF(OR(D197&lt;&gt;"",D197&lt;&gt;0),(C197-D197)/ABS(D197)))),-1)</f>
        <v>-0.83333333333333337</v>
      </c>
      <c r="F197" s="346">
        <v>12</v>
      </c>
      <c r="G197" s="346">
        <v>21</v>
      </c>
      <c r="H197" s="346">
        <v>18</v>
      </c>
      <c r="I197" s="346">
        <v>23</v>
      </c>
    </row>
    <row r="198" spans="1:9" ht="14.25" x14ac:dyDescent="0.2">
      <c r="A198" s="237" t="s">
        <v>31</v>
      </c>
      <c r="B198" s="238">
        <f t="shared" ca="1" si="16"/>
        <v>0</v>
      </c>
      <c r="C198" s="238">
        <f t="shared" si="16"/>
        <v>12</v>
      </c>
      <c r="D198" s="238">
        <f t="shared" si="16"/>
        <v>8</v>
      </c>
      <c r="E198" s="275">
        <f>IFERROR(IF(OR(AND(D198="",C198=""),AND(D198=0,C198=0)),"",
IF(OR(D198="",D198=0),1,
IF(OR(D198&lt;&gt;"",D198&lt;&gt;0),(C198-D198)/ABS(D198)))),-1)</f>
        <v>0.5</v>
      </c>
      <c r="F198" s="346">
        <v>17</v>
      </c>
      <c r="G198" s="346">
        <v>32</v>
      </c>
      <c r="H198" s="346">
        <v>25</v>
      </c>
      <c r="I198" s="346">
        <v>19</v>
      </c>
    </row>
    <row r="199" spans="1:9" ht="14.25" x14ac:dyDescent="0.2">
      <c r="A199" s="237" t="s">
        <v>33</v>
      </c>
      <c r="B199" s="238">
        <f>SUM(Data!$CB$2:$CB$6)</f>
        <v>72</v>
      </c>
      <c r="C199" s="238">
        <f>SUM(Data!$CB$10:$CB$14)</f>
        <v>72</v>
      </c>
      <c r="D199" s="238">
        <f>SUM(Data!CB18:CB22)</f>
        <v>75</v>
      </c>
      <c r="E199" s="275">
        <f t="shared" si="17"/>
        <v>-0.04</v>
      </c>
      <c r="F199" s="346">
        <v>74</v>
      </c>
      <c r="G199" s="346">
        <v>75</v>
      </c>
      <c r="H199" s="346">
        <v>76</v>
      </c>
      <c r="I199" s="346">
        <v>71</v>
      </c>
    </row>
    <row r="200" spans="1:9" ht="14.25" x14ac:dyDescent="0.2">
      <c r="A200" s="237" t="s">
        <v>34</v>
      </c>
      <c r="B200" s="238">
        <f>SUM(Data!$CA$2:$CA$6)</f>
        <v>289</v>
      </c>
      <c r="C200" s="238">
        <f>SUM(Data!$CA$10:$CA$14)</f>
        <v>289</v>
      </c>
      <c r="D200" s="238">
        <f>SUM(Data!CA18:CA22)</f>
        <v>300</v>
      </c>
      <c r="E200" s="275">
        <f t="shared" si="17"/>
        <v>-3.6666666666666667E-2</v>
      </c>
      <c r="F200" s="346">
        <v>298</v>
      </c>
      <c r="G200" s="346">
        <v>302</v>
      </c>
      <c r="H200" s="346">
        <v>312</v>
      </c>
      <c r="I200" s="346">
        <v>324</v>
      </c>
    </row>
    <row r="201" spans="1:9" ht="15" x14ac:dyDescent="0.25">
      <c r="A201" s="277" t="s">
        <v>35</v>
      </c>
      <c r="B201" s="239">
        <f ca="1">B187+B192</f>
        <v>361</v>
      </c>
      <c r="C201" s="239">
        <f>C187+C192</f>
        <v>361</v>
      </c>
      <c r="D201" s="239">
        <f>D187+D192</f>
        <v>375</v>
      </c>
      <c r="E201" s="310">
        <f t="shared" si="17"/>
        <v>-3.7333333333333336E-2</v>
      </c>
      <c r="F201" s="347">
        <v>372</v>
      </c>
      <c r="G201" s="347">
        <v>377</v>
      </c>
      <c r="H201" s="347">
        <v>388</v>
      </c>
      <c r="I201" s="347">
        <v>395</v>
      </c>
    </row>
    <row r="202" spans="1:9" ht="15" x14ac:dyDescent="0.25">
      <c r="A202" s="277"/>
      <c r="B202" s="238"/>
      <c r="C202" s="238"/>
      <c r="D202" s="239"/>
      <c r="E202" s="237"/>
      <c r="F202" s="346"/>
      <c r="G202" s="346"/>
      <c r="H202" s="346"/>
      <c r="I202" s="346"/>
    </row>
    <row r="203" spans="1:9" ht="15" x14ac:dyDescent="0.25">
      <c r="A203" s="277" t="s">
        <v>36</v>
      </c>
      <c r="B203" s="239">
        <f>Data!CD2</f>
        <v>916</v>
      </c>
      <c r="C203" s="239">
        <f>Data!CD2</f>
        <v>916</v>
      </c>
      <c r="D203" s="239">
        <f>Data!CD5</f>
        <v>830</v>
      </c>
      <c r="E203" s="310">
        <f t="shared" si="17"/>
        <v>0.10361445783132531</v>
      </c>
      <c r="F203" s="347">
        <v>822</v>
      </c>
      <c r="G203" s="347">
        <v>812</v>
      </c>
      <c r="H203" s="347">
        <v>816</v>
      </c>
      <c r="I203" s="347">
        <v>858</v>
      </c>
    </row>
    <row r="204" spans="1:9" ht="15" x14ac:dyDescent="0.25">
      <c r="A204" s="277"/>
      <c r="B204" s="238"/>
      <c r="C204" s="238"/>
      <c r="D204" s="238"/>
      <c r="E204" s="237"/>
      <c r="F204" s="237"/>
      <c r="G204" s="237"/>
      <c r="H204" s="237"/>
      <c r="I204" s="237"/>
    </row>
    <row r="205" spans="1:9" ht="15" x14ac:dyDescent="0.25">
      <c r="A205" s="235" t="s">
        <v>37</v>
      </c>
      <c r="B205" s="311">
        <f>Data!CE2/1000000000</f>
        <v>15583.494735411219</v>
      </c>
      <c r="C205" s="311"/>
      <c r="D205" s="311">
        <f>Data!CE5/1000000000</f>
        <v>14155.04564763131</v>
      </c>
      <c r="E205" s="310">
        <f>IFERROR(IF(OR(AND(D205="",B205=""),AND(D205=0,B205=0)),"",
IF(OR(D205="",D205=0),1,
IF(OR(D205&lt;&gt;"",D205&lt;&gt;0),(B205-D205)/ABS(D205)))),-1)</f>
        <v>0.10091448119200831</v>
      </c>
      <c r="F205" s="353">
        <v>12682</v>
      </c>
      <c r="G205" s="353">
        <v>15461.4</v>
      </c>
      <c r="H205" s="353">
        <v>13580.6</v>
      </c>
      <c r="I205" s="353">
        <v>11727.6</v>
      </c>
    </row>
    <row r="206" spans="1:9" ht="13.5" thickBot="1" x14ac:dyDescent="0.25">
      <c r="A206" s="108"/>
      <c r="B206" s="137"/>
      <c r="C206" s="137"/>
      <c r="D206" s="137"/>
      <c r="E206" s="137"/>
      <c r="F206" s="110"/>
      <c r="G206" s="137"/>
      <c r="H206" s="137"/>
      <c r="I206" s="137"/>
    </row>
    <row r="207" spans="1:9" ht="13.5" thickTop="1" x14ac:dyDescent="0.2">
      <c r="A207" s="18" t="s">
        <v>168</v>
      </c>
      <c r="B207" s="131"/>
      <c r="C207" s="27"/>
      <c r="D207" s="27"/>
      <c r="E207" s="27"/>
      <c r="F207" s="27"/>
      <c r="G207" s="27"/>
      <c r="H207" s="27"/>
      <c r="I207" s="27"/>
    </row>
    <row r="225" spans="1:13" ht="12.75" customHeight="1" x14ac:dyDescent="0.2">
      <c r="E225" s="124"/>
      <c r="F225" s="124"/>
      <c r="G225" s="124"/>
      <c r="H225" s="124"/>
      <c r="I225" s="124"/>
    </row>
    <row r="226" spans="1:13" ht="12.75" customHeight="1" x14ac:dyDescent="0.2">
      <c r="A226" s="107" t="str">
        <f>"Market Profile - "&amp; TEXT($H$3,"MMM")&amp;" "&amp;TEXT($H$3,"YYYY")</f>
        <v>Market Profile - May 2019</v>
      </c>
      <c r="E226" s="362" t="s">
        <v>192</v>
      </c>
      <c r="F226" s="362"/>
      <c r="G226" s="362"/>
      <c r="H226" s="362"/>
      <c r="I226" s="124"/>
    </row>
    <row r="227" spans="1:13" ht="13.5" thickBot="1" x14ac:dyDescent="0.25">
      <c r="A227" s="115"/>
      <c r="B227" s="115"/>
      <c r="C227" s="115"/>
      <c r="D227" s="115"/>
      <c r="E227" s="368"/>
      <c r="F227" s="368"/>
      <c r="G227" s="368"/>
      <c r="H227" s="368"/>
      <c r="I227" s="115"/>
    </row>
    <row r="228" spans="1:13" ht="15" x14ac:dyDescent="0.25">
      <c r="A228" s="270"/>
      <c r="B228" s="270"/>
      <c r="C228" s="270"/>
      <c r="D228" s="173"/>
      <c r="E228" s="197"/>
      <c r="F228" s="312"/>
      <c r="G228" s="371" t="s">
        <v>194</v>
      </c>
      <c r="H228" s="371" t="s">
        <v>193</v>
      </c>
      <c r="I228" s="313"/>
    </row>
    <row r="229" spans="1:13" ht="12.75" customHeight="1" x14ac:dyDescent="0.25">
      <c r="A229" s="270"/>
      <c r="B229" s="270"/>
      <c r="C229" s="270"/>
      <c r="D229" s="173"/>
      <c r="E229" s="371" t="s">
        <v>39</v>
      </c>
      <c r="F229" s="376" t="str">
        <f>"Index Close   "&amp;TEXT($H$3,"MMM")&amp;" "&amp;TEXT($H$3,"YYYY")</f>
        <v>Index Close   May 2019</v>
      </c>
      <c r="G229" s="371"/>
      <c r="H229" s="371"/>
      <c r="I229" s="378" t="s">
        <v>40</v>
      </c>
    </row>
    <row r="230" spans="1:13" ht="15.75" thickBot="1" x14ac:dyDescent="0.3">
      <c r="A230" s="314"/>
      <c r="B230" s="315"/>
      <c r="C230" s="315"/>
      <c r="D230" s="188"/>
      <c r="E230" s="372"/>
      <c r="F230" s="377"/>
      <c r="G230" s="372"/>
      <c r="H230" s="372"/>
      <c r="I230" s="379"/>
    </row>
    <row r="231" spans="1:13" ht="15" x14ac:dyDescent="0.25">
      <c r="A231" s="316" t="s">
        <v>38</v>
      </c>
      <c r="B231" s="316"/>
      <c r="C231" s="316"/>
      <c r="D231" s="316"/>
      <c r="E231" s="316"/>
      <c r="F231" s="316"/>
      <c r="G231" s="316"/>
      <c r="H231" s="316"/>
      <c r="I231" s="316"/>
    </row>
    <row r="232" spans="1:13" ht="14.25" x14ac:dyDescent="0.2">
      <c r="A232" s="237" t="s">
        <v>41</v>
      </c>
      <c r="B232" s="237"/>
      <c r="C232" s="175"/>
      <c r="D232" s="175"/>
      <c r="E232" s="237" t="s">
        <v>42</v>
      </c>
      <c r="F232" s="175">
        <f>IFERROR(VLOOKUP(E232,Data!$G$23:$H$196,2,FALSE),0)</f>
        <v>55650.413073830001</v>
      </c>
      <c r="G232" s="275">
        <f>IF(IFERROR(VLOOKUP(E232,Data!$O$23:$P$196,2,FALSE),0)=0,0,(F232-IFERROR(VLOOKUP(E232,Data!$O$23:$P$196,2,FALSE),0))/ABS(IFERROR(VLOOKUP(E232,Data!$O$23:$P$196,2,FALSE),0)))</f>
        <v>-4.9172410622964152E-2</v>
      </c>
      <c r="H232" s="175">
        <f>VLOOKUP(E232,Data!$B$23:$E$273,3,FALSE)</f>
        <v>61684.771932919997</v>
      </c>
      <c r="I232" s="317">
        <f>VLOOKUP(E232,Data!$B$23:$E$273,2,FALSE)</f>
        <v>43125</v>
      </c>
    </row>
    <row r="233" spans="1:13" ht="14.25" x14ac:dyDescent="0.2">
      <c r="A233" s="237" t="s">
        <v>43</v>
      </c>
      <c r="B233" s="237"/>
      <c r="C233" s="175"/>
      <c r="D233" s="175"/>
      <c r="E233" s="237" t="s">
        <v>44</v>
      </c>
      <c r="F233" s="175">
        <f>IFERROR(VLOOKUP(E233,Data!$G$23:$H$196,2,FALSE),0)</f>
        <v>70003.876737519997</v>
      </c>
      <c r="G233" s="275">
        <f>IF(IFERROR(VLOOKUP(E233,Data!$O$23:$P$196,2,FALSE),0)=0,0,(F233-IFERROR(VLOOKUP(E233,Data!$O$23:$P$196,2,FALSE),0))/ABS(IFERROR(VLOOKUP(E233,Data!$O$23:$P$196,2,FALSE),0)))</f>
        <v>-3.5313304248959322E-2</v>
      </c>
      <c r="H233" s="175">
        <f>VLOOKUP(E233,Data!$B$23:$E$273,3,FALSE)</f>
        <v>82603.124167989998</v>
      </c>
      <c r="I233" s="317">
        <f>VLOOKUP(E233,Data!$B$23:$E$273,2,FALSE)</f>
        <v>42594</v>
      </c>
      <c r="J233" s="152"/>
      <c r="M233" s="152"/>
    </row>
    <row r="234" spans="1:13" s="155" customFormat="1" ht="14.25" x14ac:dyDescent="0.2">
      <c r="A234" s="293" t="s">
        <v>45</v>
      </c>
      <c r="B234" s="293"/>
      <c r="C234" s="176"/>
      <c r="D234" s="176"/>
      <c r="E234" s="293" t="s">
        <v>46</v>
      </c>
      <c r="F234" s="176">
        <f>IFERROR(VLOOKUP(E234,Data!$G$23:$H$196,2,FALSE),0)</f>
        <v>48484.284168049999</v>
      </c>
      <c r="G234" s="318">
        <f>IF(IFERROR(VLOOKUP(E234,Data!$O$23:$P$196,2,FALSE),0)=0,0,(F234-IFERROR(VLOOKUP(E234,Data!$O$23:$P$196,2,FALSE),0))/ABS(IFERROR(VLOOKUP(E234,Data!$O$23:$P$196,2,FALSE),0)))</f>
        <v>-3.0646742148611756E-2</v>
      </c>
      <c r="H234" s="176">
        <f>VLOOKUP(E234,Data!$B$23:$E$273,3,FALSE)</f>
        <v>65469.71245626</v>
      </c>
      <c r="I234" s="319">
        <f>VLOOKUP(E234,Data!$B$23:$E$273,2,FALSE)</f>
        <v>42814</v>
      </c>
      <c r="K234" s="168"/>
      <c r="L234" s="168"/>
    </row>
    <row r="235" spans="1:13" ht="14.25" x14ac:dyDescent="0.2">
      <c r="A235" s="237" t="s">
        <v>47</v>
      </c>
      <c r="B235" s="237"/>
      <c r="C235" s="175"/>
      <c r="D235" s="175"/>
      <c r="E235" s="237" t="s">
        <v>48</v>
      </c>
      <c r="F235" s="175">
        <f>IFERROR(VLOOKUP(E235,Data!$G$23:$H$196,2,FALSE),0)</f>
        <v>6216.6734232700001</v>
      </c>
      <c r="G235" s="275">
        <f>IF(IFERROR(VLOOKUP(E235,Data!$O$23:$P$196,2,FALSE),0)=0,0,(F235-IFERROR(VLOOKUP(E235,Data!$O$23:$P$196,2,FALSE),0))/ABS(IFERROR(VLOOKUP(E235,Data!$O$23:$P$196,2,FALSE),0)))</f>
        <v>-1.7087855890716281E-2</v>
      </c>
      <c r="H235" s="175">
        <f>VLOOKUP(E235,Data!$B$23:$E$273,3,FALSE)</f>
        <v>8292.5284918300003</v>
      </c>
      <c r="I235" s="317">
        <f>VLOOKUP(E235,Data!$B$23:$E$273,2,FALSE)</f>
        <v>42783</v>
      </c>
      <c r="J235" s="152"/>
      <c r="M235" s="152"/>
    </row>
    <row r="236" spans="1:13" ht="14.25" x14ac:dyDescent="0.2">
      <c r="A236" s="237" t="s">
        <v>49</v>
      </c>
      <c r="B236" s="237"/>
      <c r="C236" s="175"/>
      <c r="D236" s="175"/>
      <c r="E236" s="237" t="s">
        <v>50</v>
      </c>
      <c r="F236" s="175">
        <f>IFERROR(VLOOKUP(E236,Data!$G$23:$H$196,2,FALSE),0)</f>
        <v>27670.989248999998</v>
      </c>
      <c r="G236" s="275">
        <f>IF(IFERROR(VLOOKUP(E236,Data!$O$23:$P$196,2,FALSE),0)=0,0,(F236-IFERROR(VLOOKUP(E236,Data!$O$23:$P$196,2,FALSE),0))/ABS(IFERROR(VLOOKUP(E236,Data!$O$23:$P$196,2,FALSE),0)))</f>
        <v>-4.2790235754507487E-2</v>
      </c>
      <c r="H236" s="175">
        <f>VLOOKUP(E236,Data!$B$23:$E$273,3,FALSE)</f>
        <v>30767.717573220001</v>
      </c>
      <c r="I236" s="317">
        <f>VLOOKUP(E236,Data!$B$23:$E$273,2,FALSE)</f>
        <v>43125</v>
      </c>
      <c r="J236" s="152"/>
      <c r="M236" s="152"/>
    </row>
    <row r="237" spans="1:13" ht="14.25" x14ac:dyDescent="0.2">
      <c r="A237" s="237" t="s">
        <v>51</v>
      </c>
      <c r="B237" s="237"/>
      <c r="C237" s="175"/>
      <c r="D237" s="175"/>
      <c r="E237" s="237" t="s">
        <v>52</v>
      </c>
      <c r="F237" s="175">
        <f>IFERROR(VLOOKUP(E237,Data!$G$23:$H$196,2,FALSE),0)</f>
        <v>11863.692693139999</v>
      </c>
      <c r="G237" s="275">
        <f>IF(IFERROR(VLOOKUP(E237,Data!$O$23:$P$196,2,FALSE),0)=0,0,(F237-IFERROR(VLOOKUP(E237,Data!$O$23:$P$196,2,FALSE),0))/ABS(IFERROR(VLOOKUP(E237,Data!$O$23:$P$196,2,FALSE),0)))</f>
        <v>-5.7364442797278356E-2</v>
      </c>
      <c r="H237" s="175">
        <f>VLOOKUP(E237,Data!$B$23:$E$273,3,FALSE)</f>
        <v>13771.555498350001</v>
      </c>
      <c r="I237" s="317">
        <f>VLOOKUP(E237,Data!$B$23:$E$273,2,FALSE)</f>
        <v>43125</v>
      </c>
      <c r="J237" s="152"/>
      <c r="M237" s="152"/>
    </row>
    <row r="238" spans="1:13" ht="14.25" x14ac:dyDescent="0.2">
      <c r="A238" s="237"/>
      <c r="B238" s="237"/>
      <c r="C238" s="175"/>
      <c r="D238" s="175"/>
      <c r="E238" s="237"/>
      <c r="F238" s="175"/>
      <c r="G238" s="175"/>
      <c r="H238" s="175"/>
      <c r="I238" s="317"/>
    </row>
    <row r="239" spans="1:13" ht="15" x14ac:dyDescent="0.25">
      <c r="A239" s="316" t="s">
        <v>53</v>
      </c>
      <c r="B239" s="316"/>
      <c r="C239" s="316"/>
      <c r="D239" s="316"/>
      <c r="E239" s="316"/>
      <c r="F239" s="316"/>
      <c r="G239" s="316"/>
      <c r="H239" s="316"/>
      <c r="I239" s="316"/>
    </row>
    <row r="240" spans="1:13" ht="14.25" x14ac:dyDescent="0.2">
      <c r="A240" s="237" t="s">
        <v>54</v>
      </c>
      <c r="B240" s="237"/>
      <c r="C240" s="175"/>
      <c r="D240" s="175"/>
      <c r="E240" s="237" t="s">
        <v>55</v>
      </c>
      <c r="F240" s="175">
        <f>IFERROR(VLOOKUP(E240,Data!$G$23:$H$196,2,FALSE),0)</f>
        <v>49587.469325760001</v>
      </c>
      <c r="G240" s="275">
        <f>IF(IFERROR(VLOOKUP(E240,Data!$O$23:$P$196,2,FALSE),0)=0,0,(F240-IFERROR(VLOOKUP(E240,Data!$O$23:$P$196,2,FALSE),0))/ABS(IFERROR(VLOOKUP(E240,Data!$O$23:$P$196,2,FALSE),0)))</f>
        <v>-5.1393799654421125E-2</v>
      </c>
      <c r="H240" s="175">
        <f>VLOOKUP(E240,Data!$B$23:$E$273,3,FALSE)</f>
        <v>55065.365928040002</v>
      </c>
      <c r="I240" s="317">
        <f>VLOOKUP(E240,Data!$B$23:$E$273,2,FALSE)</f>
        <v>43060</v>
      </c>
    </row>
    <row r="241" spans="1:13" ht="14.25" x14ac:dyDescent="0.2">
      <c r="A241" s="237" t="s">
        <v>56</v>
      </c>
      <c r="B241" s="237"/>
      <c r="C241" s="175"/>
      <c r="D241" s="175"/>
      <c r="E241" s="237" t="s">
        <v>57</v>
      </c>
      <c r="F241" s="175">
        <f>IFERROR(VLOOKUP(E241,Data!$G$23:$H$196,2,FALSE),0)</f>
        <v>25441.039897629998</v>
      </c>
      <c r="G241" s="275">
        <f>IF(IFERROR(VLOOKUP(E241,Data!$O$23:$P$196,2,FALSE),0)=0,0,(F241-IFERROR(VLOOKUP(E241,Data!$O$23:$P$196,2,FALSE),0))/ABS(IFERROR(VLOOKUP(E241,Data!$O$23:$P$196,2,FALSE),0)))</f>
        <v>-4.2724930059448066E-2</v>
      </c>
      <c r="H241" s="175">
        <f>VLOOKUP(E241,Data!$B$23:$E$273,3,FALSE)</f>
        <v>28107.866765129998</v>
      </c>
      <c r="I241" s="317">
        <f>VLOOKUP(E241,Data!$B$23:$E$273,2,FALSE)</f>
        <v>43125</v>
      </c>
      <c r="J241" s="152"/>
      <c r="M241" s="152"/>
    </row>
    <row r="242" spans="1:13" ht="14.25" x14ac:dyDescent="0.2">
      <c r="A242" s="237" t="s">
        <v>58</v>
      </c>
      <c r="B242" s="237"/>
      <c r="C242" s="175"/>
      <c r="D242" s="175"/>
      <c r="E242" s="237" t="s">
        <v>59</v>
      </c>
      <c r="F242" s="175">
        <f>IFERROR(VLOOKUP(E242,Data!$G$23:$H$196,2,FALSE),0)</f>
        <v>10652.72663393</v>
      </c>
      <c r="G242" s="275">
        <f>IF(IFERROR(VLOOKUP(E242,Data!$O$23:$P$196,2,FALSE),0)=0,0,(F242-IFERROR(VLOOKUP(E242,Data!$O$23:$P$196,2,FALSE),0))/ABS(IFERROR(VLOOKUP(E242,Data!$O$23:$P$196,2,FALSE),0)))</f>
        <v>-6.367120531712564E-2</v>
      </c>
      <c r="H242" s="175">
        <f>VLOOKUP(E242,Data!$B$23:$E$273,3,FALSE)</f>
        <v>12491.5886923</v>
      </c>
      <c r="I242" s="317">
        <f>VLOOKUP(E242,Data!$B$23:$E$273,2,FALSE)</f>
        <v>43060</v>
      </c>
      <c r="J242" s="152"/>
      <c r="M242" s="152"/>
    </row>
    <row r="243" spans="1:13" ht="14.25" x14ac:dyDescent="0.2">
      <c r="A243" s="237" t="s">
        <v>176</v>
      </c>
      <c r="B243" s="237"/>
      <c r="C243" s="175"/>
      <c r="D243" s="175"/>
      <c r="E243" s="237" t="s">
        <v>60</v>
      </c>
      <c r="F243" s="175">
        <f>IFERROR(VLOOKUP(E243,Data!$G$23:$H$196,2,FALSE),0)</f>
        <v>43485.591066350004</v>
      </c>
      <c r="G243" s="275">
        <f>IF(IFERROR(VLOOKUP(E243,Data!$O$23:$P$196,2,FALSE),0)=0,0,(F243-IFERROR(VLOOKUP(E243,Data!$O$23:$P$196,2,FALSE),0))/ABS(IFERROR(VLOOKUP(E243,Data!$O$23:$P$196,2,FALSE),0)))</f>
        <v>-5.3368964901752795E-2</v>
      </c>
      <c r="H243" s="175">
        <f>VLOOKUP(E243,Data!$B$23:$E$273,3,FALSE)</f>
        <v>77308.45</v>
      </c>
      <c r="I243" s="317">
        <f>VLOOKUP(E243,Data!$B$23:$E$273,2,FALSE)</f>
        <v>39590</v>
      </c>
      <c r="J243" s="152"/>
      <c r="M243" s="152"/>
    </row>
    <row r="244" spans="1:13" ht="14.25" x14ac:dyDescent="0.2">
      <c r="A244" s="237" t="s">
        <v>61</v>
      </c>
      <c r="B244" s="237"/>
      <c r="C244" s="175"/>
      <c r="D244" s="175"/>
      <c r="E244" s="237" t="s">
        <v>62</v>
      </c>
      <c r="F244" s="175">
        <f>IFERROR(VLOOKUP(E244,Data!$G$23:$H$196,2,FALSE),0)</f>
        <v>1614.96128832</v>
      </c>
      <c r="G244" s="275">
        <f>IF(IFERROR(VLOOKUP(E244,Data!$O$23:$P$196,2,FALSE),0)=0,0,(F244-IFERROR(VLOOKUP(E244,Data!$O$23:$P$196,2,FALSE),0))/ABS(IFERROR(VLOOKUP(E244,Data!$O$23:$P$196,2,FALSE),0)))</f>
        <v>0.12723353381530689</v>
      </c>
      <c r="H244" s="175">
        <f>VLOOKUP(E244,Data!$B$23:$E$273,3,FALSE)</f>
        <v>3456.48</v>
      </c>
      <c r="I244" s="317">
        <f>VLOOKUP(E244,Data!$B$23:$E$273,2,FALSE)</f>
        <v>37515</v>
      </c>
      <c r="J244" s="152"/>
      <c r="M244" s="152"/>
    </row>
    <row r="245" spans="1:13" ht="14.25" x14ac:dyDescent="0.2">
      <c r="A245" s="237" t="s">
        <v>63</v>
      </c>
      <c r="B245" s="237"/>
      <c r="C245" s="175"/>
      <c r="D245" s="175"/>
      <c r="E245" s="237" t="s">
        <v>64</v>
      </c>
      <c r="F245" s="175">
        <f>IFERROR(VLOOKUP(E245,Data!$G$23:$H$196,2,FALSE),0)</f>
        <v>68885.783547030005</v>
      </c>
      <c r="G245" s="275">
        <f>IF(IFERROR(VLOOKUP(E245,Data!$O$23:$P$196,2,FALSE),0)=0,0,(F245-IFERROR(VLOOKUP(E245,Data!$O$23:$P$196,2,FALSE),0))/ABS(IFERROR(VLOOKUP(E245,Data!$O$23:$P$196,2,FALSE),0)))</f>
        <v>-6.1059622671280005E-2</v>
      </c>
      <c r="H245" s="175">
        <f>VLOOKUP(E245,Data!$B$23:$E$273,3,FALSE)</f>
        <v>87017.951262529998</v>
      </c>
      <c r="I245" s="317">
        <f>VLOOKUP(E245,Data!$B$23:$E$273,2,FALSE)</f>
        <v>43060</v>
      </c>
      <c r="J245" s="152"/>
      <c r="M245" s="152"/>
    </row>
    <row r="246" spans="1:13" ht="14.25" x14ac:dyDescent="0.2">
      <c r="A246" s="237" t="s">
        <v>65</v>
      </c>
      <c r="B246" s="237"/>
      <c r="C246" s="175"/>
      <c r="D246" s="175"/>
      <c r="E246" s="237" t="s">
        <v>66</v>
      </c>
      <c r="F246" s="175">
        <f>IFERROR(VLOOKUP(E246,Data!$G$23:$H$196,2,FALSE),0)</f>
        <v>16760.781776619999</v>
      </c>
      <c r="G246" s="275">
        <f>IF(IFERROR(VLOOKUP(E246,Data!$O$23:$P$196,2,FALSE),0)=0,0,(F246-IFERROR(VLOOKUP(E246,Data!$O$23:$P$196,2,FALSE),0))/ABS(IFERROR(VLOOKUP(E246,Data!$O$23:$P$196,2,FALSE),0)))</f>
        <v>-2.131768282999124E-2</v>
      </c>
      <c r="H246" s="175">
        <f>VLOOKUP(E246,Data!$B$23:$E$273,3,FALSE)</f>
        <v>18847.577311370002</v>
      </c>
      <c r="I246" s="317">
        <f>VLOOKUP(E246,Data!$B$23:$E$273,2,FALSE)</f>
        <v>43165</v>
      </c>
      <c r="J246" s="152"/>
      <c r="M246" s="152"/>
    </row>
    <row r="247" spans="1:13" ht="14.25" x14ac:dyDescent="0.2">
      <c r="A247" s="237" t="s">
        <v>67</v>
      </c>
      <c r="B247" s="237"/>
      <c r="C247" s="175"/>
      <c r="D247" s="175"/>
      <c r="E247" s="237" t="s">
        <v>68</v>
      </c>
      <c r="F247" s="175">
        <f>IFERROR(VLOOKUP(E247,Data!$G$23:$H$196,2,FALSE),0)</f>
        <v>74758.612691360002</v>
      </c>
      <c r="G247" s="275">
        <f>IF(IFERROR(VLOOKUP(E247,Data!$O$23:$P$196,2,FALSE),0)=0,0,(F247-IFERROR(VLOOKUP(E247,Data!$O$23:$P$196,2,FALSE),0))/ABS(IFERROR(VLOOKUP(E247,Data!$O$23:$P$196,2,FALSE),0)))</f>
        <v>-4.7654056487410931E-2</v>
      </c>
      <c r="H247" s="175">
        <f>VLOOKUP(E247,Data!$B$23:$E$273,3,FALSE)</f>
        <v>88373.331097460003</v>
      </c>
      <c r="I247" s="317">
        <f>VLOOKUP(E247,Data!$B$23:$E$273,2,FALSE)</f>
        <v>43060</v>
      </c>
      <c r="J247" s="152"/>
      <c r="M247" s="152"/>
    </row>
    <row r="248" spans="1:13" ht="14.25" x14ac:dyDescent="0.2">
      <c r="A248" s="237"/>
      <c r="B248" s="237"/>
      <c r="C248" s="175"/>
      <c r="D248" s="175"/>
      <c r="E248" s="237"/>
      <c r="F248" s="175"/>
      <c r="G248" s="175"/>
      <c r="H248" s="175"/>
      <c r="I248" s="317"/>
    </row>
    <row r="249" spans="1:13" ht="15" x14ac:dyDescent="0.25">
      <c r="A249" s="316" t="s">
        <v>69</v>
      </c>
      <c r="B249" s="316"/>
      <c r="C249" s="316"/>
      <c r="D249" s="316"/>
      <c r="E249" s="316"/>
      <c r="F249" s="316"/>
      <c r="G249" s="316"/>
      <c r="H249" s="316"/>
      <c r="I249" s="316"/>
    </row>
    <row r="250" spans="1:13" s="155" customFormat="1" ht="14.25" x14ac:dyDescent="0.2">
      <c r="A250" s="293" t="s">
        <v>70</v>
      </c>
      <c r="B250" s="293"/>
      <c r="C250" s="176"/>
      <c r="D250" s="176"/>
      <c r="E250" s="293" t="s">
        <v>71</v>
      </c>
      <c r="F250" s="176">
        <f>IFERROR(VLOOKUP(E250,Data!$G$23:$H$196,2,FALSE),0)</f>
        <v>0</v>
      </c>
      <c r="G250" s="318">
        <f>IF(IFERROR(VLOOKUP(E250,Data!$O$23:$P$196,2,FALSE),0)=0,0,(F250-IFERROR(VLOOKUP(E250,Data!$O$23:$P$196,2,FALSE),0))/ABS(IFERROR(VLOOKUP(E250,Data!$O$23:$P$196,2,FALSE),0)))</f>
        <v>0</v>
      </c>
      <c r="H250" s="176">
        <f>VLOOKUP(E250,Data!$B$23:$E$273,3,FALSE)</f>
        <v>24943.07</v>
      </c>
      <c r="I250" s="319">
        <f>VLOOKUP(E250,Data!$B$23:$E$273,2,FALSE)</f>
        <v>39381</v>
      </c>
      <c r="K250" s="168"/>
      <c r="L250" s="168"/>
    </row>
    <row r="251" spans="1:13" ht="14.25" x14ac:dyDescent="0.2">
      <c r="A251" s="237" t="s">
        <v>72</v>
      </c>
      <c r="B251" s="237"/>
      <c r="C251" s="175"/>
      <c r="D251" s="175"/>
      <c r="E251" s="237" t="s">
        <v>73</v>
      </c>
      <c r="F251" s="175">
        <f>IFERROR(VLOOKUP(E251,Data!$G$23:$H$196,2,FALSE),0)</f>
        <v>30970.445376520001</v>
      </c>
      <c r="G251" s="275">
        <f>IF(IFERROR(VLOOKUP(E251,Data!$O$23:$P$196,2,FALSE),0)=0,0,(F251-IFERROR(VLOOKUP(E251,Data!$O$23:$P$196,2,FALSE),0))/ABS(IFERROR(VLOOKUP(E251,Data!$O$23:$P$196,2,FALSE),0)))</f>
        <v>-5.1596266567576647E-2</v>
      </c>
      <c r="H251" s="175">
        <f>VLOOKUP(E251,Data!$B$23:$E$273,3,FALSE)</f>
        <v>42763.39</v>
      </c>
      <c r="I251" s="317">
        <f>VLOOKUP(E251,Data!$B$23:$E$273,2,FALSE)</f>
        <v>39590</v>
      </c>
    </row>
    <row r="252" spans="1:13" ht="14.25" x14ac:dyDescent="0.2">
      <c r="A252" s="237" t="s">
        <v>74</v>
      </c>
      <c r="B252" s="237"/>
      <c r="C252" s="175"/>
      <c r="D252" s="175"/>
      <c r="E252" s="237" t="s">
        <v>75</v>
      </c>
      <c r="F252" s="175">
        <f>IFERROR(VLOOKUP(E252,Data!$G$23:$H$196,2,FALSE),0)</f>
        <v>43096.731159399998</v>
      </c>
      <c r="G252" s="275">
        <f>IF(IFERROR(VLOOKUP(E252,Data!$O$23:$P$196,2,FALSE),0)=0,0,(F252-IFERROR(VLOOKUP(E252,Data!$O$23:$P$196,2,FALSE),0))/ABS(IFERROR(VLOOKUP(E252,Data!$O$23:$P$196,2,FALSE),0)))</f>
        <v>-3.89052796721246E-2</v>
      </c>
      <c r="H252" s="175">
        <f>VLOOKUP(E252,Data!$B$23:$E$273,3,FALSE)</f>
        <v>57747.257279739999</v>
      </c>
      <c r="I252" s="317">
        <f>VLOOKUP(E252,Data!$B$23:$E$273,2,FALSE)</f>
        <v>43126</v>
      </c>
    </row>
    <row r="253" spans="1:13" ht="14.25" x14ac:dyDescent="0.2">
      <c r="A253" s="237" t="s">
        <v>76</v>
      </c>
      <c r="B253" s="237"/>
      <c r="C253" s="175"/>
      <c r="D253" s="175"/>
      <c r="E253" s="237" t="s">
        <v>77</v>
      </c>
      <c r="F253" s="175">
        <f>IFERROR(VLOOKUP(E253,Data!$G$23:$H$196,2,FALSE),0)</f>
        <v>54944.040928709997</v>
      </c>
      <c r="G253" s="275">
        <f>IF(IFERROR(VLOOKUP(E253,Data!$O$23:$P$196,2,FALSE),0)=0,0,(F253-IFERROR(VLOOKUP(E253,Data!$O$23:$P$196,2,FALSE),0))/ABS(IFERROR(VLOOKUP(E253,Data!$O$23:$P$196,2,FALSE),0)))</f>
        <v>-2.0850816020365575E-2</v>
      </c>
      <c r="H253" s="175">
        <f>VLOOKUP(E253,Data!$B$23:$E$273,3,FALSE)</f>
        <v>84330.008150740003</v>
      </c>
      <c r="I253" s="317">
        <f>VLOOKUP(E253,Data!$B$23:$E$273,2,FALSE)</f>
        <v>43042</v>
      </c>
    </row>
    <row r="254" spans="1:13" ht="14.25" x14ac:dyDescent="0.2">
      <c r="A254" s="237" t="s">
        <v>78</v>
      </c>
      <c r="B254" s="237"/>
      <c r="C254" s="175"/>
      <c r="D254" s="175"/>
      <c r="E254" s="237" t="s">
        <v>79</v>
      </c>
      <c r="F254" s="175">
        <f>IFERROR(VLOOKUP(E254,Data!$G$23:$H$196,2,FALSE),0)</f>
        <v>22946.089785299999</v>
      </c>
      <c r="G254" s="275">
        <f>IF(IFERROR(VLOOKUP(E254,Data!$O$23:$P$196,2,FALSE),0)=0,0,(F254-IFERROR(VLOOKUP(E254,Data!$O$23:$P$196,2,FALSE),0))/ABS(IFERROR(VLOOKUP(E254,Data!$O$23:$P$196,2,FALSE),0)))</f>
        <v>-3.1440098675862248E-2</v>
      </c>
      <c r="H254" s="175">
        <f>VLOOKUP(E254,Data!$B$23:$E$273,3,FALSE)</f>
        <v>35813.949999999997</v>
      </c>
      <c r="I254" s="317">
        <f>VLOOKUP(E254,Data!$B$23:$E$273,2,FALSE)</f>
        <v>39381</v>
      </c>
    </row>
    <row r="255" spans="1:13" ht="14.25" x14ac:dyDescent="0.2">
      <c r="A255" s="237" t="s">
        <v>80</v>
      </c>
      <c r="B255" s="237"/>
      <c r="C255" s="175"/>
      <c r="D255" s="175"/>
      <c r="E255" s="237" t="s">
        <v>81</v>
      </c>
      <c r="F255" s="175">
        <f>IFERROR(VLOOKUP(E255,Data!$G$23:$H$196,2,FALSE),0)</f>
        <v>41692.491793540001</v>
      </c>
      <c r="G255" s="275">
        <f>IF(IFERROR(VLOOKUP(E255,Data!$O$23:$P$196,2,FALSE),0)=0,0,(F255-IFERROR(VLOOKUP(E255,Data!$O$23:$P$196,2,FALSE),0))/ABS(IFERROR(VLOOKUP(E255,Data!$O$23:$P$196,2,FALSE),0)))</f>
        <v>-2.5234220419487526E-2</v>
      </c>
      <c r="H255" s="175">
        <f>VLOOKUP(E255,Data!$B$23:$E$273,3,FALSE)</f>
        <v>48467.669364840003</v>
      </c>
      <c r="I255" s="317">
        <f>VLOOKUP(E255,Data!$B$23:$E$273,2,FALSE)</f>
        <v>43125</v>
      </c>
    </row>
    <row r="256" spans="1:13" ht="14.25" x14ac:dyDescent="0.2">
      <c r="A256" s="237" t="s">
        <v>82</v>
      </c>
      <c r="B256" s="237"/>
      <c r="C256" s="175"/>
      <c r="D256" s="175"/>
      <c r="E256" s="237" t="s">
        <v>83</v>
      </c>
      <c r="F256" s="175">
        <f>IFERROR(VLOOKUP(E256,Data!$G$23:$H$196,2,FALSE),0)</f>
        <v>29568.502350610001</v>
      </c>
      <c r="G256" s="275">
        <f>IF(IFERROR(VLOOKUP(E256,Data!$O$23:$P$196,2,FALSE),0)=0,0,(F256-IFERROR(VLOOKUP(E256,Data!$O$23:$P$196,2,FALSE),0))/ABS(IFERROR(VLOOKUP(E256,Data!$O$23:$P$196,2,FALSE),0)))</f>
        <v>-0.10206838061814248</v>
      </c>
      <c r="H256" s="175">
        <f>VLOOKUP(E256,Data!$B$23:$E$273,3,FALSE)</f>
        <v>71088.506129760004</v>
      </c>
      <c r="I256" s="317">
        <f>VLOOKUP(E256,Data!$B$23:$E$273,2,FALSE)</f>
        <v>42222</v>
      </c>
    </row>
    <row r="257" spans="1:9" ht="14.25" x14ac:dyDescent="0.2">
      <c r="A257" s="237" t="s">
        <v>84</v>
      </c>
      <c r="B257" s="237"/>
      <c r="C257" s="175"/>
      <c r="D257" s="175"/>
      <c r="E257" s="237" t="s">
        <v>85</v>
      </c>
      <c r="F257" s="175">
        <f>IFERROR(VLOOKUP(E257,Data!$G$23:$H$196,2,FALSE),0)</f>
        <v>5719.1477587400004</v>
      </c>
      <c r="G257" s="275">
        <f>IF(IFERROR(VLOOKUP(E257,Data!$O$23:$P$196,2,FALSE),0)=0,0,(F257-IFERROR(VLOOKUP(E257,Data!$O$23:$P$196,2,FALSE),0))/ABS(IFERROR(VLOOKUP(E257,Data!$O$23:$P$196,2,FALSE),0)))</f>
        <v>7.7062709692644286E-3</v>
      </c>
      <c r="H257" s="175">
        <f>VLOOKUP(E257,Data!$B$23:$E$273,3,FALSE)</f>
        <v>65291.38</v>
      </c>
      <c r="I257" s="317">
        <f>VLOOKUP(E257,Data!$B$23:$E$273,2,FALSE)</f>
        <v>39381</v>
      </c>
    </row>
    <row r="258" spans="1:9" ht="14.25" x14ac:dyDescent="0.2">
      <c r="A258" s="237" t="s">
        <v>86</v>
      </c>
      <c r="B258" s="237"/>
      <c r="C258" s="175"/>
      <c r="D258" s="175"/>
      <c r="E258" s="237" t="s">
        <v>87</v>
      </c>
      <c r="F258" s="175">
        <f>IFERROR(VLOOKUP(E258,Data!$G$23:$H$196,2,FALSE),0)</f>
        <v>3909.4342898199998</v>
      </c>
      <c r="G258" s="275">
        <f>IF(IFERROR(VLOOKUP(E258,Data!$O$23:$P$196,2,FALSE),0)=0,0,(F258-IFERROR(VLOOKUP(E258,Data!$O$23:$P$196,2,FALSE),0))/ABS(IFERROR(VLOOKUP(E258,Data!$O$23:$P$196,2,FALSE),0)))</f>
        <v>-0.12126122703948973</v>
      </c>
      <c r="H258" s="175">
        <f>VLOOKUP(E258,Data!$B$23:$E$273,3,FALSE)</f>
        <v>95446.135778840006</v>
      </c>
      <c r="I258" s="317">
        <f>VLOOKUP(E258,Data!$B$23:$E$273,2,FALSE)</f>
        <v>41893</v>
      </c>
    </row>
    <row r="259" spans="1:9" ht="14.25" x14ac:dyDescent="0.2">
      <c r="A259" s="237"/>
      <c r="B259" s="237"/>
      <c r="C259" s="175"/>
      <c r="D259" s="175"/>
      <c r="E259" s="237"/>
      <c r="F259" s="175"/>
      <c r="G259" s="175"/>
      <c r="H259" s="175"/>
      <c r="I259" s="317"/>
    </row>
    <row r="260" spans="1:9" ht="15" x14ac:dyDescent="0.25">
      <c r="A260" s="316" t="s">
        <v>88</v>
      </c>
      <c r="B260" s="316"/>
      <c r="C260" s="316"/>
      <c r="D260" s="316"/>
      <c r="E260" s="316"/>
      <c r="F260" s="316"/>
      <c r="G260" s="316"/>
      <c r="H260" s="316"/>
      <c r="I260" s="316"/>
    </row>
    <row r="261" spans="1:9" ht="14.25" x14ac:dyDescent="0.2">
      <c r="A261" s="237" t="s">
        <v>89</v>
      </c>
      <c r="B261" s="237"/>
      <c r="C261" s="175"/>
      <c r="D261" s="175"/>
      <c r="E261" s="237" t="s">
        <v>90</v>
      </c>
      <c r="F261" s="175">
        <f>IFERROR(VLOOKUP(E261,Data!$G$23:$H$196,2,FALSE),0)</f>
        <v>0</v>
      </c>
      <c r="G261" s="275">
        <f>IF(IFERROR(VLOOKUP(E261,Data!$O$23:$P$196,2,FALSE),0)=0,0,(F261-IFERROR(VLOOKUP(E261,Data!$O$23:$P$196,2,FALSE),0))/ABS(IFERROR(VLOOKUP(E261,Data!$O$23:$P$196,2,FALSE),0)))</f>
        <v>0</v>
      </c>
      <c r="H261" s="175">
        <f>VLOOKUP(E261,Data!$B$23:$E$273,3,FALSE)</f>
        <v>22461.45680964</v>
      </c>
      <c r="I261" s="317">
        <f>VLOOKUP(E261,Data!$B$23:$E$273,2,FALSE)</f>
        <v>41849</v>
      </c>
    </row>
    <row r="262" spans="1:9" ht="14.25" x14ac:dyDescent="0.2">
      <c r="A262" s="237" t="s">
        <v>91</v>
      </c>
      <c r="B262" s="237"/>
      <c r="C262" s="175"/>
      <c r="D262" s="175"/>
      <c r="E262" s="237" t="s">
        <v>92</v>
      </c>
      <c r="F262" s="175">
        <f>IFERROR(VLOOKUP(E262,Data!$G$23:$H$196,2,FALSE),0)</f>
        <v>3516.45922767</v>
      </c>
      <c r="G262" s="275">
        <f>IF(IFERROR(VLOOKUP(E262,Data!$O$23:$P$196,2,FALSE),0)=0,0,(F262-IFERROR(VLOOKUP(E262,Data!$O$23:$P$196,2,FALSE),0))/ABS(IFERROR(VLOOKUP(E262,Data!$O$23:$P$196,2,FALSE),0)))</f>
        <v>-4.6909533580329336E-2</v>
      </c>
      <c r="H262" s="175">
        <f>VLOOKUP(E262,Data!$B$23:$E$273,3,FALSE)</f>
        <v>4599.9677435399999</v>
      </c>
      <c r="I262" s="317">
        <f>VLOOKUP(E262,Data!$B$23:$E$273,2,FALSE)</f>
        <v>41849</v>
      </c>
    </row>
    <row r="263" spans="1:9" ht="14.25" x14ac:dyDescent="0.2">
      <c r="A263" s="237" t="s">
        <v>180</v>
      </c>
      <c r="B263" s="237"/>
      <c r="C263" s="175"/>
      <c r="D263" s="175"/>
      <c r="E263" s="237" t="s">
        <v>181</v>
      </c>
      <c r="F263" s="175">
        <f>IFERROR(VLOOKUP(E263,Data!$G$23:$H$196,2,FALSE),0)</f>
        <v>630.79411661999995</v>
      </c>
      <c r="G263" s="275">
        <f>IF(IFERROR(VLOOKUP(E263,Data!$O$23:$P$196,2,FALSE),0)=0,0,(F263-IFERROR(VLOOKUP(E263,Data!$O$23:$P$196,2,FALSE),0))/ABS(IFERROR(VLOOKUP(E263,Data!$O$23:$P$196,2,FALSE),0)))</f>
        <v>-3.290049281351061E-2</v>
      </c>
      <c r="H263" s="175">
        <f>VLOOKUP(E263,Data!$B$23:$E$273,3,FALSE)</f>
        <v>1035.8389392900001</v>
      </c>
      <c r="I263" s="317">
        <f>VLOOKUP(E263,Data!$B$23:$E$273,2,FALSE)</f>
        <v>42303</v>
      </c>
    </row>
    <row r="264" spans="1:9" ht="14.25" x14ac:dyDescent="0.2">
      <c r="A264" s="237" t="s">
        <v>93</v>
      </c>
      <c r="B264" s="237"/>
      <c r="C264" s="175"/>
      <c r="D264" s="175"/>
      <c r="E264" s="237" t="s">
        <v>94</v>
      </c>
      <c r="F264" s="175">
        <f>IFERROR(VLOOKUP(E264,Data!$G$23:$H$196,2,FALSE),0)</f>
        <v>476.74675581999998</v>
      </c>
      <c r="G264" s="275">
        <f>IF(IFERROR(VLOOKUP(E264,Data!$O$23:$P$196,2,FALSE),0)=0,0,(F264-IFERROR(VLOOKUP(E264,Data!$O$23:$P$196,2,FALSE),0))/ABS(IFERROR(VLOOKUP(E264,Data!$O$23:$P$196,2,FALSE),0)))</f>
        <v>-1.8612058046388987E-2</v>
      </c>
      <c r="H264" s="175">
        <f>VLOOKUP(E264,Data!$B$23:$E$273,3,FALSE)</f>
        <v>694.66658584000004</v>
      </c>
      <c r="I264" s="317">
        <f>VLOOKUP(E264,Data!$B$23:$E$273,2,FALSE)</f>
        <v>43098</v>
      </c>
    </row>
    <row r="265" spans="1:9" ht="14.25" x14ac:dyDescent="0.2">
      <c r="A265" s="237" t="s">
        <v>95</v>
      </c>
      <c r="B265" s="237"/>
      <c r="C265" s="175"/>
      <c r="D265" s="175"/>
      <c r="E265" s="237" t="s">
        <v>96</v>
      </c>
      <c r="F265" s="175">
        <f>IFERROR(VLOOKUP(E265,Data!$G$23:$H$196,2,FALSE),0)</f>
        <v>369.63797178999999</v>
      </c>
      <c r="G265" s="275">
        <f>IF(IFERROR(VLOOKUP(E265,Data!$O$23:$P$196,2,FALSE),0)=0,0,(F265-IFERROR(VLOOKUP(E265,Data!$O$23:$P$196,2,FALSE),0))/ABS(IFERROR(VLOOKUP(E265,Data!$O$23:$P$196,2,FALSE),0)))</f>
        <v>-2.9838617769498369E-2</v>
      </c>
      <c r="H265" s="175">
        <f>VLOOKUP(E265,Data!$B$23:$E$273,3,FALSE)</f>
        <v>597.8558587</v>
      </c>
      <c r="I265" s="317">
        <f>VLOOKUP(E265,Data!$B$23:$E$273,2,FALSE)</f>
        <v>42305</v>
      </c>
    </row>
    <row r="266" spans="1:9" ht="14.25" x14ac:dyDescent="0.2">
      <c r="A266" s="237" t="s">
        <v>97</v>
      </c>
      <c r="B266" s="237"/>
      <c r="C266" s="175"/>
      <c r="D266" s="175"/>
      <c r="E266" s="237" t="s">
        <v>98</v>
      </c>
      <c r="F266" s="175">
        <f>IFERROR(VLOOKUP(E266,Data!$G$23:$H$196,2,FALSE),0)</f>
        <v>24688.891388069998</v>
      </c>
      <c r="G266" s="275">
        <f>IF(IFERROR(VLOOKUP(E266,Data!$O$23:$P$196,2,FALSE),0)=0,0,(F266-IFERROR(VLOOKUP(E266,Data!$O$23:$P$196,2,FALSE),0))/ABS(IFERROR(VLOOKUP(E266,Data!$O$23:$P$196,2,FALSE),0)))</f>
        <v>-5.1596266567549502E-2</v>
      </c>
      <c r="H266" s="175">
        <f>VLOOKUP(E266,Data!$B$23:$E$273,3,FALSE)</f>
        <v>42495.61</v>
      </c>
      <c r="I266" s="317">
        <f>VLOOKUP(E266,Data!$B$23:$E$273,2,FALSE)</f>
        <v>39590</v>
      </c>
    </row>
    <row r="267" spans="1:9" ht="14.25" x14ac:dyDescent="0.2">
      <c r="A267" s="237" t="s">
        <v>99</v>
      </c>
      <c r="B267" s="237"/>
      <c r="C267" s="175"/>
      <c r="D267" s="175"/>
      <c r="E267" s="237" t="s">
        <v>100</v>
      </c>
      <c r="F267" s="175">
        <f>IFERROR(VLOOKUP(E267,Data!$G$23:$H$196,2,FALSE),0)</f>
        <v>365.74736243000001</v>
      </c>
      <c r="G267" s="275">
        <f>IF(IFERROR(VLOOKUP(E267,Data!$O$23:$P$196,2,FALSE),0)=0,0,(F267-IFERROR(VLOOKUP(E267,Data!$O$23:$P$196,2,FALSE),0))/ABS(IFERROR(VLOOKUP(E267,Data!$O$23:$P$196,2,FALSE),0)))</f>
        <v>-4.6409137752221101E-2</v>
      </c>
      <c r="H267" s="175">
        <f>VLOOKUP(E267,Data!$B$23:$E$273,3,FALSE)</f>
        <v>431.46959335999998</v>
      </c>
      <c r="I267" s="317">
        <f>VLOOKUP(E267,Data!$B$23:$E$273,2,FALSE)</f>
        <v>42129</v>
      </c>
    </row>
    <row r="268" spans="1:9" ht="14.25" x14ac:dyDescent="0.2">
      <c r="A268" s="237" t="s">
        <v>101</v>
      </c>
      <c r="B268" s="237"/>
      <c r="C268" s="175"/>
      <c r="D268" s="175"/>
      <c r="E268" s="237" t="s">
        <v>102</v>
      </c>
      <c r="F268" s="175">
        <f>IFERROR(VLOOKUP(E268,Data!$G$23:$H$196,2,FALSE),0)</f>
        <v>654.15133084000001</v>
      </c>
      <c r="G268" s="275">
        <f>IF(IFERROR(VLOOKUP(E268,Data!$O$23:$P$196,2,FALSE),0)=0,0,(F268-IFERROR(VLOOKUP(E268,Data!$O$23:$P$196,2,FALSE),0))/ABS(IFERROR(VLOOKUP(E268,Data!$O$23:$P$196,2,FALSE),0)))</f>
        <v>-5.1709527171931335E-2</v>
      </c>
      <c r="H268" s="175">
        <f>VLOOKUP(E268,Data!$B$23:$E$273,3,FALSE)</f>
        <v>738.92755879000003</v>
      </c>
      <c r="I268" s="317">
        <f>VLOOKUP(E268,Data!$B$23:$E$273,2,FALSE)</f>
        <v>43060</v>
      </c>
    </row>
    <row r="269" spans="1:9" ht="14.25" x14ac:dyDescent="0.2">
      <c r="A269" s="237"/>
      <c r="B269" s="237"/>
      <c r="C269" s="175"/>
      <c r="D269" s="175"/>
      <c r="E269" s="237"/>
      <c r="F269" s="175"/>
      <c r="G269" s="175"/>
      <c r="H269" s="175"/>
      <c r="I269" s="317"/>
    </row>
    <row r="270" spans="1:9" ht="15" x14ac:dyDescent="0.25">
      <c r="A270" s="316" t="s">
        <v>103</v>
      </c>
      <c r="B270" s="316"/>
      <c r="C270" s="316"/>
      <c r="D270" s="316"/>
      <c r="E270" s="316"/>
      <c r="F270" s="316"/>
      <c r="G270" s="316"/>
      <c r="H270" s="316"/>
      <c r="I270" s="316"/>
    </row>
    <row r="271" spans="1:9" ht="14.25" x14ac:dyDescent="0.2">
      <c r="A271" s="237" t="s">
        <v>104</v>
      </c>
      <c r="B271" s="237"/>
      <c r="C271" s="175"/>
      <c r="D271" s="175"/>
      <c r="E271" s="237" t="s">
        <v>105</v>
      </c>
      <c r="F271" s="175">
        <f>IFERROR(VLOOKUP(E271,Data!$G$23:$H$196,2,FALSE),0)</f>
        <v>31.47943072</v>
      </c>
      <c r="G271" s="275">
        <f>IF(IFERROR(VLOOKUP(E271,Data!$O$23:$P$196,2,FALSE),0)=0,0,(F271-IFERROR(VLOOKUP(E271,Data!$O$23:$P$196,2,FALSE),0))/ABS(IFERROR(VLOOKUP(E271,Data!$O$23:$P$196,2,FALSE),0)))</f>
        <v>-3.3905223246026056E-3</v>
      </c>
      <c r="H271" s="175">
        <f>VLOOKUP(E271,Data!$B$23:$E$273,3,FALSE)</f>
        <v>146.47999999999999</v>
      </c>
      <c r="I271" s="317">
        <f>VLOOKUP(E271,Data!$B$23:$E$273,2,FALSE)</f>
        <v>39587</v>
      </c>
    </row>
    <row r="272" spans="1:9" ht="14.25" x14ac:dyDescent="0.2">
      <c r="A272" s="237" t="s">
        <v>106</v>
      </c>
      <c r="B272" s="237"/>
      <c r="C272" s="175"/>
      <c r="D272" s="175"/>
      <c r="E272" s="237" t="s">
        <v>107</v>
      </c>
      <c r="F272" s="175">
        <f>IFERROR(VLOOKUP(E272,Data!$G$23:$H$196,2,FALSE),0)</f>
        <v>11156.585509959999</v>
      </c>
      <c r="G272" s="275">
        <f>IF(IFERROR(VLOOKUP(E272,Data!$O$23:$P$196,2,FALSE),0)=0,0,(F272-IFERROR(VLOOKUP(E272,Data!$O$23:$P$196,2,FALSE),0))/ABS(IFERROR(VLOOKUP(E272,Data!$O$23:$P$196,2,FALSE),0)))</f>
        <v>-3.9414739119937786E-2</v>
      </c>
      <c r="H272" s="175">
        <f>VLOOKUP(E272,Data!$B$23:$E$273,3,FALSE)</f>
        <v>12608.67</v>
      </c>
      <c r="I272" s="317">
        <f>VLOOKUP(E272,Data!$B$23:$E$273,2,FALSE)</f>
        <v>39590</v>
      </c>
    </row>
    <row r="273" spans="1:12" ht="14.25" x14ac:dyDescent="0.2">
      <c r="A273" s="237"/>
      <c r="B273" s="237"/>
      <c r="C273" s="175"/>
      <c r="D273" s="175"/>
      <c r="E273" s="237"/>
      <c r="F273" s="175"/>
      <c r="G273" s="175"/>
      <c r="H273" s="175"/>
      <c r="I273" s="317"/>
    </row>
    <row r="274" spans="1:12" ht="15" x14ac:dyDescent="0.25">
      <c r="A274" s="316" t="s">
        <v>108</v>
      </c>
      <c r="B274" s="316"/>
      <c r="C274" s="316"/>
      <c r="D274" s="316"/>
      <c r="E274" s="316"/>
      <c r="F274" s="316"/>
      <c r="G274" s="316"/>
      <c r="H274" s="316"/>
      <c r="I274" s="316"/>
    </row>
    <row r="275" spans="1:12" ht="14.25" x14ac:dyDescent="0.2">
      <c r="A275" s="237" t="s">
        <v>109</v>
      </c>
      <c r="B275" s="237"/>
      <c r="C275" s="175"/>
      <c r="D275" s="175"/>
      <c r="E275" s="237" t="s">
        <v>110</v>
      </c>
      <c r="F275" s="175">
        <f>IFERROR(VLOOKUP(E275,Data!$G$23:$H$196,2,FALSE),0)</f>
        <v>0</v>
      </c>
      <c r="G275" s="275">
        <f>IF(IFERROR(VLOOKUP(E275,Data!$O$23:$P$196,2,FALSE),0)=0,0,(F275-IFERROR(VLOOKUP(E275,Data!$O$23:$P$196,2,FALSE),0))/ABS(IFERROR(VLOOKUP(E275,Data!$O$23:$P$196,2,FALSE),0)))</f>
        <v>0</v>
      </c>
      <c r="H275" s="175">
        <f>VLOOKUP(E275,Data!$B$23:$E$273,3,FALSE)</f>
        <v>1703.8449540300001</v>
      </c>
      <c r="I275" s="317">
        <f>VLOOKUP(E275,Data!$B$23:$E$273,2,FALSE)</f>
        <v>42346</v>
      </c>
    </row>
    <row r="276" spans="1:12" ht="14.25" x14ac:dyDescent="0.2">
      <c r="A276" s="237" t="s">
        <v>111</v>
      </c>
      <c r="B276" s="237"/>
      <c r="C276" s="175"/>
      <c r="D276" s="175"/>
      <c r="E276" s="237" t="s">
        <v>112</v>
      </c>
      <c r="F276" s="175">
        <f>IFERROR(VLOOKUP(E276,Data!$G$23:$H$196,2,FALSE),0)</f>
        <v>0</v>
      </c>
      <c r="G276" s="275">
        <f>IF(IFERROR(VLOOKUP(E276,Data!$O$23:$P$196,2,FALSE),0)=0,0,(F276-IFERROR(VLOOKUP(E276,Data!$O$23:$P$196,2,FALSE),0))/ABS(IFERROR(VLOOKUP(E276,Data!$O$23:$P$196,2,FALSE),0)))</f>
        <v>0</v>
      </c>
      <c r="H276" s="175">
        <f>VLOOKUP(E276,Data!$B$23:$E$273,3,FALSE)</f>
        <v>641.64</v>
      </c>
      <c r="I276" s="317">
        <f>VLOOKUP(E276,Data!$B$23:$E$273,2,FALSE)</f>
        <v>38723</v>
      </c>
    </row>
    <row r="277" spans="1:12" ht="14.25" x14ac:dyDescent="0.2">
      <c r="A277" s="237" t="s">
        <v>113</v>
      </c>
      <c r="B277" s="237"/>
      <c r="C277" s="175"/>
      <c r="D277" s="175"/>
      <c r="E277" s="237" t="s">
        <v>114</v>
      </c>
      <c r="F277" s="175">
        <f>IFERROR(VLOOKUP(E277,Data!$G$23:$H$196,2,FALSE),0)</f>
        <v>848.36859451999999</v>
      </c>
      <c r="G277" s="275">
        <f>IF(IFERROR(VLOOKUP(E277,Data!$O$23:$P$196,2,FALSE),0)=0,0,(F277-IFERROR(VLOOKUP(E277,Data!$O$23:$P$196,2,FALSE),0))/ABS(IFERROR(VLOOKUP(E277,Data!$O$23:$P$196,2,FALSE),0)))</f>
        <v>-7.9949626261596653E-3</v>
      </c>
      <c r="H277" s="175">
        <f>VLOOKUP(E277,Data!$B$23:$E$273,3,FALSE)</f>
        <v>5041.9399999999996</v>
      </c>
      <c r="I277" s="317">
        <f>VLOOKUP(E277,Data!$B$23:$E$273,2,FALSE)</f>
        <v>39400</v>
      </c>
    </row>
    <row r="278" spans="1:12" ht="15" thickBot="1" x14ac:dyDescent="0.25">
      <c r="A278" s="278"/>
      <c r="B278" s="278"/>
      <c r="C278" s="174"/>
      <c r="D278" s="174"/>
      <c r="E278" s="174"/>
      <c r="F278" s="320"/>
      <c r="G278" s="278"/>
      <c r="H278" s="278"/>
      <c r="I278" s="278"/>
    </row>
    <row r="279" spans="1:12" ht="13.5" thickTop="1" x14ac:dyDescent="0.2">
      <c r="A279" s="345" t="s">
        <v>519</v>
      </c>
      <c r="D279" s="2"/>
      <c r="E279" s="2"/>
      <c r="F279" s="12"/>
    </row>
    <row r="280" spans="1:12" x14ac:dyDescent="0.2">
      <c r="A280" s="59" t="s">
        <v>115</v>
      </c>
      <c r="D280" s="2"/>
      <c r="E280" s="2"/>
      <c r="F280" s="12"/>
    </row>
    <row r="281" spans="1:12" s="236" customFormat="1" x14ac:dyDescent="0.2">
      <c r="A281" s="59"/>
      <c r="D281" s="2"/>
      <c r="E281" s="2"/>
      <c r="F281" s="12"/>
      <c r="K281" s="251"/>
      <c r="L281" s="251"/>
    </row>
    <row r="282" spans="1:12" s="236" customFormat="1" x14ac:dyDescent="0.2">
      <c r="A282" s="59"/>
      <c r="D282" s="2"/>
      <c r="E282" s="2"/>
      <c r="F282" s="12"/>
      <c r="K282" s="251"/>
      <c r="L282" s="251"/>
    </row>
    <row r="283" spans="1:12" s="236" customFormat="1" x14ac:dyDescent="0.2">
      <c r="A283" s="59"/>
      <c r="D283" s="2"/>
      <c r="E283" s="2"/>
      <c r="F283" s="12"/>
      <c r="K283" s="251"/>
      <c r="L283" s="251"/>
    </row>
    <row r="284" spans="1:12" s="236" customFormat="1" x14ac:dyDescent="0.2">
      <c r="D284" s="2"/>
      <c r="E284" s="2"/>
      <c r="F284" s="12"/>
      <c r="K284" s="251"/>
      <c r="L284" s="251"/>
    </row>
    <row r="285" spans="1:12" s="236" customFormat="1" ht="13.5" thickBot="1" x14ac:dyDescent="0.25">
      <c r="A285" s="120" t="s">
        <v>659</v>
      </c>
      <c r="B285" s="120"/>
      <c r="C285" s="358"/>
      <c r="D285" s="2"/>
      <c r="E285" s="2"/>
      <c r="F285" s="12"/>
      <c r="K285" s="251"/>
      <c r="L285" s="251"/>
    </row>
    <row r="286" spans="1:12" s="236" customFormat="1" x14ac:dyDescent="0.2">
      <c r="A286" s="359"/>
      <c r="B286" s="359"/>
      <c r="C286" s="359"/>
      <c r="K286" s="251"/>
      <c r="L286" s="251"/>
    </row>
    <row r="287" spans="1:12" s="236" customFormat="1" x14ac:dyDescent="0.2">
      <c r="A287" s="357" t="s">
        <v>657</v>
      </c>
      <c r="D287" s="2"/>
      <c r="E287" s="2"/>
      <c r="F287" s="12"/>
      <c r="K287" s="251"/>
      <c r="L287" s="251"/>
    </row>
    <row r="288" spans="1:12" s="236" customFormat="1" x14ac:dyDescent="0.2">
      <c r="A288" s="357" t="s">
        <v>658</v>
      </c>
      <c r="D288" s="2"/>
      <c r="E288" s="2"/>
      <c r="F288" s="12"/>
      <c r="K288" s="251"/>
      <c r="L288" s="251"/>
    </row>
    <row r="289" spans="1:12" s="236" customFormat="1" x14ac:dyDescent="0.2">
      <c r="D289" s="2"/>
      <c r="E289" s="2"/>
      <c r="F289" s="12"/>
      <c r="K289" s="251"/>
      <c r="L289" s="251"/>
    </row>
    <row r="290" spans="1:12" s="236" customFormat="1" x14ac:dyDescent="0.2">
      <c r="A290" s="381" t="s">
        <v>660</v>
      </c>
      <c r="B290" s="381"/>
      <c r="C290" s="381"/>
      <c r="D290" s="2"/>
      <c r="E290" s="2"/>
      <c r="F290" s="12"/>
      <c r="K290" s="251"/>
      <c r="L290" s="251"/>
    </row>
    <row r="291" spans="1:12" s="236" customFormat="1" x14ac:dyDescent="0.2">
      <c r="A291" s="381"/>
      <c r="B291" s="381"/>
      <c r="C291" s="381"/>
      <c r="D291" s="2"/>
      <c r="E291" s="2"/>
      <c r="F291" s="12"/>
      <c r="K291" s="251"/>
      <c r="L291" s="251"/>
    </row>
    <row r="292" spans="1:12" s="236" customFormat="1" x14ac:dyDescent="0.2">
      <c r="A292" s="59"/>
      <c r="D292" s="2"/>
      <c r="E292" s="2"/>
      <c r="F292" s="12"/>
      <c r="K292" s="251"/>
      <c r="L292" s="251"/>
    </row>
    <row r="293" spans="1:12" s="236" customFormat="1" x14ac:dyDescent="0.2">
      <c r="A293" s="59"/>
      <c r="D293" s="2"/>
      <c r="E293" s="2"/>
      <c r="F293" s="12"/>
      <c r="K293" s="251"/>
      <c r="L293" s="251"/>
    </row>
    <row r="294" spans="1:12" s="236" customFormat="1" x14ac:dyDescent="0.2">
      <c r="A294" s="59"/>
      <c r="D294" s="2"/>
      <c r="E294" s="2"/>
      <c r="F294" s="12"/>
      <c r="K294" s="251"/>
      <c r="L294" s="251"/>
    </row>
    <row r="295" spans="1:12" s="236" customFormat="1" x14ac:dyDescent="0.2">
      <c r="A295" s="59"/>
      <c r="D295" s="2"/>
      <c r="E295" s="2"/>
      <c r="F295" s="12"/>
      <c r="K295" s="251"/>
      <c r="L295" s="251"/>
    </row>
    <row r="296" spans="1:12" s="236" customFormat="1" x14ac:dyDescent="0.2">
      <c r="A296" s="59"/>
      <c r="D296" s="2"/>
      <c r="E296" s="2"/>
      <c r="F296" s="12"/>
      <c r="K296" s="251"/>
      <c r="L296" s="251"/>
    </row>
    <row r="297" spans="1:12" s="236" customFormat="1" x14ac:dyDescent="0.2">
      <c r="A297" s="59"/>
      <c r="D297" s="2"/>
      <c r="E297" s="2"/>
      <c r="F297" s="12"/>
      <c r="K297" s="251"/>
      <c r="L297" s="251"/>
    </row>
    <row r="298" spans="1:12" s="236" customFormat="1" x14ac:dyDescent="0.2">
      <c r="A298" s="59"/>
      <c r="D298" s="2"/>
      <c r="E298" s="2"/>
      <c r="F298" s="12"/>
      <c r="K298" s="251"/>
      <c r="L298" s="251"/>
    </row>
    <row r="299" spans="1:12" s="236" customFormat="1" x14ac:dyDescent="0.2">
      <c r="A299" s="59"/>
      <c r="D299" s="2"/>
      <c r="E299" s="2"/>
      <c r="F299" s="12"/>
      <c r="K299" s="251"/>
      <c r="L299" s="251"/>
    </row>
    <row r="300" spans="1:12" s="236" customFormat="1" x14ac:dyDescent="0.2">
      <c r="A300" s="59"/>
      <c r="D300" s="2"/>
      <c r="E300" s="2"/>
      <c r="F300" s="12"/>
      <c r="K300" s="251"/>
      <c r="L300" s="251"/>
    </row>
    <row r="301" spans="1:12" s="236" customFormat="1" x14ac:dyDescent="0.2">
      <c r="A301" s="59"/>
      <c r="D301" s="2"/>
      <c r="E301" s="2"/>
      <c r="F301" s="12"/>
      <c r="K301" s="251"/>
      <c r="L301" s="251"/>
    </row>
    <row r="302" spans="1:12" s="236" customFormat="1" x14ac:dyDescent="0.2">
      <c r="A302" s="59"/>
      <c r="D302" s="2"/>
      <c r="E302" s="2"/>
      <c r="F302" s="12"/>
      <c r="K302" s="251"/>
      <c r="L302" s="251"/>
    </row>
    <row r="303" spans="1:12" s="236" customFormat="1" x14ac:dyDescent="0.2">
      <c r="A303" s="59"/>
      <c r="D303" s="2"/>
      <c r="E303" s="2"/>
      <c r="F303" s="12"/>
      <c r="K303" s="251"/>
      <c r="L303" s="251"/>
    </row>
    <row r="304" spans="1:12" s="236" customFormat="1" x14ac:dyDescent="0.2">
      <c r="A304" s="59"/>
      <c r="D304" s="2"/>
      <c r="E304" s="2"/>
      <c r="F304" s="12"/>
      <c r="K304" s="251"/>
      <c r="L304" s="251"/>
    </row>
    <row r="305" spans="1:12" s="236" customFormat="1" x14ac:dyDescent="0.2">
      <c r="A305" s="59"/>
      <c r="D305" s="2"/>
      <c r="E305" s="2"/>
      <c r="F305" s="12"/>
      <c r="K305" s="251"/>
      <c r="L305" s="251"/>
    </row>
    <row r="306" spans="1:12" s="236" customFormat="1" x14ac:dyDescent="0.2">
      <c r="A306" s="59"/>
      <c r="D306" s="2"/>
      <c r="E306" s="2"/>
      <c r="F306" s="12"/>
      <c r="K306" s="251"/>
      <c r="L306" s="251"/>
    </row>
    <row r="307" spans="1:12" s="236" customFormat="1" x14ac:dyDescent="0.2">
      <c r="A307" s="59"/>
      <c r="D307" s="2"/>
      <c r="E307" s="2"/>
      <c r="F307" s="12"/>
      <c r="K307" s="251"/>
      <c r="L307" s="251"/>
    </row>
    <row r="308" spans="1:12" s="236" customFormat="1" x14ac:dyDescent="0.2">
      <c r="A308" s="59"/>
      <c r="D308" s="2"/>
      <c r="E308" s="2"/>
      <c r="F308" s="12"/>
      <c r="K308" s="251"/>
      <c r="L308" s="251"/>
    </row>
    <row r="309" spans="1:12" s="236" customFormat="1" x14ac:dyDescent="0.2">
      <c r="A309" s="59"/>
      <c r="D309" s="2"/>
      <c r="E309" s="2"/>
      <c r="F309" s="12"/>
      <c r="K309" s="251"/>
      <c r="L309" s="251"/>
    </row>
    <row r="310" spans="1:12" s="236" customFormat="1" x14ac:dyDescent="0.2">
      <c r="A310" s="59"/>
      <c r="D310" s="2"/>
      <c r="E310" s="2"/>
      <c r="F310" s="12"/>
      <c r="K310" s="251"/>
      <c r="L310" s="251"/>
    </row>
    <row r="311" spans="1:12" s="236" customFormat="1" x14ac:dyDescent="0.2">
      <c r="A311" s="59"/>
      <c r="D311" s="2"/>
      <c r="E311" s="2"/>
      <c r="F311" s="12"/>
      <c r="K311" s="251"/>
      <c r="L311" s="251"/>
    </row>
    <row r="312" spans="1:12" s="236" customFormat="1" x14ac:dyDescent="0.2">
      <c r="A312" s="59"/>
      <c r="D312" s="2"/>
      <c r="E312" s="2"/>
      <c r="F312" s="12"/>
      <c r="K312" s="251"/>
      <c r="L312" s="251"/>
    </row>
    <row r="313" spans="1:12" s="236" customFormat="1" x14ac:dyDescent="0.2">
      <c r="A313" s="59"/>
      <c r="D313" s="2"/>
      <c r="E313" s="2"/>
      <c r="F313" s="12"/>
      <c r="K313" s="251"/>
      <c r="L313" s="251"/>
    </row>
    <row r="314" spans="1:12" s="236" customFormat="1" x14ac:dyDescent="0.2">
      <c r="A314" s="59"/>
      <c r="D314" s="2"/>
      <c r="E314" s="2"/>
      <c r="F314" s="12"/>
      <c r="K314" s="251"/>
      <c r="L314" s="251"/>
    </row>
    <row r="315" spans="1:12" s="236" customFormat="1" x14ac:dyDescent="0.2">
      <c r="A315" s="59"/>
      <c r="D315" s="2"/>
      <c r="E315" s="2"/>
      <c r="F315" s="12"/>
      <c r="K315" s="251"/>
      <c r="L315" s="251"/>
    </row>
    <row r="316" spans="1:12" s="236" customFormat="1" x14ac:dyDescent="0.2">
      <c r="A316" s="59"/>
      <c r="D316" s="2"/>
      <c r="E316" s="2"/>
      <c r="F316" s="12"/>
      <c r="K316" s="251"/>
      <c r="L316" s="251"/>
    </row>
    <row r="317" spans="1:12" s="236" customFormat="1" x14ac:dyDescent="0.2">
      <c r="A317" s="59"/>
      <c r="D317" s="2"/>
      <c r="E317" s="2"/>
      <c r="F317" s="12"/>
      <c r="K317" s="251"/>
      <c r="L317" s="251"/>
    </row>
    <row r="318" spans="1:12" s="236" customFormat="1" x14ac:dyDescent="0.2">
      <c r="A318" s="59"/>
      <c r="D318" s="2"/>
      <c r="E318" s="2"/>
      <c r="F318" s="12"/>
      <c r="K318" s="251"/>
      <c r="L318" s="251"/>
    </row>
    <row r="319" spans="1:12" s="236" customFormat="1" x14ac:dyDescent="0.2">
      <c r="A319" s="59"/>
      <c r="D319" s="2"/>
      <c r="E319" s="2"/>
      <c r="F319" s="12"/>
      <c r="K319" s="251"/>
      <c r="L319" s="251"/>
    </row>
    <row r="320" spans="1:12" s="236" customFormat="1" x14ac:dyDescent="0.2">
      <c r="A320" s="59"/>
      <c r="D320" s="2"/>
      <c r="E320" s="2"/>
      <c r="F320" s="12"/>
      <c r="K320" s="251"/>
      <c r="L320" s="251"/>
    </row>
    <row r="321" spans="1:12" s="236" customFormat="1" x14ac:dyDescent="0.2">
      <c r="A321" s="59"/>
      <c r="D321" s="2"/>
      <c r="E321" s="2"/>
      <c r="F321" s="12"/>
      <c r="K321" s="251"/>
      <c r="L321" s="251"/>
    </row>
    <row r="322" spans="1:12" s="236" customFormat="1" x14ac:dyDescent="0.2">
      <c r="A322" s="59"/>
      <c r="D322" s="2"/>
      <c r="E322" s="2"/>
      <c r="F322" s="12"/>
      <c r="K322" s="251"/>
      <c r="L322" s="251"/>
    </row>
    <row r="324" spans="1:12" ht="14.25" x14ac:dyDescent="0.2">
      <c r="A324" s="237"/>
      <c r="B324" s="237"/>
      <c r="C324" s="237"/>
      <c r="D324" s="237"/>
      <c r="E324" s="237"/>
      <c r="F324" s="237"/>
      <c r="G324" s="237"/>
      <c r="H324" s="237"/>
      <c r="I324" s="237"/>
    </row>
    <row r="325" spans="1:12" ht="14.25" x14ac:dyDescent="0.2">
      <c r="A325" s="237"/>
      <c r="B325" s="237"/>
      <c r="C325" s="237"/>
      <c r="D325" s="237"/>
      <c r="E325" s="237"/>
      <c r="F325" s="237"/>
      <c r="G325" s="237"/>
      <c r="H325" s="237"/>
      <c r="I325" s="237"/>
    </row>
    <row r="326" spans="1:12" ht="14.25" x14ac:dyDescent="0.2">
      <c r="A326" s="237"/>
      <c r="B326" s="237"/>
      <c r="C326" s="237"/>
      <c r="D326" s="237"/>
      <c r="E326" s="237"/>
      <c r="F326" s="237"/>
      <c r="G326" s="237"/>
      <c r="H326" s="237"/>
      <c r="I326" s="237"/>
    </row>
    <row r="327" spans="1:12" ht="14.25" x14ac:dyDescent="0.2">
      <c r="A327" s="237"/>
      <c r="B327" s="237"/>
      <c r="C327" s="237"/>
      <c r="D327" s="237"/>
      <c r="E327" s="237"/>
      <c r="F327" s="237"/>
      <c r="G327" s="237"/>
      <c r="H327" s="237"/>
      <c r="I327" s="237"/>
    </row>
    <row r="328" spans="1:12" s="236" customFormat="1" ht="4.5" customHeight="1" x14ac:dyDescent="0.2">
      <c r="A328" s="237"/>
      <c r="B328" s="237"/>
      <c r="C328" s="237"/>
      <c r="D328" s="237"/>
      <c r="E328" s="237"/>
      <c r="F328" s="237"/>
      <c r="G328" s="237"/>
      <c r="H328" s="237"/>
      <c r="I328" s="237"/>
      <c r="K328" s="251"/>
      <c r="L328" s="251"/>
    </row>
    <row r="329" spans="1:12" ht="14.25" x14ac:dyDescent="0.2">
      <c r="B329" s="237"/>
      <c r="C329" s="237"/>
      <c r="D329" s="237"/>
      <c r="E329" s="237"/>
      <c r="F329" s="237"/>
      <c r="G329" s="237"/>
      <c r="H329" s="237"/>
      <c r="I329" s="237"/>
    </row>
    <row r="330" spans="1:12" ht="8.25" customHeight="1" x14ac:dyDescent="0.2">
      <c r="A330" s="369" t="str">
        <f>"Market Profile - "&amp; TEXT($H$3,"MMM")&amp;" "&amp;TEXT($H$3,"YYYY")</f>
        <v>Market Profile - May 2019</v>
      </c>
      <c r="B330" s="237"/>
      <c r="C330" s="237"/>
      <c r="D330" s="237"/>
      <c r="E330" s="373" t="s">
        <v>195</v>
      </c>
      <c r="F330" s="373"/>
      <c r="G330" s="373"/>
      <c r="H330" s="373"/>
      <c r="I330" s="373"/>
    </row>
    <row r="331" spans="1:12" ht="10.5" customHeight="1" thickBot="1" x14ac:dyDescent="0.25">
      <c r="A331" s="370"/>
      <c r="B331" s="267"/>
      <c r="C331" s="267"/>
      <c r="D331" s="267"/>
      <c r="E331" s="374"/>
      <c r="F331" s="374"/>
      <c r="G331" s="374"/>
      <c r="H331" s="374"/>
      <c r="I331" s="374"/>
    </row>
    <row r="332" spans="1:12" ht="38.25" customHeight="1" thickBot="1" x14ac:dyDescent="0.3">
      <c r="A332" s="314"/>
      <c r="B332" s="314"/>
      <c r="C332" s="321" t="str">
        <f>TEXT($H$3,"MMM")&amp;" "&amp;TEXT($H$3,"YYYY")</f>
        <v>May 2019</v>
      </c>
      <c r="D332" s="314"/>
      <c r="E332" s="321" t="str">
        <f>TEXT(DATE(2000,TEXT(H3,"M")-1,1),"mmm")&amp; " "&amp; TEXT(H3,"YYYY")</f>
        <v>Apr 2019</v>
      </c>
      <c r="F332" s="172" t="s">
        <v>184</v>
      </c>
      <c r="G332" s="314"/>
      <c r="H332" s="322" t="str">
        <f>TEXT($H$3,"MMM")&amp;" "&amp;TEXT($H$3,"YYYY")-1</f>
        <v>May 2018</v>
      </c>
      <c r="I332" s="322" t="s">
        <v>185</v>
      </c>
    </row>
    <row r="333" spans="1:12" ht="15" x14ac:dyDescent="0.25">
      <c r="A333" s="316" t="s">
        <v>116</v>
      </c>
      <c r="B333" s="316"/>
      <c r="C333" s="316"/>
      <c r="D333" s="316"/>
      <c r="E333" s="316"/>
      <c r="F333" s="316"/>
      <c r="G333" s="316"/>
      <c r="H333" s="316"/>
      <c r="I333" s="323"/>
    </row>
    <row r="334" spans="1:12" x14ac:dyDescent="0.2">
      <c r="A334" s="134" t="s">
        <v>14</v>
      </c>
      <c r="B334" s="236"/>
      <c r="C334" s="236"/>
      <c r="D334" s="236"/>
      <c r="E334" s="236"/>
      <c r="F334" s="135"/>
      <c r="G334" s="236"/>
      <c r="H334" s="236"/>
      <c r="I334" s="171"/>
    </row>
    <row r="335" spans="1:12" x14ac:dyDescent="0.2">
      <c r="A335" s="236" t="s">
        <v>448</v>
      </c>
      <c r="B335" s="236"/>
      <c r="C335" s="3">
        <f>SUMIFS(Data!$AC:$AC,Data!$Z:$Z,MarketProfile!A335,Data!$AE:$AE,"1")</f>
        <v>2044</v>
      </c>
      <c r="D335" s="361">
        <f>SUMIFS(Data!$AQ:$AQ,Data!$AN:$AN,MarketProfile!A335,Data!$AS:$AS,"1")</f>
        <v>949</v>
      </c>
      <c r="E335" s="361"/>
      <c r="F335" s="171">
        <f>IFERROR(IF(OR(AND(D335="",C335=""),AND(D335=0,C335=0)),"",
IF(OR(D335="",D335=0),1,
IF(OR(D335&lt;&gt;"",D335&lt;&gt;0),(C335-D335)/ABS(D335)))),-1)</f>
        <v>1.1538461538461537</v>
      </c>
      <c r="G335" s="361">
        <f>SUMIFS(Data!$BE:$BE,Data!$BB:$BB,MarketProfile!A335,Data!BG:BG,"1")</f>
        <v>1112</v>
      </c>
      <c r="H335" s="361"/>
      <c r="I335" s="171">
        <f t="shared" ref="I335:I342" si="18">IFERROR(IF(OR(AND(G335="",C335=""),AND(G335=0,C335=0)),"",
IF(OR(G335="",G335=0),1,
IF(OR(G335&lt;&gt;"",G335&lt;&gt;0),(C335-G335)/ABS(G335)))),-1)</f>
        <v>0.83812949640287771</v>
      </c>
      <c r="J335" s="153"/>
    </row>
    <row r="336" spans="1:12" x14ac:dyDescent="0.2">
      <c r="A336" s="236" t="s">
        <v>175</v>
      </c>
      <c r="B336" s="236"/>
      <c r="C336" s="3">
        <f>SUMIFS(Data!$AC:$AC,Data!$Z:$Z,MarketProfile!A336,Data!$AE:$AE,"1")</f>
        <v>4927</v>
      </c>
      <c r="D336" s="361">
        <f>SUMIFS(Data!$AQ:$AQ,Data!$AN:$AN,MarketProfile!A336,Data!$AS:$AS,"1")</f>
        <v>2887</v>
      </c>
      <c r="E336" s="361"/>
      <c r="F336" s="171">
        <f t="shared" ref="F336:F343" si="19">IFERROR(IF(OR(AND(D336="",C336=""),AND(D336=0,C336=0)),"",
IF(OR(D336="",D336=0),1,
IF(OR(D336&lt;&gt;"",D336&lt;&gt;0),(C336-D336)/ABS(D336)))),-1)</f>
        <v>0.70661586421891232</v>
      </c>
      <c r="G336" s="361">
        <f>SUMIFS(Data!$BE:$BE,Data!$BB:$BB,MarketProfile!A336,Data!BG:BG,"1")</f>
        <v>4893</v>
      </c>
      <c r="H336" s="361"/>
      <c r="I336" s="171">
        <f t="shared" si="18"/>
        <v>6.9487022276721851E-3</v>
      </c>
      <c r="J336" s="153"/>
    </row>
    <row r="337" spans="1:10" x14ac:dyDescent="0.2">
      <c r="A337" s="236" t="s">
        <v>449</v>
      </c>
      <c r="B337" s="236"/>
      <c r="C337" s="3">
        <f>SUMIFS(Data!$AC:$AC,Data!$Z:$Z,MarketProfile!A337,Data!$AE:$AE,"1")</f>
        <v>12521</v>
      </c>
      <c r="D337" s="361">
        <f>SUMIFS(Data!$AQ:$AQ,Data!$AN:$AN,MarketProfile!A337,Data!$AS:$AS,"1")</f>
        <v>8340</v>
      </c>
      <c r="E337" s="361"/>
      <c r="F337" s="171">
        <f t="shared" si="19"/>
        <v>0.50131894484412465</v>
      </c>
      <c r="G337" s="361">
        <f>SUMIFS(Data!$BE:$BE,Data!$BB:$BB,MarketProfile!A337,Data!BG:BG,"1")</f>
        <v>7453</v>
      </c>
      <c r="H337" s="361"/>
      <c r="I337" s="171">
        <f t="shared" si="18"/>
        <v>0.67999463303367769</v>
      </c>
      <c r="J337" s="153"/>
    </row>
    <row r="338" spans="1:10" x14ac:dyDescent="0.2">
      <c r="A338" s="236" t="s">
        <v>138</v>
      </c>
      <c r="B338" s="236"/>
      <c r="C338" s="3">
        <f>SUMIFS(Data!$AC:$AC,Data!$Z:$Z,MarketProfile!A338,Data!$AE:$AE,"1")</f>
        <v>18</v>
      </c>
      <c r="D338" s="361">
        <f>SUMIFS(Data!$AQ:$AQ,Data!$AN:$AN,MarketProfile!A338,Data!$AS:$AS,"1")</f>
        <v>11</v>
      </c>
      <c r="E338" s="361"/>
      <c r="F338" s="171">
        <f t="shared" si="19"/>
        <v>0.63636363636363635</v>
      </c>
      <c r="G338" s="361">
        <f>SUMIFS(Data!$BE:$BE,Data!$BB:$BB,MarketProfile!A338,Data!BG:BG,"1")</f>
        <v>7</v>
      </c>
      <c r="H338" s="361"/>
      <c r="I338" s="171">
        <f t="shared" si="18"/>
        <v>1.5714285714285714</v>
      </c>
      <c r="J338" s="153"/>
    </row>
    <row r="339" spans="1:10" x14ac:dyDescent="0.2">
      <c r="A339" s="236" t="s">
        <v>450</v>
      </c>
      <c r="B339" s="236"/>
      <c r="C339" s="3">
        <f>SUMIFS(Data!$AC:$AC,Data!$Z:$Z,MarketProfile!A339,Data!$AE:$AE,"1")</f>
        <v>2472</v>
      </c>
      <c r="D339" s="361">
        <f>SUMIFS(Data!$AQ:$AQ,Data!$AN:$AN,MarketProfile!A339,Data!$AS:$AS,"1")</f>
        <v>2823</v>
      </c>
      <c r="E339" s="361"/>
      <c r="F339" s="171">
        <f t="shared" si="19"/>
        <v>-0.12433581296493093</v>
      </c>
      <c r="G339" s="361">
        <f>SUMIFS(Data!$BE:$BE,Data!$BB:$BB,MarketProfile!A339,Data!BG:BG,"1")</f>
        <v>2416</v>
      </c>
      <c r="H339" s="361"/>
      <c r="I339" s="171">
        <f t="shared" si="18"/>
        <v>2.3178807947019868E-2</v>
      </c>
      <c r="J339" s="153"/>
    </row>
    <row r="340" spans="1:10" x14ac:dyDescent="0.2">
      <c r="A340" s="236" t="s">
        <v>451</v>
      </c>
      <c r="B340" s="236"/>
      <c r="C340" s="3">
        <f>SUMIFS(Data!$AC:$AC,Data!$Z:$Z,MarketProfile!A340,Data!$AE:$AE,"1")</f>
        <v>13072</v>
      </c>
      <c r="D340" s="361">
        <f>SUMIFS(Data!$AQ:$AQ,Data!$AN:$AN,MarketProfile!A340,Data!$AS:$AS,"1")</f>
        <v>10456</v>
      </c>
      <c r="E340" s="361"/>
      <c r="F340" s="171">
        <f t="shared" si="19"/>
        <v>0.25019127773527161</v>
      </c>
      <c r="G340" s="361">
        <f>SUMIFS(Data!$BE:$BE,Data!$BB:$BB,MarketProfile!A340,Data!BG:BG,"1")</f>
        <v>12653</v>
      </c>
      <c r="H340" s="361"/>
      <c r="I340" s="171">
        <f t="shared" si="18"/>
        <v>3.3114676361337234E-2</v>
      </c>
      <c r="J340" s="153"/>
    </row>
    <row r="341" spans="1:10" x14ac:dyDescent="0.2">
      <c r="A341" s="236" t="s">
        <v>452</v>
      </c>
      <c r="B341" s="236"/>
      <c r="C341" s="3">
        <f>SUMIFS(Data!$AC:$AC,Data!$Z:$Z,MarketProfile!A341,Data!$AE:$AE,"1")</f>
        <v>15</v>
      </c>
      <c r="D341" s="361">
        <f>SUMIFS(Data!$AQ:$AQ,Data!$AN:$AN,MarketProfile!A341,Data!$AS:$AS,"1")</f>
        <v>1</v>
      </c>
      <c r="E341" s="361"/>
      <c r="F341" s="171">
        <f t="shared" si="19"/>
        <v>14</v>
      </c>
      <c r="G341" s="361">
        <f>SUMIFS(Data!$BE:$BE,Data!$BB:$BB,MarketProfile!A341,Data!BG:BG,"1")</f>
        <v>7</v>
      </c>
      <c r="H341" s="361"/>
      <c r="I341" s="171">
        <f t="shared" si="18"/>
        <v>1.1428571428571428</v>
      </c>
      <c r="J341" s="153"/>
    </row>
    <row r="342" spans="1:10" x14ac:dyDescent="0.2">
      <c r="A342" s="236" t="s">
        <v>139</v>
      </c>
      <c r="B342" s="236"/>
      <c r="C342" s="3">
        <f>SUMIFS(Data!$AC:$AC,Data!$Z:$Z,MarketProfile!A342,Data!$AE:$AE,"1")</f>
        <v>12</v>
      </c>
      <c r="D342" s="361">
        <f>SUMIFS(Data!$AQ:$AQ,Data!$AN:$AN,MarketProfile!A342,Data!$AS:$AS,"1")</f>
        <v>19</v>
      </c>
      <c r="E342" s="361"/>
      <c r="F342" s="171">
        <f t="shared" si="19"/>
        <v>-0.36842105263157893</v>
      </c>
      <c r="G342" s="361">
        <f>SUMIFS(Data!$BE:$BE,Data!$BB:$BB,MarketProfile!A342,Data!BG:BG,"1")</f>
        <v>10</v>
      </c>
      <c r="H342" s="361"/>
      <c r="I342" s="171">
        <f t="shared" si="18"/>
        <v>0.2</v>
      </c>
      <c r="J342" s="153"/>
    </row>
    <row r="343" spans="1:10" x14ac:dyDescent="0.2">
      <c r="A343" s="235" t="s">
        <v>178</v>
      </c>
      <c r="B343" s="236"/>
      <c r="C343" s="4">
        <f>SUM(C335:C342)</f>
        <v>35081</v>
      </c>
      <c r="D343" s="380">
        <f>SUM(D335:E342)</f>
        <v>25486</v>
      </c>
      <c r="E343" s="380">
        <f>SUM(E335:E342)</f>
        <v>0</v>
      </c>
      <c r="F343" s="160">
        <f t="shared" si="19"/>
        <v>0.37648120536765284</v>
      </c>
      <c r="G343" s="380">
        <f>SUM(G335:H342)</f>
        <v>28551</v>
      </c>
      <c r="H343" s="380">
        <f>SUM(H335:H342)</f>
        <v>0</v>
      </c>
      <c r="I343" s="160">
        <f>IFERROR(IF(OR(AND(G343="",C343=""),AND(G343=0,C343=0)),"",
IF(OR(G343="",G343=0),1,
IF(OR(G343&lt;&gt;"",G343&lt;&gt;0),(C343-G343)/ABS(G343)))),-1)</f>
        <v>0.22871353017407448</v>
      </c>
      <c r="J343" s="153"/>
    </row>
    <row r="344" spans="1:10" x14ac:dyDescent="0.2">
      <c r="A344" s="134" t="s">
        <v>15</v>
      </c>
      <c r="B344" s="236"/>
      <c r="C344" s="3"/>
      <c r="D344" s="236"/>
      <c r="E344" s="236"/>
      <c r="F344" s="171"/>
      <c r="G344" s="236"/>
      <c r="H344" s="236"/>
      <c r="I344" s="171" t="s">
        <v>182</v>
      </c>
    </row>
    <row r="345" spans="1:10" x14ac:dyDescent="0.2">
      <c r="A345" s="236" t="s">
        <v>448</v>
      </c>
      <c r="B345" s="236"/>
      <c r="C345" s="3">
        <f>SUMIFS(Data!$AC:$AC,Data!$Z:$Z,MarketProfile!A345,Data!$AE:$AE,"0")</f>
        <v>6</v>
      </c>
      <c r="D345" s="361">
        <f>SUMIFS(Data!$AQ:$AQ,Data!$AN:$AN,MarketProfile!A345,Data!$AS:$AS,"0")</f>
        <v>3</v>
      </c>
      <c r="E345" s="361"/>
      <c r="F345" s="171">
        <f t="shared" ref="F345:F353" si="20">IFERROR(IF(OR(AND(D345="",C345=""),AND(D345=0,C345=0)),"",
IF(OR(D345="",D345=0),1,
IF(OR(D345&lt;&gt;"",D345&lt;&gt;0),(C345-D345)/ABS(D345)))),-1)</f>
        <v>1</v>
      </c>
      <c r="G345" s="361">
        <f>SUMIFS(Data!$BE:$BE,Data!$BB:$BB,MarketProfile!A345,Data!BG:BG,"0")</f>
        <v>0</v>
      </c>
      <c r="H345" s="361"/>
      <c r="I345" s="171">
        <f t="shared" ref="I345:I353" si="21">IFERROR(IF(OR(AND(G345="",C345=""),AND(G345=0,C345=0)),"",
IF(OR(G345="",G345=0),1,
IF(OR(G345&lt;&gt;"",G345&lt;&gt;0),(C345-G345)/ABS(G345)))),-1)</f>
        <v>1</v>
      </c>
    </row>
    <row r="346" spans="1:10" x14ac:dyDescent="0.2">
      <c r="A346" s="236" t="s">
        <v>175</v>
      </c>
      <c r="B346" s="236"/>
      <c r="C346" s="3">
        <f>SUMIFS(Data!$AC:$AC,Data!$Z:$Z,MarketProfile!A346,Data!$AE:$AE,"0")</f>
        <v>85</v>
      </c>
      <c r="D346" s="361">
        <f>SUMIFS(Data!$AQ:$AQ,Data!$AN:$AN,MarketProfile!A346,Data!$AS:$AS,"0")</f>
        <v>23</v>
      </c>
      <c r="E346" s="361"/>
      <c r="F346" s="171">
        <f t="shared" si="20"/>
        <v>2.6956521739130435</v>
      </c>
      <c r="G346" s="361">
        <f>SUMIFS(Data!$BE:$BE,Data!$BB:$BB,MarketProfile!A346,Data!BG:BG,"0")</f>
        <v>91</v>
      </c>
      <c r="H346" s="361"/>
      <c r="I346" s="171">
        <f t="shared" si="21"/>
        <v>-6.5934065934065936E-2</v>
      </c>
    </row>
    <row r="347" spans="1:10" x14ac:dyDescent="0.2">
      <c r="A347" s="236" t="s">
        <v>449</v>
      </c>
      <c r="B347" s="236"/>
      <c r="C347" s="3">
        <f>SUMIFS(Data!$AC:$AC,Data!$Z:$Z,MarketProfile!A347,Data!$AE:$AE,"0")</f>
        <v>705</v>
      </c>
      <c r="D347" s="361">
        <f>SUMIFS(Data!$AQ:$AQ,Data!$AN:$AN,MarketProfile!A347,Data!$AS:$AS,"0")</f>
        <v>489</v>
      </c>
      <c r="E347" s="361"/>
      <c r="F347" s="171">
        <f t="shared" si="20"/>
        <v>0.44171779141104295</v>
      </c>
      <c r="G347" s="361">
        <f>SUMIFS(Data!$BE:$BE,Data!$BB:$BB,MarketProfile!A347,Data!BG:BG,"0")</f>
        <v>334</v>
      </c>
      <c r="H347" s="361"/>
      <c r="I347" s="171">
        <f t="shared" si="21"/>
        <v>1.1107784431137724</v>
      </c>
    </row>
    <row r="348" spans="1:10" x14ac:dyDescent="0.2">
      <c r="A348" s="236" t="s">
        <v>138</v>
      </c>
      <c r="B348" s="236"/>
      <c r="C348" s="3">
        <f>SUMIFS(Data!$AC:$AC,Data!$Z:$Z,MarketProfile!A348,Data!$AE:$AE,"0")</f>
        <v>0</v>
      </c>
      <c r="D348" s="361">
        <f>SUMIFS(Data!$AQ:$AQ,Data!$AN:$AN,MarketProfile!A348,Data!$AS:$AS,"0")</f>
        <v>0</v>
      </c>
      <c r="E348" s="361"/>
      <c r="F348" s="171" t="str">
        <f t="shared" si="20"/>
        <v/>
      </c>
      <c r="G348" s="361">
        <f>SUMIFS(Data!$BE:$BE,Data!$BB:$BB,MarketProfile!A348,Data!BG:BG,"0")</f>
        <v>0</v>
      </c>
      <c r="H348" s="361"/>
      <c r="I348" s="171" t="str">
        <f t="shared" si="21"/>
        <v/>
      </c>
    </row>
    <row r="349" spans="1:10" x14ac:dyDescent="0.2">
      <c r="A349" s="236" t="s">
        <v>450</v>
      </c>
      <c r="B349" s="236"/>
      <c r="C349" s="3">
        <f>SUMIFS(Data!$AC:$AC,Data!$Z:$Z,MarketProfile!A349,Data!$AE:$AE,"0")</f>
        <v>22</v>
      </c>
      <c r="D349" s="361">
        <f>SUMIFS(Data!$AQ:$AQ,Data!$AN:$AN,MarketProfile!A349,Data!$AS:$AS,"0")</f>
        <v>8</v>
      </c>
      <c r="E349" s="361"/>
      <c r="F349" s="171">
        <f t="shared" si="20"/>
        <v>1.75</v>
      </c>
      <c r="G349" s="361">
        <f>SUMIFS(Data!$BE:$BE,Data!$BB:$BB,MarketProfile!A349,Data!BG:BG,"0")</f>
        <v>66</v>
      </c>
      <c r="H349" s="361"/>
      <c r="I349" s="171">
        <f t="shared" si="21"/>
        <v>-0.66666666666666663</v>
      </c>
    </row>
    <row r="350" spans="1:10" x14ac:dyDescent="0.2">
      <c r="A350" s="236" t="s">
        <v>451</v>
      </c>
      <c r="B350" s="236"/>
      <c r="C350" s="3">
        <f>SUMIFS(Data!$AC:$AC,Data!$Z:$Z,MarketProfile!A350,Data!$AE:$AE,"0")</f>
        <v>1795</v>
      </c>
      <c r="D350" s="361">
        <f>SUMIFS(Data!$AQ:$AQ,Data!$AN:$AN,MarketProfile!A350,Data!$AS:$AS,"0")</f>
        <v>1258</v>
      </c>
      <c r="E350" s="361"/>
      <c r="F350" s="171">
        <f t="shared" si="20"/>
        <v>0.42686804451510335</v>
      </c>
      <c r="G350" s="361">
        <f>SUMIFS(Data!$BE:$BE,Data!$BB:$BB,MarketProfile!A350,Data!BG:BG,"0")</f>
        <v>1854</v>
      </c>
      <c r="H350" s="361"/>
      <c r="I350" s="171">
        <f t="shared" si="21"/>
        <v>-3.1823085221143473E-2</v>
      </c>
    </row>
    <row r="351" spans="1:10" x14ac:dyDescent="0.2">
      <c r="A351" s="236" t="s">
        <v>452</v>
      </c>
      <c r="B351" s="236"/>
      <c r="C351" s="3">
        <f>SUMIFS(Data!$AC:$AC,Data!$Z:$Z,MarketProfile!A351,Data!$AE:$AE,"0")</f>
        <v>0</v>
      </c>
      <c r="D351" s="361">
        <f>SUMIFS(Data!$AQ:$AQ,Data!$AN:$AN,MarketProfile!A351,Data!$AS:$AS,"0")</f>
        <v>0</v>
      </c>
      <c r="E351" s="361"/>
      <c r="F351" s="171" t="str">
        <f t="shared" si="20"/>
        <v/>
      </c>
      <c r="G351" s="361">
        <f>SUMIFS(Data!$BE:$BE,Data!$BB:$BB,MarketProfile!A351,Data!BG:BG,"0")</f>
        <v>0</v>
      </c>
      <c r="H351" s="361"/>
      <c r="I351" s="171" t="str">
        <f t="shared" si="21"/>
        <v/>
      </c>
    </row>
    <row r="352" spans="1:10" x14ac:dyDescent="0.2">
      <c r="A352" s="236" t="s">
        <v>139</v>
      </c>
      <c r="B352" s="236"/>
      <c r="C352" s="3">
        <f>SUMIFS(Data!$AC:$AC,Data!$Z:$Z,MarketProfile!A352,Data!$AE:$AE,"0")</f>
        <v>0</v>
      </c>
      <c r="D352" s="361">
        <f>SUMIFS(Data!$AQ:$AQ,Data!$AN:$AN,MarketProfile!A352,Data!$AS:$AS,"0")</f>
        <v>0</v>
      </c>
      <c r="E352" s="361"/>
      <c r="F352" s="171" t="str">
        <f t="shared" si="20"/>
        <v/>
      </c>
      <c r="G352" s="361">
        <f>SUMIFS(Data!$BE:$BE,Data!$BB:$BB,MarketProfile!A352,Data!BG:BG,"0")</f>
        <v>0</v>
      </c>
      <c r="H352" s="361"/>
      <c r="I352" s="171" t="str">
        <f t="shared" si="21"/>
        <v/>
      </c>
    </row>
    <row r="353" spans="1:9" x14ac:dyDescent="0.2">
      <c r="A353" s="235" t="s">
        <v>179</v>
      </c>
      <c r="B353" s="236"/>
      <c r="C353" s="4">
        <f>SUM(C345:C352)</f>
        <v>2613</v>
      </c>
      <c r="D353" s="380">
        <f>SUM(D345:E352)</f>
        <v>1781</v>
      </c>
      <c r="E353" s="380">
        <f>SUM(E345:E352)</f>
        <v>0</v>
      </c>
      <c r="F353" s="160">
        <f t="shared" si="20"/>
        <v>0.46715328467153283</v>
      </c>
      <c r="G353" s="380">
        <f>SUM(G345:H352)</f>
        <v>2345</v>
      </c>
      <c r="H353" s="380">
        <f>SUM(H345:H352)</f>
        <v>0</v>
      </c>
      <c r="I353" s="160">
        <f t="shared" si="21"/>
        <v>0.11428571428571428</v>
      </c>
    </row>
    <row r="354" spans="1:9" x14ac:dyDescent="0.2">
      <c r="A354" s="132" t="s">
        <v>131</v>
      </c>
      <c r="B354" s="132"/>
      <c r="C354" s="162"/>
      <c r="D354" s="132"/>
      <c r="E354" s="132"/>
      <c r="F354" s="132" t="s">
        <v>182</v>
      </c>
      <c r="G354" s="132"/>
      <c r="H354" s="133"/>
      <c r="I354" s="163" t="s">
        <v>182</v>
      </c>
    </row>
    <row r="355" spans="1:9" x14ac:dyDescent="0.2">
      <c r="A355" s="134" t="s">
        <v>14</v>
      </c>
      <c r="B355" s="236"/>
      <c r="C355" s="3"/>
      <c r="D355" s="236"/>
      <c r="E355" s="236"/>
      <c r="F355" s="135"/>
      <c r="G355" s="236"/>
      <c r="H355" s="236"/>
      <c r="I355" s="171"/>
    </row>
    <row r="356" spans="1:9" x14ac:dyDescent="0.2">
      <c r="A356" s="236" t="s">
        <v>448</v>
      </c>
      <c r="B356" s="236"/>
      <c r="C356" s="3">
        <f>SUMIFS(Data!$AB:$AB,Data!$Z:$Z,MarketProfile!A356,Data!$AE:$AE,"1")</f>
        <v>20890</v>
      </c>
      <c r="D356" s="361">
        <f>SUMIFS(Data!$AP:$AP,Data!$AN:$AN,MarketProfile!A356,Data!$AS:$AS,"1")</f>
        <v>14632</v>
      </c>
      <c r="E356" s="361"/>
      <c r="F356" s="171">
        <f t="shared" ref="F356:F364" si="22">IFERROR(IF(OR(AND(D356="",C356=""),AND(D356=0,C356=0)),"",
IF(OR(D356="",D356=0),1,
IF(OR(D356&lt;&gt;"",D356&lt;&gt;0),(C356-D356)/ABS(D356)))),-1)</f>
        <v>0.42769272826681248</v>
      </c>
      <c r="G356" s="361">
        <f>SUMIFS(Data!$BD:$BD,Data!$BB:$BB,MarketProfile!A356,Data!BG:BG,"1")</f>
        <v>24036</v>
      </c>
      <c r="H356" s="361"/>
      <c r="I356" s="171">
        <f t="shared" ref="I356:I364" si="23">IFERROR(IF(OR(AND(G356="",C356=""),AND(G356=0,C356=0)),"",
IF(OR(G356="",G356=0),1,
IF(OR(G356&lt;&gt;"",G356&lt;&gt;0),(C356-G356)/ABS(G356)))),-1)</f>
        <v>-0.13088700282908969</v>
      </c>
    </row>
    <row r="357" spans="1:9" x14ac:dyDescent="0.2">
      <c r="A357" s="236" t="s">
        <v>175</v>
      </c>
      <c r="B357" s="236"/>
      <c r="C357" s="3">
        <f>SUMIFS(Data!$AB:$AB,Data!$Z:$Z,MarketProfile!A357,Data!$AE:$AE,"1")</f>
        <v>75318</v>
      </c>
      <c r="D357" s="361">
        <f>SUMIFS(Data!$AP:$AP,Data!$AN:$AN,MarketProfile!A357,Data!$AS:$AS,"1")</f>
        <v>47246</v>
      </c>
      <c r="E357" s="361"/>
      <c r="F357" s="171">
        <f t="shared" si="22"/>
        <v>0.59416670194302168</v>
      </c>
      <c r="G357" s="361">
        <f>SUMIFS(Data!$BD:$BD,Data!$BB:$BB,MarketProfile!A357,Data!BG:BG,"1")</f>
        <v>69408</v>
      </c>
      <c r="H357" s="361"/>
      <c r="I357" s="171">
        <f t="shared" si="23"/>
        <v>8.5148686030428772E-2</v>
      </c>
    </row>
    <row r="358" spans="1:9" x14ac:dyDescent="0.2">
      <c r="A358" s="236" t="s">
        <v>449</v>
      </c>
      <c r="B358" s="236"/>
      <c r="C358" s="3">
        <f>SUMIFS(Data!$AB:$AB,Data!$Z:$Z,MarketProfile!A358,Data!$AE:$AE,"1")</f>
        <v>57460</v>
      </c>
      <c r="D358" s="361">
        <f>SUMIFS(Data!$AP:$AP,Data!$AN:$AN,MarketProfile!A358,Data!$AS:$AS,"1")</f>
        <v>42735</v>
      </c>
      <c r="E358" s="361"/>
      <c r="F358" s="171">
        <f t="shared" si="22"/>
        <v>0.34456534456534454</v>
      </c>
      <c r="G358" s="361">
        <f>SUMIFS(Data!$BD:$BD,Data!$BB:$BB,MarketProfile!A358,Data!BG:BG,"1")</f>
        <v>58374</v>
      </c>
      <c r="H358" s="361"/>
      <c r="I358" s="171">
        <f t="shared" si="23"/>
        <v>-1.5657655805666908E-2</v>
      </c>
    </row>
    <row r="359" spans="1:9" x14ac:dyDescent="0.2">
      <c r="A359" s="236" t="s">
        <v>138</v>
      </c>
      <c r="B359" s="236"/>
      <c r="C359" s="3">
        <f>SUMIFS(Data!$AB:$AB,Data!$Z:$Z,MarketProfile!A359,Data!$AE:$AE,"1")</f>
        <v>838</v>
      </c>
      <c r="D359" s="361">
        <f>SUMIFS(Data!$AP:$AP,Data!$AN:$AN,MarketProfile!A359,Data!$AS:$AS,"1")</f>
        <v>225</v>
      </c>
      <c r="E359" s="361"/>
      <c r="F359" s="171">
        <f t="shared" si="22"/>
        <v>2.7244444444444444</v>
      </c>
      <c r="G359" s="361">
        <f>SUMIFS(Data!$BD:$BD,Data!$BB:$BB,MarketProfile!A359,Data!BG:BG,"1")</f>
        <v>503</v>
      </c>
      <c r="H359" s="361"/>
      <c r="I359" s="171">
        <f t="shared" si="23"/>
        <v>0.66600397614314111</v>
      </c>
    </row>
    <row r="360" spans="1:9" x14ac:dyDescent="0.2">
      <c r="A360" s="236" t="s">
        <v>450</v>
      </c>
      <c r="B360" s="236"/>
      <c r="C360" s="3">
        <f>SUMIFS(Data!$AB:$AB,Data!$Z:$Z,MarketProfile!A360,Data!$AE:$AE,"1")</f>
        <v>14828</v>
      </c>
      <c r="D360" s="361">
        <f>SUMIFS(Data!$AP:$AP,Data!$AN:$AN,MarketProfile!A360,Data!$AS:$AS,"1")</f>
        <v>11021</v>
      </c>
      <c r="E360" s="361"/>
      <c r="F360" s="171">
        <f t="shared" si="22"/>
        <v>0.34543144905181017</v>
      </c>
      <c r="G360" s="361">
        <f>SUMIFS(Data!$BD:$BD,Data!$BB:$BB,MarketProfile!A360,Data!BG:BG,"1")</f>
        <v>26152</v>
      </c>
      <c r="H360" s="361"/>
      <c r="I360" s="171">
        <f t="shared" si="23"/>
        <v>-0.43300703579076172</v>
      </c>
    </row>
    <row r="361" spans="1:9" x14ac:dyDescent="0.2">
      <c r="A361" s="236" t="s">
        <v>451</v>
      </c>
      <c r="B361" s="236"/>
      <c r="C361" s="3">
        <f>SUMIFS(Data!$AB:$AB,Data!$Z:$Z,MarketProfile!A361,Data!$AE:$AE,"1")</f>
        <v>68662</v>
      </c>
      <c r="D361" s="361">
        <f>SUMIFS(Data!$AP:$AP,Data!$AN:$AN,MarketProfile!A361,Data!$AS:$AS,"1")</f>
        <v>63244</v>
      </c>
      <c r="E361" s="361"/>
      <c r="F361" s="171">
        <f t="shared" si="22"/>
        <v>8.5668205679590159E-2</v>
      </c>
      <c r="G361" s="361">
        <f>SUMIFS(Data!$BD:$BD,Data!$BB:$BB,MarketProfile!A361,Data!BG:BG,"1")</f>
        <v>75557</v>
      </c>
      <c r="H361" s="361"/>
      <c r="I361" s="171">
        <f t="shared" si="23"/>
        <v>-9.1255608348663919E-2</v>
      </c>
    </row>
    <row r="362" spans="1:9" x14ac:dyDescent="0.2">
      <c r="A362" s="236" t="s">
        <v>452</v>
      </c>
      <c r="B362" s="236"/>
      <c r="C362" s="3">
        <f>SUMIFS(Data!$AB:$AB,Data!$Z:$Z,MarketProfile!A362,Data!$AE:$AE,"1")</f>
        <v>368</v>
      </c>
      <c r="D362" s="361">
        <f>SUMIFS(Data!$AP:$AP,Data!$AN:$AN,MarketProfile!A362,Data!$AS:$AS,"1")</f>
        <v>7</v>
      </c>
      <c r="E362" s="361"/>
      <c r="F362" s="171">
        <f t="shared" si="22"/>
        <v>51.571428571428569</v>
      </c>
      <c r="G362" s="361">
        <f>SUMIFS(Data!$BD:$BD,Data!$BB:$BB,MarketProfile!A362,Data!BG:BG,"1")</f>
        <v>7</v>
      </c>
      <c r="H362" s="361"/>
      <c r="I362" s="171">
        <f t="shared" si="23"/>
        <v>51.571428571428569</v>
      </c>
    </row>
    <row r="363" spans="1:9" x14ac:dyDescent="0.2">
      <c r="A363" s="236" t="s">
        <v>139</v>
      </c>
      <c r="B363" s="236"/>
      <c r="C363" s="3">
        <f>SUMIFS(Data!$AB:$AB,Data!$Z:$Z,MarketProfile!A363,Data!$AE:$AE,"1")</f>
        <v>296</v>
      </c>
      <c r="D363" s="361">
        <f>SUMIFS(Data!$AP:$AP,Data!$AN:$AN,MarketProfile!A363,Data!$AS:$AS,"1")</f>
        <v>201</v>
      </c>
      <c r="E363" s="361"/>
      <c r="F363" s="171">
        <f t="shared" si="22"/>
        <v>0.47263681592039802</v>
      </c>
      <c r="G363" s="361">
        <f>SUMIFS(Data!$BD:$BD,Data!$BB:$BB,MarketProfile!A363,Data!BG:BG,"1")</f>
        <v>180</v>
      </c>
      <c r="H363" s="361"/>
      <c r="I363" s="171">
        <f t="shared" si="23"/>
        <v>0.64444444444444449</v>
      </c>
    </row>
    <row r="364" spans="1:9" x14ac:dyDescent="0.2">
      <c r="A364" s="235" t="s">
        <v>178</v>
      </c>
      <c r="B364" s="236"/>
      <c r="C364" s="4">
        <f>SUM(C356:C363)</f>
        <v>238660</v>
      </c>
      <c r="D364" s="380">
        <f>SUM(D356:E363)</f>
        <v>179311</v>
      </c>
      <c r="E364" s="380">
        <f>SUM(E356:E363)</f>
        <v>0</v>
      </c>
      <c r="F364" s="160">
        <f t="shared" si="22"/>
        <v>0.33098359832915997</v>
      </c>
      <c r="G364" s="380">
        <f>SUM(G356:H363)</f>
        <v>254217</v>
      </c>
      <c r="H364" s="380">
        <f>SUM(H356:H363)</f>
        <v>0</v>
      </c>
      <c r="I364" s="160">
        <f t="shared" si="23"/>
        <v>-6.1195750087523648E-2</v>
      </c>
    </row>
    <row r="365" spans="1:9" x14ac:dyDescent="0.2">
      <c r="A365" s="134" t="s">
        <v>15</v>
      </c>
      <c r="B365" s="236"/>
      <c r="C365" s="3"/>
      <c r="D365" s="236"/>
      <c r="E365" s="236"/>
      <c r="F365" s="171"/>
      <c r="G365" s="236"/>
      <c r="H365" s="236"/>
      <c r="I365" s="171"/>
    </row>
    <row r="366" spans="1:9" x14ac:dyDescent="0.2">
      <c r="A366" s="236" t="s">
        <v>448</v>
      </c>
      <c r="B366" s="236"/>
      <c r="C366" s="3">
        <f>SUMIFS(Data!$AB:$AB,Data!$Z:$Z,MarketProfile!A366,Data!$AE:$AE,"0")</f>
        <v>130</v>
      </c>
      <c r="D366" s="361">
        <f>SUMIFS(Data!$AP:$AP,Data!$AN:$AN,MarketProfile!A366,Data!$AS:$AS,"0")</f>
        <v>250</v>
      </c>
      <c r="E366" s="361"/>
      <c r="F366" s="171">
        <f t="shared" ref="F366:F374" si="24">IFERROR(IF(OR(AND(D366="",C366=""),AND(D366=0,C366=0)),"",
IF(OR(D366="",D366=0),1,
IF(OR(D366&lt;&gt;"",D366&lt;&gt;0),(C366-D366)/ABS(D366)))),-1)</f>
        <v>-0.48</v>
      </c>
      <c r="G366" s="361">
        <f>SUMIFS(Data!$BD:$BD,Data!$BB:$BB,MarketProfile!A366,Data!BG:BG,"0")</f>
        <v>0</v>
      </c>
      <c r="H366" s="361"/>
      <c r="I366" s="171">
        <f t="shared" ref="I366:I374" si="25">IFERROR(IF(OR(AND(G366="",C366=""),AND(G366=0,C366=0)),"",
IF(OR(G366="",G366=0),1,
IF(OR(G366&lt;&gt;"",G366&lt;&gt;0),(C366-G366)/ABS(G366)))),-1)</f>
        <v>1</v>
      </c>
    </row>
    <row r="367" spans="1:9" x14ac:dyDescent="0.2">
      <c r="A367" s="236" t="s">
        <v>175</v>
      </c>
      <c r="B367" s="236"/>
      <c r="C367" s="3">
        <f>SUMIFS(Data!$AB:$AB,Data!$Z:$Z,MarketProfile!A367,Data!$AE:$AE,"0")</f>
        <v>1125</v>
      </c>
      <c r="D367" s="361">
        <f>SUMIFS(Data!$AP:$AP,Data!$AN:$AN,MarketProfile!A367,Data!$AS:$AS,"0")</f>
        <v>316</v>
      </c>
      <c r="E367" s="361"/>
      <c r="F367" s="171">
        <f t="shared" si="24"/>
        <v>2.5601265822784809</v>
      </c>
      <c r="G367" s="361">
        <f>SUMIFS(Data!$BD:$BD,Data!$BB:$BB,MarketProfile!A367,Data!BG:BG,"0")</f>
        <v>1140</v>
      </c>
      <c r="H367" s="361"/>
      <c r="I367" s="171">
        <f t="shared" si="25"/>
        <v>-1.3157894736842105E-2</v>
      </c>
    </row>
    <row r="368" spans="1:9" x14ac:dyDescent="0.2">
      <c r="A368" s="236" t="s">
        <v>449</v>
      </c>
      <c r="B368" s="236"/>
      <c r="C368" s="3">
        <f>SUMIFS(Data!$AB:$AB,Data!$Z:$Z,MarketProfile!A368,Data!$AE:$AE,"0")</f>
        <v>9788</v>
      </c>
      <c r="D368" s="361">
        <f>SUMIFS(Data!$AP:$AP,Data!$AN:$AN,MarketProfile!A368,Data!$AS:$AS,"0")</f>
        <v>11309</v>
      </c>
      <c r="E368" s="361"/>
      <c r="F368" s="171">
        <f t="shared" si="24"/>
        <v>-0.13449465027853921</v>
      </c>
      <c r="G368" s="361">
        <f>SUMIFS(Data!$BD:$BD,Data!$BB:$BB,MarketProfile!A368,Data!BG:BG,"0")</f>
        <v>5193</v>
      </c>
      <c r="H368" s="361"/>
      <c r="I368" s="171">
        <f t="shared" si="25"/>
        <v>0.88484498363181208</v>
      </c>
    </row>
    <row r="369" spans="1:9" x14ac:dyDescent="0.2">
      <c r="A369" s="236" t="s">
        <v>138</v>
      </c>
      <c r="B369" s="236"/>
      <c r="C369" s="3">
        <f>SUMIFS(Data!$AB:$AB,Data!$Z:$Z,MarketProfile!A369,Data!$AE:$AE,"0")</f>
        <v>0</v>
      </c>
      <c r="D369" s="361">
        <f>SUMIFS(Data!$AP:$AP,Data!$AN:$AN,MarketProfile!A369,Data!$AS:$AS,"0")</f>
        <v>0</v>
      </c>
      <c r="E369" s="361"/>
      <c r="F369" s="171" t="str">
        <f t="shared" si="24"/>
        <v/>
      </c>
      <c r="G369" s="361">
        <f>SUMIFS(Data!$BD:$BD,Data!$BB:$BB,MarketProfile!A369,Data!BG:BG,"0")</f>
        <v>0</v>
      </c>
      <c r="H369" s="361"/>
      <c r="I369" s="171" t="str">
        <f t="shared" si="25"/>
        <v/>
      </c>
    </row>
    <row r="370" spans="1:9" x14ac:dyDescent="0.2">
      <c r="A370" s="236" t="s">
        <v>450</v>
      </c>
      <c r="B370" s="236"/>
      <c r="C370" s="3">
        <f>SUMIFS(Data!$AB:$AB,Data!$Z:$Z,MarketProfile!A370,Data!$AE:$AE,"0")</f>
        <v>42</v>
      </c>
      <c r="D370" s="361">
        <f>SUMIFS(Data!$AP:$AP,Data!$AN:$AN,MarketProfile!A370,Data!$AS:$AS,"0")</f>
        <v>99</v>
      </c>
      <c r="E370" s="361"/>
      <c r="F370" s="171">
        <f t="shared" si="24"/>
        <v>-0.5757575757575758</v>
      </c>
      <c r="G370" s="361">
        <f>SUMIFS(Data!$BD:$BD,Data!$BB:$BB,MarketProfile!A370,Data!BG:BG,"0")</f>
        <v>306</v>
      </c>
      <c r="H370" s="361"/>
      <c r="I370" s="171">
        <f t="shared" si="25"/>
        <v>-0.86274509803921573</v>
      </c>
    </row>
    <row r="371" spans="1:9" x14ac:dyDescent="0.2">
      <c r="A371" s="236" t="s">
        <v>451</v>
      </c>
      <c r="B371" s="236"/>
      <c r="C371" s="3">
        <f>SUMIFS(Data!$AB:$AB,Data!$Z:$Z,MarketProfile!A371,Data!$AE:$AE,"0")</f>
        <v>14268</v>
      </c>
      <c r="D371" s="361">
        <f>SUMIFS(Data!$AP:$AP,Data!$AN:$AN,MarketProfile!A371,Data!$AS:$AS,"0")</f>
        <v>13932</v>
      </c>
      <c r="E371" s="361"/>
      <c r="F371" s="171">
        <f t="shared" si="24"/>
        <v>2.4117140396210164E-2</v>
      </c>
      <c r="G371" s="361">
        <f>SUMIFS(Data!$BD:$BD,Data!$BB:$BB,MarketProfile!A371,Data!BG:BG,"0")</f>
        <v>15511</v>
      </c>
      <c r="H371" s="361"/>
      <c r="I371" s="171">
        <f t="shared" si="25"/>
        <v>-8.0136677196828057E-2</v>
      </c>
    </row>
    <row r="372" spans="1:9" x14ac:dyDescent="0.2">
      <c r="A372" s="236" t="s">
        <v>452</v>
      </c>
      <c r="B372" s="236"/>
      <c r="C372" s="3">
        <f>SUMIFS(Data!$AB:$AB,Data!$Z:$Z,MarketProfile!A372,Data!$AE:$AE,"0")</f>
        <v>0</v>
      </c>
      <c r="D372" s="361">
        <f>SUMIFS(Data!$AP:$AP,Data!$AN:$AN,MarketProfile!A372,Data!$AS:$AS,"0")</f>
        <v>0</v>
      </c>
      <c r="E372" s="361"/>
      <c r="F372" s="171" t="str">
        <f t="shared" si="24"/>
        <v/>
      </c>
      <c r="G372" s="361">
        <f>SUMIFS(Data!$BD:$BD,Data!$BB:$BB,MarketProfile!A372,Data!BG:BG,"0")</f>
        <v>0</v>
      </c>
      <c r="H372" s="361"/>
      <c r="I372" s="171" t="str">
        <f t="shared" si="25"/>
        <v/>
      </c>
    </row>
    <row r="373" spans="1:9" x14ac:dyDescent="0.2">
      <c r="A373" s="236" t="s">
        <v>139</v>
      </c>
      <c r="B373" s="236"/>
      <c r="C373" s="3">
        <f>SUMIFS(Data!$AB:$AB,Data!$Z:$Z,MarketProfile!A373,Data!$AE:$AE,"0")</f>
        <v>0</v>
      </c>
      <c r="D373" s="361">
        <f>SUMIFS(Data!$AP:$AP,Data!$AN:$AN,MarketProfile!A373,Data!$AS:$AS,"0")</f>
        <v>0</v>
      </c>
      <c r="E373" s="361"/>
      <c r="F373" s="171" t="str">
        <f t="shared" si="24"/>
        <v/>
      </c>
      <c r="G373" s="361">
        <f>SUMIFS(Data!$BD:$BD,Data!$BB:$BB,MarketProfile!A373,Data!BG:BG,"0")</f>
        <v>0</v>
      </c>
      <c r="H373" s="361"/>
      <c r="I373" s="171" t="str">
        <f t="shared" si="25"/>
        <v/>
      </c>
    </row>
    <row r="374" spans="1:9" x14ac:dyDescent="0.2">
      <c r="A374" s="235" t="s">
        <v>179</v>
      </c>
      <c r="B374" s="236"/>
      <c r="C374" s="4">
        <f>SUM(C366:C373)</f>
        <v>25353</v>
      </c>
      <c r="D374" s="380">
        <f>SUM(D366:E373)</f>
        <v>25906</v>
      </c>
      <c r="E374" s="380">
        <v>34213</v>
      </c>
      <c r="F374" s="160">
        <f t="shared" si="24"/>
        <v>-2.1346406237937158E-2</v>
      </c>
      <c r="G374" s="380">
        <f>SUM(G366:H373)</f>
        <v>22150</v>
      </c>
      <c r="H374" s="380">
        <f>SUM(H366:H373)</f>
        <v>0</v>
      </c>
      <c r="I374" s="160">
        <f t="shared" si="25"/>
        <v>0.14460496613995485</v>
      </c>
    </row>
    <row r="375" spans="1:9" x14ac:dyDescent="0.2">
      <c r="A375" s="132" t="s">
        <v>186</v>
      </c>
      <c r="B375" s="132"/>
      <c r="C375" s="162"/>
      <c r="D375" s="132"/>
      <c r="E375" s="132"/>
      <c r="F375" s="132" t="s">
        <v>182</v>
      </c>
      <c r="G375" s="132"/>
      <c r="H375" s="132"/>
      <c r="I375" s="163" t="s">
        <v>182</v>
      </c>
    </row>
    <row r="376" spans="1:9" x14ac:dyDescent="0.2">
      <c r="A376" s="134" t="s">
        <v>14</v>
      </c>
      <c r="B376" s="236"/>
      <c r="C376" s="3"/>
      <c r="D376" s="236"/>
      <c r="E376" s="236"/>
      <c r="F376" s="135"/>
      <c r="G376" s="236"/>
      <c r="H376" s="236"/>
      <c r="I376" s="171"/>
    </row>
    <row r="377" spans="1:9" x14ac:dyDescent="0.2">
      <c r="A377" s="236" t="s">
        <v>448</v>
      </c>
      <c r="B377" s="236"/>
      <c r="C377" s="3">
        <f>SUMIFS(Data!$AA:$AA,Data!$Z:$Z,MarketProfile!A377,Data!$AE:$AE,"1")/1000</f>
        <v>4948776.8547999999</v>
      </c>
      <c r="D377" s="361">
        <f>SUMIFS(Data!$AO:$AO,Data!$AN:$AN,MarketProfile!A377,Data!$AS:$AS,"1")/1000</f>
        <v>3106442.0493800002</v>
      </c>
      <c r="E377" s="361"/>
      <c r="F377" s="171">
        <f t="shared" ref="F377:F385" si="26">IFERROR(IF(OR(AND(D377="",C377=""),AND(D377=0,C377=0)),"",
IF(OR(D377="",D377=0),1,
IF(OR(D377&lt;&gt;"",D377&lt;&gt;0),(C377-D377)/ABS(D377)))),-1)</f>
        <v>0.5930691048261153</v>
      </c>
      <c r="G377" s="361">
        <f>SUMIFS(Data!$BC:$BC,Data!$BB:$BB,MarketProfile!A377,Data!BG:BG,"1")/1000</f>
        <v>4948573.3232800001</v>
      </c>
      <c r="H377" s="361"/>
      <c r="I377" s="171">
        <f t="shared" ref="I377:I385" si="27">IFERROR(IF(OR(AND(G377="",C377=""),AND(G377=0,C377=0)),"",
IF(OR(G377="",G377=0),1,
IF(OR(G377&lt;&gt;"",G377&lt;&gt;0),(C377-G377)/ABS(G377)))),-1)</f>
        <v>4.1129332982141892E-5</v>
      </c>
    </row>
    <row r="378" spans="1:9" x14ac:dyDescent="0.2">
      <c r="A378" s="236" t="s">
        <v>175</v>
      </c>
      <c r="B378" s="236"/>
      <c r="C378" s="3">
        <f>SUMIFS(Data!$AA:$AA,Data!$Z:$Z,MarketProfile!A378,Data!$AE:$AE,"1")/1000</f>
        <v>18143042.546099998</v>
      </c>
      <c r="D378" s="361">
        <f>SUMIFS(Data!$AO:$AO,Data!$AN:$AN,MarketProfile!A378,Data!$AS:$AS,"1")/1000</f>
        <v>11442017.92458</v>
      </c>
      <c r="E378" s="361"/>
      <c r="F378" s="171">
        <f t="shared" si="26"/>
        <v>0.58565059639739825</v>
      </c>
      <c r="G378" s="361">
        <f>SUMIFS(Data!$BC:$BC,Data!$BB:$BB,MarketProfile!A378,Data!BG:BG,"1")/1000</f>
        <v>16237255.336404989</v>
      </c>
      <c r="H378" s="361"/>
      <c r="I378" s="171">
        <f t="shared" si="27"/>
        <v>0.11737126566102031</v>
      </c>
    </row>
    <row r="379" spans="1:9" x14ac:dyDescent="0.2">
      <c r="A379" s="236" t="s">
        <v>449</v>
      </c>
      <c r="B379" s="236"/>
      <c r="C379" s="3">
        <f>SUMIFS(Data!$AA:$AA,Data!$Z:$Z,MarketProfile!A379,Data!$AE:$AE,"1")/1000</f>
        <v>15607157.598129999</v>
      </c>
      <c r="D379" s="361">
        <f>SUMIFS(Data!$AO:$AO,Data!$AN:$AN,MarketProfile!A379,Data!$AS:$AS,"1")/1000</f>
        <v>11164666.79768</v>
      </c>
      <c r="E379" s="361"/>
      <c r="F379" s="171">
        <f t="shared" si="26"/>
        <v>0.39790625917946265</v>
      </c>
      <c r="G379" s="361">
        <f>SUMIFS(Data!$BC:$BC,Data!$BB:$BB,MarketProfile!A379,Data!BG:BG,"1")/1000</f>
        <v>13180436.418959999</v>
      </c>
      <c r="H379" s="361"/>
      <c r="I379" s="171">
        <f t="shared" si="27"/>
        <v>0.18411538905336788</v>
      </c>
    </row>
    <row r="380" spans="1:9" x14ac:dyDescent="0.2">
      <c r="A380" s="236" t="s">
        <v>138</v>
      </c>
      <c r="B380" s="236"/>
      <c r="C380" s="3">
        <f>SUMIFS(Data!$AA:$AA,Data!$Z:$Z,MarketProfile!A380,Data!$AE:$AE,"1")/1000</f>
        <v>156518.41000999999</v>
      </c>
      <c r="D380" s="361">
        <f>SUMIFS(Data!$AO:$AO,Data!$AN:$AN,MarketProfile!A380,Data!$AS:$AS,"1")/1000</f>
        <v>41010.959986000002</v>
      </c>
      <c r="E380" s="361"/>
      <c r="F380" s="171">
        <f t="shared" si="26"/>
        <v>2.8165019805298637</v>
      </c>
      <c r="G380" s="361">
        <f>SUMIFS(Data!$BC:$BC,Data!$BB:$BB,MarketProfile!A380,Data!BG:BG,"1")/1000</f>
        <v>85551.499989999997</v>
      </c>
      <c r="H380" s="361"/>
      <c r="I380" s="171">
        <f t="shared" si="27"/>
        <v>0.82952268549698394</v>
      </c>
    </row>
    <row r="381" spans="1:9" x14ac:dyDescent="0.2">
      <c r="A381" s="236" t="s">
        <v>450</v>
      </c>
      <c r="B381" s="236"/>
      <c r="C381" s="3">
        <f>SUMIFS(Data!$AA:$AA,Data!$Z:$Z,MarketProfile!A381,Data!$AE:$AE,"1")/1000</f>
        <v>3755996.6169000003</v>
      </c>
      <c r="D381" s="361">
        <f>SUMIFS(Data!$AO:$AO,Data!$AN:$AN,MarketProfile!A381,Data!$AS:$AS,"1")/1000</f>
        <v>2812798.9134849999</v>
      </c>
      <c r="E381" s="361"/>
      <c r="F381" s="171">
        <f t="shared" si="26"/>
        <v>0.33532354513263013</v>
      </c>
      <c r="G381" s="361">
        <f>SUMIFS(Data!$BC:$BC,Data!$BB:$BB,MarketProfile!A381,Data!BG:BG,"1")/1000</f>
        <v>6130160.6840049997</v>
      </c>
      <c r="H381" s="361"/>
      <c r="I381" s="171">
        <f t="shared" si="27"/>
        <v>-0.38729230594227976</v>
      </c>
    </row>
    <row r="382" spans="1:9" x14ac:dyDescent="0.2">
      <c r="A382" s="236" t="s">
        <v>451</v>
      </c>
      <c r="B382" s="236"/>
      <c r="C382" s="3">
        <f>SUMIFS(Data!$AA:$AA,Data!$Z:$Z,MarketProfile!A382,Data!$AE:$AE,"1")/1000</f>
        <v>18702777.815039989</v>
      </c>
      <c r="D382" s="361">
        <f>SUMIFS(Data!$AO:$AO,Data!$AN:$AN,MarketProfile!A382,Data!$AS:$AS,"1")/1000</f>
        <v>17276618.607269999</v>
      </c>
      <c r="E382" s="361"/>
      <c r="F382" s="171">
        <f t="shared" si="26"/>
        <v>8.2548514856365607E-2</v>
      </c>
      <c r="G382" s="361">
        <f>SUMIFS(Data!$BC:$BC,Data!$BB:$BB,MarketProfile!A382,Data!BG:BG,"1")/1000</f>
        <v>16339503.31924</v>
      </c>
      <c r="H382" s="361"/>
      <c r="I382" s="171">
        <f t="shared" si="27"/>
        <v>0.14463563852746972</v>
      </c>
    </row>
    <row r="383" spans="1:9" x14ac:dyDescent="0.2">
      <c r="A383" s="236" t="s">
        <v>452</v>
      </c>
      <c r="B383" s="236"/>
      <c r="C383" s="3">
        <f>SUMIFS(Data!$AA:$AA,Data!$Z:$Z,MarketProfile!A383,Data!$AE:$AE,"1")/1000</f>
        <v>43944.720005999996</v>
      </c>
      <c r="D383" s="361">
        <f>SUMIFS(Data!$AO:$AO,Data!$AN:$AN,MarketProfile!A383,Data!$AS:$AS,"1")/1000</f>
        <v>898.18000300000006</v>
      </c>
      <c r="E383" s="361"/>
      <c r="F383" s="171">
        <f t="shared" si="26"/>
        <v>47.926406576878549</v>
      </c>
      <c r="G383" s="361">
        <f>SUMIFS(Data!$BC:$BC,Data!$BB:$BB,MarketProfile!A383,Data!BG:BG,"1")/1000</f>
        <v>797.5</v>
      </c>
      <c r="H383" s="361"/>
      <c r="I383" s="171">
        <f t="shared" si="27"/>
        <v>54.103097186206888</v>
      </c>
    </row>
    <row r="384" spans="1:9" x14ac:dyDescent="0.2">
      <c r="A384" s="236" t="s">
        <v>139</v>
      </c>
      <c r="B384" s="236"/>
      <c r="C384" s="3">
        <f>SUMIFS(Data!$AA:$AA,Data!$Z:$Z,MarketProfile!A384,Data!$AE:$AE,"1")/1000</f>
        <v>26473.197399999997</v>
      </c>
      <c r="D384" s="361">
        <f>SUMIFS(Data!$AO:$AO,Data!$AN:$AN,MarketProfile!A384,Data!$AS:$AS,"1")/1000</f>
        <v>18930.978850000003</v>
      </c>
      <c r="E384" s="361"/>
      <c r="F384" s="171">
        <f t="shared" si="26"/>
        <v>0.39840615795733103</v>
      </c>
      <c r="G384" s="361">
        <f>SUMIFS(Data!$BC:$BC,Data!$BB:$BB,MarketProfile!A384,Data!BG:BG,"1")/1000</f>
        <v>16411.219519999999</v>
      </c>
      <c r="H384" s="361"/>
      <c r="I384" s="171">
        <f t="shared" si="27"/>
        <v>0.61311579360313129</v>
      </c>
    </row>
    <row r="385" spans="1:9" x14ac:dyDescent="0.2">
      <c r="A385" s="235" t="s">
        <v>178</v>
      </c>
      <c r="B385" s="236"/>
      <c r="C385" s="4">
        <f>SUM(C377:C384)</f>
        <v>61384687.758385979</v>
      </c>
      <c r="D385" s="380">
        <f>SUM(D377:E384)</f>
        <v>45863384.411233999</v>
      </c>
      <c r="E385" s="380">
        <f>SUM(E377:E384)</f>
        <v>0</v>
      </c>
      <c r="F385" s="160">
        <f t="shared" si="26"/>
        <v>0.33842472696694659</v>
      </c>
      <c r="G385" s="380">
        <f>SUM(G377:H384)</f>
        <v>56938689.301399991</v>
      </c>
      <c r="H385" s="380">
        <f>SUM(H377:H384)</f>
        <v>0</v>
      </c>
      <c r="I385" s="160">
        <f t="shared" si="27"/>
        <v>7.8083962092128298E-2</v>
      </c>
    </row>
    <row r="386" spans="1:9" x14ac:dyDescent="0.2">
      <c r="A386" s="134" t="s">
        <v>15</v>
      </c>
      <c r="B386" s="236"/>
      <c r="C386" s="3"/>
      <c r="D386" s="236"/>
      <c r="E386" s="136"/>
      <c r="F386" s="171" t="s">
        <v>182</v>
      </c>
      <c r="G386" s="236"/>
      <c r="H386" s="136"/>
      <c r="I386" s="171"/>
    </row>
    <row r="387" spans="1:9" x14ac:dyDescent="0.2">
      <c r="A387" s="236" t="s">
        <v>448</v>
      </c>
      <c r="B387" s="236"/>
      <c r="C387" s="3">
        <f>SUMIFS(Data!$AA:$AA,Data!$Z:$Z,MarketProfile!A387,Data!$AE:$AE,"0")/1000</f>
        <v>1104.8383600000002</v>
      </c>
      <c r="D387" s="361">
        <f>SUMIFS(Data!$AO:$AO,Data!$AN:$AN,MarketProfile!A387,Data!$AS:$AS,"0")/1000</f>
        <v>2510.9</v>
      </c>
      <c r="E387" s="361"/>
      <c r="F387" s="171">
        <f t="shared" ref="F387:F395" si="28">IFERROR(IF(OR(AND(D387="",C387=""),AND(D387=0,C387=0)),"",
IF(OR(D387="",D387=0),1,
IF(OR(D387&lt;&gt;"",D387&lt;&gt;0),(C387-D387)/ABS(D387)))),-1)</f>
        <v>-0.55998312955513951</v>
      </c>
      <c r="G387" s="361">
        <f>SUMIFS(Data!$BC:$BC,Data!$BB:$BB,MarketProfile!A387,Data!BG:BG,"0")/1000</f>
        <v>0</v>
      </c>
      <c r="H387" s="361"/>
      <c r="I387" s="171">
        <f t="shared" ref="I387:I395" si="29">IFERROR(IF(OR(AND(G387="",C387=""),AND(G387=0,C387=0)),"",
IF(OR(G387="",G387=0),1,
IF(OR(G387&lt;&gt;"",G387&lt;&gt;0),(C387-G387)/ABS(G387)))),-1)</f>
        <v>1</v>
      </c>
    </row>
    <row r="388" spans="1:9" x14ac:dyDescent="0.2">
      <c r="A388" s="236" t="s">
        <v>175</v>
      </c>
      <c r="B388" s="236"/>
      <c r="C388" s="3">
        <f>SUMIFS(Data!$AA:$AA,Data!$Z:$Z,MarketProfile!A388,Data!$AE:$AE,"0")/1000</f>
        <v>2759.3192999999997</v>
      </c>
      <c r="D388" s="361">
        <f>SUMIFS(Data!$AO:$AO,Data!$AN:$AN,MarketProfile!A388,Data!$AS:$AS,"0")/1000</f>
        <v>190.33260000000001</v>
      </c>
      <c r="E388" s="361"/>
      <c r="F388" s="171">
        <f t="shared" si="28"/>
        <v>13.497355156184486</v>
      </c>
      <c r="G388" s="361">
        <f>SUMIFS(Data!$BC:$BC,Data!$BB:$BB,MarketProfile!A388,Data!BG:BG,"0")/1000</f>
        <v>5873.5378000000001</v>
      </c>
      <c r="H388" s="361"/>
      <c r="I388" s="171">
        <f t="shared" si="29"/>
        <v>-0.53021170647782334</v>
      </c>
    </row>
    <row r="389" spans="1:9" x14ac:dyDescent="0.2">
      <c r="A389" s="236" t="s">
        <v>449</v>
      </c>
      <c r="B389" s="236"/>
      <c r="C389" s="3">
        <f>SUMIFS(Data!$AA:$AA,Data!$Z:$Z,MarketProfile!A389,Data!$AE:$AE,"0")/1000</f>
        <v>159499.48381999999</v>
      </c>
      <c r="D389" s="361">
        <f>SUMIFS(Data!$AO:$AO,Data!$AN:$AN,MarketProfile!A389,Data!$AS:$AS,"0")/1000</f>
        <v>86048.421950000004</v>
      </c>
      <c r="E389" s="361"/>
      <c r="F389" s="171">
        <f t="shared" si="28"/>
        <v>0.85360149791799855</v>
      </c>
      <c r="G389" s="361">
        <f>SUMIFS(Data!$BC:$BC,Data!$BB:$BB,MarketProfile!A389,Data!BG:BG,"0")/1000</f>
        <v>35233.265469999998</v>
      </c>
      <c r="H389" s="361"/>
      <c r="I389" s="171">
        <f t="shared" si="29"/>
        <v>3.526957172215806</v>
      </c>
    </row>
    <row r="390" spans="1:9" x14ac:dyDescent="0.2">
      <c r="A390" s="236" t="s">
        <v>138</v>
      </c>
      <c r="B390" s="236"/>
      <c r="C390" s="3">
        <f>SUMIFS(Data!$AA:$AA,Data!$Z:$Z,MarketProfile!A390,Data!$AE:$AE,"0")/1000</f>
        <v>0</v>
      </c>
      <c r="D390" s="361">
        <f>SUMIFS(Data!$AO:$AO,Data!$AN:$AN,MarketProfile!A390,Data!$AS:$AS,"0")/1000</f>
        <v>0</v>
      </c>
      <c r="E390" s="361"/>
      <c r="F390" s="171" t="str">
        <f t="shared" si="28"/>
        <v/>
      </c>
      <c r="G390" s="361">
        <f>SUMIFS(Data!$BC:$BC,Data!$BB:$BB,MarketProfile!A390,Data!BG:BG,"0")/1000</f>
        <v>0</v>
      </c>
      <c r="H390" s="361"/>
      <c r="I390" s="171" t="str">
        <f t="shared" si="29"/>
        <v/>
      </c>
    </row>
    <row r="391" spans="1:9" x14ac:dyDescent="0.2">
      <c r="A391" s="236" t="s">
        <v>450</v>
      </c>
      <c r="B391" s="236"/>
      <c r="C391" s="3">
        <f>SUMIFS(Data!$AA:$AA,Data!$Z:$Z,MarketProfile!A391,Data!$AE:$AE,"0")/1000</f>
        <v>210.55</v>
      </c>
      <c r="D391" s="361">
        <f>SUMIFS(Data!$AO:$AO,Data!$AN:$AN,MarketProfile!A391,Data!$AS:$AS,"0")/1000</f>
        <v>423.71940000000001</v>
      </c>
      <c r="E391" s="361"/>
      <c r="F391" s="171">
        <f t="shared" si="28"/>
        <v>-0.50309096066878223</v>
      </c>
      <c r="G391" s="361">
        <f>SUMIFS(Data!$BC:$BC,Data!$BB:$BB,MarketProfile!A391,Data!BG:BG,"0")/1000</f>
        <v>1759.5901399999998</v>
      </c>
      <c r="H391" s="361"/>
      <c r="I391" s="171">
        <f t="shared" si="29"/>
        <v>-0.8803414526976151</v>
      </c>
    </row>
    <row r="392" spans="1:9" x14ac:dyDescent="0.2">
      <c r="A392" s="236" t="s">
        <v>451</v>
      </c>
      <c r="B392" s="236"/>
      <c r="C392" s="3">
        <f>SUMIFS(Data!$AA:$AA,Data!$Z:$Z,MarketProfile!A392,Data!$AE:$AE,"0")/1000</f>
        <v>226013.71216999998</v>
      </c>
      <c r="D392" s="361">
        <f>SUMIFS(Data!$AO:$AO,Data!$AN:$AN,MarketProfile!A392,Data!$AS:$AS,"0")/1000</f>
        <v>137743.97162999999</v>
      </c>
      <c r="E392" s="361"/>
      <c r="F392" s="171">
        <f>IFERROR(IF(OR(AND(D392="",C392=""),AND(D392=0,C392=0)),"",
IF(OR(D392="",D392=0),1,
IF(OR(D392&lt;&gt;"",D392&lt;&gt;0),(C392-D392)/ABS(D392)))),-1)</f>
        <v>0.64082470902686872</v>
      </c>
      <c r="G392" s="361">
        <f>SUMIFS(Data!$BC:$BC,Data!$BB:$BB,MarketProfile!A392,Data!BG:BG,"0")/1000</f>
        <v>98706.466099999991</v>
      </c>
      <c r="H392" s="361"/>
      <c r="I392" s="171">
        <f t="shared" si="29"/>
        <v>1.2897558903691722</v>
      </c>
    </row>
    <row r="393" spans="1:9" x14ac:dyDescent="0.2">
      <c r="A393" s="236" t="s">
        <v>452</v>
      </c>
      <c r="B393" s="236"/>
      <c r="C393" s="3">
        <f>SUMIFS(Data!$AA:$AA,Data!$Z:$Z,MarketProfile!A393,Data!$AE:$AE,"0")/1000</f>
        <v>0</v>
      </c>
      <c r="D393" s="361">
        <f>SUMIFS(Data!$AO:$AO,Data!$AN:$AN,MarketProfile!A393,Data!$AS:$AS,"0")/1000</f>
        <v>0</v>
      </c>
      <c r="E393" s="361"/>
      <c r="F393" s="171" t="str">
        <f t="shared" si="28"/>
        <v/>
      </c>
      <c r="G393" s="361">
        <f>SUMIFS(Data!$BC:$BC,Data!$BB:$BB,MarketProfile!A393,Data!BG:BG,"0")/1000</f>
        <v>0</v>
      </c>
      <c r="H393" s="361"/>
      <c r="I393" s="171" t="str">
        <f t="shared" si="29"/>
        <v/>
      </c>
    </row>
    <row r="394" spans="1:9" x14ac:dyDescent="0.2">
      <c r="A394" s="236" t="s">
        <v>139</v>
      </c>
      <c r="B394" s="236"/>
      <c r="C394" s="3">
        <f>SUMIFS(Data!$AA:$AA,Data!$Z:$Z,MarketProfile!A394,Data!$AE:$AE,"0")/1000</f>
        <v>0</v>
      </c>
      <c r="D394" s="361">
        <f>SUMIFS(Data!$AO:$AO,Data!$AN:$AN,MarketProfile!A394,Data!$AS:$AS,"0")/1000</f>
        <v>0</v>
      </c>
      <c r="E394" s="361"/>
      <c r="F394" s="171" t="str">
        <f t="shared" si="28"/>
        <v/>
      </c>
      <c r="G394" s="361">
        <f>SUMIFS(Data!$BC:$BC,Data!$BB:$BB,MarketProfile!A394,Data!BG:BG,"0")/1000</f>
        <v>0</v>
      </c>
      <c r="H394" s="361"/>
      <c r="I394" s="171" t="str">
        <f t="shared" si="29"/>
        <v/>
      </c>
    </row>
    <row r="395" spans="1:9" x14ac:dyDescent="0.2">
      <c r="A395" s="235" t="s">
        <v>179</v>
      </c>
      <c r="B395" s="236"/>
      <c r="C395" s="4">
        <f>SUM(C387:C394)</f>
        <v>389587.90364999999</v>
      </c>
      <c r="D395" s="380">
        <f>SUM(D387:E394)</f>
        <v>226917.34557999999</v>
      </c>
      <c r="E395" s="380">
        <f>SUM(E387:E394)</f>
        <v>0</v>
      </c>
      <c r="F395" s="160">
        <f t="shared" si="28"/>
        <v>0.71687141260274567</v>
      </c>
      <c r="G395" s="380">
        <f>SUM(G387:H394)</f>
        <v>141572.85950999998</v>
      </c>
      <c r="H395" s="380">
        <f>SUM(H387:H394)</f>
        <v>0</v>
      </c>
      <c r="I395" s="160">
        <f t="shared" si="29"/>
        <v>1.7518544514704919</v>
      </c>
    </row>
    <row r="396" spans="1:9" x14ac:dyDescent="0.2">
      <c r="A396" s="132" t="s">
        <v>136</v>
      </c>
      <c r="B396" s="132"/>
      <c r="C396" s="162"/>
      <c r="D396" s="132"/>
      <c r="E396" s="132"/>
      <c r="F396" s="132" t="s">
        <v>182</v>
      </c>
      <c r="G396" s="132"/>
      <c r="H396" s="132"/>
      <c r="I396" s="161" t="s">
        <v>182</v>
      </c>
    </row>
    <row r="397" spans="1:9" x14ac:dyDescent="0.2">
      <c r="A397" s="134" t="s">
        <v>14</v>
      </c>
      <c r="B397" s="236"/>
      <c r="C397" s="3"/>
      <c r="D397" s="236"/>
      <c r="E397" s="236"/>
      <c r="F397" s="236"/>
      <c r="G397" s="236"/>
      <c r="H397" s="236"/>
      <c r="I397" s="171"/>
    </row>
    <row r="398" spans="1:9" x14ac:dyDescent="0.2">
      <c r="A398" s="236" t="s">
        <v>448</v>
      </c>
      <c r="B398" s="236"/>
      <c r="C398" s="3">
        <f>SUMIFS(Data!$AK:$AK,Data!$AG:$AG,MarketProfile!A398,Data!$AL:$AL,"1")</f>
        <v>10301</v>
      </c>
      <c r="D398" s="361">
        <f>SUMIFS(Data!$AY:$AY,Data!$AU:$AU,MarketProfile!A398,Data!$AZ:$AZ,"1")</f>
        <v>8670</v>
      </c>
      <c r="E398" s="361"/>
      <c r="F398" s="171">
        <f t="shared" ref="F398:F413" si="30">IFERROR(IF(OR(AND(D398="",C398=""),AND(D398=0,C398=0)),"",
IF(OR(D398="",D398=0),1,
IF(OR(D398&lt;&gt;"",D398&lt;&gt;0),(C398-D398)/ABS(D398)))),-1)</f>
        <v>0.18811995386389849</v>
      </c>
      <c r="G398" s="361">
        <f>SUMIFS(Data!$BL:$BL,Data!$BH:$BH,MarketProfile!A398,Data!$BM:$BM,"1")</f>
        <v>15405</v>
      </c>
      <c r="H398" s="361"/>
      <c r="I398" s="171">
        <f t="shared" ref="I398:I405" si="31">IFERROR(IF(OR(AND(G398="",C398=""),AND(G398=0,C398=0)),"",
IF(OR(G398="",G398=0),1,
IF(OR(G398&lt;&gt;"",G398&lt;&gt;0),(C398-G398)/ABS(G398)))),-1)</f>
        <v>-0.33132099967543005</v>
      </c>
    </row>
    <row r="399" spans="1:9" x14ac:dyDescent="0.2">
      <c r="A399" s="236" t="s">
        <v>175</v>
      </c>
      <c r="B399" s="236"/>
      <c r="C399" s="3">
        <f>SUMIFS(Data!$AK:$AK,Data!$AG:$AG,MarketProfile!A399,Data!$AL:$AL,"1")</f>
        <v>19582</v>
      </c>
      <c r="D399" s="361">
        <f>SUMIFS(Data!$AY:$AY,Data!$AU:$AU,MarketProfile!A399,Data!$AZ:$AZ,"1")</f>
        <v>14946</v>
      </c>
      <c r="E399" s="361"/>
      <c r="F399" s="171">
        <f t="shared" si="30"/>
        <v>0.31018332664257997</v>
      </c>
      <c r="G399" s="361">
        <f>SUMIFS(Data!$BL:$BL,Data!$BH:$BH,MarketProfile!A399,Data!$BM:$BM,"1")</f>
        <v>21159</v>
      </c>
      <c r="H399" s="361"/>
      <c r="I399" s="171">
        <f t="shared" si="31"/>
        <v>-7.4530932463727023E-2</v>
      </c>
    </row>
    <row r="400" spans="1:9" x14ac:dyDescent="0.2">
      <c r="A400" s="236" t="s">
        <v>449</v>
      </c>
      <c r="B400" s="236"/>
      <c r="C400" s="3">
        <f>SUMIFS(Data!$AK:$AK,Data!$AG:$AG,MarketProfile!A400,Data!$AL:$AL,"1")</f>
        <v>21189</v>
      </c>
      <c r="D400" s="361">
        <f>SUMIFS(Data!$AY:$AY,Data!$AU:$AU,MarketProfile!A400,Data!$AZ:$AZ,"1")</f>
        <v>19873</v>
      </c>
      <c r="E400" s="361"/>
      <c r="F400" s="171">
        <f t="shared" si="30"/>
        <v>6.6220500176118358E-2</v>
      </c>
      <c r="G400" s="361">
        <f>SUMIFS(Data!$BL:$BL,Data!$BH:$BH,MarketProfile!A400,Data!$BM:$BM,"1")</f>
        <v>25201</v>
      </c>
      <c r="H400" s="361"/>
      <c r="I400" s="171">
        <f t="shared" si="31"/>
        <v>-0.15920003174477204</v>
      </c>
    </row>
    <row r="401" spans="1:9" x14ac:dyDescent="0.2">
      <c r="A401" s="236" t="s">
        <v>138</v>
      </c>
      <c r="B401" s="236"/>
      <c r="C401" s="3">
        <f>SUMIFS(Data!$AK:$AK,Data!$AG:$AG,MarketProfile!A401,Data!$AL:$AL,"1")</f>
        <v>415</v>
      </c>
      <c r="D401" s="361">
        <f>SUMIFS(Data!$AY:$AY,Data!$AU:$AU,MarketProfile!A401,Data!$AZ:$AZ,"1")</f>
        <v>427</v>
      </c>
      <c r="E401" s="361"/>
      <c r="F401" s="171">
        <f t="shared" si="30"/>
        <v>-2.8103044496487119E-2</v>
      </c>
      <c r="G401" s="361">
        <f>SUMIFS(Data!$BL:$BL,Data!$BH:$BH,MarketProfile!A401,Data!$BM:$BM,"1")</f>
        <v>1411</v>
      </c>
      <c r="H401" s="361"/>
      <c r="I401" s="171">
        <f t="shared" si="31"/>
        <v>-0.70588235294117652</v>
      </c>
    </row>
    <row r="402" spans="1:9" x14ac:dyDescent="0.2">
      <c r="A402" s="236" t="s">
        <v>450</v>
      </c>
      <c r="B402" s="236"/>
      <c r="C402" s="3">
        <f>SUMIFS(Data!$AK:$AK,Data!$AG:$AG,MarketProfile!A402,Data!$AL:$AL,"1")</f>
        <v>4406</v>
      </c>
      <c r="D402" s="361">
        <f>SUMIFS(Data!$AY:$AY,Data!$AU:$AU,MarketProfile!A402,Data!$AZ:$AZ,"1")</f>
        <v>3303</v>
      </c>
      <c r="E402" s="361"/>
      <c r="F402" s="171">
        <f t="shared" si="30"/>
        <v>0.33393884347562824</v>
      </c>
      <c r="G402" s="361">
        <f>SUMIFS(Data!$BL:$BL,Data!$BH:$BH,MarketProfile!A402,Data!$BM:$BM,"1")</f>
        <v>8231</v>
      </c>
      <c r="H402" s="361"/>
      <c r="I402" s="171">
        <f t="shared" si="31"/>
        <v>-0.46470659701129874</v>
      </c>
    </row>
    <row r="403" spans="1:9" x14ac:dyDescent="0.2">
      <c r="A403" s="236" t="s">
        <v>451</v>
      </c>
      <c r="B403" s="236"/>
      <c r="C403" s="3">
        <f>SUMIFS(Data!$AK:$AK,Data!$AG:$AG,MarketProfile!A403,Data!$AL:$AL,"1")</f>
        <v>25060</v>
      </c>
      <c r="D403" s="361">
        <f>SUMIFS(Data!$AY:$AY,Data!$AU:$AU,MarketProfile!A403,Data!$AZ:$AZ,"1")</f>
        <v>21940</v>
      </c>
      <c r="E403" s="361"/>
      <c r="F403" s="171">
        <f t="shared" si="30"/>
        <v>0.14220601640838651</v>
      </c>
      <c r="G403" s="361">
        <f>SUMIFS(Data!$BL:$BL,Data!$BH:$BH,MarketProfile!A403,Data!$BM:$BM,"1")</f>
        <v>35944</v>
      </c>
      <c r="H403" s="361"/>
      <c r="I403" s="171">
        <f t="shared" si="31"/>
        <v>-0.30280436234142</v>
      </c>
    </row>
    <row r="404" spans="1:9" x14ac:dyDescent="0.2">
      <c r="A404" s="236" t="s">
        <v>452</v>
      </c>
      <c r="B404" s="236"/>
      <c r="C404" s="3">
        <f>SUMIFS(Data!$AK:$AK,Data!$AG:$AG,MarketProfile!A404,Data!$AL:$AL,"1")</f>
        <v>117</v>
      </c>
      <c r="D404" s="361">
        <f>SUMIFS(Data!$AY:$AY,Data!$AU:$AU,MarketProfile!A404,Data!$AZ:$AZ,"1")</f>
        <v>280</v>
      </c>
      <c r="E404" s="361"/>
      <c r="F404" s="171">
        <f t="shared" si="30"/>
        <v>-0.58214285714285718</v>
      </c>
      <c r="G404" s="361">
        <f>SUMIFS(Data!$BL:$BL,Data!$BH:$BH,MarketProfile!A404,Data!$BM:$BM,"1")</f>
        <v>15</v>
      </c>
      <c r="H404" s="361"/>
      <c r="I404" s="171">
        <f t="shared" si="31"/>
        <v>6.8</v>
      </c>
    </row>
    <row r="405" spans="1:9" x14ac:dyDescent="0.2">
      <c r="A405" s="236" t="s">
        <v>139</v>
      </c>
      <c r="B405" s="236"/>
      <c r="C405" s="3">
        <f>SUMIFS(Data!$AK:$AK,Data!$AG:$AG,MarketProfile!A405,Data!$AL:$AL,"1")</f>
        <v>148</v>
      </c>
      <c r="D405" s="361">
        <f>SUMIFS(Data!$AY:$AY,Data!$AU:$AU,MarketProfile!A405,Data!$AZ:$AZ,"1")</f>
        <v>0</v>
      </c>
      <c r="E405" s="361"/>
      <c r="F405" s="171">
        <f t="shared" si="30"/>
        <v>1</v>
      </c>
      <c r="G405" s="361">
        <f>SUMIFS(Data!$BL:$BL,Data!$BH:$BH,MarketProfile!A405,Data!$BM:$BM,"1")</f>
        <v>232</v>
      </c>
      <c r="H405" s="361"/>
      <c r="I405" s="171">
        <f t="shared" si="31"/>
        <v>-0.36206896551724138</v>
      </c>
    </row>
    <row r="406" spans="1:9" x14ac:dyDescent="0.2">
      <c r="A406" s="134" t="s">
        <v>15</v>
      </c>
      <c r="B406" s="236"/>
      <c r="C406" s="3"/>
      <c r="D406" s="236"/>
      <c r="E406" s="3"/>
      <c r="F406" s="171"/>
      <c r="G406" s="236"/>
      <c r="H406" s="3"/>
      <c r="I406" s="171"/>
    </row>
    <row r="407" spans="1:9" x14ac:dyDescent="0.2">
      <c r="A407" s="236" t="s">
        <v>448</v>
      </c>
      <c r="B407" s="236"/>
      <c r="C407" s="3">
        <f>SUMIFS(Data!$AK:$AK,Data!$AG:$AG,MarketProfile!A407,Data!$AL:$AL,"0")</f>
        <v>230</v>
      </c>
      <c r="D407" s="361">
        <f>SUMIFS(Data!$AY:$AY,Data!$AU:$AU,MarketProfile!A407,Data!$AZ:$AZ,"0")</f>
        <v>154</v>
      </c>
      <c r="E407" s="361"/>
      <c r="F407" s="171">
        <f t="shared" si="30"/>
        <v>0.4935064935064935</v>
      </c>
      <c r="G407" s="361">
        <f>SUMIFS(Data!$BL:$BL,Data!$BH:$BH,MarketProfile!A407,Data!$BM:$BM,"0")</f>
        <v>0</v>
      </c>
      <c r="H407" s="361"/>
      <c r="I407" s="171">
        <f t="shared" ref="I407:I414" si="32">IFERROR(IF(OR(AND(G407="",C407=""),AND(G407=0,C407=0)),"",
IF(OR(G407="",G407=0),1,
IF(OR(G407&lt;&gt;"",G407&lt;&gt;0),(C407-G407)/ABS(G407)))),-1)</f>
        <v>1</v>
      </c>
    </row>
    <row r="408" spans="1:9" x14ac:dyDescent="0.2">
      <c r="A408" s="236" t="s">
        <v>175</v>
      </c>
      <c r="B408" s="236"/>
      <c r="C408" s="3">
        <f>SUMIFS(Data!$AK:$AK,Data!$AG:$AG,MarketProfile!A408,Data!$AL:$AL,"0")</f>
        <v>975</v>
      </c>
      <c r="D408" s="361">
        <f>SUMIFS(Data!$AY:$AY,Data!$AU:$AU,MarketProfile!A408,Data!$AZ:$AZ,"0")</f>
        <v>1419</v>
      </c>
      <c r="E408" s="361"/>
      <c r="F408" s="171">
        <f t="shared" si="30"/>
        <v>-0.31289640591966172</v>
      </c>
      <c r="G408" s="361">
        <f>SUMIFS(Data!$BL:$BL,Data!$BH:$BH,MarketProfile!A408,Data!$BM:$BM,"0")</f>
        <v>2469</v>
      </c>
      <c r="H408" s="361"/>
      <c r="I408" s="171">
        <f t="shared" si="32"/>
        <v>-0.60510328068043739</v>
      </c>
    </row>
    <row r="409" spans="1:9" x14ac:dyDescent="0.2">
      <c r="A409" s="236" t="s">
        <v>449</v>
      </c>
      <c r="B409" s="236"/>
      <c r="C409" s="3">
        <f>SUMIFS(Data!$AK:$AK,Data!$AG:$AG,MarketProfile!A409,Data!$AL:$AL,"0")</f>
        <v>23281</v>
      </c>
      <c r="D409" s="361">
        <f>SUMIFS(Data!$AY:$AY,Data!$AU:$AU,MarketProfile!A409,Data!$AZ:$AZ,"0")</f>
        <v>19810</v>
      </c>
      <c r="E409" s="361"/>
      <c r="F409" s="171">
        <f t="shared" si="30"/>
        <v>0.17521453811206461</v>
      </c>
      <c r="G409" s="361">
        <f>SUMIFS(Data!$BL:$BL,Data!$BH:$BH,MarketProfile!A409,Data!$BM:$BM,"0")</f>
        <v>18943</v>
      </c>
      <c r="H409" s="361"/>
      <c r="I409" s="171">
        <f t="shared" si="32"/>
        <v>0.22900279786728606</v>
      </c>
    </row>
    <row r="410" spans="1:9" x14ac:dyDescent="0.2">
      <c r="A410" s="236" t="s">
        <v>138</v>
      </c>
      <c r="B410" s="236"/>
      <c r="C410" s="3">
        <f>SUMIFS(Data!$AK:$AK,Data!$AG:$AG,MarketProfile!A410,Data!$AL:$AL,"0")</f>
        <v>0</v>
      </c>
      <c r="D410" s="361">
        <f>SUMIFS(Data!$AY:$AY,Data!$AU:$AU,MarketProfile!A410,Data!$AZ:$AZ,"0")</f>
        <v>0</v>
      </c>
      <c r="E410" s="361"/>
      <c r="F410" s="171" t="str">
        <f t="shared" si="30"/>
        <v/>
      </c>
      <c r="G410" s="361">
        <f>SUMIFS(Data!$BL:$BL,Data!$BH:$BH,MarketProfile!A410,Data!$BM:$BM,"0")</f>
        <v>0</v>
      </c>
      <c r="H410" s="361"/>
      <c r="I410" s="171" t="str">
        <f t="shared" si="32"/>
        <v/>
      </c>
    </row>
    <row r="411" spans="1:9" x14ac:dyDescent="0.2">
      <c r="A411" s="236" t="s">
        <v>450</v>
      </c>
      <c r="B411" s="236"/>
      <c r="C411" s="3">
        <f>SUMIFS(Data!$AK:$AK,Data!$AG:$AG,MarketProfile!A411,Data!$AL:$AL,"0")</f>
        <v>314</v>
      </c>
      <c r="D411" s="361">
        <f>SUMIFS(Data!$AY:$AY,Data!$AU:$AU,MarketProfile!A411,Data!$AZ:$AZ,"0")</f>
        <v>294</v>
      </c>
      <c r="E411" s="361"/>
      <c r="F411" s="171">
        <f t="shared" si="30"/>
        <v>6.8027210884353748E-2</v>
      </c>
      <c r="G411" s="361">
        <f>SUMIFS(Data!$BL:$BL,Data!$BH:$BH,MarketProfile!A411,Data!$BM:$BM,"0")</f>
        <v>820</v>
      </c>
      <c r="H411" s="361"/>
      <c r="I411" s="171">
        <f t="shared" si="32"/>
        <v>-0.61707317073170731</v>
      </c>
    </row>
    <row r="412" spans="1:9" x14ac:dyDescent="0.2">
      <c r="A412" s="236" t="s">
        <v>451</v>
      </c>
      <c r="B412" s="236"/>
      <c r="C412" s="3">
        <f>SUMIFS(Data!$AK:$AK,Data!$AG:$AG,MarketProfile!A412,Data!$AL:$AL,"0")</f>
        <v>33948</v>
      </c>
      <c r="D412" s="361">
        <f>SUMIFS(Data!$AY:$AY,Data!$AU:$AU,MarketProfile!A412,Data!$AZ:$AZ,"0")</f>
        <v>30810</v>
      </c>
      <c r="E412" s="361"/>
      <c r="F412" s="171">
        <f t="shared" si="30"/>
        <v>0.10185004868549172</v>
      </c>
      <c r="G412" s="361">
        <f>SUMIFS(Data!$BL:$BL,Data!$BH:$BH,MarketProfile!A412,Data!$BM:$BM,"0")</f>
        <v>33530</v>
      </c>
      <c r="H412" s="361"/>
      <c r="I412" s="171">
        <f t="shared" si="32"/>
        <v>1.2466447957053385E-2</v>
      </c>
    </row>
    <row r="413" spans="1:9" x14ac:dyDescent="0.2">
      <c r="A413" s="236" t="s">
        <v>452</v>
      </c>
      <c r="B413" s="236"/>
      <c r="C413" s="3">
        <f>SUMIFS(Data!$AK:$AK,Data!$AG:$AG,MarketProfile!A413,Data!$AL:$AL,"0")</f>
        <v>0</v>
      </c>
      <c r="D413" s="361">
        <f>SUMIFS(Data!$AY:$AY,Data!$AU:$AU,MarketProfile!A413,Data!$AZ:$AZ,"0")</f>
        <v>0</v>
      </c>
      <c r="E413" s="361"/>
      <c r="F413" s="171" t="str">
        <f t="shared" si="30"/>
        <v/>
      </c>
      <c r="G413" s="361">
        <f>SUMIFS(Data!$BL:$BL,Data!$BH:$BH,MarketProfile!A413,Data!$BM:$BM,"0")</f>
        <v>40</v>
      </c>
      <c r="H413" s="361"/>
      <c r="I413" s="171">
        <f t="shared" si="32"/>
        <v>-1</v>
      </c>
    </row>
    <row r="414" spans="1:9" x14ac:dyDescent="0.2">
      <c r="A414" s="236" t="s">
        <v>139</v>
      </c>
      <c r="B414" s="236"/>
      <c r="C414" s="3">
        <f>SUMIFS(Data!$AK:$AK,Data!$AG:$AG,MarketProfile!A414,Data!$AL:$AL,"0")</f>
        <v>0</v>
      </c>
      <c r="D414" s="361">
        <f>SUMIFS(Data!$AY:$AY,Data!$AU:$AU,MarketProfile!A414,Data!$AZ:$AZ,"0")</f>
        <v>0</v>
      </c>
      <c r="E414" s="361"/>
      <c r="F414" s="171" t="str">
        <f t="shared" ref="F414" si="33">IFERROR(IF(OR(AND(C414="",D414=""),AND(C414=0,D414=0)),"",
IF(OR(C414="",C414=0),1,
IF(OR(C414&lt;&gt;"",C414&lt;&gt;0),(D414-C414)/ABS(C414)))),-1)</f>
        <v/>
      </c>
      <c r="G414" s="361">
        <f>SUMIFS(Data!$BL:$BL,Data!$BH:$BH,MarketProfile!A414,Data!$BM:$BM,"0")</f>
        <v>0</v>
      </c>
      <c r="H414" s="361"/>
      <c r="I414" s="171" t="str">
        <f t="shared" si="32"/>
        <v/>
      </c>
    </row>
    <row r="415" spans="1:9" x14ac:dyDescent="0.2">
      <c r="A415" s="236"/>
      <c r="B415" s="236"/>
      <c r="C415" s="236"/>
      <c r="D415" s="236"/>
      <c r="E415" s="236"/>
      <c r="F415" s="236"/>
      <c r="G415" s="236"/>
      <c r="H415" s="236"/>
      <c r="I415" s="236"/>
    </row>
  </sheetData>
  <mergeCells count="163">
    <mergeCell ref="F144:H145"/>
    <mergeCell ref="G412:H412"/>
    <mergeCell ref="G413:H413"/>
    <mergeCell ref="G414:H414"/>
    <mergeCell ref="G407:H407"/>
    <mergeCell ref="G408:H408"/>
    <mergeCell ref="G409:H409"/>
    <mergeCell ref="G410:H410"/>
    <mergeCell ref="G411:H411"/>
    <mergeCell ref="G401:H401"/>
    <mergeCell ref="G402:H402"/>
    <mergeCell ref="G403:H403"/>
    <mergeCell ref="G404:H404"/>
    <mergeCell ref="G405:H405"/>
    <mergeCell ref="G394:H394"/>
    <mergeCell ref="G395:H395"/>
    <mergeCell ref="G398:H398"/>
    <mergeCell ref="G399:H399"/>
    <mergeCell ref="G400:H400"/>
    <mergeCell ref="G389:H389"/>
    <mergeCell ref="G390:H390"/>
    <mergeCell ref="G391:H391"/>
    <mergeCell ref="G392:H392"/>
    <mergeCell ref="G393:H393"/>
    <mergeCell ref="G383:H383"/>
    <mergeCell ref="G384:H384"/>
    <mergeCell ref="G385:H385"/>
    <mergeCell ref="G387:H387"/>
    <mergeCell ref="G388:H388"/>
    <mergeCell ref="G378:H378"/>
    <mergeCell ref="G379:H379"/>
    <mergeCell ref="G380:H380"/>
    <mergeCell ref="G381:H381"/>
    <mergeCell ref="G382:H382"/>
    <mergeCell ref="G371:H371"/>
    <mergeCell ref="G372:H372"/>
    <mergeCell ref="G373:H373"/>
    <mergeCell ref="G374:H374"/>
    <mergeCell ref="G377:H377"/>
    <mergeCell ref="G366:H366"/>
    <mergeCell ref="G367:H367"/>
    <mergeCell ref="G368:H368"/>
    <mergeCell ref="G369:H369"/>
    <mergeCell ref="G370:H370"/>
    <mergeCell ref="G361:H361"/>
    <mergeCell ref="G362:H362"/>
    <mergeCell ref="G363:H363"/>
    <mergeCell ref="G364:H364"/>
    <mergeCell ref="G353:H353"/>
    <mergeCell ref="G356:H356"/>
    <mergeCell ref="G357:H357"/>
    <mergeCell ref="G358:H358"/>
    <mergeCell ref="G359:H359"/>
    <mergeCell ref="G349:H349"/>
    <mergeCell ref="G350:H350"/>
    <mergeCell ref="G351:H351"/>
    <mergeCell ref="G352:H352"/>
    <mergeCell ref="D411:E411"/>
    <mergeCell ref="D412:E412"/>
    <mergeCell ref="D413:E413"/>
    <mergeCell ref="D414:E414"/>
    <mergeCell ref="D383:E383"/>
    <mergeCell ref="D384:E384"/>
    <mergeCell ref="D385:E385"/>
    <mergeCell ref="D387:E387"/>
    <mergeCell ref="D377:E377"/>
    <mergeCell ref="D378:E378"/>
    <mergeCell ref="D379:E379"/>
    <mergeCell ref="D380:E380"/>
    <mergeCell ref="D381:E381"/>
    <mergeCell ref="D370:E370"/>
    <mergeCell ref="D371:E371"/>
    <mergeCell ref="D372:E372"/>
    <mergeCell ref="D373:E373"/>
    <mergeCell ref="D374:E374"/>
    <mergeCell ref="D364:E364"/>
    <mergeCell ref="G360:H360"/>
    <mergeCell ref="G336:H336"/>
    <mergeCell ref="G337:H337"/>
    <mergeCell ref="G338:H338"/>
    <mergeCell ref="G339:H339"/>
    <mergeCell ref="G340:H340"/>
    <mergeCell ref="G341:H341"/>
    <mergeCell ref="G342:H342"/>
    <mergeCell ref="G343:H343"/>
    <mergeCell ref="G348:H348"/>
    <mergeCell ref="G345:H345"/>
    <mergeCell ref="G346:H346"/>
    <mergeCell ref="G347:H347"/>
    <mergeCell ref="D405:E405"/>
    <mergeCell ref="D407:E407"/>
    <mergeCell ref="D408:E408"/>
    <mergeCell ref="D409:E409"/>
    <mergeCell ref="D410:E410"/>
    <mergeCell ref="D400:E400"/>
    <mergeCell ref="D401:E401"/>
    <mergeCell ref="D402:E402"/>
    <mergeCell ref="D403:E403"/>
    <mergeCell ref="D404:E404"/>
    <mergeCell ref="D393:E393"/>
    <mergeCell ref="D394:E394"/>
    <mergeCell ref="D395:E395"/>
    <mergeCell ref="D398:E398"/>
    <mergeCell ref="D399:E399"/>
    <mergeCell ref="D388:E388"/>
    <mergeCell ref="D389:E389"/>
    <mergeCell ref="D390:E390"/>
    <mergeCell ref="D391:E391"/>
    <mergeCell ref="D392:E392"/>
    <mergeCell ref="D382:E382"/>
    <mergeCell ref="D366:E366"/>
    <mergeCell ref="D367:E367"/>
    <mergeCell ref="D368:E368"/>
    <mergeCell ref="D369:E369"/>
    <mergeCell ref="D359:E359"/>
    <mergeCell ref="D360:E360"/>
    <mergeCell ref="D361:E361"/>
    <mergeCell ref="D362:E362"/>
    <mergeCell ref="D363:E363"/>
    <mergeCell ref="D352:E352"/>
    <mergeCell ref="D353:E353"/>
    <mergeCell ref="D356:E356"/>
    <mergeCell ref="D357:E357"/>
    <mergeCell ref="D358:E358"/>
    <mergeCell ref="D347:E347"/>
    <mergeCell ref="D348:E348"/>
    <mergeCell ref="D349:E349"/>
    <mergeCell ref="D350:E350"/>
    <mergeCell ref="D351:E351"/>
    <mergeCell ref="D341:E341"/>
    <mergeCell ref="D342:E342"/>
    <mergeCell ref="D343:E343"/>
    <mergeCell ref="D345:E345"/>
    <mergeCell ref="D346:E346"/>
    <mergeCell ref="D336:E336"/>
    <mergeCell ref="D337:E337"/>
    <mergeCell ref="D338:E338"/>
    <mergeCell ref="D339:E339"/>
    <mergeCell ref="D340:E340"/>
    <mergeCell ref="D335:E335"/>
    <mergeCell ref="G335:H335"/>
    <mergeCell ref="F120:H121"/>
    <mergeCell ref="G131:H131"/>
    <mergeCell ref="G8:I9"/>
    <mergeCell ref="A13:A15"/>
    <mergeCell ref="G133:H133"/>
    <mergeCell ref="G134:H134"/>
    <mergeCell ref="G135:H135"/>
    <mergeCell ref="D131:E131"/>
    <mergeCell ref="D133:E133"/>
    <mergeCell ref="D134:E134"/>
    <mergeCell ref="D135:E135"/>
    <mergeCell ref="F65:H66"/>
    <mergeCell ref="E226:H227"/>
    <mergeCell ref="A330:A331"/>
    <mergeCell ref="G228:G230"/>
    <mergeCell ref="E330:I331"/>
    <mergeCell ref="F148:I148"/>
    <mergeCell ref="E229:E230"/>
    <mergeCell ref="F229:F230"/>
    <mergeCell ref="I229:I230"/>
    <mergeCell ref="H228:H230"/>
    <mergeCell ref="A290:C291"/>
  </mergeCells>
  <hyperlinks>
    <hyperlink ref="A287" r:id="rId1" display="https://www.jse.co.za/trade/derivative-market/equity-derivatives/reports"/>
    <hyperlink ref="A288"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rowBreaks count="2" manualBreakCount="2">
    <brk id="108" max="9" man="1"/>
    <brk id="209" max="16383" man="1"/>
  </rowBreaks>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89"/>
  <sheetViews>
    <sheetView topLeftCell="Q1" zoomScaleNormal="100" workbookViewId="0">
      <selection activeCell="R88" sqref="R88"/>
    </sheetView>
  </sheetViews>
  <sheetFormatPr defaultColWidth="9.140625" defaultRowHeight="12.75" x14ac:dyDescent="0.2"/>
  <cols>
    <col min="1" max="1" width="23.140625" style="142" customWidth="1"/>
    <col min="2" max="2" width="22.42578125" style="10" customWidth="1"/>
    <col min="3" max="3" width="17" style="10" bestFit="1" customWidth="1"/>
    <col min="4" max="4" width="18.85546875" style="10" customWidth="1"/>
    <col min="5" max="5" width="16.140625" style="10" customWidth="1"/>
    <col min="6" max="6" width="16" style="10" bestFit="1" customWidth="1"/>
    <col min="7" max="7" width="12.42578125" style="10" bestFit="1" customWidth="1"/>
    <col min="8" max="8" width="12.5703125" style="10" bestFit="1" customWidth="1"/>
    <col min="9" max="9" width="34.42578125" style="10" bestFit="1" customWidth="1"/>
    <col min="10" max="10" width="11.85546875" style="131" customWidth="1"/>
    <col min="11" max="12" width="9.140625" style="10"/>
    <col min="13" max="13" width="15.7109375" style="2" bestFit="1" customWidth="1"/>
    <col min="14" max="14" width="23.5703125" style="10" customWidth="1"/>
    <col min="15" max="15" width="17.42578125" style="10" bestFit="1" customWidth="1"/>
    <col min="16" max="16" width="14.140625" style="10" bestFit="1" customWidth="1"/>
    <col min="17" max="17" width="25.5703125" style="10" bestFit="1" customWidth="1"/>
    <col min="18" max="18" width="28.42578125" style="10" customWidth="1"/>
    <col min="19" max="19" width="25" style="10" bestFit="1" customWidth="1"/>
    <col min="20" max="20" width="14.42578125" style="10" bestFit="1" customWidth="1"/>
    <col min="21" max="21" width="16.140625" style="10" bestFit="1" customWidth="1"/>
    <col min="22" max="22" width="13.28515625" style="10" bestFit="1" customWidth="1"/>
    <col min="23" max="23" width="16.7109375" style="10" bestFit="1" customWidth="1"/>
    <col min="24" max="24" width="14.85546875" style="10" bestFit="1" customWidth="1"/>
    <col min="25" max="25" width="23.140625" style="10" customWidth="1"/>
    <col min="26" max="27" width="9.140625" style="10" customWidth="1"/>
    <col min="28" max="28" width="13.85546875" style="10" customWidth="1"/>
    <col min="29" max="30" width="9.140625" style="10" customWidth="1"/>
    <col min="31" max="31" width="17.140625" style="10" customWidth="1"/>
    <col min="32" max="32" width="30.5703125" style="152" customWidth="1"/>
    <col min="33" max="38" width="11.5703125" style="152" customWidth="1"/>
    <col min="39" max="39" width="25.7109375" style="10" customWidth="1"/>
    <col min="40" max="45" width="9.140625" style="10" customWidth="1"/>
    <col min="46" max="46" width="31.42578125" style="10" customWidth="1"/>
    <col min="47" max="52" width="9.140625" style="10" customWidth="1"/>
    <col min="53" max="53" width="27.5703125" style="10" customWidth="1"/>
    <col min="54" max="54" width="9.140625" style="10" customWidth="1"/>
    <col min="55" max="58" width="15" style="10" customWidth="1"/>
    <col min="59" max="59" width="9.140625" style="10" customWidth="1"/>
    <col min="60" max="60" width="19.140625" style="10" customWidth="1"/>
    <col min="61" max="65" width="9.140625" style="10"/>
    <col min="66" max="66" width="14" style="10" bestFit="1" customWidth="1"/>
    <col min="67" max="67" width="44.85546875" style="10" customWidth="1"/>
    <col min="68" max="68" width="13.5703125" style="10" bestFit="1" customWidth="1"/>
    <col min="69" max="69" width="15.28515625" style="10" bestFit="1" customWidth="1"/>
    <col min="70" max="70" width="12.28515625" style="10" bestFit="1" customWidth="1"/>
    <col min="71" max="71" width="27.85546875" style="10" customWidth="1"/>
    <col min="72" max="80" width="12.28515625" style="10" customWidth="1"/>
    <col min="81" max="81" width="24.42578125" style="10" customWidth="1"/>
    <col min="82" max="82" width="39.5703125" style="10" customWidth="1"/>
    <col min="83" max="83" width="18" style="10" bestFit="1" customWidth="1"/>
    <col min="84" max="84" width="19.85546875" style="10" customWidth="1"/>
    <col min="85" max="86" width="9.140625" style="10"/>
    <col min="87" max="87" width="14.7109375" style="10" customWidth="1"/>
    <col min="88" max="89" width="9.140625" style="10"/>
    <col min="90" max="90" width="22.42578125" style="10" customWidth="1"/>
    <col min="91" max="91" width="12.28515625" style="10" customWidth="1"/>
    <col min="92" max="92" width="12.140625" style="10" customWidth="1"/>
    <col min="93" max="95" width="9.140625" style="10"/>
    <col min="96" max="96" width="18.7109375" style="10" bestFit="1" customWidth="1"/>
    <col min="97" max="97" width="12.5703125" style="10" customWidth="1"/>
    <col min="98" max="108" width="7.85546875" style="10" customWidth="1"/>
    <col min="109" max="109" width="9.140625" style="10"/>
    <col min="110" max="110" width="19.5703125" style="10" bestFit="1" customWidth="1"/>
    <col min="111" max="111" width="22.42578125" style="10" bestFit="1" customWidth="1"/>
    <col min="112" max="112" width="13.7109375" style="10" bestFit="1" customWidth="1"/>
    <col min="113" max="113" width="18.5703125" style="10" bestFit="1" customWidth="1"/>
    <col min="114" max="114" width="22.42578125" style="10" bestFit="1" customWidth="1"/>
    <col min="115" max="115" width="13.7109375" style="10" bestFit="1" customWidth="1"/>
    <col min="116" max="116" width="28.28515625" style="10" bestFit="1" customWidth="1"/>
    <col min="117" max="117" width="22.42578125" style="10" bestFit="1" customWidth="1"/>
    <col min="118" max="118" width="13.7109375" style="10" bestFit="1" customWidth="1"/>
    <col min="119" max="16384" width="9.140625" style="10"/>
  </cols>
  <sheetData>
    <row r="1" spans="1:118" x14ac:dyDescent="0.2">
      <c r="A1" s="143" t="s">
        <v>197</v>
      </c>
      <c r="B1" s="179" t="s">
        <v>525</v>
      </c>
      <c r="C1" s="179" t="s">
        <v>526</v>
      </c>
      <c r="D1" s="179" t="s">
        <v>527</v>
      </c>
      <c r="E1" s="148" t="s">
        <v>204</v>
      </c>
      <c r="F1" s="200" t="s">
        <v>527</v>
      </c>
      <c r="G1" s="200" t="s">
        <v>525</v>
      </c>
      <c r="H1" s="200" t="s">
        <v>526</v>
      </c>
      <c r="I1" s="148" t="s">
        <v>205</v>
      </c>
      <c r="J1" s="148" t="s">
        <v>207</v>
      </c>
      <c r="K1" s="224" t="s">
        <v>528</v>
      </c>
      <c r="L1" s="224" t="s">
        <v>529</v>
      </c>
      <c r="M1" s="226" t="s">
        <v>526</v>
      </c>
      <c r="N1" s="148" t="s">
        <v>210</v>
      </c>
      <c r="O1" s="231" t="s">
        <v>511</v>
      </c>
      <c r="P1" s="231" t="s">
        <v>512</v>
      </c>
      <c r="Q1" s="231" t="s">
        <v>513</v>
      </c>
      <c r="R1" s="148" t="s">
        <v>439</v>
      </c>
      <c r="S1" s="243"/>
      <c r="T1" s="246"/>
      <c r="U1" s="246"/>
      <c r="V1" s="246"/>
      <c r="W1" s="246"/>
      <c r="X1" s="246"/>
      <c r="Y1" s="241" t="s">
        <v>445</v>
      </c>
      <c r="Z1" s="243" t="s">
        <v>508</v>
      </c>
      <c r="AA1" s="243" t="s">
        <v>553</v>
      </c>
      <c r="AB1" s="243" t="s">
        <v>554</v>
      </c>
      <c r="AC1" s="243" t="s">
        <v>555</v>
      </c>
      <c r="AD1" s="243" t="s">
        <v>556</v>
      </c>
      <c r="AE1" s="243" t="s">
        <v>557</v>
      </c>
      <c r="AF1" s="241" t="s">
        <v>453</v>
      </c>
      <c r="AG1" s="243" t="s">
        <v>508</v>
      </c>
      <c r="AH1" s="243" t="s">
        <v>553</v>
      </c>
      <c r="AI1" s="243" t="s">
        <v>554</v>
      </c>
      <c r="AJ1" s="243" t="s">
        <v>555</v>
      </c>
      <c r="AK1" s="243" t="s">
        <v>556</v>
      </c>
      <c r="AL1" s="243" t="s">
        <v>557</v>
      </c>
      <c r="AM1" s="241" t="s">
        <v>447</v>
      </c>
      <c r="AN1" s="243" t="s">
        <v>508</v>
      </c>
      <c r="AO1" s="243" t="s">
        <v>553</v>
      </c>
      <c r="AP1" s="243" t="s">
        <v>554</v>
      </c>
      <c r="AQ1" s="243" t="s">
        <v>555</v>
      </c>
      <c r="AR1" s="243" t="s">
        <v>556</v>
      </c>
      <c r="AS1" s="243" t="s">
        <v>557</v>
      </c>
      <c r="AT1" s="241" t="s">
        <v>454</v>
      </c>
      <c r="AU1" s="243" t="s">
        <v>508</v>
      </c>
      <c r="AV1" s="243" t="s">
        <v>553</v>
      </c>
      <c r="AW1" s="243" t="s">
        <v>554</v>
      </c>
      <c r="AX1" s="243" t="s">
        <v>555</v>
      </c>
      <c r="AY1" s="243" t="s">
        <v>556</v>
      </c>
      <c r="AZ1" s="243" t="s">
        <v>557</v>
      </c>
      <c r="BA1" s="241" t="s">
        <v>446</v>
      </c>
      <c r="BB1" s="243" t="s">
        <v>508</v>
      </c>
      <c r="BC1" s="243" t="s">
        <v>553</v>
      </c>
      <c r="BD1" s="243" t="s">
        <v>554</v>
      </c>
      <c r="BE1" s="243" t="s">
        <v>555</v>
      </c>
      <c r="BF1" s="243" t="s">
        <v>556</v>
      </c>
      <c r="BG1" s="243" t="s">
        <v>557</v>
      </c>
      <c r="BH1" s="241" t="s">
        <v>508</v>
      </c>
      <c r="BI1" s="243" t="s">
        <v>553</v>
      </c>
      <c r="BJ1" s="243" t="s">
        <v>554</v>
      </c>
      <c r="BK1" s="243" t="s">
        <v>555</v>
      </c>
      <c r="BL1" s="243" t="s">
        <v>556</v>
      </c>
      <c r="BM1" s="243" t="s">
        <v>557</v>
      </c>
      <c r="BN1" s="243"/>
      <c r="BO1" s="241" t="s">
        <v>455</v>
      </c>
      <c r="BP1" s="253" t="s">
        <v>553</v>
      </c>
      <c r="BQ1" s="253" t="s">
        <v>554</v>
      </c>
      <c r="BR1" s="253" t="s">
        <v>555</v>
      </c>
      <c r="BS1" s="250" t="s">
        <v>488</v>
      </c>
      <c r="BT1" s="255" t="s">
        <v>609</v>
      </c>
      <c r="BU1" s="255" t="s">
        <v>610</v>
      </c>
      <c r="BV1" s="255" t="s">
        <v>611</v>
      </c>
      <c r="BW1" s="255" t="s">
        <v>612</v>
      </c>
      <c r="BX1" s="255" t="s">
        <v>613</v>
      </c>
      <c r="BY1" s="255" t="s">
        <v>614</v>
      </c>
      <c r="BZ1" s="255" t="s">
        <v>615</v>
      </c>
      <c r="CA1" s="255" t="s">
        <v>616</v>
      </c>
      <c r="CB1" s="255" t="s">
        <v>617</v>
      </c>
      <c r="CC1" s="256" t="s">
        <v>489</v>
      </c>
      <c r="CD1" s="257" t="s">
        <v>622</v>
      </c>
      <c r="CE1" s="257" t="s">
        <v>623</v>
      </c>
      <c r="CF1" s="256" t="s">
        <v>494</v>
      </c>
      <c r="CG1" s="255" t="s">
        <v>6</v>
      </c>
      <c r="CH1" s="255" t="s">
        <v>624</v>
      </c>
      <c r="CI1" s="256" t="s">
        <v>496</v>
      </c>
      <c r="CJ1" s="236" t="s">
        <v>116</v>
      </c>
      <c r="CK1" s="236">
        <v>28417</v>
      </c>
      <c r="CL1" s="256" t="s">
        <v>499</v>
      </c>
      <c r="CM1" s="236" t="s">
        <v>116</v>
      </c>
      <c r="CN1" s="236">
        <v>16211</v>
      </c>
      <c r="CO1" s="256" t="s">
        <v>502</v>
      </c>
      <c r="CP1" s="236" t="s">
        <v>116</v>
      </c>
      <c r="CQ1" s="236">
        <v>779</v>
      </c>
      <c r="CR1" s="256" t="s">
        <v>505</v>
      </c>
      <c r="CS1" s="265" t="s">
        <v>628</v>
      </c>
      <c r="CT1" s="264" t="s">
        <v>629</v>
      </c>
      <c r="CU1" s="264" t="s">
        <v>630</v>
      </c>
      <c r="CV1" s="264" t="s">
        <v>631</v>
      </c>
      <c r="CW1" s="264" t="s">
        <v>632</v>
      </c>
      <c r="CX1" s="264" t="s">
        <v>633</v>
      </c>
      <c r="CY1" s="264" t="s">
        <v>634</v>
      </c>
      <c r="CZ1" s="264" t="s">
        <v>635</v>
      </c>
      <c r="DA1" s="264" t="s">
        <v>636</v>
      </c>
      <c r="DB1" s="264" t="s">
        <v>637</v>
      </c>
      <c r="DC1" s="264" t="s">
        <v>638</v>
      </c>
      <c r="DD1" s="264" t="s">
        <v>639</v>
      </c>
      <c r="DF1" s="336" t="s">
        <v>516</v>
      </c>
      <c r="DG1" s="327" t="s">
        <v>648</v>
      </c>
      <c r="DH1" s="327" t="s">
        <v>649</v>
      </c>
      <c r="DI1" s="336" t="s">
        <v>517</v>
      </c>
      <c r="DJ1" s="334" t="s">
        <v>648</v>
      </c>
      <c r="DK1" s="334" t="s">
        <v>649</v>
      </c>
      <c r="DL1" s="336" t="s">
        <v>518</v>
      </c>
      <c r="DM1" s="329" t="s">
        <v>648</v>
      </c>
      <c r="DN1" s="329" t="s">
        <v>649</v>
      </c>
    </row>
    <row r="2" spans="1:118" x14ac:dyDescent="0.2">
      <c r="B2" s="179">
        <v>6337047998</v>
      </c>
      <c r="C2" s="179">
        <v>437427580188.30536</v>
      </c>
      <c r="D2" s="179">
        <v>6539855</v>
      </c>
      <c r="E2" s="198"/>
      <c r="F2" s="200">
        <v>1082</v>
      </c>
      <c r="G2" s="200">
        <v>377703460</v>
      </c>
      <c r="H2" s="200">
        <v>12033953173.195324</v>
      </c>
      <c r="J2" s="147" t="str">
        <f>K2&amp;L2</f>
        <v>ABuy</v>
      </c>
      <c r="K2" s="223" t="s">
        <v>530</v>
      </c>
      <c r="L2" s="223" t="s">
        <v>531</v>
      </c>
      <c r="M2" s="227">
        <v>147194646160.13644</v>
      </c>
      <c r="O2" s="230">
        <v>83760244769.839996</v>
      </c>
      <c r="P2" s="230">
        <v>-92885862317.199997</v>
      </c>
      <c r="Q2" s="230">
        <v>-9125617547.3600006</v>
      </c>
      <c r="S2" s="242"/>
      <c r="T2" s="247"/>
      <c r="U2" s="247"/>
      <c r="V2" s="247"/>
      <c r="W2" s="247"/>
      <c r="X2" s="247"/>
      <c r="Y2" s="234"/>
      <c r="Z2" s="242" t="s">
        <v>559</v>
      </c>
      <c r="AA2" s="242">
        <v>4149303.8</v>
      </c>
      <c r="AB2" s="242">
        <v>2280</v>
      </c>
      <c r="AC2" s="242">
        <v>68</v>
      </c>
      <c r="AD2" s="242">
        <v>45088</v>
      </c>
      <c r="AE2" s="242">
        <v>0</v>
      </c>
      <c r="AF2" s="242"/>
      <c r="AG2" s="242" t="s">
        <v>559</v>
      </c>
      <c r="AH2" s="242">
        <v>49081.8</v>
      </c>
      <c r="AI2" s="242">
        <v>30</v>
      </c>
      <c r="AJ2" s="242">
        <v>16</v>
      </c>
      <c r="AK2" s="242">
        <v>1962</v>
      </c>
      <c r="AL2" s="242">
        <v>0</v>
      </c>
      <c r="AM2" s="234"/>
      <c r="AN2" s="242" t="s">
        <v>559</v>
      </c>
      <c r="AO2" s="242">
        <v>5655162.2999999998</v>
      </c>
      <c r="AP2" s="242">
        <v>2783</v>
      </c>
      <c r="AQ2" s="242">
        <v>38</v>
      </c>
      <c r="AR2" s="242">
        <v>52452</v>
      </c>
      <c r="AS2" s="242">
        <v>0</v>
      </c>
      <c r="AT2" s="234"/>
      <c r="AU2" s="242" t="s">
        <v>559</v>
      </c>
      <c r="AV2" s="242">
        <v>65292</v>
      </c>
      <c r="AW2" s="242">
        <v>7</v>
      </c>
      <c r="AX2" s="242">
        <v>2</v>
      </c>
      <c r="AY2" s="242">
        <v>2658</v>
      </c>
      <c r="AZ2" s="242">
        <v>0</v>
      </c>
      <c r="BA2" s="234"/>
      <c r="BB2" s="242" t="s">
        <v>559</v>
      </c>
      <c r="BC2" s="242">
        <v>714917.75</v>
      </c>
      <c r="BD2" s="242">
        <v>178</v>
      </c>
      <c r="BE2" s="242">
        <v>20</v>
      </c>
      <c r="BF2" s="242">
        <v>27102</v>
      </c>
      <c r="BG2" s="242">
        <v>0</v>
      </c>
      <c r="BH2" s="236" t="s">
        <v>559</v>
      </c>
      <c r="BI2" s="242">
        <v>410640</v>
      </c>
      <c r="BJ2" s="242">
        <v>100</v>
      </c>
      <c r="BK2" s="242">
        <v>3</v>
      </c>
      <c r="BL2" s="242">
        <v>1334</v>
      </c>
      <c r="BM2" s="242">
        <v>0</v>
      </c>
      <c r="BN2" s="242"/>
      <c r="BO2" s="234"/>
      <c r="BP2" s="252">
        <v>1536885314560.0483</v>
      </c>
      <c r="BQ2" s="252">
        <v>29274864</v>
      </c>
      <c r="BR2" s="252">
        <v>1082861</v>
      </c>
      <c r="BS2" s="234"/>
      <c r="BT2" s="254" t="s">
        <v>137</v>
      </c>
      <c r="BU2" s="254">
        <v>44</v>
      </c>
      <c r="BV2" s="254">
        <v>0</v>
      </c>
      <c r="BW2" s="254">
        <v>0</v>
      </c>
      <c r="BX2" s="254">
        <v>0</v>
      </c>
      <c r="BY2" s="254">
        <v>0</v>
      </c>
      <c r="BZ2" s="254">
        <v>44</v>
      </c>
      <c r="CA2" s="254">
        <v>34</v>
      </c>
      <c r="CB2" s="254">
        <v>10</v>
      </c>
      <c r="CC2" s="234"/>
      <c r="CD2" s="258">
        <v>916</v>
      </c>
      <c r="CE2" s="258">
        <v>15583494735411.219</v>
      </c>
      <c r="CF2" s="234"/>
      <c r="CG2" s="254">
        <v>2019</v>
      </c>
      <c r="CH2" s="254">
        <v>21</v>
      </c>
      <c r="CI2" s="234"/>
      <c r="CJ2" s="236" t="s">
        <v>626</v>
      </c>
      <c r="CK2" s="236">
        <v>886379753372</v>
      </c>
      <c r="CL2" s="236"/>
      <c r="CM2" s="236" t="s">
        <v>626</v>
      </c>
      <c r="CN2" s="236">
        <v>2380095871660</v>
      </c>
      <c r="CO2" s="236"/>
      <c r="CP2" s="236" t="s">
        <v>626</v>
      </c>
      <c r="CQ2" s="236">
        <v>72325664599</v>
      </c>
      <c r="CR2" s="234"/>
      <c r="CS2" s="266">
        <v>2019</v>
      </c>
      <c r="CT2" s="264">
        <v>26</v>
      </c>
      <c r="CU2" s="264" t="s">
        <v>640</v>
      </c>
      <c r="CV2" s="264">
        <v>0</v>
      </c>
      <c r="CW2" s="264">
        <v>9135758556</v>
      </c>
      <c r="CX2" s="264">
        <v>1881</v>
      </c>
      <c r="CY2" s="264">
        <v>0</v>
      </c>
      <c r="CZ2" s="264">
        <v>86572496177</v>
      </c>
      <c r="DA2" s="264">
        <v>1012</v>
      </c>
      <c r="DB2" s="264">
        <v>0</v>
      </c>
      <c r="DC2" s="264">
        <v>77436737621</v>
      </c>
      <c r="DD2" s="264">
        <v>869</v>
      </c>
      <c r="DG2" s="328" t="s">
        <v>650</v>
      </c>
      <c r="DH2" s="326">
        <v>169335600</v>
      </c>
      <c r="DJ2" s="332" t="s">
        <v>650</v>
      </c>
      <c r="DK2" s="330">
        <v>942409908.35000002</v>
      </c>
      <c r="DM2" s="331" t="s">
        <v>650</v>
      </c>
      <c r="DN2" s="333">
        <v>1288745345.5799999</v>
      </c>
    </row>
    <row r="3" spans="1:118" x14ac:dyDescent="0.2">
      <c r="B3" s="179"/>
      <c r="C3" s="179"/>
      <c r="D3" s="179"/>
      <c r="E3" s="198"/>
      <c r="F3" s="198"/>
      <c r="G3" s="198"/>
      <c r="H3" s="198"/>
      <c r="J3" s="147" t="str">
        <f t="shared" ref="J3:J5" si="0">K3&amp;L3</f>
        <v>PBuy</v>
      </c>
      <c r="K3" s="223" t="s">
        <v>532</v>
      </c>
      <c r="L3" s="223" t="s">
        <v>531</v>
      </c>
      <c r="M3" s="227">
        <v>290232934028.16888</v>
      </c>
      <c r="N3" s="131"/>
      <c r="O3" s="228"/>
      <c r="P3" s="228"/>
      <c r="Q3" s="228"/>
      <c r="S3" s="242"/>
      <c r="T3" s="247"/>
      <c r="U3" s="247"/>
      <c r="V3" s="247"/>
      <c r="W3" s="247"/>
      <c r="X3" s="247"/>
      <c r="Y3" s="234"/>
      <c r="Z3" s="242" t="s">
        <v>560</v>
      </c>
      <c r="AA3" s="242">
        <v>0</v>
      </c>
      <c r="AB3" s="242">
        <v>0</v>
      </c>
      <c r="AC3" s="242">
        <v>0</v>
      </c>
      <c r="AD3" s="242">
        <v>0</v>
      </c>
      <c r="AE3" s="242">
        <v>0</v>
      </c>
      <c r="AF3" s="242"/>
      <c r="AG3" s="242" t="s">
        <v>560</v>
      </c>
      <c r="AH3" s="242">
        <v>0</v>
      </c>
      <c r="AI3" s="242">
        <v>0</v>
      </c>
      <c r="AJ3" s="242">
        <v>0</v>
      </c>
      <c r="AK3" s="242">
        <v>0</v>
      </c>
      <c r="AL3" s="242">
        <v>0</v>
      </c>
      <c r="AM3" s="234"/>
      <c r="AN3" s="242" t="s">
        <v>560</v>
      </c>
      <c r="AO3" s="242">
        <v>0</v>
      </c>
      <c r="AP3" s="242">
        <v>0</v>
      </c>
      <c r="AQ3" s="242">
        <v>0</v>
      </c>
      <c r="AR3" s="242">
        <v>0</v>
      </c>
      <c r="AS3" s="242">
        <v>0</v>
      </c>
      <c r="AT3" s="234"/>
      <c r="AU3" s="242" t="s">
        <v>560</v>
      </c>
      <c r="AV3" s="242">
        <v>0</v>
      </c>
      <c r="AW3" s="242">
        <v>0</v>
      </c>
      <c r="AX3" s="242">
        <v>0</v>
      </c>
      <c r="AY3" s="242">
        <v>0</v>
      </c>
      <c r="AZ3" s="242">
        <v>0</v>
      </c>
      <c r="BA3" s="234"/>
      <c r="BB3" s="242" t="s">
        <v>605</v>
      </c>
      <c r="BC3" s="242">
        <v>0</v>
      </c>
      <c r="BD3" s="242">
        <v>0</v>
      </c>
      <c r="BE3" s="242">
        <v>0</v>
      </c>
      <c r="BF3" s="242">
        <v>0</v>
      </c>
      <c r="BG3" s="242">
        <v>0</v>
      </c>
      <c r="BH3" s="236" t="s">
        <v>605</v>
      </c>
      <c r="BI3" s="242">
        <v>0</v>
      </c>
      <c r="BJ3" s="242">
        <v>0</v>
      </c>
      <c r="BK3" s="242">
        <v>0</v>
      </c>
      <c r="BL3" s="242">
        <v>0</v>
      </c>
      <c r="BM3" s="242">
        <v>0</v>
      </c>
      <c r="BN3" s="242"/>
      <c r="BO3" s="234"/>
      <c r="BP3" s="234"/>
      <c r="BQ3" s="234"/>
      <c r="BR3" s="234"/>
      <c r="BS3" s="234"/>
      <c r="BT3" s="254" t="s">
        <v>618</v>
      </c>
      <c r="BU3" s="254">
        <v>1</v>
      </c>
      <c r="BV3" s="254">
        <v>0</v>
      </c>
      <c r="BW3" s="254">
        <v>0</v>
      </c>
      <c r="BX3" s="254">
        <v>0</v>
      </c>
      <c r="BY3" s="254">
        <v>0</v>
      </c>
      <c r="BZ3" s="254">
        <v>1</v>
      </c>
      <c r="CA3" s="254">
        <v>1</v>
      </c>
      <c r="CB3" s="254">
        <v>0</v>
      </c>
      <c r="CC3" s="234"/>
      <c r="CD3" s="234"/>
      <c r="CE3" s="234"/>
      <c r="CF3" s="234"/>
      <c r="CG3" s="254">
        <v>2018</v>
      </c>
      <c r="CH3" s="254">
        <v>22</v>
      </c>
      <c r="CI3" s="234"/>
      <c r="CJ3" s="236" t="s">
        <v>627</v>
      </c>
      <c r="CK3" s="236">
        <v>912068598598.69055</v>
      </c>
      <c r="CL3" s="236"/>
      <c r="CM3" s="236" t="s">
        <v>627</v>
      </c>
      <c r="CN3" s="236">
        <v>2379800361996.1328</v>
      </c>
      <c r="CO3" s="236"/>
      <c r="CP3" s="236" t="s">
        <v>627</v>
      </c>
      <c r="CQ3" s="236">
        <v>15934237360.110001</v>
      </c>
      <c r="CR3" s="234"/>
      <c r="CS3" s="266">
        <v>2019</v>
      </c>
      <c r="CT3" s="264">
        <v>42</v>
      </c>
      <c r="CU3" s="264" t="s">
        <v>641</v>
      </c>
      <c r="CV3" s="264">
        <v>187451532897.14984</v>
      </c>
      <c r="CW3" s="264">
        <v>208285819000</v>
      </c>
      <c r="CX3" s="264">
        <v>2519</v>
      </c>
      <c r="CY3" s="264">
        <v>390086116022.83997</v>
      </c>
      <c r="CZ3" s="264">
        <v>408970262000</v>
      </c>
      <c r="DA3" s="264">
        <v>1961</v>
      </c>
      <c r="DB3" s="264">
        <v>202634583125.68994</v>
      </c>
      <c r="DC3" s="264">
        <v>200684443000</v>
      </c>
      <c r="DD3" s="264">
        <v>558</v>
      </c>
      <c r="DG3" s="328" t="s">
        <v>651</v>
      </c>
      <c r="DH3" s="326">
        <v>1449999995.4000001</v>
      </c>
      <c r="DJ3" s="332" t="s">
        <v>651</v>
      </c>
      <c r="DK3" s="330">
        <v>7100433029.8900003</v>
      </c>
      <c r="DM3" s="331" t="s">
        <v>651</v>
      </c>
      <c r="DN3" s="333">
        <v>9436575707.0799999</v>
      </c>
    </row>
    <row r="4" spans="1:118" x14ac:dyDescent="0.2">
      <c r="A4" s="143" t="s">
        <v>198</v>
      </c>
      <c r="B4" s="179" t="s">
        <v>525</v>
      </c>
      <c r="C4" s="179" t="s">
        <v>526</v>
      </c>
      <c r="D4" s="179" t="s">
        <v>527</v>
      </c>
      <c r="E4" s="198"/>
      <c r="F4" s="200" t="s">
        <v>527</v>
      </c>
      <c r="G4" s="200" t="s">
        <v>525</v>
      </c>
      <c r="H4" s="200" t="s">
        <v>526</v>
      </c>
      <c r="J4" s="147" t="str">
        <f t="shared" si="0"/>
        <v>ASell</v>
      </c>
      <c r="K4" s="223" t="s">
        <v>530</v>
      </c>
      <c r="L4" s="223" t="s">
        <v>533</v>
      </c>
      <c r="M4" s="227">
        <v>151405739354.15726</v>
      </c>
      <c r="N4" s="148" t="s">
        <v>211</v>
      </c>
      <c r="O4" s="231" t="s">
        <v>511</v>
      </c>
      <c r="P4" s="231" t="s">
        <v>512</v>
      </c>
      <c r="Q4" s="231" t="s">
        <v>513</v>
      </c>
      <c r="S4" s="242"/>
      <c r="T4" s="247"/>
      <c r="U4" s="247"/>
      <c r="V4" s="247"/>
      <c r="W4" s="247"/>
      <c r="X4" s="247"/>
      <c r="Y4" s="234"/>
      <c r="Z4" s="242" t="s">
        <v>561</v>
      </c>
      <c r="AA4" s="242">
        <v>0</v>
      </c>
      <c r="AB4" s="242">
        <v>0</v>
      </c>
      <c r="AC4" s="242">
        <v>0</v>
      </c>
      <c r="AD4" s="242">
        <v>0</v>
      </c>
      <c r="AE4" s="242">
        <v>0</v>
      </c>
      <c r="AF4" s="242"/>
      <c r="AG4" s="242" t="s">
        <v>561</v>
      </c>
      <c r="AH4" s="242">
        <v>0</v>
      </c>
      <c r="AI4" s="242">
        <v>0</v>
      </c>
      <c r="AJ4" s="242">
        <v>0</v>
      </c>
      <c r="AK4" s="242">
        <v>0</v>
      </c>
      <c r="AL4" s="242">
        <v>0</v>
      </c>
      <c r="AM4" s="234"/>
      <c r="AN4" s="242" t="s">
        <v>561</v>
      </c>
      <c r="AO4" s="242">
        <v>0</v>
      </c>
      <c r="AP4" s="242">
        <v>0</v>
      </c>
      <c r="AQ4" s="242">
        <v>0</v>
      </c>
      <c r="AR4" s="242">
        <v>0</v>
      </c>
      <c r="AS4" s="242">
        <v>0</v>
      </c>
      <c r="AT4" s="234"/>
      <c r="AU4" s="242" t="s">
        <v>561</v>
      </c>
      <c r="AV4" s="242">
        <v>0</v>
      </c>
      <c r="AW4" s="242">
        <v>0</v>
      </c>
      <c r="AX4" s="242">
        <v>0</v>
      </c>
      <c r="AY4" s="242">
        <v>0</v>
      </c>
      <c r="AZ4" s="242">
        <v>0</v>
      </c>
      <c r="BA4" s="234"/>
      <c r="BB4" s="242" t="s">
        <v>560</v>
      </c>
      <c r="BC4" s="242">
        <v>0</v>
      </c>
      <c r="BD4" s="242">
        <v>0</v>
      </c>
      <c r="BE4" s="242">
        <v>0</v>
      </c>
      <c r="BF4" s="242">
        <v>0</v>
      </c>
      <c r="BG4" s="242">
        <v>0</v>
      </c>
      <c r="BH4" s="236" t="s">
        <v>560</v>
      </c>
      <c r="BI4" s="242">
        <v>0</v>
      </c>
      <c r="BJ4" s="242">
        <v>0</v>
      </c>
      <c r="BK4" s="242">
        <v>0</v>
      </c>
      <c r="BL4" s="242">
        <v>0</v>
      </c>
      <c r="BM4" s="242">
        <v>0</v>
      </c>
      <c r="BN4" s="242"/>
      <c r="BO4" s="241" t="s">
        <v>456</v>
      </c>
      <c r="BP4" s="253" t="s">
        <v>553</v>
      </c>
      <c r="BQ4" s="253" t="s">
        <v>554</v>
      </c>
      <c r="BR4" s="253" t="s">
        <v>555</v>
      </c>
      <c r="BS4" s="234"/>
      <c r="BT4" s="254" t="s">
        <v>619</v>
      </c>
      <c r="BU4" s="254">
        <v>1</v>
      </c>
      <c r="BV4" s="254">
        <v>0</v>
      </c>
      <c r="BW4" s="254">
        <v>0</v>
      </c>
      <c r="BX4" s="254">
        <v>0</v>
      </c>
      <c r="BY4" s="254">
        <v>0</v>
      </c>
      <c r="BZ4" s="254">
        <v>1</v>
      </c>
      <c r="CA4" s="254">
        <v>1</v>
      </c>
      <c r="CB4" s="254">
        <v>0</v>
      </c>
      <c r="CC4" s="256" t="s">
        <v>490</v>
      </c>
      <c r="CD4" s="259" t="s">
        <v>622</v>
      </c>
      <c r="CE4" s="259" t="s">
        <v>623</v>
      </c>
      <c r="CF4" s="234"/>
      <c r="CG4" s="234"/>
      <c r="CH4" s="234"/>
      <c r="CI4" s="234"/>
      <c r="CJ4" s="234"/>
      <c r="CK4" s="234"/>
      <c r="CL4" s="236"/>
      <c r="CM4" s="236"/>
      <c r="CN4" s="236"/>
      <c r="CO4" s="236"/>
      <c r="CP4" s="236"/>
      <c r="CQ4" s="236"/>
      <c r="CR4" s="234"/>
      <c r="CS4" s="266">
        <v>2019</v>
      </c>
      <c r="CT4" s="264">
        <v>41</v>
      </c>
      <c r="CU4" s="264" t="s">
        <v>642</v>
      </c>
      <c r="CV4" s="264">
        <v>-179068061617.77982</v>
      </c>
      <c r="CW4" s="264">
        <v>-201191619000</v>
      </c>
      <c r="CX4" s="264">
        <v>2436</v>
      </c>
      <c r="CY4" s="264">
        <v>195037535637.8399</v>
      </c>
      <c r="CZ4" s="264">
        <v>192623943000</v>
      </c>
      <c r="DA4" s="264">
        <v>527</v>
      </c>
      <c r="DB4" s="264">
        <v>374105597255.6203</v>
      </c>
      <c r="DC4" s="264">
        <v>393815562000</v>
      </c>
      <c r="DD4" s="264">
        <v>1909</v>
      </c>
      <c r="DG4" s="328" t="s">
        <v>652</v>
      </c>
      <c r="DH4" s="326">
        <v>996153847.14999998</v>
      </c>
      <c r="DJ4" s="332" t="s">
        <v>652</v>
      </c>
      <c r="DK4" s="330">
        <v>10415873831.209999</v>
      </c>
      <c r="DM4" s="331" t="s">
        <v>652</v>
      </c>
      <c r="DN4" s="333">
        <v>2690582894.5599999</v>
      </c>
    </row>
    <row r="5" spans="1:118" x14ac:dyDescent="0.2">
      <c r="B5" s="179">
        <v>31765648582</v>
      </c>
      <c r="C5" s="179">
        <v>2010814277557.8386</v>
      </c>
      <c r="D5" s="185">
        <v>29535808</v>
      </c>
      <c r="E5" s="198"/>
      <c r="F5" s="200">
        <v>5363</v>
      </c>
      <c r="G5" s="200">
        <v>2782563440</v>
      </c>
      <c r="H5" s="214">
        <v>92808581267.263687</v>
      </c>
      <c r="J5" s="147" t="str">
        <f t="shared" si="0"/>
        <v>PSell</v>
      </c>
      <c r="K5" s="223" t="s">
        <v>532</v>
      </c>
      <c r="L5" s="223" t="s">
        <v>533</v>
      </c>
      <c r="M5" s="227">
        <v>286021840834.14807</v>
      </c>
      <c r="N5" s="131"/>
      <c r="O5" s="230">
        <v>387360432638.84998</v>
      </c>
      <c r="P5" s="230">
        <v>-423226584856.03003</v>
      </c>
      <c r="Q5" s="230">
        <v>-35866152217.18</v>
      </c>
      <c r="S5" s="242"/>
      <c r="T5" s="247"/>
      <c r="U5" s="247"/>
      <c r="V5" s="247"/>
      <c r="W5" s="247"/>
      <c r="X5" s="247"/>
      <c r="Y5" s="234"/>
      <c r="Z5" s="242" t="s">
        <v>562</v>
      </c>
      <c r="AA5" s="242">
        <v>0</v>
      </c>
      <c r="AB5" s="242">
        <v>0</v>
      </c>
      <c r="AC5" s="242">
        <v>0</v>
      </c>
      <c r="AD5" s="242">
        <v>0</v>
      </c>
      <c r="AE5" s="242">
        <v>0</v>
      </c>
      <c r="AF5" s="242"/>
      <c r="AG5" s="242" t="s">
        <v>562</v>
      </c>
      <c r="AH5" s="242">
        <v>0</v>
      </c>
      <c r="AI5" s="242">
        <v>0</v>
      </c>
      <c r="AJ5" s="242">
        <v>0</v>
      </c>
      <c r="AK5" s="242">
        <v>0</v>
      </c>
      <c r="AL5" s="242">
        <v>0</v>
      </c>
      <c r="AM5" s="234"/>
      <c r="AN5" s="242" t="s">
        <v>562</v>
      </c>
      <c r="AO5" s="242">
        <v>0</v>
      </c>
      <c r="AP5" s="242">
        <v>0</v>
      </c>
      <c r="AQ5" s="242">
        <v>0</v>
      </c>
      <c r="AR5" s="242">
        <v>0</v>
      </c>
      <c r="AS5" s="242">
        <v>0</v>
      </c>
      <c r="AT5" s="234"/>
      <c r="AU5" s="242" t="s">
        <v>562</v>
      </c>
      <c r="AV5" s="242">
        <v>0</v>
      </c>
      <c r="AW5" s="242">
        <v>0</v>
      </c>
      <c r="AX5" s="242">
        <v>0</v>
      </c>
      <c r="AY5" s="242">
        <v>0</v>
      </c>
      <c r="AZ5" s="242">
        <v>0</v>
      </c>
      <c r="BA5" s="234"/>
      <c r="BB5" s="242" t="s">
        <v>561</v>
      </c>
      <c r="BC5" s="242">
        <v>0</v>
      </c>
      <c r="BD5" s="242">
        <v>0</v>
      </c>
      <c r="BE5" s="242">
        <v>0</v>
      </c>
      <c r="BF5" s="242">
        <v>0</v>
      </c>
      <c r="BG5" s="242">
        <v>0</v>
      </c>
      <c r="BH5" s="236" t="s">
        <v>561</v>
      </c>
      <c r="BI5" s="242">
        <v>0</v>
      </c>
      <c r="BJ5" s="242">
        <v>0</v>
      </c>
      <c r="BK5" s="242">
        <v>0</v>
      </c>
      <c r="BL5" s="242">
        <v>0</v>
      </c>
      <c r="BM5" s="242">
        <v>0</v>
      </c>
      <c r="BN5" s="242"/>
      <c r="BO5" s="234"/>
      <c r="BP5" s="252">
        <v>13195341236.530001</v>
      </c>
      <c r="BQ5" s="252">
        <v>4386527</v>
      </c>
      <c r="BR5" s="252">
        <v>4570</v>
      </c>
      <c r="BS5" s="234"/>
      <c r="BT5" s="254" t="s">
        <v>620</v>
      </c>
      <c r="BU5" s="254">
        <v>314</v>
      </c>
      <c r="BV5" s="254">
        <v>0</v>
      </c>
      <c r="BW5" s="254">
        <v>0</v>
      </c>
      <c r="BX5" s="254">
        <v>0</v>
      </c>
      <c r="BY5" s="254">
        <v>0</v>
      </c>
      <c r="BZ5" s="254">
        <v>314</v>
      </c>
      <c r="CA5" s="254">
        <v>252</v>
      </c>
      <c r="CB5" s="254">
        <v>62</v>
      </c>
      <c r="CC5" s="234"/>
      <c r="CD5" s="260">
        <v>830</v>
      </c>
      <c r="CE5" s="260">
        <v>14155045647631.311</v>
      </c>
      <c r="CF5" s="256" t="s">
        <v>495</v>
      </c>
      <c r="CG5" s="255" t="s">
        <v>6</v>
      </c>
      <c r="CH5" s="255" t="s">
        <v>624</v>
      </c>
      <c r="CI5" s="234"/>
      <c r="CJ5" s="234"/>
      <c r="CK5" s="236"/>
      <c r="CL5" s="236"/>
      <c r="CM5" s="236"/>
      <c r="CN5" s="236"/>
      <c r="CO5" s="236"/>
      <c r="CP5" s="236"/>
      <c r="CQ5" s="236"/>
      <c r="CR5" s="234"/>
      <c r="CS5" s="266">
        <v>2019</v>
      </c>
      <c r="CT5" s="264">
        <v>286</v>
      </c>
      <c r="CU5" s="264" t="s">
        <v>643</v>
      </c>
      <c r="CV5" s="264">
        <v>-21626570066.779938</v>
      </c>
      <c r="CW5" s="264">
        <v>-20538753448</v>
      </c>
      <c r="CX5" s="264">
        <v>4580</v>
      </c>
      <c r="CY5" s="264">
        <v>50630328235.460022</v>
      </c>
      <c r="CZ5" s="264">
        <v>49060279549</v>
      </c>
      <c r="DA5" s="264">
        <v>2284</v>
      </c>
      <c r="DB5" s="264">
        <v>72256898302.240082</v>
      </c>
      <c r="DC5" s="264">
        <v>69599032997</v>
      </c>
      <c r="DD5" s="264">
        <v>2296</v>
      </c>
      <c r="DG5" s="328" t="s">
        <v>653</v>
      </c>
      <c r="DH5" s="326">
        <v>6603219.3099999996</v>
      </c>
      <c r="DJ5" s="332" t="s">
        <v>653</v>
      </c>
      <c r="DK5" s="330">
        <v>73218535.560000002</v>
      </c>
      <c r="DM5" s="331" t="s">
        <v>653</v>
      </c>
      <c r="DN5" s="333">
        <v>331600896</v>
      </c>
    </row>
    <row r="6" spans="1:118" x14ac:dyDescent="0.2">
      <c r="B6" s="179"/>
      <c r="C6" s="179"/>
      <c r="D6" s="179"/>
      <c r="E6" s="198"/>
      <c r="F6" s="198"/>
      <c r="G6" s="198"/>
      <c r="H6" s="198"/>
      <c r="J6" s="147"/>
      <c r="K6" s="220"/>
      <c r="L6" s="218"/>
      <c r="M6" s="217"/>
      <c r="O6" s="228"/>
      <c r="P6" s="228"/>
      <c r="Q6" s="228"/>
      <c r="S6" s="242"/>
      <c r="T6" s="247"/>
      <c r="U6" s="247"/>
      <c r="V6" s="247"/>
      <c r="W6" s="247"/>
      <c r="X6" s="247"/>
      <c r="Y6" s="234"/>
      <c r="Z6" s="242" t="s">
        <v>563</v>
      </c>
      <c r="AA6" s="242">
        <v>0</v>
      </c>
      <c r="AB6" s="242">
        <v>0</v>
      </c>
      <c r="AC6" s="242">
        <v>0</v>
      </c>
      <c r="AD6" s="242">
        <v>0</v>
      </c>
      <c r="AE6" s="242">
        <v>0</v>
      </c>
      <c r="AF6" s="242"/>
      <c r="AG6" s="242" t="s">
        <v>563</v>
      </c>
      <c r="AH6" s="242">
        <v>0</v>
      </c>
      <c r="AI6" s="242">
        <v>0</v>
      </c>
      <c r="AJ6" s="242">
        <v>0</v>
      </c>
      <c r="AK6" s="242">
        <v>0</v>
      </c>
      <c r="AL6" s="242">
        <v>0</v>
      </c>
      <c r="AM6" s="234"/>
      <c r="AN6" s="242" t="s">
        <v>563</v>
      </c>
      <c r="AO6" s="242">
        <v>0</v>
      </c>
      <c r="AP6" s="242">
        <v>0</v>
      </c>
      <c r="AQ6" s="242">
        <v>0</v>
      </c>
      <c r="AR6" s="242">
        <v>0</v>
      </c>
      <c r="AS6" s="242">
        <v>0</v>
      </c>
      <c r="AT6" s="234"/>
      <c r="AU6" s="242" t="s">
        <v>563</v>
      </c>
      <c r="AV6" s="242">
        <v>0</v>
      </c>
      <c r="AW6" s="242">
        <v>0</v>
      </c>
      <c r="AX6" s="242">
        <v>0</v>
      </c>
      <c r="AY6" s="242">
        <v>0</v>
      </c>
      <c r="AZ6" s="242">
        <v>0</v>
      </c>
      <c r="BA6" s="234"/>
      <c r="BB6" s="242" t="s">
        <v>562</v>
      </c>
      <c r="BC6" s="242">
        <v>0</v>
      </c>
      <c r="BD6" s="242">
        <v>0</v>
      </c>
      <c r="BE6" s="242">
        <v>0</v>
      </c>
      <c r="BF6" s="242">
        <v>0</v>
      </c>
      <c r="BG6" s="242">
        <v>0</v>
      </c>
      <c r="BH6" s="236" t="s">
        <v>562</v>
      </c>
      <c r="BI6" s="242">
        <v>0</v>
      </c>
      <c r="BJ6" s="242">
        <v>0</v>
      </c>
      <c r="BK6" s="242">
        <v>0</v>
      </c>
      <c r="BL6" s="242">
        <v>0</v>
      </c>
      <c r="BM6" s="242">
        <v>0</v>
      </c>
      <c r="BN6" s="242"/>
      <c r="BO6" s="236"/>
      <c r="BP6" s="252"/>
      <c r="BQ6" s="252"/>
      <c r="BR6" s="252"/>
      <c r="BS6" s="234"/>
      <c r="BT6" s="254" t="s">
        <v>621</v>
      </c>
      <c r="BU6" s="254">
        <v>1</v>
      </c>
      <c r="BV6" s="254">
        <v>0</v>
      </c>
      <c r="BW6" s="254">
        <v>0</v>
      </c>
      <c r="BX6" s="254">
        <v>0</v>
      </c>
      <c r="BY6" s="254">
        <v>0</v>
      </c>
      <c r="BZ6" s="254">
        <v>1</v>
      </c>
      <c r="CA6" s="254">
        <v>1</v>
      </c>
      <c r="CB6" s="254">
        <v>0</v>
      </c>
      <c r="CC6" s="234"/>
      <c r="CD6" s="234"/>
      <c r="CE6" s="234"/>
      <c r="CF6" s="234"/>
      <c r="CG6" s="254">
        <v>2019</v>
      </c>
      <c r="CH6" s="254">
        <v>103</v>
      </c>
      <c r="CI6" s="256" t="s">
        <v>497</v>
      </c>
      <c r="CJ6" s="236" t="s">
        <v>116</v>
      </c>
      <c r="CK6" s="236">
        <v>121669</v>
      </c>
      <c r="CL6" s="256" t="s">
        <v>500</v>
      </c>
      <c r="CM6" s="236" t="s">
        <v>116</v>
      </c>
      <c r="CN6" s="236">
        <v>75675</v>
      </c>
      <c r="CO6" s="256" t="s">
        <v>503</v>
      </c>
      <c r="CP6" s="236" t="s">
        <v>116</v>
      </c>
      <c r="CQ6" s="236">
        <v>3756</v>
      </c>
      <c r="CR6" s="234"/>
      <c r="CS6" s="266">
        <v>2019</v>
      </c>
      <c r="CT6" s="264">
        <v>124</v>
      </c>
      <c r="CU6" s="264" t="s">
        <v>644</v>
      </c>
      <c r="CV6" s="264">
        <v>40662842950.519943</v>
      </c>
      <c r="CW6" s="264">
        <v>42425470604</v>
      </c>
      <c r="CX6" s="264">
        <v>12177</v>
      </c>
      <c r="CY6" s="264">
        <v>447404585589.06018</v>
      </c>
      <c r="CZ6" s="264">
        <v>439042023991</v>
      </c>
      <c r="DA6" s="264">
        <v>6329</v>
      </c>
      <c r="DB6" s="264">
        <v>406741742638.53949</v>
      </c>
      <c r="DC6" s="264">
        <v>396616553387</v>
      </c>
      <c r="DD6" s="264">
        <v>5848</v>
      </c>
      <c r="DG6" s="328" t="s">
        <v>654</v>
      </c>
      <c r="DH6" s="326">
        <v>71029826.799999997</v>
      </c>
      <c r="DJ6" s="332" t="s">
        <v>654</v>
      </c>
      <c r="DK6" s="330">
        <v>1729674629.9300001</v>
      </c>
      <c r="DM6" s="331" t="s">
        <v>654</v>
      </c>
      <c r="DN6" s="333">
        <v>1447205860.74</v>
      </c>
    </row>
    <row r="7" spans="1:118" x14ac:dyDescent="0.2">
      <c r="A7" s="143" t="s">
        <v>199</v>
      </c>
      <c r="B7" s="179" t="s">
        <v>525</v>
      </c>
      <c r="C7" s="179" t="s">
        <v>526</v>
      </c>
      <c r="D7" s="179" t="s">
        <v>527</v>
      </c>
      <c r="E7" s="198"/>
      <c r="F7" s="200" t="s">
        <v>527</v>
      </c>
      <c r="G7" s="200" t="s">
        <v>525</v>
      </c>
      <c r="H7" s="200" t="s">
        <v>526</v>
      </c>
      <c r="I7" s="148" t="s">
        <v>206</v>
      </c>
      <c r="J7" s="143" t="s">
        <v>207</v>
      </c>
      <c r="K7" s="224" t="s">
        <v>528</v>
      </c>
      <c r="L7" s="224" t="s">
        <v>529</v>
      </c>
      <c r="M7" s="226" t="s">
        <v>526</v>
      </c>
      <c r="N7" s="148" t="s">
        <v>212</v>
      </c>
      <c r="O7" s="231" t="s">
        <v>511</v>
      </c>
      <c r="P7" s="231" t="s">
        <v>512</v>
      </c>
      <c r="Q7" s="231" t="s">
        <v>513</v>
      </c>
      <c r="S7" s="242"/>
      <c r="T7" s="247"/>
      <c r="U7" s="247"/>
      <c r="V7" s="247"/>
      <c r="W7" s="247"/>
      <c r="X7" s="247"/>
      <c r="Y7" s="234"/>
      <c r="Z7" s="242" t="s">
        <v>564</v>
      </c>
      <c r="AA7" s="242">
        <v>0</v>
      </c>
      <c r="AB7" s="242">
        <v>0</v>
      </c>
      <c r="AC7" s="242">
        <v>0</v>
      </c>
      <c r="AD7" s="242">
        <v>0</v>
      </c>
      <c r="AE7" s="242">
        <v>0</v>
      </c>
      <c r="AF7" s="242"/>
      <c r="AG7" s="242" t="s">
        <v>564</v>
      </c>
      <c r="AH7" s="242">
        <v>0</v>
      </c>
      <c r="AI7" s="242">
        <v>0</v>
      </c>
      <c r="AJ7" s="242">
        <v>0</v>
      </c>
      <c r="AK7" s="242">
        <v>0</v>
      </c>
      <c r="AL7" s="242">
        <v>0</v>
      </c>
      <c r="AM7" s="234"/>
      <c r="AN7" s="242" t="s">
        <v>564</v>
      </c>
      <c r="AO7" s="242">
        <v>0</v>
      </c>
      <c r="AP7" s="242">
        <v>0</v>
      </c>
      <c r="AQ7" s="242">
        <v>0</v>
      </c>
      <c r="AR7" s="242">
        <v>0</v>
      </c>
      <c r="AS7" s="242">
        <v>0</v>
      </c>
      <c r="AT7" s="234"/>
      <c r="AU7" s="242" t="s">
        <v>564</v>
      </c>
      <c r="AV7" s="242">
        <v>0</v>
      </c>
      <c r="AW7" s="242">
        <v>0</v>
      </c>
      <c r="AX7" s="242">
        <v>0</v>
      </c>
      <c r="AY7" s="242">
        <v>0</v>
      </c>
      <c r="AZ7" s="242">
        <v>0</v>
      </c>
      <c r="BA7" s="234"/>
      <c r="BB7" s="242" t="s">
        <v>563</v>
      </c>
      <c r="BC7" s="242">
        <v>0</v>
      </c>
      <c r="BD7" s="242">
        <v>0</v>
      </c>
      <c r="BE7" s="242">
        <v>0</v>
      </c>
      <c r="BF7" s="242">
        <v>0</v>
      </c>
      <c r="BG7" s="242">
        <v>0</v>
      </c>
      <c r="BH7" s="236" t="s">
        <v>563</v>
      </c>
      <c r="BI7" s="242">
        <v>0</v>
      </c>
      <c r="BJ7" s="242">
        <v>0</v>
      </c>
      <c r="BK7" s="242">
        <v>0</v>
      </c>
      <c r="BL7" s="242">
        <v>0</v>
      </c>
      <c r="BM7" s="242">
        <v>0</v>
      </c>
      <c r="BN7" s="242"/>
      <c r="BO7" s="241" t="s">
        <v>458</v>
      </c>
      <c r="BP7" s="253" t="s">
        <v>553</v>
      </c>
      <c r="BQ7" s="253" t="s">
        <v>554</v>
      </c>
      <c r="BR7" s="253" t="s">
        <v>555</v>
      </c>
      <c r="BS7" s="236"/>
      <c r="BT7" s="254"/>
      <c r="BU7" s="254"/>
      <c r="BV7" s="254"/>
      <c r="BW7" s="254"/>
      <c r="BX7" s="254"/>
      <c r="BY7" s="254"/>
      <c r="BZ7" s="254"/>
      <c r="CA7" s="254"/>
      <c r="CB7" s="254"/>
      <c r="CC7" s="234"/>
      <c r="CD7" s="234"/>
      <c r="CE7" s="234"/>
      <c r="CF7" s="234"/>
      <c r="CG7" s="254">
        <v>2018</v>
      </c>
      <c r="CH7" s="254">
        <v>103</v>
      </c>
      <c r="CI7" s="234"/>
      <c r="CJ7" s="236" t="s">
        <v>626</v>
      </c>
      <c r="CK7" s="236">
        <v>3919634241271</v>
      </c>
      <c r="CL7" s="236"/>
      <c r="CM7" s="236" t="s">
        <v>626</v>
      </c>
      <c r="CN7" s="236">
        <v>10524530670113</v>
      </c>
      <c r="CO7" s="236"/>
      <c r="CP7" s="236" t="s">
        <v>626</v>
      </c>
      <c r="CQ7" s="236">
        <v>278453532951</v>
      </c>
      <c r="CR7" s="234"/>
      <c r="CS7" s="266">
        <v>2019</v>
      </c>
      <c r="CT7" s="264">
        <v>19</v>
      </c>
      <c r="CU7" s="264" t="s">
        <v>645</v>
      </c>
      <c r="CV7" s="264">
        <v>-6566113462.1400003</v>
      </c>
      <c r="CW7" s="264">
        <v>-5334816358</v>
      </c>
      <c r="CX7" s="264">
        <v>104</v>
      </c>
      <c r="CY7" s="264">
        <v>4496864064.79</v>
      </c>
      <c r="CZ7" s="264">
        <v>5059108278</v>
      </c>
      <c r="DA7" s="264">
        <v>27</v>
      </c>
      <c r="DB7" s="264">
        <v>11062977526.929998</v>
      </c>
      <c r="DC7" s="264">
        <v>10393924636</v>
      </c>
      <c r="DD7" s="264">
        <v>77</v>
      </c>
      <c r="DJ7" s="10" t="s">
        <v>655</v>
      </c>
      <c r="DK7" s="356">
        <v>1161109268</v>
      </c>
      <c r="DM7" s="10" t="s">
        <v>655</v>
      </c>
      <c r="DN7" s="356">
        <v>2995149206.5700002</v>
      </c>
    </row>
    <row r="8" spans="1:118" x14ac:dyDescent="0.2">
      <c r="B8" s="179">
        <v>35601593895</v>
      </c>
      <c r="C8" s="179">
        <v>2449608121250.2749</v>
      </c>
      <c r="D8" s="185">
        <v>28053154</v>
      </c>
      <c r="E8" s="198"/>
      <c r="F8" s="200">
        <v>12625</v>
      </c>
      <c r="G8" s="200">
        <v>3738896492</v>
      </c>
      <c r="H8" s="214">
        <v>167885130552.25961</v>
      </c>
      <c r="J8" s="147" t="str">
        <f>K8&amp;L8</f>
        <v>ABuy</v>
      </c>
      <c r="K8" s="223" t="s">
        <v>530</v>
      </c>
      <c r="L8" s="223" t="s">
        <v>531</v>
      </c>
      <c r="M8" s="227">
        <v>126753626607.31953</v>
      </c>
      <c r="O8" s="233">
        <v>519540086431.67999</v>
      </c>
      <c r="P8" s="233">
        <v>-506539886570.23999</v>
      </c>
      <c r="Q8" s="230">
        <v>13000199861.440001</v>
      </c>
      <c r="S8" s="242"/>
      <c r="T8" s="247"/>
      <c r="U8" s="247"/>
      <c r="V8" s="247"/>
      <c r="W8" s="247"/>
      <c r="X8" s="247"/>
      <c r="Y8" s="234"/>
      <c r="Z8" s="242" t="s">
        <v>565</v>
      </c>
      <c r="AA8" s="242">
        <v>0</v>
      </c>
      <c r="AB8" s="242">
        <v>0</v>
      </c>
      <c r="AC8" s="242">
        <v>0</v>
      </c>
      <c r="AD8" s="242">
        <v>0</v>
      </c>
      <c r="AE8" s="242">
        <v>0</v>
      </c>
      <c r="AF8" s="242"/>
      <c r="AG8" s="242" t="s">
        <v>565</v>
      </c>
      <c r="AH8" s="242">
        <v>0</v>
      </c>
      <c r="AI8" s="242">
        <v>0</v>
      </c>
      <c r="AJ8" s="242">
        <v>0</v>
      </c>
      <c r="AK8" s="242">
        <v>0</v>
      </c>
      <c r="AL8" s="242">
        <v>0</v>
      </c>
      <c r="AM8" s="234"/>
      <c r="AN8" s="242" t="s">
        <v>565</v>
      </c>
      <c r="AO8" s="242">
        <v>0</v>
      </c>
      <c r="AP8" s="242">
        <v>0</v>
      </c>
      <c r="AQ8" s="242">
        <v>0</v>
      </c>
      <c r="AR8" s="242">
        <v>0</v>
      </c>
      <c r="AS8" s="242">
        <v>0</v>
      </c>
      <c r="AT8" s="234"/>
      <c r="AU8" s="242" t="s">
        <v>565</v>
      </c>
      <c r="AV8" s="242">
        <v>0</v>
      </c>
      <c r="AW8" s="242">
        <v>0</v>
      </c>
      <c r="AX8" s="242">
        <v>0</v>
      </c>
      <c r="AY8" s="242">
        <v>0</v>
      </c>
      <c r="AZ8" s="242">
        <v>0</v>
      </c>
      <c r="BA8" s="234"/>
      <c r="BB8" s="242" t="s">
        <v>564</v>
      </c>
      <c r="BC8" s="242">
        <v>0</v>
      </c>
      <c r="BD8" s="242">
        <v>0</v>
      </c>
      <c r="BE8" s="242">
        <v>0</v>
      </c>
      <c r="BF8" s="242">
        <v>0</v>
      </c>
      <c r="BG8" s="242">
        <v>0</v>
      </c>
      <c r="BH8" s="236" t="s">
        <v>564</v>
      </c>
      <c r="BI8" s="242">
        <v>0</v>
      </c>
      <c r="BJ8" s="242">
        <v>0</v>
      </c>
      <c r="BK8" s="242">
        <v>0</v>
      </c>
      <c r="BL8" s="242">
        <v>0</v>
      </c>
      <c r="BM8" s="242">
        <v>0</v>
      </c>
      <c r="BN8" s="242"/>
      <c r="BO8" s="236"/>
      <c r="BP8" s="252">
        <v>2180864362485.1785</v>
      </c>
      <c r="BQ8" s="252">
        <v>43938546</v>
      </c>
      <c r="BR8" s="252">
        <v>1333025</v>
      </c>
      <c r="BS8" s="234"/>
      <c r="BT8" s="244"/>
      <c r="BU8" s="244"/>
      <c r="BV8" s="244"/>
      <c r="BW8" s="244"/>
      <c r="BX8" s="244"/>
      <c r="BY8" s="244"/>
      <c r="BZ8" s="244"/>
      <c r="CA8" s="244"/>
      <c r="CB8" s="244"/>
      <c r="CC8" s="256" t="s">
        <v>491</v>
      </c>
      <c r="CD8" s="255" t="s">
        <v>623</v>
      </c>
      <c r="CE8" s="255" t="s">
        <v>625</v>
      </c>
      <c r="CF8" s="234"/>
      <c r="CG8" s="234"/>
      <c r="CH8" s="234"/>
      <c r="CI8" s="234"/>
      <c r="CJ8" s="236" t="s">
        <v>627</v>
      </c>
      <c r="CK8" s="236">
        <v>3974295318226.6099</v>
      </c>
      <c r="CL8" s="236"/>
      <c r="CM8" s="236" t="s">
        <v>627</v>
      </c>
      <c r="CN8" s="236">
        <v>10285517794483.094</v>
      </c>
      <c r="CO8" s="236"/>
      <c r="CP8" s="236" t="s">
        <v>627</v>
      </c>
      <c r="CQ8" s="236">
        <v>91614614028.190002</v>
      </c>
      <c r="CR8" s="234"/>
      <c r="CS8" s="266"/>
      <c r="CT8" s="264"/>
      <c r="CU8" s="264"/>
      <c r="CV8" s="264"/>
      <c r="CW8" s="264"/>
      <c r="CX8" s="264"/>
      <c r="CY8" s="264"/>
      <c r="CZ8" s="264"/>
      <c r="DA8" s="264"/>
      <c r="DB8" s="264"/>
      <c r="DC8" s="264"/>
      <c r="DD8" s="264"/>
    </row>
    <row r="9" spans="1:118" x14ac:dyDescent="0.2">
      <c r="B9" s="178"/>
      <c r="C9" s="178"/>
      <c r="D9" s="178"/>
      <c r="E9" s="198"/>
      <c r="F9" s="198"/>
      <c r="G9" s="198"/>
      <c r="H9" s="198"/>
      <c r="J9" s="147" t="str">
        <f t="shared" ref="J9:J11" si="1">K9&amp;L9</f>
        <v>PBuy</v>
      </c>
      <c r="K9" s="223" t="s">
        <v>532</v>
      </c>
      <c r="L9" s="223" t="s">
        <v>531</v>
      </c>
      <c r="M9" s="227">
        <v>224892273096.62228</v>
      </c>
      <c r="N9" s="19"/>
      <c r="O9" s="228"/>
      <c r="P9" s="228"/>
      <c r="Q9" s="228"/>
      <c r="S9" s="242"/>
      <c r="T9" s="247"/>
      <c r="U9" s="247"/>
      <c r="V9" s="247"/>
      <c r="W9" s="247"/>
      <c r="X9" s="247"/>
      <c r="Y9" s="234"/>
      <c r="Z9" s="242" t="s">
        <v>566</v>
      </c>
      <c r="AA9" s="242">
        <v>1104838.3600000001</v>
      </c>
      <c r="AB9" s="242">
        <v>130</v>
      </c>
      <c r="AC9" s="242">
        <v>6</v>
      </c>
      <c r="AD9" s="242">
        <v>4363</v>
      </c>
      <c r="AE9" s="242">
        <v>0</v>
      </c>
      <c r="AF9" s="242"/>
      <c r="AG9" s="242" t="s">
        <v>566</v>
      </c>
      <c r="AH9" s="242">
        <v>0</v>
      </c>
      <c r="AI9" s="242">
        <v>0</v>
      </c>
      <c r="AJ9" s="242">
        <v>0</v>
      </c>
      <c r="AK9" s="242">
        <v>230</v>
      </c>
      <c r="AL9" s="242">
        <v>0</v>
      </c>
      <c r="AM9" s="234"/>
      <c r="AN9" s="242" t="s">
        <v>566</v>
      </c>
      <c r="AO9" s="242">
        <v>2510900</v>
      </c>
      <c r="AP9" s="242">
        <v>250</v>
      </c>
      <c r="AQ9" s="242">
        <v>3</v>
      </c>
      <c r="AR9" s="242">
        <v>2480</v>
      </c>
      <c r="AS9" s="242">
        <v>0</v>
      </c>
      <c r="AT9" s="234"/>
      <c r="AU9" s="242" t="s">
        <v>566</v>
      </c>
      <c r="AV9" s="242">
        <v>0</v>
      </c>
      <c r="AW9" s="242">
        <v>0</v>
      </c>
      <c r="AX9" s="242">
        <v>0</v>
      </c>
      <c r="AY9" s="242">
        <v>154</v>
      </c>
      <c r="AZ9" s="242">
        <v>0</v>
      </c>
      <c r="BA9" s="234"/>
      <c r="BB9" s="242" t="s">
        <v>565</v>
      </c>
      <c r="BC9" s="242">
        <v>0</v>
      </c>
      <c r="BD9" s="242">
        <v>0</v>
      </c>
      <c r="BE9" s="242">
        <v>0</v>
      </c>
      <c r="BF9" s="242">
        <v>0</v>
      </c>
      <c r="BG9" s="242">
        <v>0</v>
      </c>
      <c r="BH9" s="236" t="s">
        <v>565</v>
      </c>
      <c r="BI9" s="242">
        <v>0</v>
      </c>
      <c r="BJ9" s="242">
        <v>0</v>
      </c>
      <c r="BK9" s="242">
        <v>0</v>
      </c>
      <c r="BL9" s="242">
        <v>0</v>
      </c>
      <c r="BM9" s="242">
        <v>0</v>
      </c>
      <c r="BN9" s="242"/>
      <c r="BO9" s="236"/>
      <c r="BP9" s="236"/>
      <c r="BQ9" s="236"/>
      <c r="BR9" s="236"/>
      <c r="BS9" s="245" t="s">
        <v>486</v>
      </c>
      <c r="BT9" s="255" t="s">
        <v>609</v>
      </c>
      <c r="BU9" s="255" t="s">
        <v>610</v>
      </c>
      <c r="BV9" s="255" t="s">
        <v>611</v>
      </c>
      <c r="BW9" s="255" t="s">
        <v>612</v>
      </c>
      <c r="BX9" s="255" t="s">
        <v>613</v>
      </c>
      <c r="BY9" s="255" t="s">
        <v>614</v>
      </c>
      <c r="BZ9" s="255" t="s">
        <v>615</v>
      </c>
      <c r="CA9" s="255" t="s">
        <v>616</v>
      </c>
      <c r="CB9" s="255" t="s">
        <v>617</v>
      </c>
      <c r="CC9" s="234"/>
      <c r="CD9" s="258">
        <v>283916068440433.06</v>
      </c>
      <c r="CE9" s="261">
        <v>432733281625.72931</v>
      </c>
      <c r="CF9" s="234"/>
      <c r="CG9" s="234"/>
      <c r="CH9" s="234"/>
      <c r="CI9" s="234"/>
      <c r="CJ9" s="234"/>
      <c r="CK9" s="234"/>
      <c r="CL9" s="236"/>
      <c r="CM9" s="236"/>
      <c r="CN9" s="236"/>
      <c r="CO9" s="236"/>
      <c r="CP9" s="236"/>
      <c r="CQ9" s="236"/>
      <c r="CR9" s="234"/>
      <c r="CS9" s="234"/>
      <c r="CT9" s="234"/>
      <c r="CU9" s="234"/>
      <c r="CV9" s="234"/>
      <c r="CW9" s="234"/>
      <c r="CX9" s="234"/>
      <c r="CY9" s="234"/>
      <c r="CZ9" s="234"/>
      <c r="DA9" s="234"/>
      <c r="DB9" s="234"/>
      <c r="DC9" s="234"/>
      <c r="DD9" s="234"/>
    </row>
    <row r="10" spans="1:118" x14ac:dyDescent="0.2">
      <c r="A10" s="143" t="s">
        <v>200</v>
      </c>
      <c r="B10" s="180"/>
      <c r="C10" s="180"/>
      <c r="D10" s="180"/>
      <c r="E10" s="210"/>
      <c r="F10" s="210"/>
      <c r="G10" s="210"/>
      <c r="H10" s="210"/>
      <c r="J10" s="147" t="str">
        <f t="shared" si="1"/>
        <v>ASell</v>
      </c>
      <c r="K10" s="223" t="s">
        <v>530</v>
      </c>
      <c r="L10" s="223" t="s">
        <v>533</v>
      </c>
      <c r="M10" s="227">
        <v>130169060004.58521</v>
      </c>
      <c r="N10" s="156" t="s">
        <v>200</v>
      </c>
      <c r="O10" s="232" t="s">
        <v>511</v>
      </c>
      <c r="P10" s="232" t="s">
        <v>512</v>
      </c>
      <c r="Q10" s="232" t="s">
        <v>513</v>
      </c>
      <c r="S10" s="242"/>
      <c r="T10" s="247"/>
      <c r="U10" s="247"/>
      <c r="V10" s="247"/>
      <c r="W10" s="247"/>
      <c r="X10" s="247"/>
      <c r="Y10" s="234"/>
      <c r="Z10" s="242" t="s">
        <v>567</v>
      </c>
      <c r="AA10" s="242">
        <v>0</v>
      </c>
      <c r="AB10" s="242">
        <v>0</v>
      </c>
      <c r="AC10" s="242">
        <v>0</v>
      </c>
      <c r="AD10" s="242">
        <v>0</v>
      </c>
      <c r="AE10" s="242">
        <v>0</v>
      </c>
      <c r="AF10" s="242"/>
      <c r="AG10" s="242" t="s">
        <v>567</v>
      </c>
      <c r="AH10" s="242">
        <v>0</v>
      </c>
      <c r="AI10" s="242">
        <v>0</v>
      </c>
      <c r="AJ10" s="242">
        <v>0</v>
      </c>
      <c r="AK10" s="242">
        <v>0</v>
      </c>
      <c r="AL10" s="242">
        <v>0</v>
      </c>
      <c r="AM10" s="234"/>
      <c r="AN10" s="242" t="s">
        <v>567</v>
      </c>
      <c r="AO10" s="242">
        <v>0</v>
      </c>
      <c r="AP10" s="242">
        <v>0</v>
      </c>
      <c r="AQ10" s="242">
        <v>0</v>
      </c>
      <c r="AR10" s="242">
        <v>0</v>
      </c>
      <c r="AS10" s="242">
        <v>0</v>
      </c>
      <c r="AT10" s="234"/>
      <c r="AU10" s="242" t="s">
        <v>567</v>
      </c>
      <c r="AV10" s="242">
        <v>0</v>
      </c>
      <c r="AW10" s="242">
        <v>0</v>
      </c>
      <c r="AX10" s="242">
        <v>0</v>
      </c>
      <c r="AY10" s="242">
        <v>0</v>
      </c>
      <c r="AZ10" s="242">
        <v>0</v>
      </c>
      <c r="BA10" s="234"/>
      <c r="BB10" s="242" t="s">
        <v>566</v>
      </c>
      <c r="BC10" s="242">
        <v>0</v>
      </c>
      <c r="BD10" s="242">
        <v>0</v>
      </c>
      <c r="BE10" s="242">
        <v>0</v>
      </c>
      <c r="BF10" s="242">
        <v>0</v>
      </c>
      <c r="BG10" s="242">
        <v>0</v>
      </c>
      <c r="BH10" s="236" t="s">
        <v>566</v>
      </c>
      <c r="BI10" s="242">
        <v>0</v>
      </c>
      <c r="BJ10" s="242">
        <v>0</v>
      </c>
      <c r="BK10" s="242">
        <v>0</v>
      </c>
      <c r="BL10" s="242">
        <v>0</v>
      </c>
      <c r="BM10" s="242">
        <v>0</v>
      </c>
      <c r="BN10" s="242"/>
      <c r="BO10" s="241" t="s">
        <v>459</v>
      </c>
      <c r="BP10" s="253" t="s">
        <v>553</v>
      </c>
      <c r="BQ10" s="253" t="s">
        <v>554</v>
      </c>
      <c r="BR10" s="253" t="s">
        <v>555</v>
      </c>
      <c r="BS10" s="234"/>
      <c r="BT10" s="254" t="s">
        <v>137</v>
      </c>
      <c r="BU10" s="254">
        <v>44</v>
      </c>
      <c r="BV10" s="254">
        <v>0</v>
      </c>
      <c r="BW10" s="254">
        <v>3</v>
      </c>
      <c r="BX10" s="254">
        <v>0</v>
      </c>
      <c r="BY10" s="254">
        <v>1</v>
      </c>
      <c r="BZ10" s="254">
        <v>42</v>
      </c>
      <c r="CA10" s="254">
        <v>34</v>
      </c>
      <c r="CB10" s="254">
        <v>10</v>
      </c>
      <c r="CC10" s="234"/>
      <c r="CD10" s="234"/>
      <c r="CE10" s="234"/>
      <c r="CF10" s="234"/>
      <c r="CG10" s="234"/>
      <c r="CH10" s="234"/>
      <c r="CI10" s="234"/>
      <c r="CJ10" s="234"/>
      <c r="CK10" s="236"/>
      <c r="CL10" s="236"/>
      <c r="CM10" s="236"/>
      <c r="CN10" s="236"/>
      <c r="CO10" s="236"/>
      <c r="CP10" s="236"/>
      <c r="CQ10" s="236"/>
      <c r="CR10" s="234"/>
      <c r="CS10" s="234"/>
      <c r="CT10" s="234"/>
      <c r="CU10" s="234"/>
      <c r="CV10" s="234"/>
      <c r="CW10" s="234"/>
      <c r="CX10" s="234"/>
      <c r="CY10" s="234"/>
      <c r="CZ10" s="234"/>
      <c r="DA10" s="234"/>
      <c r="DB10" s="234"/>
      <c r="DC10" s="234"/>
      <c r="DD10" s="234"/>
    </row>
    <row r="11" spans="1:118" x14ac:dyDescent="0.2">
      <c r="B11" s="180"/>
      <c r="C11" s="180"/>
      <c r="D11" s="180"/>
      <c r="E11" s="210"/>
      <c r="F11" s="210"/>
      <c r="G11" s="210"/>
      <c r="H11" s="210"/>
      <c r="J11" s="147" t="str">
        <f t="shared" si="1"/>
        <v>PSell</v>
      </c>
      <c r="K11" s="223" t="s">
        <v>532</v>
      </c>
      <c r="L11" s="223" t="s">
        <v>533</v>
      </c>
      <c r="M11" s="227">
        <v>221476839699.3566</v>
      </c>
      <c r="N11" s="151"/>
      <c r="O11" s="324">
        <v>969468452821</v>
      </c>
      <c r="P11" s="324">
        <v>-970485061219</v>
      </c>
      <c r="Q11" s="324">
        <v>-1016608398</v>
      </c>
      <c r="S11" s="242"/>
      <c r="T11" s="247"/>
      <c r="U11" s="247"/>
      <c r="V11" s="247"/>
      <c r="W11" s="247"/>
      <c r="X11" s="247"/>
      <c r="Y11" s="234"/>
      <c r="Z11" s="242" t="s">
        <v>568</v>
      </c>
      <c r="AA11" s="242">
        <v>0</v>
      </c>
      <c r="AB11" s="242">
        <v>0</v>
      </c>
      <c r="AC11" s="242">
        <v>0</v>
      </c>
      <c r="AD11" s="242">
        <v>0</v>
      </c>
      <c r="AE11" s="242">
        <v>0</v>
      </c>
      <c r="AF11" s="242"/>
      <c r="AG11" s="242" t="s">
        <v>568</v>
      </c>
      <c r="AH11" s="242">
        <v>0</v>
      </c>
      <c r="AI11" s="242">
        <v>0</v>
      </c>
      <c r="AJ11" s="242">
        <v>0</v>
      </c>
      <c r="AK11" s="242">
        <v>0</v>
      </c>
      <c r="AL11" s="242">
        <v>0</v>
      </c>
      <c r="AM11" s="234"/>
      <c r="AN11" s="242" t="s">
        <v>568</v>
      </c>
      <c r="AO11" s="242">
        <v>0</v>
      </c>
      <c r="AP11" s="242">
        <v>0</v>
      </c>
      <c r="AQ11" s="242">
        <v>0</v>
      </c>
      <c r="AR11" s="242">
        <v>0</v>
      </c>
      <c r="AS11" s="242">
        <v>0</v>
      </c>
      <c r="AT11" s="234"/>
      <c r="AU11" s="242" t="s">
        <v>568</v>
      </c>
      <c r="AV11" s="242">
        <v>0</v>
      </c>
      <c r="AW11" s="242">
        <v>0</v>
      </c>
      <c r="AX11" s="242">
        <v>0</v>
      </c>
      <c r="AY11" s="242">
        <v>0</v>
      </c>
      <c r="AZ11" s="242">
        <v>0</v>
      </c>
      <c r="BA11" s="234"/>
      <c r="BB11" s="242" t="s">
        <v>567</v>
      </c>
      <c r="BC11" s="242">
        <v>0</v>
      </c>
      <c r="BD11" s="242">
        <v>0</v>
      </c>
      <c r="BE11" s="242">
        <v>0</v>
      </c>
      <c r="BF11" s="242">
        <v>0</v>
      </c>
      <c r="BG11" s="242">
        <v>0</v>
      </c>
      <c r="BH11" s="236" t="s">
        <v>567</v>
      </c>
      <c r="BI11" s="242">
        <v>0</v>
      </c>
      <c r="BJ11" s="242">
        <v>0</v>
      </c>
      <c r="BK11" s="242">
        <v>0</v>
      </c>
      <c r="BL11" s="242">
        <v>0</v>
      </c>
      <c r="BM11" s="242">
        <v>0</v>
      </c>
      <c r="BN11" s="242"/>
      <c r="BO11" s="236"/>
      <c r="BP11" s="252">
        <v>15248683766.190001</v>
      </c>
      <c r="BQ11" s="252">
        <v>7067675</v>
      </c>
      <c r="BR11" s="252">
        <v>4904</v>
      </c>
      <c r="BS11" s="234"/>
      <c r="BT11" s="254" t="s">
        <v>618</v>
      </c>
      <c r="BU11" s="254">
        <v>1</v>
      </c>
      <c r="BV11" s="254">
        <v>0</v>
      </c>
      <c r="BW11" s="254">
        <v>0</v>
      </c>
      <c r="BX11" s="254">
        <v>0</v>
      </c>
      <c r="BY11" s="254">
        <v>0</v>
      </c>
      <c r="BZ11" s="254">
        <v>1</v>
      </c>
      <c r="CA11" s="254">
        <v>1</v>
      </c>
      <c r="CB11" s="254">
        <v>0</v>
      </c>
      <c r="CC11" s="256" t="s">
        <v>492</v>
      </c>
      <c r="CD11" s="255" t="s">
        <v>623</v>
      </c>
      <c r="CE11" s="255" t="s">
        <v>625</v>
      </c>
      <c r="CF11" s="234"/>
      <c r="CG11" s="234"/>
      <c r="CH11" s="234"/>
      <c r="CI11" s="256" t="s">
        <v>498</v>
      </c>
      <c r="CJ11" s="236" t="s">
        <v>116</v>
      </c>
      <c r="CK11" s="236">
        <v>128589</v>
      </c>
      <c r="CL11" s="256" t="s">
        <v>501</v>
      </c>
      <c r="CM11" s="236" t="s">
        <v>116</v>
      </c>
      <c r="CN11" s="236">
        <v>63099</v>
      </c>
      <c r="CO11" s="256" t="s">
        <v>504</v>
      </c>
      <c r="CP11" s="236" t="s">
        <v>116</v>
      </c>
      <c r="CQ11" s="236">
        <v>3635</v>
      </c>
      <c r="CR11" s="234"/>
      <c r="CS11" s="234"/>
      <c r="CT11" s="234"/>
      <c r="CU11" s="234"/>
      <c r="CV11" s="234"/>
      <c r="CW11" s="234"/>
      <c r="CX11" s="234"/>
      <c r="CY11" s="234"/>
      <c r="CZ11" s="234"/>
      <c r="DA11" s="234"/>
      <c r="DB11" s="234"/>
      <c r="DC11" s="234"/>
      <c r="DD11" s="234"/>
    </row>
    <row r="12" spans="1:118" x14ac:dyDescent="0.2">
      <c r="B12" s="180"/>
      <c r="C12" s="180"/>
      <c r="D12" s="180"/>
      <c r="E12" s="210"/>
      <c r="F12" s="210"/>
      <c r="G12" s="210"/>
      <c r="H12" s="210"/>
      <c r="J12" s="147"/>
      <c r="K12" s="220"/>
      <c r="L12" s="219"/>
      <c r="M12" s="217"/>
      <c r="N12" s="151"/>
      <c r="O12" s="229"/>
      <c r="P12" s="229"/>
      <c r="Q12" s="229"/>
      <c r="S12" s="242"/>
      <c r="T12" s="247"/>
      <c r="U12" s="247"/>
      <c r="V12" s="247"/>
      <c r="W12" s="247"/>
      <c r="X12" s="247"/>
      <c r="Y12" s="234"/>
      <c r="Z12" s="242" t="s">
        <v>569</v>
      </c>
      <c r="AA12" s="242">
        <v>0</v>
      </c>
      <c r="AB12" s="242">
        <v>0</v>
      </c>
      <c r="AC12" s="242">
        <v>0</v>
      </c>
      <c r="AD12" s="242">
        <v>0</v>
      </c>
      <c r="AE12" s="242">
        <v>0</v>
      </c>
      <c r="AF12" s="242"/>
      <c r="AG12" s="242" t="s">
        <v>569</v>
      </c>
      <c r="AH12" s="242">
        <v>0</v>
      </c>
      <c r="AI12" s="242">
        <v>0</v>
      </c>
      <c r="AJ12" s="242">
        <v>0</v>
      </c>
      <c r="AK12" s="242">
        <v>0</v>
      </c>
      <c r="AL12" s="242">
        <v>0</v>
      </c>
      <c r="AM12" s="234"/>
      <c r="AN12" s="242" t="s">
        <v>569</v>
      </c>
      <c r="AO12" s="242">
        <v>0</v>
      </c>
      <c r="AP12" s="242">
        <v>0</v>
      </c>
      <c r="AQ12" s="242">
        <v>0</v>
      </c>
      <c r="AR12" s="242">
        <v>0</v>
      </c>
      <c r="AS12" s="242">
        <v>0</v>
      </c>
      <c r="AT12" s="234"/>
      <c r="AU12" s="242" t="s">
        <v>569</v>
      </c>
      <c r="AV12" s="242">
        <v>0</v>
      </c>
      <c r="AW12" s="242">
        <v>0</v>
      </c>
      <c r="AX12" s="242">
        <v>0</v>
      </c>
      <c r="AY12" s="242">
        <v>0</v>
      </c>
      <c r="AZ12" s="242">
        <v>0</v>
      </c>
      <c r="BA12" s="234"/>
      <c r="BB12" s="242" t="s">
        <v>568</v>
      </c>
      <c r="BC12" s="242">
        <v>0</v>
      </c>
      <c r="BD12" s="242">
        <v>0</v>
      </c>
      <c r="BE12" s="242">
        <v>0</v>
      </c>
      <c r="BF12" s="242">
        <v>0</v>
      </c>
      <c r="BG12" s="242">
        <v>0</v>
      </c>
      <c r="BH12" s="236" t="s">
        <v>568</v>
      </c>
      <c r="BI12" s="242">
        <v>0</v>
      </c>
      <c r="BJ12" s="242">
        <v>0</v>
      </c>
      <c r="BK12" s="242">
        <v>0</v>
      </c>
      <c r="BL12" s="242">
        <v>0</v>
      </c>
      <c r="BM12" s="242">
        <v>0</v>
      </c>
      <c r="BN12" s="242"/>
      <c r="BO12" s="236"/>
      <c r="BP12" s="252"/>
      <c r="BQ12" s="252"/>
      <c r="BR12" s="252"/>
      <c r="BS12" s="234"/>
      <c r="BT12" s="254" t="s">
        <v>619</v>
      </c>
      <c r="BU12" s="254">
        <v>1</v>
      </c>
      <c r="BV12" s="254">
        <v>0</v>
      </c>
      <c r="BW12" s="254">
        <v>0</v>
      </c>
      <c r="BX12" s="254">
        <v>0</v>
      </c>
      <c r="BY12" s="254">
        <v>0</v>
      </c>
      <c r="BZ12" s="254">
        <v>1</v>
      </c>
      <c r="CA12" s="254">
        <v>1</v>
      </c>
      <c r="CB12" s="254">
        <v>0</v>
      </c>
      <c r="CC12" s="234"/>
      <c r="CD12" s="258">
        <v>1378342146141019.7</v>
      </c>
      <c r="CE12" s="261">
        <v>1983104411254.7566</v>
      </c>
      <c r="CF12" s="234"/>
      <c r="CG12" s="234"/>
      <c r="CH12" s="234"/>
      <c r="CI12" s="236"/>
      <c r="CJ12" s="236" t="s">
        <v>626</v>
      </c>
      <c r="CK12" s="236">
        <v>4025082101138</v>
      </c>
      <c r="CL12" s="236"/>
      <c r="CM12" s="236" t="s">
        <v>626</v>
      </c>
      <c r="CN12" s="236">
        <v>8047545084648</v>
      </c>
      <c r="CO12" s="236"/>
      <c r="CP12" s="236" t="s">
        <v>626</v>
      </c>
      <c r="CQ12" s="236">
        <v>263973530301</v>
      </c>
      <c r="CR12" s="234"/>
      <c r="CS12" s="234"/>
      <c r="CT12" s="234"/>
      <c r="CU12" s="234"/>
      <c r="CV12" s="234"/>
      <c r="CW12" s="234"/>
      <c r="CX12" s="234"/>
      <c r="CY12" s="234"/>
      <c r="CZ12" s="234"/>
      <c r="DA12" s="234"/>
      <c r="DB12" s="234"/>
      <c r="DC12" s="234"/>
      <c r="DD12" s="234"/>
    </row>
    <row r="13" spans="1:118" x14ac:dyDescent="0.2">
      <c r="A13" s="143" t="s">
        <v>201</v>
      </c>
      <c r="B13" s="180"/>
      <c r="C13" s="180"/>
      <c r="D13" s="180"/>
      <c r="E13" s="210"/>
      <c r="F13" s="210"/>
      <c r="G13" s="210"/>
      <c r="H13" s="210"/>
      <c r="I13" s="148" t="s">
        <v>208</v>
      </c>
      <c r="J13" s="143" t="s">
        <v>207</v>
      </c>
      <c r="K13" s="224" t="s">
        <v>528</v>
      </c>
      <c r="L13" s="224" t="s">
        <v>529</v>
      </c>
      <c r="M13" s="226" t="s">
        <v>526</v>
      </c>
      <c r="N13" s="156" t="s">
        <v>201</v>
      </c>
      <c r="O13" s="232" t="s">
        <v>511</v>
      </c>
      <c r="P13" s="232" t="s">
        <v>512</v>
      </c>
      <c r="Q13" s="232" t="s">
        <v>513</v>
      </c>
      <c r="S13" s="242"/>
      <c r="T13" s="247"/>
      <c r="U13" s="247"/>
      <c r="V13" s="247"/>
      <c r="W13" s="247"/>
      <c r="X13" s="247"/>
      <c r="Y13" s="234"/>
      <c r="Z13" s="242" t="s">
        <v>570</v>
      </c>
      <c r="AA13" s="242">
        <v>0</v>
      </c>
      <c r="AB13" s="242">
        <v>0</v>
      </c>
      <c r="AC13" s="242">
        <v>0</v>
      </c>
      <c r="AD13" s="242">
        <v>0</v>
      </c>
      <c r="AE13" s="242">
        <v>0</v>
      </c>
      <c r="AF13" s="242"/>
      <c r="AG13" s="242" t="s">
        <v>570</v>
      </c>
      <c r="AH13" s="242">
        <v>0</v>
      </c>
      <c r="AI13" s="242">
        <v>0</v>
      </c>
      <c r="AJ13" s="242">
        <v>0</v>
      </c>
      <c r="AK13" s="242">
        <v>0</v>
      </c>
      <c r="AL13" s="242">
        <v>0</v>
      </c>
      <c r="AM13" s="234"/>
      <c r="AN13" s="242" t="s">
        <v>570</v>
      </c>
      <c r="AO13" s="242">
        <v>0</v>
      </c>
      <c r="AP13" s="242">
        <v>0</v>
      </c>
      <c r="AQ13" s="242">
        <v>0</v>
      </c>
      <c r="AR13" s="242">
        <v>0</v>
      </c>
      <c r="AS13" s="242">
        <v>0</v>
      </c>
      <c r="AT13" s="234"/>
      <c r="AU13" s="242" t="s">
        <v>570</v>
      </c>
      <c r="AV13" s="242">
        <v>0</v>
      </c>
      <c r="AW13" s="242">
        <v>0</v>
      </c>
      <c r="AX13" s="242">
        <v>0</v>
      </c>
      <c r="AY13" s="242">
        <v>0</v>
      </c>
      <c r="AZ13" s="242">
        <v>0</v>
      </c>
      <c r="BA13" s="234"/>
      <c r="BB13" s="242" t="s">
        <v>569</v>
      </c>
      <c r="BC13" s="242">
        <v>0</v>
      </c>
      <c r="BD13" s="242">
        <v>0</v>
      </c>
      <c r="BE13" s="242">
        <v>0</v>
      </c>
      <c r="BF13" s="242">
        <v>0</v>
      </c>
      <c r="BG13" s="242">
        <v>0</v>
      </c>
      <c r="BH13" s="236" t="s">
        <v>569</v>
      </c>
      <c r="BI13" s="242">
        <v>0</v>
      </c>
      <c r="BJ13" s="242">
        <v>0</v>
      </c>
      <c r="BK13" s="242">
        <v>0</v>
      </c>
      <c r="BL13" s="242">
        <v>0</v>
      </c>
      <c r="BM13" s="242">
        <v>0</v>
      </c>
      <c r="BN13" s="242"/>
      <c r="BO13" s="241" t="s">
        <v>471</v>
      </c>
      <c r="BP13" s="253" t="s">
        <v>556</v>
      </c>
      <c r="BQ13" s="252"/>
      <c r="BR13" s="252"/>
      <c r="BS13" s="234"/>
      <c r="BT13" s="254" t="s">
        <v>620</v>
      </c>
      <c r="BU13" s="254">
        <v>314</v>
      </c>
      <c r="BV13" s="254">
        <v>1</v>
      </c>
      <c r="BW13" s="254">
        <v>9</v>
      </c>
      <c r="BX13" s="254">
        <v>1</v>
      </c>
      <c r="BY13" s="254">
        <v>0</v>
      </c>
      <c r="BZ13" s="254">
        <v>305</v>
      </c>
      <c r="CA13" s="254">
        <v>252</v>
      </c>
      <c r="CB13" s="254">
        <v>62</v>
      </c>
      <c r="CC13" s="234"/>
      <c r="CD13" s="234"/>
      <c r="CE13" s="234"/>
      <c r="CF13" s="234"/>
      <c r="CG13" s="234"/>
      <c r="CH13" s="234"/>
      <c r="CI13" s="236"/>
      <c r="CJ13" s="236" t="s">
        <v>627</v>
      </c>
      <c r="CK13" s="236">
        <v>4221983192513.3457</v>
      </c>
      <c r="CL13" s="236"/>
      <c r="CM13" s="236" t="s">
        <v>627</v>
      </c>
      <c r="CN13" s="236">
        <v>8157397351394.7148</v>
      </c>
      <c r="CO13" s="236"/>
      <c r="CP13" s="236" t="s">
        <v>627</v>
      </c>
      <c r="CQ13" s="236">
        <v>83129245286.919998</v>
      </c>
      <c r="CR13" s="234"/>
      <c r="CS13" s="234"/>
      <c r="CT13" s="234"/>
      <c r="CU13" s="234"/>
      <c r="CV13" s="234"/>
      <c r="CW13" s="234"/>
      <c r="CX13" s="234"/>
      <c r="CY13" s="234"/>
      <c r="CZ13" s="234"/>
      <c r="DA13" s="234"/>
      <c r="DB13" s="234"/>
      <c r="DC13" s="234"/>
      <c r="DD13" s="234"/>
    </row>
    <row r="14" spans="1:118" x14ac:dyDescent="0.2">
      <c r="B14" s="180"/>
      <c r="C14" s="180"/>
      <c r="D14" s="180"/>
      <c r="E14" s="210"/>
      <c r="F14" s="210"/>
      <c r="G14" s="210"/>
      <c r="H14" s="210"/>
      <c r="J14" s="147" t="str">
        <f>K14&amp;L14</f>
        <v>ABuy</v>
      </c>
      <c r="K14" s="223" t="s">
        <v>530</v>
      </c>
      <c r="L14" s="223" t="s">
        <v>531</v>
      </c>
      <c r="M14" s="227">
        <v>141849624434.17001</v>
      </c>
      <c r="N14" s="151"/>
      <c r="O14" s="324">
        <v>784579000000</v>
      </c>
      <c r="P14" s="324">
        <v>-771216000000</v>
      </c>
      <c r="Q14" s="324">
        <v>13363000000</v>
      </c>
      <c r="S14" s="234"/>
      <c r="T14" s="234"/>
      <c r="U14" s="234"/>
      <c r="V14" s="234"/>
      <c r="W14" s="234"/>
      <c r="X14" s="234"/>
      <c r="Y14" s="234"/>
      <c r="Z14" s="242" t="s">
        <v>571</v>
      </c>
      <c r="AA14" s="242">
        <v>0</v>
      </c>
      <c r="AB14" s="242">
        <v>0</v>
      </c>
      <c r="AC14" s="242">
        <v>0</v>
      </c>
      <c r="AD14" s="242">
        <v>0</v>
      </c>
      <c r="AE14" s="242">
        <v>0</v>
      </c>
      <c r="AF14" s="242"/>
      <c r="AG14" s="242" t="s">
        <v>571</v>
      </c>
      <c r="AH14" s="242">
        <v>0</v>
      </c>
      <c r="AI14" s="242">
        <v>0</v>
      </c>
      <c r="AJ14" s="242">
        <v>0</v>
      </c>
      <c r="AK14" s="242">
        <v>0</v>
      </c>
      <c r="AL14" s="242">
        <v>0</v>
      </c>
      <c r="AM14" s="234"/>
      <c r="AN14" s="242" t="s">
        <v>571</v>
      </c>
      <c r="AO14" s="242">
        <v>0</v>
      </c>
      <c r="AP14" s="242">
        <v>0</v>
      </c>
      <c r="AQ14" s="242">
        <v>0</v>
      </c>
      <c r="AR14" s="242">
        <v>0</v>
      </c>
      <c r="AS14" s="242">
        <v>0</v>
      </c>
      <c r="AT14" s="234"/>
      <c r="AU14" s="242" t="s">
        <v>571</v>
      </c>
      <c r="AV14" s="242">
        <v>0</v>
      </c>
      <c r="AW14" s="242">
        <v>0</v>
      </c>
      <c r="AX14" s="242">
        <v>0</v>
      </c>
      <c r="AY14" s="242">
        <v>0</v>
      </c>
      <c r="AZ14" s="242">
        <v>0</v>
      </c>
      <c r="BA14" s="234"/>
      <c r="BB14" s="242" t="s">
        <v>570</v>
      </c>
      <c r="BC14" s="242">
        <v>0</v>
      </c>
      <c r="BD14" s="242">
        <v>0</v>
      </c>
      <c r="BE14" s="242">
        <v>0</v>
      </c>
      <c r="BF14" s="242">
        <v>0</v>
      </c>
      <c r="BG14" s="242">
        <v>0</v>
      </c>
      <c r="BH14" s="236" t="s">
        <v>570</v>
      </c>
      <c r="BI14" s="242">
        <v>0</v>
      </c>
      <c r="BJ14" s="242">
        <v>0</v>
      </c>
      <c r="BK14" s="242">
        <v>0</v>
      </c>
      <c r="BL14" s="242">
        <v>0</v>
      </c>
      <c r="BM14" s="242">
        <v>0</v>
      </c>
      <c r="BN14" s="242"/>
      <c r="BO14" s="236"/>
      <c r="BP14" s="252">
        <v>7665687</v>
      </c>
      <c r="BQ14" s="252"/>
      <c r="BR14" s="252"/>
      <c r="BS14" s="234"/>
      <c r="BT14" s="254" t="s">
        <v>621</v>
      </c>
      <c r="BU14" s="254">
        <v>1</v>
      </c>
      <c r="BV14" s="254">
        <v>0</v>
      </c>
      <c r="BW14" s="254">
        <v>0</v>
      </c>
      <c r="BX14" s="254">
        <v>0</v>
      </c>
      <c r="BY14" s="254">
        <v>0</v>
      </c>
      <c r="BZ14" s="254">
        <v>1</v>
      </c>
      <c r="CA14" s="254">
        <v>1</v>
      </c>
      <c r="CB14" s="254">
        <v>0</v>
      </c>
      <c r="CC14" s="256" t="s">
        <v>493</v>
      </c>
      <c r="CD14" s="262" t="s">
        <v>623</v>
      </c>
      <c r="CE14" s="262" t="s">
        <v>625</v>
      </c>
      <c r="CF14" s="234"/>
      <c r="CG14" s="234"/>
      <c r="CH14" s="234"/>
      <c r="CI14" s="236"/>
      <c r="CJ14" s="234"/>
      <c r="CK14" s="234"/>
      <c r="CL14" s="236"/>
      <c r="CM14" s="234"/>
      <c r="CN14" s="234"/>
      <c r="CO14" s="234"/>
      <c r="CP14" s="234"/>
      <c r="CQ14" s="234"/>
      <c r="CR14" s="256" t="s">
        <v>506</v>
      </c>
      <c r="CS14" s="265" t="s">
        <v>646</v>
      </c>
      <c r="CT14" s="264" t="s">
        <v>629</v>
      </c>
      <c r="CU14" s="264" t="s">
        <v>630</v>
      </c>
      <c r="CV14" s="264" t="s">
        <v>631</v>
      </c>
      <c r="CW14" s="264" t="s">
        <v>632</v>
      </c>
      <c r="CX14" s="264" t="s">
        <v>633</v>
      </c>
      <c r="CY14" s="264" t="s">
        <v>634</v>
      </c>
      <c r="CZ14" s="264" t="s">
        <v>635</v>
      </c>
      <c r="DA14" s="264" t="s">
        <v>636</v>
      </c>
      <c r="DB14" s="264" t="s">
        <v>637</v>
      </c>
      <c r="DC14" s="264" t="s">
        <v>638</v>
      </c>
      <c r="DD14" s="264" t="s">
        <v>639</v>
      </c>
    </row>
    <row r="15" spans="1:118" x14ac:dyDescent="0.2">
      <c r="B15" s="180"/>
      <c r="C15" s="180"/>
      <c r="D15" s="180"/>
      <c r="E15" s="210"/>
      <c r="F15" s="211"/>
      <c r="G15" s="211"/>
      <c r="H15" s="210"/>
      <c r="J15" s="147" t="str">
        <f t="shared" ref="J15:J17" si="2">K15&amp;L15</f>
        <v>PBuy</v>
      </c>
      <c r="K15" s="223" t="s">
        <v>532</v>
      </c>
      <c r="L15" s="223" t="s">
        <v>531</v>
      </c>
      <c r="M15" s="227">
        <v>283544002580.94</v>
      </c>
      <c r="N15" s="151"/>
      <c r="O15" s="229"/>
      <c r="P15" s="229"/>
      <c r="Q15" s="229"/>
      <c r="S15" s="243"/>
      <c r="T15" s="246"/>
      <c r="U15" s="246"/>
      <c r="V15" s="246"/>
      <c r="W15" s="246"/>
      <c r="X15" s="246"/>
      <c r="Y15" s="234"/>
      <c r="Z15" s="242" t="s">
        <v>572</v>
      </c>
      <c r="AA15" s="242">
        <v>0</v>
      </c>
      <c r="AB15" s="242">
        <v>0</v>
      </c>
      <c r="AC15" s="242">
        <v>0</v>
      </c>
      <c r="AD15" s="242">
        <v>0</v>
      </c>
      <c r="AE15" s="242">
        <v>0</v>
      </c>
      <c r="AF15" s="242"/>
      <c r="AG15" s="242" t="s">
        <v>572</v>
      </c>
      <c r="AH15" s="242">
        <v>0</v>
      </c>
      <c r="AI15" s="242">
        <v>0</v>
      </c>
      <c r="AJ15" s="242">
        <v>0</v>
      </c>
      <c r="AK15" s="242">
        <v>0</v>
      </c>
      <c r="AL15" s="242">
        <v>0</v>
      </c>
      <c r="AM15" s="234"/>
      <c r="AN15" s="242" t="s">
        <v>572</v>
      </c>
      <c r="AO15" s="242">
        <v>0</v>
      </c>
      <c r="AP15" s="242">
        <v>0</v>
      </c>
      <c r="AQ15" s="242">
        <v>0</v>
      </c>
      <c r="AR15" s="242">
        <v>0</v>
      </c>
      <c r="AS15" s="242">
        <v>0</v>
      </c>
      <c r="AT15" s="234"/>
      <c r="AU15" s="242" t="s">
        <v>572</v>
      </c>
      <c r="AV15" s="242">
        <v>0</v>
      </c>
      <c r="AW15" s="242">
        <v>0</v>
      </c>
      <c r="AX15" s="242">
        <v>0</v>
      </c>
      <c r="AY15" s="242">
        <v>0</v>
      </c>
      <c r="AZ15" s="242">
        <v>0</v>
      </c>
      <c r="BA15" s="234"/>
      <c r="BB15" s="242" t="s">
        <v>571</v>
      </c>
      <c r="BC15" s="242">
        <v>0</v>
      </c>
      <c r="BD15" s="242">
        <v>0</v>
      </c>
      <c r="BE15" s="242">
        <v>0</v>
      </c>
      <c r="BF15" s="242">
        <v>0</v>
      </c>
      <c r="BG15" s="242">
        <v>0</v>
      </c>
      <c r="BH15" s="236" t="s">
        <v>571</v>
      </c>
      <c r="BI15" s="242">
        <v>0</v>
      </c>
      <c r="BJ15" s="242">
        <v>0</v>
      </c>
      <c r="BK15" s="242">
        <v>0</v>
      </c>
      <c r="BL15" s="242">
        <v>0</v>
      </c>
      <c r="BM15" s="242">
        <v>0</v>
      </c>
      <c r="BN15" s="242"/>
      <c r="BO15" s="236"/>
      <c r="BP15" s="252"/>
      <c r="BQ15" s="252"/>
      <c r="BR15" s="252"/>
      <c r="BS15" s="236"/>
      <c r="BT15" s="254"/>
      <c r="BU15" s="254"/>
      <c r="BV15" s="254"/>
      <c r="BW15" s="254"/>
      <c r="BX15" s="254"/>
      <c r="BY15" s="254"/>
      <c r="BZ15" s="254"/>
      <c r="CA15" s="254"/>
      <c r="CB15" s="254"/>
      <c r="CC15" s="236"/>
      <c r="CD15" s="263">
        <v>1509151257782243</v>
      </c>
      <c r="CE15" s="263">
        <v>2419600408358.4551</v>
      </c>
      <c r="CF15" s="234"/>
      <c r="CG15" s="234"/>
      <c r="CH15" s="234"/>
      <c r="CI15" s="234"/>
      <c r="CJ15" s="234"/>
      <c r="CK15" s="234"/>
      <c r="CL15" s="234"/>
      <c r="CM15" s="234"/>
      <c r="CN15" s="234"/>
      <c r="CO15" s="234"/>
      <c r="CP15" s="234"/>
      <c r="CQ15" s="234"/>
      <c r="CR15" s="236"/>
      <c r="CS15" s="266" t="s">
        <v>647</v>
      </c>
      <c r="CT15" s="264">
        <v>22</v>
      </c>
      <c r="CU15" s="264" t="s">
        <v>640</v>
      </c>
      <c r="CV15" s="264">
        <v>0</v>
      </c>
      <c r="CW15" s="264">
        <v>435707319</v>
      </c>
      <c r="CX15" s="264">
        <v>380</v>
      </c>
      <c r="CY15" s="264">
        <v>0</v>
      </c>
      <c r="CZ15" s="264">
        <v>20640726198</v>
      </c>
      <c r="DA15" s="264">
        <v>194</v>
      </c>
      <c r="DB15" s="264">
        <v>0</v>
      </c>
      <c r="DC15" s="264">
        <v>20205018879</v>
      </c>
      <c r="DD15" s="264">
        <v>186</v>
      </c>
    </row>
    <row r="16" spans="1:118" x14ac:dyDescent="0.2">
      <c r="A16" s="143" t="s">
        <v>202</v>
      </c>
      <c r="B16" s="180"/>
      <c r="C16" s="180"/>
      <c r="D16" s="180"/>
      <c r="E16" s="210"/>
      <c r="F16" s="211"/>
      <c r="G16" s="211"/>
      <c r="H16" s="210"/>
      <c r="J16" s="147" t="str">
        <f t="shared" si="2"/>
        <v>ASell</v>
      </c>
      <c r="K16" s="223" t="s">
        <v>530</v>
      </c>
      <c r="L16" s="223" t="s">
        <v>533</v>
      </c>
      <c r="M16" s="227">
        <v>146108441066.44998</v>
      </c>
      <c r="N16" s="156" t="s">
        <v>202</v>
      </c>
      <c r="O16" s="232" t="s">
        <v>511</v>
      </c>
      <c r="P16" s="232" t="s">
        <v>512</v>
      </c>
      <c r="Q16" s="232" t="s">
        <v>513</v>
      </c>
      <c r="S16" s="242"/>
      <c r="T16" s="247"/>
      <c r="U16" s="247"/>
      <c r="V16" s="247"/>
      <c r="W16" s="247"/>
      <c r="X16" s="247"/>
      <c r="Y16" s="234"/>
      <c r="Z16" s="242" t="s">
        <v>573</v>
      </c>
      <c r="AA16" s="242">
        <v>0</v>
      </c>
      <c r="AB16" s="242">
        <v>0</v>
      </c>
      <c r="AC16" s="242">
        <v>0</v>
      </c>
      <c r="AD16" s="242">
        <v>0</v>
      </c>
      <c r="AE16" s="242">
        <v>0</v>
      </c>
      <c r="AF16" s="242"/>
      <c r="AG16" s="242" t="s">
        <v>573</v>
      </c>
      <c r="AH16" s="242">
        <v>0</v>
      </c>
      <c r="AI16" s="242">
        <v>0</v>
      </c>
      <c r="AJ16" s="242">
        <v>0</v>
      </c>
      <c r="AK16" s="242">
        <v>0</v>
      </c>
      <c r="AL16" s="242">
        <v>0</v>
      </c>
      <c r="AM16" s="234"/>
      <c r="AN16" s="242" t="s">
        <v>573</v>
      </c>
      <c r="AO16" s="242">
        <v>0</v>
      </c>
      <c r="AP16" s="242">
        <v>0</v>
      </c>
      <c r="AQ16" s="242">
        <v>0</v>
      </c>
      <c r="AR16" s="242">
        <v>0</v>
      </c>
      <c r="AS16" s="242">
        <v>0</v>
      </c>
      <c r="AT16" s="234"/>
      <c r="AU16" s="242" t="s">
        <v>573</v>
      </c>
      <c r="AV16" s="242">
        <v>0</v>
      </c>
      <c r="AW16" s="242">
        <v>0</v>
      </c>
      <c r="AX16" s="242">
        <v>0</v>
      </c>
      <c r="AY16" s="242">
        <v>0</v>
      </c>
      <c r="AZ16" s="242">
        <v>0</v>
      </c>
      <c r="BA16" s="234"/>
      <c r="BB16" s="242" t="s">
        <v>572</v>
      </c>
      <c r="BC16" s="242">
        <v>0</v>
      </c>
      <c r="BD16" s="242">
        <v>0</v>
      </c>
      <c r="BE16" s="242">
        <v>0</v>
      </c>
      <c r="BF16" s="242">
        <v>0</v>
      </c>
      <c r="BG16" s="242">
        <v>0</v>
      </c>
      <c r="BH16" s="236" t="s">
        <v>572</v>
      </c>
      <c r="BI16" s="242">
        <v>0</v>
      </c>
      <c r="BJ16" s="242">
        <v>0</v>
      </c>
      <c r="BK16" s="242">
        <v>0</v>
      </c>
      <c r="BL16" s="242">
        <v>0</v>
      </c>
      <c r="BM16" s="242">
        <v>0</v>
      </c>
      <c r="BN16" s="242"/>
      <c r="BO16" s="241" t="s">
        <v>472</v>
      </c>
      <c r="BP16" s="253" t="s">
        <v>556</v>
      </c>
      <c r="BQ16" s="252"/>
      <c r="BR16" s="252"/>
      <c r="BS16" s="234"/>
      <c r="BT16" s="234"/>
      <c r="BU16" s="234"/>
      <c r="BV16" s="234"/>
      <c r="BW16" s="234"/>
      <c r="BX16" s="234"/>
      <c r="BY16" s="234"/>
      <c r="BZ16" s="234"/>
      <c r="CA16" s="234"/>
      <c r="CB16" s="234"/>
      <c r="CC16" s="234"/>
      <c r="CD16" s="234"/>
      <c r="CE16" s="234"/>
      <c r="CF16" s="234"/>
      <c r="CG16" s="234"/>
      <c r="CH16" s="234"/>
      <c r="CI16" s="234"/>
      <c r="CJ16" s="234"/>
      <c r="CK16" s="234"/>
      <c r="CL16" s="234"/>
      <c r="CM16" s="234"/>
      <c r="CN16" s="234"/>
      <c r="CO16" s="234"/>
      <c r="CP16" s="234"/>
      <c r="CQ16" s="234"/>
      <c r="CR16" s="236"/>
      <c r="CS16" s="266" t="s">
        <v>647</v>
      </c>
      <c r="CT16" s="264">
        <v>40</v>
      </c>
      <c r="CU16" s="264" t="s">
        <v>641</v>
      </c>
      <c r="CV16" s="264">
        <v>16135158944.700005</v>
      </c>
      <c r="CW16" s="264">
        <v>20546706000</v>
      </c>
      <c r="CX16" s="264">
        <v>459</v>
      </c>
      <c r="CY16" s="264">
        <v>66856871309.559982</v>
      </c>
      <c r="CZ16" s="264">
        <v>68638862000</v>
      </c>
      <c r="DA16" s="264">
        <v>347</v>
      </c>
      <c r="DB16" s="264">
        <v>50721712364.860016</v>
      </c>
      <c r="DC16" s="264">
        <v>48092156000</v>
      </c>
      <c r="DD16" s="264">
        <v>112</v>
      </c>
    </row>
    <row r="17" spans="1:108" x14ac:dyDescent="0.2">
      <c r="B17" s="180"/>
      <c r="C17" s="180"/>
      <c r="D17" s="180"/>
      <c r="E17" s="210"/>
      <c r="F17" s="210"/>
      <c r="G17" s="210"/>
      <c r="H17" s="210"/>
      <c r="J17" s="147" t="str">
        <f t="shared" si="2"/>
        <v>PSell</v>
      </c>
      <c r="K17" s="223" t="s">
        <v>532</v>
      </c>
      <c r="L17" s="223" t="s">
        <v>533</v>
      </c>
      <c r="M17" s="227">
        <v>279285185948.65997</v>
      </c>
      <c r="N17" s="151"/>
      <c r="O17" s="324">
        <v>645668000000</v>
      </c>
      <c r="P17" s="324">
        <v>-645833000000</v>
      </c>
      <c r="Q17" s="324">
        <v>-165000000</v>
      </c>
      <c r="R17" s="148" t="s">
        <v>440</v>
      </c>
      <c r="S17" s="242"/>
      <c r="T17" s="247"/>
      <c r="U17" s="247"/>
      <c r="V17" s="247"/>
      <c r="W17" s="247"/>
      <c r="X17" s="247"/>
      <c r="Y17" s="234"/>
      <c r="Z17" s="242" t="s">
        <v>574</v>
      </c>
      <c r="AA17" s="242">
        <v>0</v>
      </c>
      <c r="AB17" s="242">
        <v>0</v>
      </c>
      <c r="AC17" s="242">
        <v>0</v>
      </c>
      <c r="AD17" s="242">
        <v>0</v>
      </c>
      <c r="AE17" s="242">
        <v>0</v>
      </c>
      <c r="AF17" s="242"/>
      <c r="AG17" s="242" t="s">
        <v>574</v>
      </c>
      <c r="AH17" s="242">
        <v>0</v>
      </c>
      <c r="AI17" s="242">
        <v>0</v>
      </c>
      <c r="AJ17" s="242">
        <v>0</v>
      </c>
      <c r="AK17" s="242">
        <v>0</v>
      </c>
      <c r="AL17" s="242">
        <v>0</v>
      </c>
      <c r="AM17" s="234"/>
      <c r="AN17" s="242" t="s">
        <v>574</v>
      </c>
      <c r="AO17" s="242">
        <v>0</v>
      </c>
      <c r="AP17" s="242">
        <v>0</v>
      </c>
      <c r="AQ17" s="242">
        <v>0</v>
      </c>
      <c r="AR17" s="242">
        <v>0</v>
      </c>
      <c r="AS17" s="242">
        <v>0</v>
      </c>
      <c r="AT17" s="234"/>
      <c r="AU17" s="242" t="s">
        <v>574</v>
      </c>
      <c r="AV17" s="242">
        <v>0</v>
      </c>
      <c r="AW17" s="242">
        <v>0</v>
      </c>
      <c r="AX17" s="242">
        <v>0</v>
      </c>
      <c r="AY17" s="242">
        <v>0</v>
      </c>
      <c r="AZ17" s="242">
        <v>0</v>
      </c>
      <c r="BA17" s="234"/>
      <c r="BB17" s="242" t="s">
        <v>573</v>
      </c>
      <c r="BC17" s="242">
        <v>0</v>
      </c>
      <c r="BD17" s="242">
        <v>0</v>
      </c>
      <c r="BE17" s="242">
        <v>0</v>
      </c>
      <c r="BF17" s="242">
        <v>0</v>
      </c>
      <c r="BG17" s="242">
        <v>0</v>
      </c>
      <c r="BH17" s="236" t="s">
        <v>573</v>
      </c>
      <c r="BI17" s="242">
        <v>0</v>
      </c>
      <c r="BJ17" s="242">
        <v>0</v>
      </c>
      <c r="BK17" s="242">
        <v>0</v>
      </c>
      <c r="BL17" s="242">
        <v>0</v>
      </c>
      <c r="BM17" s="242">
        <v>0</v>
      </c>
      <c r="BN17" s="242"/>
      <c r="BO17" s="236"/>
      <c r="BP17" s="252">
        <v>2509738</v>
      </c>
      <c r="BQ17" s="252"/>
      <c r="BR17" s="252"/>
      <c r="BS17" s="245" t="s">
        <v>487</v>
      </c>
      <c r="BT17" s="255" t="s">
        <v>609</v>
      </c>
      <c r="BU17" s="255" t="s">
        <v>610</v>
      </c>
      <c r="BV17" s="255" t="s">
        <v>611</v>
      </c>
      <c r="BW17" s="255" t="s">
        <v>612</v>
      </c>
      <c r="BX17" s="255" t="s">
        <v>613</v>
      </c>
      <c r="BY17" s="255" t="s">
        <v>614</v>
      </c>
      <c r="BZ17" s="255" t="s">
        <v>615</v>
      </c>
      <c r="CA17" s="255" t="s">
        <v>616</v>
      </c>
      <c r="CB17" s="255" t="s">
        <v>617</v>
      </c>
      <c r="CC17" s="338" t="s">
        <v>515</v>
      </c>
      <c r="CD17" s="337" t="s">
        <v>623</v>
      </c>
      <c r="CE17" s="337" t="s">
        <v>625</v>
      </c>
      <c r="CF17" s="234"/>
      <c r="CG17" s="234"/>
      <c r="CH17" s="234"/>
      <c r="CI17" s="234"/>
      <c r="CJ17" s="234"/>
      <c r="CK17" s="234"/>
      <c r="CL17" s="234"/>
      <c r="CM17" s="234"/>
      <c r="CN17" s="234"/>
      <c r="CO17" s="234"/>
      <c r="CP17" s="234"/>
      <c r="CQ17" s="234"/>
      <c r="CR17" s="236"/>
      <c r="CS17" s="266" t="s">
        <v>647</v>
      </c>
      <c r="CT17" s="264">
        <v>40</v>
      </c>
      <c r="CU17" s="264" t="s">
        <v>642</v>
      </c>
      <c r="CV17" s="264">
        <v>-11011897760.149996</v>
      </c>
      <c r="CW17" s="264">
        <v>-16148706000</v>
      </c>
      <c r="CX17" s="264">
        <v>447</v>
      </c>
      <c r="CY17" s="264">
        <v>50136016121.06002</v>
      </c>
      <c r="CZ17" s="264">
        <v>47265156000</v>
      </c>
      <c r="DA17" s="264">
        <v>111</v>
      </c>
      <c r="DB17" s="264">
        <v>61147913881.210014</v>
      </c>
      <c r="DC17" s="264">
        <v>63413862000</v>
      </c>
      <c r="DD17" s="264">
        <v>336</v>
      </c>
    </row>
    <row r="18" spans="1:108" x14ac:dyDescent="0.2">
      <c r="B18" s="180"/>
      <c r="C18" s="180"/>
      <c r="D18" s="180"/>
      <c r="E18" s="210"/>
      <c r="F18" s="210"/>
      <c r="G18" s="210"/>
      <c r="H18" s="210"/>
      <c r="J18" s="147"/>
      <c r="K18" s="218"/>
      <c r="L18" s="218"/>
      <c r="M18" s="217"/>
      <c r="N18" s="151"/>
      <c r="O18" s="229"/>
      <c r="P18" s="229"/>
      <c r="Q18" s="229"/>
      <c r="S18" s="242"/>
      <c r="T18" s="247"/>
      <c r="U18" s="247"/>
      <c r="V18" s="247"/>
      <c r="W18" s="247"/>
      <c r="X18" s="247"/>
      <c r="Y18" s="234"/>
      <c r="Z18" s="242" t="s">
        <v>575</v>
      </c>
      <c r="AA18" s="242">
        <v>0</v>
      </c>
      <c r="AB18" s="242">
        <v>0</v>
      </c>
      <c r="AC18" s="242">
        <v>0</v>
      </c>
      <c r="AD18" s="242">
        <v>0</v>
      </c>
      <c r="AE18" s="242">
        <v>0</v>
      </c>
      <c r="AF18" s="242"/>
      <c r="AG18" s="242" t="s">
        <v>575</v>
      </c>
      <c r="AH18" s="242">
        <v>0</v>
      </c>
      <c r="AI18" s="242">
        <v>0</v>
      </c>
      <c r="AJ18" s="242">
        <v>0</v>
      </c>
      <c r="AK18" s="242">
        <v>0</v>
      </c>
      <c r="AL18" s="242">
        <v>0</v>
      </c>
      <c r="AM18" s="234"/>
      <c r="AN18" s="242" t="s">
        <v>575</v>
      </c>
      <c r="AO18" s="242">
        <v>0</v>
      </c>
      <c r="AP18" s="242">
        <v>0</v>
      </c>
      <c r="AQ18" s="242">
        <v>0</v>
      </c>
      <c r="AR18" s="242">
        <v>0</v>
      </c>
      <c r="AS18" s="242">
        <v>0</v>
      </c>
      <c r="AT18" s="234"/>
      <c r="AU18" s="242" t="s">
        <v>575</v>
      </c>
      <c r="AV18" s="242">
        <v>0</v>
      </c>
      <c r="AW18" s="242">
        <v>0</v>
      </c>
      <c r="AX18" s="242">
        <v>0</v>
      </c>
      <c r="AY18" s="242">
        <v>0</v>
      </c>
      <c r="AZ18" s="242">
        <v>0</v>
      </c>
      <c r="BA18" s="234"/>
      <c r="BB18" s="242" t="s">
        <v>574</v>
      </c>
      <c r="BC18" s="242">
        <v>0</v>
      </c>
      <c r="BD18" s="242">
        <v>0</v>
      </c>
      <c r="BE18" s="242">
        <v>0</v>
      </c>
      <c r="BF18" s="242">
        <v>0</v>
      </c>
      <c r="BG18" s="242">
        <v>0</v>
      </c>
      <c r="BH18" s="236" t="s">
        <v>574</v>
      </c>
      <c r="BI18" s="242">
        <v>0</v>
      </c>
      <c r="BJ18" s="242">
        <v>0</v>
      </c>
      <c r="BK18" s="242">
        <v>0</v>
      </c>
      <c r="BL18" s="242">
        <v>0</v>
      </c>
      <c r="BM18" s="242">
        <v>0</v>
      </c>
      <c r="BN18" s="242"/>
      <c r="BO18" s="236"/>
      <c r="BP18" s="252"/>
      <c r="BQ18" s="252"/>
      <c r="BR18" s="252"/>
      <c r="BS18" s="234"/>
      <c r="BT18" s="254" t="s">
        <v>137</v>
      </c>
      <c r="BU18" s="236">
        <v>49</v>
      </c>
      <c r="BV18" s="254">
        <v>1</v>
      </c>
      <c r="BW18" s="254">
        <v>5</v>
      </c>
      <c r="BX18" s="254">
        <v>0</v>
      </c>
      <c r="BY18" s="254">
        <v>0</v>
      </c>
      <c r="BZ18" s="254">
        <v>45</v>
      </c>
      <c r="CA18" s="254">
        <v>38</v>
      </c>
      <c r="CB18" s="254">
        <v>11</v>
      </c>
      <c r="CC18" s="335"/>
      <c r="CD18" s="339">
        <v>13263920920823.451</v>
      </c>
      <c r="CE18" s="340">
        <v>22223224789.897083</v>
      </c>
      <c r="CF18" s="234"/>
      <c r="CG18" s="234"/>
      <c r="CH18" s="234"/>
      <c r="CI18" s="234"/>
      <c r="CJ18" s="234"/>
      <c r="CK18" s="234"/>
      <c r="CL18" s="234"/>
      <c r="CM18" s="234"/>
      <c r="CN18" s="234"/>
      <c r="CO18" s="234"/>
      <c r="CP18" s="234"/>
      <c r="CQ18" s="234"/>
      <c r="CR18" s="236"/>
      <c r="CS18" s="266" t="s">
        <v>647</v>
      </c>
      <c r="CT18" s="264">
        <v>87</v>
      </c>
      <c r="CU18" s="264" t="s">
        <v>643</v>
      </c>
      <c r="CV18" s="264">
        <v>-7501127201.5400009</v>
      </c>
      <c r="CW18" s="264">
        <v>-6736735550</v>
      </c>
      <c r="CX18" s="264">
        <v>1254</v>
      </c>
      <c r="CY18" s="264">
        <v>15193252176.969995</v>
      </c>
      <c r="CZ18" s="264">
        <v>15112365411</v>
      </c>
      <c r="DA18" s="264">
        <v>701</v>
      </c>
      <c r="DB18" s="264">
        <v>22694379378.509995</v>
      </c>
      <c r="DC18" s="264">
        <v>21849100961</v>
      </c>
      <c r="DD18" s="264">
        <v>553</v>
      </c>
    </row>
    <row r="19" spans="1:108" x14ac:dyDescent="0.2">
      <c r="A19" s="143" t="s">
        <v>203</v>
      </c>
      <c r="B19" s="180"/>
      <c r="C19" s="180"/>
      <c r="D19" s="180"/>
      <c r="E19" s="210"/>
      <c r="F19" s="210"/>
      <c r="G19" s="210"/>
      <c r="H19" s="210"/>
      <c r="I19" s="148" t="s">
        <v>209</v>
      </c>
      <c r="J19" s="143" t="s">
        <v>207</v>
      </c>
      <c r="K19" s="224" t="s">
        <v>528</v>
      </c>
      <c r="L19" s="224" t="s">
        <v>529</v>
      </c>
      <c r="M19" s="226" t="s">
        <v>526</v>
      </c>
      <c r="N19" s="156" t="s">
        <v>203</v>
      </c>
      <c r="O19" s="232" t="s">
        <v>511</v>
      </c>
      <c r="P19" s="232" t="s">
        <v>512</v>
      </c>
      <c r="Q19" s="232" t="s">
        <v>513</v>
      </c>
      <c r="S19" s="242"/>
      <c r="T19" s="247"/>
      <c r="U19" s="247"/>
      <c r="V19" s="247"/>
      <c r="W19" s="247"/>
      <c r="X19" s="247"/>
      <c r="Y19" s="234"/>
      <c r="Z19" s="242" t="s">
        <v>576</v>
      </c>
      <c r="AA19" s="242">
        <v>0</v>
      </c>
      <c r="AB19" s="242">
        <v>0</v>
      </c>
      <c r="AC19" s="242">
        <v>0</v>
      </c>
      <c r="AD19" s="242">
        <v>0</v>
      </c>
      <c r="AE19" s="242">
        <v>0</v>
      </c>
      <c r="AF19" s="242"/>
      <c r="AG19" s="242" t="s">
        <v>576</v>
      </c>
      <c r="AH19" s="242">
        <v>0</v>
      </c>
      <c r="AI19" s="242">
        <v>0</v>
      </c>
      <c r="AJ19" s="242">
        <v>0</v>
      </c>
      <c r="AK19" s="242">
        <v>0</v>
      </c>
      <c r="AL19" s="242">
        <v>0</v>
      </c>
      <c r="AM19" s="234"/>
      <c r="AN19" s="242" t="s">
        <v>576</v>
      </c>
      <c r="AO19" s="242">
        <v>0</v>
      </c>
      <c r="AP19" s="242">
        <v>0</v>
      </c>
      <c r="AQ19" s="242">
        <v>0</v>
      </c>
      <c r="AR19" s="242">
        <v>0</v>
      </c>
      <c r="AS19" s="242">
        <v>0</v>
      </c>
      <c r="AT19" s="234"/>
      <c r="AU19" s="242" t="s">
        <v>576</v>
      </c>
      <c r="AV19" s="242">
        <v>0</v>
      </c>
      <c r="AW19" s="242">
        <v>0</v>
      </c>
      <c r="AX19" s="242">
        <v>0</v>
      </c>
      <c r="AY19" s="242">
        <v>0</v>
      </c>
      <c r="AZ19" s="242">
        <v>0</v>
      </c>
      <c r="BA19" s="234"/>
      <c r="BB19" s="242" t="s">
        <v>575</v>
      </c>
      <c r="BC19" s="242">
        <v>0</v>
      </c>
      <c r="BD19" s="242">
        <v>0</v>
      </c>
      <c r="BE19" s="242">
        <v>0</v>
      </c>
      <c r="BF19" s="242">
        <v>0</v>
      </c>
      <c r="BG19" s="242">
        <v>0</v>
      </c>
      <c r="BH19" s="236" t="s">
        <v>575</v>
      </c>
      <c r="BI19" s="242">
        <v>0</v>
      </c>
      <c r="BJ19" s="242">
        <v>0</v>
      </c>
      <c r="BK19" s="242">
        <v>0</v>
      </c>
      <c r="BL19" s="242">
        <v>0</v>
      </c>
      <c r="BM19" s="242">
        <v>0</v>
      </c>
      <c r="BN19" s="242"/>
      <c r="BO19" s="245" t="s">
        <v>469</v>
      </c>
      <c r="BP19" s="253" t="s">
        <v>526</v>
      </c>
      <c r="BQ19" s="253" t="s">
        <v>554</v>
      </c>
      <c r="BR19" s="253" t="s">
        <v>555</v>
      </c>
      <c r="BS19" s="234"/>
      <c r="BT19" s="254" t="s">
        <v>618</v>
      </c>
      <c r="BU19" s="254">
        <v>2</v>
      </c>
      <c r="BV19" s="254">
        <v>0</v>
      </c>
      <c r="BW19" s="254">
        <v>0</v>
      </c>
      <c r="BX19" s="254">
        <v>0</v>
      </c>
      <c r="BY19" s="254">
        <v>0</v>
      </c>
      <c r="BZ19" s="254">
        <v>2</v>
      </c>
      <c r="CA19" s="254">
        <v>2</v>
      </c>
      <c r="CB19" s="254">
        <v>0</v>
      </c>
      <c r="CC19" s="234"/>
      <c r="CD19" s="234"/>
      <c r="CE19" s="234"/>
      <c r="CF19" s="234"/>
      <c r="CG19" s="234"/>
      <c r="CH19" s="234"/>
      <c r="CI19" s="234"/>
      <c r="CJ19" s="234"/>
      <c r="CK19" s="234"/>
      <c r="CL19" s="234"/>
      <c r="CM19" s="234"/>
      <c r="CN19" s="234"/>
      <c r="CO19" s="234"/>
      <c r="CP19" s="234"/>
      <c r="CQ19" s="234"/>
      <c r="CR19" s="236"/>
      <c r="CS19" s="266" t="s">
        <v>647</v>
      </c>
      <c r="CT19" s="264">
        <v>37</v>
      </c>
      <c r="CU19" s="264" t="s">
        <v>644</v>
      </c>
      <c r="CV19" s="264">
        <v>5326990278.9999924</v>
      </c>
      <c r="CW19" s="264">
        <v>5105472353</v>
      </c>
      <c r="CX19" s="264">
        <v>2258</v>
      </c>
      <c r="CY19" s="264">
        <v>96983829942.380035</v>
      </c>
      <c r="CZ19" s="264">
        <v>94226521529</v>
      </c>
      <c r="DA19" s="264">
        <v>1168</v>
      </c>
      <c r="DB19" s="264">
        <v>91656839663.380005</v>
      </c>
      <c r="DC19" s="264">
        <v>89121049176</v>
      </c>
      <c r="DD19" s="264">
        <v>1090</v>
      </c>
    </row>
    <row r="20" spans="1:108" x14ac:dyDescent="0.2">
      <c r="B20" s="180"/>
      <c r="C20" s="180"/>
      <c r="D20" s="180"/>
      <c r="E20" s="210"/>
      <c r="F20" s="210"/>
      <c r="G20" s="210"/>
      <c r="H20" s="210"/>
      <c r="J20" s="147" t="str">
        <f>K20&amp;L20</f>
        <v>ABuy</v>
      </c>
      <c r="K20" s="223" t="s">
        <v>530</v>
      </c>
      <c r="L20" s="223" t="s">
        <v>531</v>
      </c>
      <c r="M20" s="227">
        <v>119993830378.63</v>
      </c>
      <c r="N20" s="151"/>
      <c r="O20" s="324">
        <v>525050000000</v>
      </c>
      <c r="P20" s="324">
        <v>-528401000000</v>
      </c>
      <c r="Q20" s="324">
        <v>-3351000000</v>
      </c>
      <c r="S20" s="242"/>
      <c r="T20" s="247"/>
      <c r="U20" s="247"/>
      <c r="V20" s="247"/>
      <c r="W20" s="247"/>
      <c r="X20" s="247"/>
      <c r="Y20" s="234"/>
      <c r="Z20" s="242" t="s">
        <v>577</v>
      </c>
      <c r="AA20" s="242">
        <v>0</v>
      </c>
      <c r="AB20" s="242">
        <v>0</v>
      </c>
      <c r="AC20" s="242">
        <v>0</v>
      </c>
      <c r="AD20" s="242">
        <v>0</v>
      </c>
      <c r="AE20" s="242">
        <v>0</v>
      </c>
      <c r="AF20" s="242"/>
      <c r="AG20" s="242" t="s">
        <v>577</v>
      </c>
      <c r="AH20" s="242">
        <v>0</v>
      </c>
      <c r="AI20" s="242">
        <v>0</v>
      </c>
      <c r="AJ20" s="242">
        <v>0</v>
      </c>
      <c r="AK20" s="242">
        <v>0</v>
      </c>
      <c r="AL20" s="242">
        <v>0</v>
      </c>
      <c r="AM20" s="234"/>
      <c r="AN20" s="242" t="s">
        <v>577</v>
      </c>
      <c r="AO20" s="242">
        <v>0</v>
      </c>
      <c r="AP20" s="242">
        <v>0</v>
      </c>
      <c r="AQ20" s="242">
        <v>0</v>
      </c>
      <c r="AR20" s="242">
        <v>0</v>
      </c>
      <c r="AS20" s="242">
        <v>0</v>
      </c>
      <c r="AT20" s="234"/>
      <c r="AU20" s="242" t="s">
        <v>577</v>
      </c>
      <c r="AV20" s="242">
        <v>0</v>
      </c>
      <c r="AW20" s="242">
        <v>0</v>
      </c>
      <c r="AX20" s="242">
        <v>0</v>
      </c>
      <c r="AY20" s="242">
        <v>0</v>
      </c>
      <c r="AZ20" s="242">
        <v>0</v>
      </c>
      <c r="BA20" s="234"/>
      <c r="BB20" s="242" t="s">
        <v>578</v>
      </c>
      <c r="BC20" s="242">
        <v>0</v>
      </c>
      <c r="BD20" s="242">
        <v>0</v>
      </c>
      <c r="BE20" s="242">
        <v>0</v>
      </c>
      <c r="BF20" s="242">
        <v>0</v>
      </c>
      <c r="BG20" s="242">
        <v>0</v>
      </c>
      <c r="BH20" s="236" t="s">
        <v>578</v>
      </c>
      <c r="BI20" s="242">
        <v>0</v>
      </c>
      <c r="BJ20" s="242">
        <v>0</v>
      </c>
      <c r="BK20" s="242">
        <v>0</v>
      </c>
      <c r="BL20" s="242">
        <v>0</v>
      </c>
      <c r="BM20" s="242">
        <v>0</v>
      </c>
      <c r="BN20" s="242"/>
      <c r="BO20" s="236"/>
      <c r="BP20" s="252">
        <v>45131244108.190002</v>
      </c>
      <c r="BQ20" s="252">
        <v>434695</v>
      </c>
      <c r="BR20" s="252">
        <v>385</v>
      </c>
      <c r="BS20" s="234"/>
      <c r="BT20" s="254" t="s">
        <v>619</v>
      </c>
      <c r="BU20" s="254">
        <v>1</v>
      </c>
      <c r="BV20" s="254">
        <v>0</v>
      </c>
      <c r="BW20" s="254">
        <v>0</v>
      </c>
      <c r="BX20" s="254">
        <v>0</v>
      </c>
      <c r="BY20" s="254">
        <v>0</v>
      </c>
      <c r="BZ20" s="254">
        <v>1</v>
      </c>
      <c r="CA20" s="254">
        <v>1</v>
      </c>
      <c r="CB20" s="254">
        <v>0</v>
      </c>
      <c r="CC20" s="338" t="s">
        <v>514</v>
      </c>
      <c r="CD20" s="337" t="s">
        <v>623</v>
      </c>
      <c r="CE20" s="337" t="s">
        <v>625</v>
      </c>
      <c r="CF20" s="234"/>
      <c r="CG20" s="234"/>
      <c r="CH20" s="234"/>
      <c r="CI20" s="234"/>
      <c r="CJ20" s="234"/>
      <c r="CK20" s="234"/>
      <c r="CL20" s="234"/>
      <c r="CM20" s="234"/>
      <c r="CN20" s="234"/>
      <c r="CO20" s="234"/>
      <c r="CP20" s="234"/>
      <c r="CQ20" s="234"/>
      <c r="CR20" s="236"/>
      <c r="CS20" s="266" t="s">
        <v>647</v>
      </c>
      <c r="CT20" s="264">
        <v>7</v>
      </c>
      <c r="CU20" s="264" t="s">
        <v>645</v>
      </c>
      <c r="CV20" s="264">
        <v>-2796636496.3500004</v>
      </c>
      <c r="CW20" s="264">
        <v>-2062000000</v>
      </c>
      <c r="CX20" s="264">
        <v>12</v>
      </c>
      <c r="CY20" s="264">
        <v>661300971.29999995</v>
      </c>
      <c r="CZ20" s="264">
        <v>892000000</v>
      </c>
      <c r="DA20" s="264">
        <v>2</v>
      </c>
      <c r="DB20" s="264">
        <v>3457937467.6500006</v>
      </c>
      <c r="DC20" s="264">
        <v>2954000000</v>
      </c>
      <c r="DD20" s="264">
        <v>10</v>
      </c>
    </row>
    <row r="21" spans="1:108" x14ac:dyDescent="0.2">
      <c r="B21" s="178"/>
      <c r="C21" s="178"/>
      <c r="D21" s="178"/>
      <c r="E21" s="198"/>
      <c r="F21" s="198"/>
      <c r="G21" s="198"/>
      <c r="H21" s="198"/>
      <c r="J21" s="147" t="str">
        <f t="shared" ref="J21:J22" si="3">K21&amp;L21</f>
        <v>PBuy</v>
      </c>
      <c r="K21" s="223" t="s">
        <v>532</v>
      </c>
      <c r="L21" s="223" t="s">
        <v>531</v>
      </c>
      <c r="M21" s="227">
        <v>214342203412.31003</v>
      </c>
      <c r="O21" s="228"/>
      <c r="P21" s="228"/>
      <c r="Q21" s="228"/>
      <c r="S21" s="242"/>
      <c r="T21" s="247"/>
      <c r="U21" s="247"/>
      <c r="V21" s="247"/>
      <c r="W21" s="247"/>
      <c r="X21" s="247"/>
      <c r="Y21" s="234"/>
      <c r="Z21" s="242" t="s">
        <v>578</v>
      </c>
      <c r="AA21" s="242">
        <v>0</v>
      </c>
      <c r="AB21" s="242">
        <v>0</v>
      </c>
      <c r="AC21" s="242">
        <v>0</v>
      </c>
      <c r="AD21" s="242">
        <v>0</v>
      </c>
      <c r="AE21" s="242">
        <v>0</v>
      </c>
      <c r="AF21" s="242"/>
      <c r="AG21" s="242" t="s">
        <v>578</v>
      </c>
      <c r="AH21" s="242">
        <v>0</v>
      </c>
      <c r="AI21" s="242">
        <v>0</v>
      </c>
      <c r="AJ21" s="242">
        <v>0</v>
      </c>
      <c r="AK21" s="242">
        <v>0</v>
      </c>
      <c r="AL21" s="242">
        <v>0</v>
      </c>
      <c r="AM21" s="234"/>
      <c r="AN21" s="242" t="s">
        <v>578</v>
      </c>
      <c r="AO21" s="242">
        <v>0</v>
      </c>
      <c r="AP21" s="242">
        <v>0</v>
      </c>
      <c r="AQ21" s="242">
        <v>0</v>
      </c>
      <c r="AR21" s="242">
        <v>0</v>
      </c>
      <c r="AS21" s="242">
        <v>0</v>
      </c>
      <c r="AT21" s="234"/>
      <c r="AU21" s="242" t="s">
        <v>578</v>
      </c>
      <c r="AV21" s="242">
        <v>0</v>
      </c>
      <c r="AW21" s="242">
        <v>0</v>
      </c>
      <c r="AX21" s="242">
        <v>0</v>
      </c>
      <c r="AY21" s="242">
        <v>0</v>
      </c>
      <c r="AZ21" s="242">
        <v>0</v>
      </c>
      <c r="BA21" s="234"/>
      <c r="BB21" s="242" t="s">
        <v>579</v>
      </c>
      <c r="BC21" s="242">
        <v>0</v>
      </c>
      <c r="BD21" s="242">
        <v>0</v>
      </c>
      <c r="BE21" s="242">
        <v>0</v>
      </c>
      <c r="BF21" s="242">
        <v>0</v>
      </c>
      <c r="BG21" s="242">
        <v>0</v>
      </c>
      <c r="BH21" s="236" t="s">
        <v>579</v>
      </c>
      <c r="BI21" s="242">
        <v>0</v>
      </c>
      <c r="BJ21" s="242">
        <v>0</v>
      </c>
      <c r="BK21" s="242">
        <v>0</v>
      </c>
      <c r="BL21" s="242">
        <v>0</v>
      </c>
      <c r="BM21" s="242">
        <v>0</v>
      </c>
      <c r="BN21" s="242"/>
      <c r="BO21" s="236"/>
      <c r="BP21" s="252"/>
      <c r="BQ21" s="252"/>
      <c r="BR21" s="252"/>
      <c r="BS21" s="234"/>
      <c r="BT21" s="254" t="s">
        <v>620</v>
      </c>
      <c r="BU21" s="254">
        <v>322</v>
      </c>
      <c r="BV21" s="254">
        <v>5</v>
      </c>
      <c r="BW21" s="254">
        <v>3</v>
      </c>
      <c r="BX21" s="254">
        <v>0</v>
      </c>
      <c r="BY21" s="254">
        <v>0</v>
      </c>
      <c r="BZ21" s="254">
        <v>324</v>
      </c>
      <c r="CA21" s="254">
        <v>258</v>
      </c>
      <c r="CB21" s="254">
        <v>64</v>
      </c>
      <c r="CC21" s="335"/>
      <c r="CD21" s="339">
        <v>3421595190937036</v>
      </c>
      <c r="CE21" s="340">
        <v>5080441232907.1836</v>
      </c>
      <c r="CF21" s="234"/>
      <c r="CG21" s="234"/>
      <c r="CH21" s="234"/>
      <c r="CI21" s="234"/>
      <c r="CJ21" s="234"/>
      <c r="CK21" s="234"/>
      <c r="CL21" s="234"/>
      <c r="CM21" s="234"/>
      <c r="CN21" s="234"/>
      <c r="CO21" s="234"/>
      <c r="CP21" s="234"/>
      <c r="CQ21" s="234"/>
      <c r="CR21" s="236"/>
      <c r="CS21" s="266"/>
      <c r="CT21" s="264"/>
      <c r="CU21" s="264"/>
      <c r="CV21" s="264"/>
      <c r="CW21" s="264"/>
      <c r="CX21" s="264"/>
      <c r="CY21" s="264"/>
      <c r="CZ21" s="264"/>
      <c r="DA21" s="264"/>
      <c r="DB21" s="264"/>
      <c r="DC21" s="264"/>
      <c r="DD21" s="264"/>
    </row>
    <row r="22" spans="1:108" x14ac:dyDescent="0.2">
      <c r="B22" s="178"/>
      <c r="C22" s="178"/>
      <c r="D22" s="178"/>
      <c r="E22" s="198"/>
      <c r="F22" s="198"/>
      <c r="G22" s="198"/>
      <c r="H22" s="198"/>
      <c r="J22" s="147" t="str">
        <f t="shared" si="3"/>
        <v>ASell</v>
      </c>
      <c r="K22" s="223" t="s">
        <v>530</v>
      </c>
      <c r="L22" s="223" t="s">
        <v>533</v>
      </c>
      <c r="M22" s="227">
        <v>123913894835.55</v>
      </c>
      <c r="O22" s="228"/>
      <c r="P22" s="228"/>
      <c r="Q22" s="228"/>
      <c r="S22" s="242"/>
      <c r="T22" s="247"/>
      <c r="U22" s="247"/>
      <c r="V22" s="247"/>
      <c r="W22" s="247"/>
      <c r="X22" s="247"/>
      <c r="Y22" s="234"/>
      <c r="Z22" s="242" t="s">
        <v>579</v>
      </c>
      <c r="AA22" s="242">
        <v>0</v>
      </c>
      <c r="AB22" s="242">
        <v>0</v>
      </c>
      <c r="AC22" s="242">
        <v>0</v>
      </c>
      <c r="AD22" s="242">
        <v>0</v>
      </c>
      <c r="AE22" s="242">
        <v>0</v>
      </c>
      <c r="AF22" s="242"/>
      <c r="AG22" s="242" t="s">
        <v>579</v>
      </c>
      <c r="AH22" s="242">
        <v>0</v>
      </c>
      <c r="AI22" s="242">
        <v>0</v>
      </c>
      <c r="AJ22" s="242">
        <v>0</v>
      </c>
      <c r="AK22" s="242">
        <v>0</v>
      </c>
      <c r="AL22" s="242">
        <v>0</v>
      </c>
      <c r="AM22" s="234"/>
      <c r="AN22" s="242" t="s">
        <v>579</v>
      </c>
      <c r="AO22" s="242">
        <v>0</v>
      </c>
      <c r="AP22" s="242">
        <v>0</v>
      </c>
      <c r="AQ22" s="242">
        <v>0</v>
      </c>
      <c r="AR22" s="242">
        <v>0</v>
      </c>
      <c r="AS22" s="242">
        <v>0</v>
      </c>
      <c r="AT22" s="234"/>
      <c r="AU22" s="242" t="s">
        <v>579</v>
      </c>
      <c r="AV22" s="242">
        <v>0</v>
      </c>
      <c r="AW22" s="242">
        <v>0</v>
      </c>
      <c r="AX22" s="242">
        <v>0</v>
      </c>
      <c r="AY22" s="242">
        <v>0</v>
      </c>
      <c r="AZ22" s="242">
        <v>0</v>
      </c>
      <c r="BA22" s="234"/>
      <c r="BB22" s="242" t="s">
        <v>580</v>
      </c>
      <c r="BC22" s="242">
        <v>0</v>
      </c>
      <c r="BD22" s="242">
        <v>0</v>
      </c>
      <c r="BE22" s="242">
        <v>0</v>
      </c>
      <c r="BF22" s="242">
        <v>0</v>
      </c>
      <c r="BG22" s="242">
        <v>0</v>
      </c>
      <c r="BH22" s="236" t="s">
        <v>580</v>
      </c>
      <c r="BI22" s="242">
        <v>0</v>
      </c>
      <c r="BJ22" s="242">
        <v>0</v>
      </c>
      <c r="BK22" s="242">
        <v>0</v>
      </c>
      <c r="BL22" s="242">
        <v>0</v>
      </c>
      <c r="BM22" s="242">
        <v>0</v>
      </c>
      <c r="BN22" s="242"/>
      <c r="BO22" s="245" t="s">
        <v>470</v>
      </c>
      <c r="BP22" s="253" t="s">
        <v>526</v>
      </c>
      <c r="BQ22" s="253" t="s">
        <v>554</v>
      </c>
      <c r="BR22" s="253" t="s">
        <v>555</v>
      </c>
      <c r="BS22" s="234"/>
      <c r="BT22" s="234" t="s">
        <v>621</v>
      </c>
      <c r="BU22" s="254">
        <v>1</v>
      </c>
      <c r="BV22" s="234">
        <v>0</v>
      </c>
      <c r="BW22" s="234">
        <v>0</v>
      </c>
      <c r="BX22" s="234">
        <v>0</v>
      </c>
      <c r="BY22" s="234">
        <v>0</v>
      </c>
      <c r="BZ22" s="234">
        <v>1</v>
      </c>
      <c r="CA22" s="234">
        <v>1</v>
      </c>
      <c r="CB22" s="234">
        <v>0</v>
      </c>
      <c r="CC22" s="234"/>
      <c r="CD22" s="234"/>
      <c r="CE22" s="234"/>
      <c r="CF22" s="234"/>
      <c r="CG22" s="234"/>
      <c r="CH22" s="234"/>
      <c r="CI22" s="234"/>
      <c r="CJ22" s="234"/>
      <c r="CK22" s="234"/>
      <c r="CL22" s="234"/>
      <c r="CM22" s="234"/>
      <c r="CN22" s="234"/>
      <c r="CO22" s="234"/>
      <c r="CP22" s="234"/>
      <c r="CQ22" s="234"/>
      <c r="CR22" s="234"/>
      <c r="CS22" s="234"/>
      <c r="CT22" s="234"/>
      <c r="CU22" s="234"/>
      <c r="CV22" s="234"/>
      <c r="CW22" s="234"/>
      <c r="CX22" s="234"/>
      <c r="CY22" s="234"/>
      <c r="CZ22" s="234"/>
      <c r="DA22" s="234"/>
      <c r="DB22" s="234"/>
      <c r="DC22" s="234"/>
      <c r="DD22" s="234"/>
    </row>
    <row r="23" spans="1:108" x14ac:dyDescent="0.2">
      <c r="A23" s="157" t="s">
        <v>193</v>
      </c>
      <c r="B23" s="182" t="s">
        <v>213</v>
      </c>
      <c r="C23" s="183" t="s">
        <v>214</v>
      </c>
      <c r="D23" s="182" t="s">
        <v>215</v>
      </c>
      <c r="E23" s="213" t="s">
        <v>543</v>
      </c>
      <c r="F23" s="216" t="s">
        <v>431</v>
      </c>
      <c r="G23" s="213" t="s">
        <v>213</v>
      </c>
      <c r="H23" s="213" t="s">
        <v>534</v>
      </c>
      <c r="I23" s="159"/>
      <c r="J23" s="147" t="str">
        <f>K23&amp;L23</f>
        <v>PSell</v>
      </c>
      <c r="K23" s="223" t="s">
        <v>532</v>
      </c>
      <c r="L23" s="223" t="s">
        <v>533</v>
      </c>
      <c r="M23" s="227">
        <v>210422138955.39001</v>
      </c>
      <c r="N23" s="157" t="s">
        <v>432</v>
      </c>
      <c r="O23" s="231" t="s">
        <v>213</v>
      </c>
      <c r="P23" s="231" t="s">
        <v>534</v>
      </c>
      <c r="Q23" s="228"/>
      <c r="S23" s="242"/>
      <c r="T23" s="247"/>
      <c r="U23" s="247"/>
      <c r="V23" s="247"/>
      <c r="W23" s="247"/>
      <c r="X23" s="247"/>
      <c r="Y23" s="234"/>
      <c r="Z23" s="242" t="s">
        <v>580</v>
      </c>
      <c r="AA23" s="242">
        <v>0</v>
      </c>
      <c r="AB23" s="242">
        <v>0</v>
      </c>
      <c r="AC23" s="242">
        <v>0</v>
      </c>
      <c r="AD23" s="242">
        <v>0</v>
      </c>
      <c r="AE23" s="242">
        <v>0</v>
      </c>
      <c r="AF23" s="242"/>
      <c r="AG23" s="242" t="s">
        <v>580</v>
      </c>
      <c r="AH23" s="242">
        <v>0</v>
      </c>
      <c r="AI23" s="242">
        <v>0</v>
      </c>
      <c r="AJ23" s="242">
        <v>0</v>
      </c>
      <c r="AK23" s="242">
        <v>0</v>
      </c>
      <c r="AL23" s="242">
        <v>0</v>
      </c>
      <c r="AM23" s="234"/>
      <c r="AN23" s="242" t="s">
        <v>580</v>
      </c>
      <c r="AO23" s="242">
        <v>0</v>
      </c>
      <c r="AP23" s="242">
        <v>0</v>
      </c>
      <c r="AQ23" s="242">
        <v>0</v>
      </c>
      <c r="AR23" s="242">
        <v>0</v>
      </c>
      <c r="AS23" s="242">
        <v>0</v>
      </c>
      <c r="AT23" s="234"/>
      <c r="AU23" s="242" t="s">
        <v>580</v>
      </c>
      <c r="AV23" s="242">
        <v>0</v>
      </c>
      <c r="AW23" s="242">
        <v>0</v>
      </c>
      <c r="AX23" s="242">
        <v>0</v>
      </c>
      <c r="AY23" s="242">
        <v>0</v>
      </c>
      <c r="AZ23" s="242">
        <v>0</v>
      </c>
      <c r="BA23" s="234"/>
      <c r="BB23" s="242" t="s">
        <v>581</v>
      </c>
      <c r="BC23" s="242">
        <v>0</v>
      </c>
      <c r="BD23" s="242">
        <v>0</v>
      </c>
      <c r="BE23" s="242">
        <v>0</v>
      </c>
      <c r="BF23" s="242">
        <v>880</v>
      </c>
      <c r="BG23" s="242">
        <v>0</v>
      </c>
      <c r="BH23" s="236" t="s">
        <v>581</v>
      </c>
      <c r="BI23" s="242">
        <v>0</v>
      </c>
      <c r="BJ23" s="242">
        <v>0</v>
      </c>
      <c r="BK23" s="242">
        <v>0</v>
      </c>
      <c r="BL23" s="242">
        <v>40</v>
      </c>
      <c r="BM23" s="242">
        <v>0</v>
      </c>
      <c r="BN23" s="242"/>
      <c r="BO23" s="236"/>
      <c r="BP23" s="252">
        <v>14927020760.35</v>
      </c>
      <c r="BQ23" s="252">
        <v>157005</v>
      </c>
      <c r="BR23" s="252">
        <v>160</v>
      </c>
      <c r="BS23" s="234"/>
      <c r="BT23" s="234"/>
      <c r="BU23" s="234"/>
      <c r="BV23" s="234"/>
      <c r="BW23" s="234"/>
      <c r="BX23" s="234"/>
      <c r="BY23" s="234"/>
      <c r="BZ23" s="234"/>
      <c r="CA23" s="234"/>
      <c r="CB23" s="234"/>
      <c r="CC23" s="234"/>
      <c r="CD23" s="234"/>
      <c r="CE23" s="234"/>
      <c r="CF23" s="234"/>
      <c r="CG23" s="234"/>
      <c r="CH23" s="234"/>
      <c r="CI23" s="234"/>
      <c r="CJ23" s="234"/>
      <c r="CK23" s="234"/>
      <c r="CL23" s="234"/>
      <c r="CM23" s="234"/>
      <c r="CN23" s="234"/>
      <c r="CO23" s="234"/>
      <c r="CP23" s="234"/>
      <c r="CQ23" s="234"/>
      <c r="CR23" s="234"/>
      <c r="CS23" s="234"/>
      <c r="CT23" s="234"/>
      <c r="CU23" s="234"/>
      <c r="CV23" s="234"/>
      <c r="CW23" s="234"/>
      <c r="CX23" s="234"/>
      <c r="CY23" s="234"/>
      <c r="CZ23" s="234"/>
      <c r="DA23" s="234"/>
      <c r="DB23" s="234"/>
      <c r="DC23" s="234"/>
      <c r="DD23" s="234"/>
    </row>
    <row r="24" spans="1:108" x14ac:dyDescent="0.2">
      <c r="B24" s="181" t="s">
        <v>217</v>
      </c>
      <c r="C24" s="184">
        <v>38713</v>
      </c>
      <c r="D24" s="181">
        <v>17296.830000000002</v>
      </c>
      <c r="E24" s="212">
        <v>1</v>
      </c>
      <c r="F24" s="198"/>
      <c r="G24" s="212" t="s">
        <v>258</v>
      </c>
      <c r="H24" s="212">
        <v>11874.086455819999</v>
      </c>
      <c r="I24" s="158"/>
      <c r="K24" s="220"/>
      <c r="L24" s="217"/>
      <c r="M24" s="217"/>
      <c r="O24" s="230" t="s">
        <v>258</v>
      </c>
      <c r="P24" s="230">
        <v>12172.827369660001</v>
      </c>
      <c r="Q24" s="228"/>
      <c r="S24" s="242"/>
      <c r="T24" s="247"/>
      <c r="U24" s="247"/>
      <c r="V24" s="247"/>
      <c r="W24" s="247"/>
      <c r="X24" s="247"/>
      <c r="Y24" s="234"/>
      <c r="Z24" s="242" t="s">
        <v>581</v>
      </c>
      <c r="AA24" s="242">
        <v>0</v>
      </c>
      <c r="AB24" s="242">
        <v>0</v>
      </c>
      <c r="AC24" s="242">
        <v>0</v>
      </c>
      <c r="AD24" s="242">
        <v>0</v>
      </c>
      <c r="AE24" s="242">
        <v>0</v>
      </c>
      <c r="AF24" s="242"/>
      <c r="AG24" s="242" t="s">
        <v>581</v>
      </c>
      <c r="AH24" s="242">
        <v>0</v>
      </c>
      <c r="AI24" s="242">
        <v>0</v>
      </c>
      <c r="AJ24" s="242">
        <v>0</v>
      </c>
      <c r="AK24" s="242">
        <v>0</v>
      </c>
      <c r="AL24" s="242">
        <v>0</v>
      </c>
      <c r="AM24" s="234"/>
      <c r="AN24" s="242" t="s">
        <v>581</v>
      </c>
      <c r="AO24" s="242">
        <v>0</v>
      </c>
      <c r="AP24" s="242">
        <v>0</v>
      </c>
      <c r="AQ24" s="242">
        <v>0</v>
      </c>
      <c r="AR24" s="242">
        <v>0</v>
      </c>
      <c r="AS24" s="242">
        <v>0</v>
      </c>
      <c r="AT24" s="234"/>
      <c r="AU24" s="242" t="s">
        <v>581</v>
      </c>
      <c r="AV24" s="242">
        <v>0</v>
      </c>
      <c r="AW24" s="242">
        <v>0</v>
      </c>
      <c r="AX24" s="242">
        <v>0</v>
      </c>
      <c r="AY24" s="242">
        <v>0</v>
      </c>
      <c r="AZ24" s="242">
        <v>0</v>
      </c>
      <c r="BA24" s="234"/>
      <c r="BB24" s="242" t="s">
        <v>582</v>
      </c>
      <c r="BC24" s="242">
        <v>0</v>
      </c>
      <c r="BD24" s="242">
        <v>0</v>
      </c>
      <c r="BE24" s="242">
        <v>0</v>
      </c>
      <c r="BF24" s="242">
        <v>0</v>
      </c>
      <c r="BG24" s="242">
        <v>0</v>
      </c>
      <c r="BH24" s="236" t="s">
        <v>582</v>
      </c>
      <c r="BI24" s="242">
        <v>0</v>
      </c>
      <c r="BJ24" s="242">
        <v>0</v>
      </c>
      <c r="BK24" s="242">
        <v>0</v>
      </c>
      <c r="BL24" s="242">
        <v>0</v>
      </c>
      <c r="BM24" s="242">
        <v>0</v>
      </c>
      <c r="BN24" s="242"/>
      <c r="BO24" s="236"/>
      <c r="BP24" s="252"/>
      <c r="BQ24" s="252"/>
      <c r="BR24" s="252"/>
      <c r="BS24" s="234"/>
      <c r="BT24" s="234"/>
      <c r="BU24" s="234"/>
      <c r="BV24" s="234"/>
      <c r="BW24" s="234"/>
      <c r="BX24" s="234"/>
      <c r="BY24" s="234"/>
      <c r="BZ24" s="234"/>
      <c r="CA24" s="234"/>
      <c r="CB24" s="234"/>
      <c r="CC24" s="234"/>
      <c r="CD24" s="234"/>
      <c r="CE24" s="234"/>
      <c r="CF24" s="234"/>
      <c r="CG24" s="234"/>
      <c r="CH24" s="234"/>
      <c r="CI24" s="234"/>
      <c r="CJ24" s="234"/>
      <c r="CK24" s="234"/>
      <c r="CL24" s="234"/>
      <c r="CM24" s="234"/>
      <c r="CN24" s="234"/>
      <c r="CO24" s="234"/>
      <c r="CP24" s="234"/>
      <c r="CQ24" s="234"/>
      <c r="CR24" s="234"/>
      <c r="CS24" s="234"/>
      <c r="CT24" s="234"/>
      <c r="CU24" s="234"/>
      <c r="CV24" s="234"/>
      <c r="CW24" s="234"/>
      <c r="CX24" s="234"/>
      <c r="CY24" s="234"/>
      <c r="CZ24" s="234"/>
      <c r="DA24" s="234"/>
      <c r="DB24" s="234"/>
      <c r="DC24" s="234"/>
      <c r="DD24" s="234"/>
    </row>
    <row r="25" spans="1:108" x14ac:dyDescent="0.2">
      <c r="B25" s="181" t="s">
        <v>218</v>
      </c>
      <c r="C25" s="184">
        <v>38713</v>
      </c>
      <c r="D25" s="181">
        <v>20229.37</v>
      </c>
      <c r="E25" s="212">
        <v>1</v>
      </c>
      <c r="F25" s="198"/>
      <c r="G25" s="212" t="s">
        <v>259</v>
      </c>
      <c r="H25" s="212">
        <v>10736.04276299</v>
      </c>
      <c r="I25" s="158"/>
      <c r="K25" s="220"/>
      <c r="L25" s="217"/>
      <c r="M25" s="217"/>
      <c r="O25" s="230" t="s">
        <v>259</v>
      </c>
      <c r="P25" s="230">
        <v>11427.44782087</v>
      </c>
      <c r="Q25" s="228"/>
      <c r="S25" s="242"/>
      <c r="T25" s="247"/>
      <c r="U25" s="247"/>
      <c r="V25" s="247"/>
      <c r="W25" s="247"/>
      <c r="X25" s="247"/>
      <c r="Y25" s="234"/>
      <c r="Z25" s="242" t="s">
        <v>582</v>
      </c>
      <c r="AA25" s="242">
        <v>0</v>
      </c>
      <c r="AB25" s="242">
        <v>0</v>
      </c>
      <c r="AC25" s="242">
        <v>0</v>
      </c>
      <c r="AD25" s="242">
        <v>0</v>
      </c>
      <c r="AE25" s="242">
        <v>0</v>
      </c>
      <c r="AF25" s="242"/>
      <c r="AG25" s="242" t="s">
        <v>582</v>
      </c>
      <c r="AH25" s="242">
        <v>0</v>
      </c>
      <c r="AI25" s="242">
        <v>0</v>
      </c>
      <c r="AJ25" s="242">
        <v>0</v>
      </c>
      <c r="AK25" s="242">
        <v>0</v>
      </c>
      <c r="AL25" s="242">
        <v>0</v>
      </c>
      <c r="AM25" s="234"/>
      <c r="AN25" s="242" t="s">
        <v>582</v>
      </c>
      <c r="AO25" s="242">
        <v>0</v>
      </c>
      <c r="AP25" s="242">
        <v>0</v>
      </c>
      <c r="AQ25" s="242">
        <v>0</v>
      </c>
      <c r="AR25" s="242">
        <v>0</v>
      </c>
      <c r="AS25" s="242">
        <v>0</v>
      </c>
      <c r="AT25" s="234"/>
      <c r="AU25" s="242" t="s">
        <v>582</v>
      </c>
      <c r="AV25" s="242">
        <v>0</v>
      </c>
      <c r="AW25" s="242">
        <v>0</v>
      </c>
      <c r="AX25" s="242">
        <v>0</v>
      </c>
      <c r="AY25" s="242">
        <v>0</v>
      </c>
      <c r="AZ25" s="242">
        <v>0</v>
      </c>
      <c r="BA25" s="234"/>
      <c r="BB25" s="242" t="s">
        <v>585</v>
      </c>
      <c r="BC25" s="242">
        <v>0</v>
      </c>
      <c r="BD25" s="242">
        <v>0</v>
      </c>
      <c r="BE25" s="242">
        <v>0</v>
      </c>
      <c r="BF25" s="242">
        <v>0</v>
      </c>
      <c r="BG25" s="242">
        <v>0</v>
      </c>
      <c r="BH25" s="236" t="s">
        <v>585</v>
      </c>
      <c r="BI25" s="242">
        <v>0</v>
      </c>
      <c r="BJ25" s="242">
        <v>0</v>
      </c>
      <c r="BK25" s="242">
        <v>0</v>
      </c>
      <c r="BL25" s="242">
        <v>0</v>
      </c>
      <c r="BM25" s="242">
        <v>0</v>
      </c>
      <c r="BN25" s="242"/>
      <c r="BO25" s="245" t="s">
        <v>473</v>
      </c>
      <c r="BP25" s="253" t="s">
        <v>556</v>
      </c>
      <c r="BQ25" s="252"/>
      <c r="BR25" s="252"/>
      <c r="BS25" s="234"/>
      <c r="BT25" s="234"/>
      <c r="BU25" s="252"/>
      <c r="BV25" s="234"/>
      <c r="BW25" s="234"/>
      <c r="BX25" s="234"/>
      <c r="BY25" s="234"/>
      <c r="BZ25" s="234"/>
      <c r="CA25" s="234"/>
      <c r="CB25" s="234"/>
      <c r="CC25" s="234"/>
      <c r="CD25" s="234"/>
      <c r="CE25" s="234"/>
      <c r="CF25" s="234"/>
      <c r="CG25" s="234"/>
      <c r="CH25" s="234"/>
      <c r="CI25" s="234"/>
      <c r="CJ25" s="234"/>
      <c r="CK25" s="234"/>
      <c r="CL25" s="234"/>
      <c r="CM25" s="234"/>
      <c r="CN25" s="234"/>
      <c r="CO25" s="234"/>
      <c r="CP25" s="234"/>
      <c r="CQ25" s="234"/>
      <c r="CR25" s="234"/>
      <c r="CS25" s="234"/>
      <c r="CT25" s="234"/>
      <c r="CU25" s="234"/>
      <c r="CV25" s="234"/>
      <c r="CW25" s="234"/>
      <c r="CX25" s="234"/>
      <c r="CY25" s="234"/>
      <c r="CZ25" s="234"/>
      <c r="DA25" s="234"/>
      <c r="DB25" s="234"/>
      <c r="DC25" s="234"/>
      <c r="DD25" s="234"/>
    </row>
    <row r="26" spans="1:108" x14ac:dyDescent="0.2">
      <c r="B26" s="181" t="s">
        <v>219</v>
      </c>
      <c r="C26" s="184">
        <v>38628</v>
      </c>
      <c r="D26" s="181">
        <v>10207.67</v>
      </c>
      <c r="E26" s="212">
        <v>1</v>
      </c>
      <c r="F26" s="198"/>
      <c r="G26" s="212" t="s">
        <v>260</v>
      </c>
      <c r="H26" s="212">
        <v>18392.543816730002</v>
      </c>
      <c r="I26" s="158"/>
      <c r="J26" s="152"/>
      <c r="K26" s="221"/>
      <c r="L26" s="217"/>
      <c r="M26" s="217"/>
      <c r="O26" s="230" t="s">
        <v>260</v>
      </c>
      <c r="P26" s="230">
        <v>23493.399567140001</v>
      </c>
      <c r="Q26" s="228"/>
      <c r="S26" s="242"/>
      <c r="T26" s="247"/>
      <c r="U26" s="247"/>
      <c r="V26" s="247"/>
      <c r="W26" s="247"/>
      <c r="X26" s="247"/>
      <c r="Y26" s="234"/>
      <c r="Z26" s="242" t="s">
        <v>583</v>
      </c>
      <c r="AA26" s="242">
        <v>0</v>
      </c>
      <c r="AB26" s="242">
        <v>0</v>
      </c>
      <c r="AC26" s="242">
        <v>0</v>
      </c>
      <c r="AD26" s="242">
        <v>0</v>
      </c>
      <c r="AE26" s="242">
        <v>0</v>
      </c>
      <c r="AF26" s="242"/>
      <c r="AG26" s="242" t="s">
        <v>583</v>
      </c>
      <c r="AH26" s="242">
        <v>0</v>
      </c>
      <c r="AI26" s="242">
        <v>0</v>
      </c>
      <c r="AJ26" s="242">
        <v>0</v>
      </c>
      <c r="AK26" s="242">
        <v>0</v>
      </c>
      <c r="AL26" s="242">
        <v>0</v>
      </c>
      <c r="AM26" s="234"/>
      <c r="AN26" s="242" t="s">
        <v>583</v>
      </c>
      <c r="AO26" s="242">
        <v>0</v>
      </c>
      <c r="AP26" s="242">
        <v>0</v>
      </c>
      <c r="AQ26" s="242">
        <v>0</v>
      </c>
      <c r="AR26" s="242">
        <v>0</v>
      </c>
      <c r="AS26" s="242">
        <v>0</v>
      </c>
      <c r="AT26" s="234"/>
      <c r="AU26" s="242" t="s">
        <v>583</v>
      </c>
      <c r="AV26" s="242">
        <v>0</v>
      </c>
      <c r="AW26" s="242">
        <v>0</v>
      </c>
      <c r="AX26" s="242">
        <v>0</v>
      </c>
      <c r="AY26" s="242">
        <v>0</v>
      </c>
      <c r="AZ26" s="242">
        <v>0</v>
      </c>
      <c r="BA26" s="234"/>
      <c r="BB26" s="242" t="s">
        <v>586</v>
      </c>
      <c r="BC26" s="242">
        <v>0</v>
      </c>
      <c r="BD26" s="242">
        <v>0</v>
      </c>
      <c r="BE26" s="242">
        <v>0</v>
      </c>
      <c r="BF26" s="242">
        <v>0</v>
      </c>
      <c r="BG26" s="242">
        <v>0</v>
      </c>
      <c r="BH26" s="236" t="s">
        <v>586</v>
      </c>
      <c r="BI26" s="242">
        <v>0</v>
      </c>
      <c r="BJ26" s="242">
        <v>0</v>
      </c>
      <c r="BK26" s="242">
        <v>0</v>
      </c>
      <c r="BL26" s="242">
        <v>0</v>
      </c>
      <c r="BM26" s="242">
        <v>0</v>
      </c>
      <c r="BN26" s="242"/>
      <c r="BO26" s="236"/>
      <c r="BP26" s="252">
        <v>771638</v>
      </c>
      <c r="BQ26" s="252"/>
      <c r="BR26" s="252"/>
      <c r="BS26" s="234"/>
      <c r="BT26" s="234"/>
      <c r="BU26" s="234"/>
      <c r="BV26" s="234"/>
      <c r="BW26" s="234"/>
      <c r="BX26" s="234"/>
      <c r="BY26" s="234"/>
      <c r="BZ26" s="234"/>
      <c r="CA26" s="234"/>
      <c r="CB26" s="234"/>
      <c r="CC26" s="234"/>
      <c r="CD26" s="234"/>
      <c r="CE26" s="234"/>
      <c r="CF26" s="234"/>
      <c r="CG26" s="234"/>
      <c r="CH26" s="234"/>
      <c r="CI26" s="234"/>
      <c r="CJ26" s="234"/>
      <c r="CK26" s="234"/>
      <c r="CL26" s="234"/>
      <c r="CM26" s="234"/>
      <c r="CN26" s="234"/>
      <c r="CO26" s="234"/>
      <c r="CP26" s="234"/>
      <c r="CQ26" s="234"/>
      <c r="CR26" s="234"/>
      <c r="CS26" s="234"/>
      <c r="CT26" s="234"/>
      <c r="CU26" s="234"/>
      <c r="CV26" s="234"/>
      <c r="CW26" s="234"/>
      <c r="CX26" s="234"/>
      <c r="CY26" s="234"/>
      <c r="CZ26" s="234"/>
      <c r="DA26" s="234"/>
      <c r="DB26" s="234"/>
      <c r="DC26" s="234"/>
      <c r="DD26" s="234"/>
    </row>
    <row r="27" spans="1:108" x14ac:dyDescent="0.2">
      <c r="B27" s="181" t="s">
        <v>220</v>
      </c>
      <c r="C27" s="184">
        <v>38713</v>
      </c>
      <c r="D27" s="181">
        <v>17257.37</v>
      </c>
      <c r="E27" s="212">
        <v>1</v>
      </c>
      <c r="F27" s="198"/>
      <c r="G27" s="212" t="s">
        <v>261</v>
      </c>
      <c r="H27" s="212">
        <v>3097.6096875500002</v>
      </c>
      <c r="I27" s="158"/>
      <c r="J27" s="152"/>
      <c r="K27" s="220"/>
      <c r="L27" s="217"/>
      <c r="M27" s="217"/>
      <c r="O27" s="230" t="s">
        <v>261</v>
      </c>
      <c r="P27" s="230">
        <v>3265.1780576400001</v>
      </c>
      <c r="Q27" s="228"/>
      <c r="S27" s="242"/>
      <c r="T27" s="247"/>
      <c r="U27" s="247"/>
      <c r="V27" s="247"/>
      <c r="W27" s="247"/>
      <c r="X27" s="247"/>
      <c r="Y27" s="234"/>
      <c r="Z27" s="242" t="s">
        <v>584</v>
      </c>
      <c r="AA27" s="242">
        <v>0</v>
      </c>
      <c r="AB27" s="242">
        <v>0</v>
      </c>
      <c r="AC27" s="242">
        <v>0</v>
      </c>
      <c r="AD27" s="242">
        <v>0</v>
      </c>
      <c r="AE27" s="242">
        <v>0</v>
      </c>
      <c r="AF27" s="242"/>
      <c r="AG27" s="242" t="s">
        <v>584</v>
      </c>
      <c r="AH27" s="242">
        <v>0</v>
      </c>
      <c r="AI27" s="242">
        <v>0</v>
      </c>
      <c r="AJ27" s="242">
        <v>0</v>
      </c>
      <c r="AK27" s="242">
        <v>0</v>
      </c>
      <c r="AL27" s="242">
        <v>0</v>
      </c>
      <c r="AM27" s="234"/>
      <c r="AN27" s="242" t="s">
        <v>584</v>
      </c>
      <c r="AO27" s="242">
        <v>0</v>
      </c>
      <c r="AP27" s="242">
        <v>0</v>
      </c>
      <c r="AQ27" s="242">
        <v>0</v>
      </c>
      <c r="AR27" s="242">
        <v>0</v>
      </c>
      <c r="AS27" s="242">
        <v>0</v>
      </c>
      <c r="AT27" s="234"/>
      <c r="AU27" s="242" t="s">
        <v>584</v>
      </c>
      <c r="AV27" s="242">
        <v>0</v>
      </c>
      <c r="AW27" s="242">
        <v>0</v>
      </c>
      <c r="AX27" s="242">
        <v>0</v>
      </c>
      <c r="AY27" s="242">
        <v>0</v>
      </c>
      <c r="AZ27" s="242">
        <v>0</v>
      </c>
      <c r="BA27" s="234"/>
      <c r="BB27" s="242" t="s">
        <v>587</v>
      </c>
      <c r="BC27" s="242">
        <v>0</v>
      </c>
      <c r="BD27" s="242">
        <v>0</v>
      </c>
      <c r="BE27" s="242">
        <v>0</v>
      </c>
      <c r="BF27" s="242">
        <v>0</v>
      </c>
      <c r="BG27" s="242">
        <v>0</v>
      </c>
      <c r="BH27" s="236" t="s">
        <v>587</v>
      </c>
      <c r="BI27" s="242">
        <v>0</v>
      </c>
      <c r="BJ27" s="242">
        <v>0</v>
      </c>
      <c r="BK27" s="242">
        <v>0</v>
      </c>
      <c r="BL27" s="242">
        <v>0</v>
      </c>
      <c r="BM27" s="242">
        <v>0</v>
      </c>
      <c r="BN27" s="242"/>
      <c r="BO27" s="236"/>
      <c r="BP27" s="252"/>
      <c r="BQ27" s="252"/>
      <c r="BR27" s="252"/>
      <c r="BS27" s="234"/>
      <c r="BT27" s="234"/>
      <c r="BU27" s="234"/>
      <c r="BV27" s="234"/>
      <c r="BW27" s="234"/>
      <c r="BX27" s="234"/>
      <c r="BY27" s="234"/>
      <c r="BZ27" s="234"/>
      <c r="CA27" s="234"/>
      <c r="CB27" s="234"/>
      <c r="CC27" s="234"/>
      <c r="CD27" s="234"/>
      <c r="CE27" s="234"/>
      <c r="CF27" s="234"/>
      <c r="CG27" s="234"/>
      <c r="CH27" s="234"/>
      <c r="CI27" s="234"/>
      <c r="CJ27" s="234"/>
      <c r="CK27" s="234"/>
      <c r="CL27" s="234"/>
      <c r="CM27" s="234"/>
      <c r="CN27" s="234"/>
      <c r="CO27" s="234"/>
      <c r="CP27" s="234"/>
      <c r="CQ27" s="234"/>
      <c r="CR27" s="256" t="s">
        <v>507</v>
      </c>
      <c r="CS27" s="265" t="s">
        <v>628</v>
      </c>
      <c r="CT27" s="264" t="s">
        <v>629</v>
      </c>
      <c r="CU27" s="264" t="s">
        <v>630</v>
      </c>
      <c r="CV27" s="264" t="s">
        <v>631</v>
      </c>
      <c r="CW27" s="264" t="s">
        <v>632</v>
      </c>
      <c r="CX27" s="264" t="s">
        <v>633</v>
      </c>
      <c r="CY27" s="264" t="s">
        <v>634</v>
      </c>
      <c r="CZ27" s="264" t="s">
        <v>635</v>
      </c>
      <c r="DA27" s="264" t="s">
        <v>636</v>
      </c>
      <c r="DB27" s="264" t="s">
        <v>637</v>
      </c>
      <c r="DC27" s="264" t="s">
        <v>638</v>
      </c>
      <c r="DD27" s="264" t="s">
        <v>639</v>
      </c>
    </row>
    <row r="28" spans="1:108" ht="15" x14ac:dyDescent="0.25">
      <c r="B28" s="181" t="s">
        <v>221</v>
      </c>
      <c r="C28" s="184">
        <v>38716</v>
      </c>
      <c r="D28" s="181">
        <v>10070.700000000001</v>
      </c>
      <c r="E28" s="212">
        <v>1</v>
      </c>
      <c r="F28" s="198"/>
      <c r="G28" s="212" t="s">
        <v>262</v>
      </c>
      <c r="H28" s="212">
        <v>2877.7858729300001</v>
      </c>
      <c r="I28" s="158"/>
      <c r="J28" s="152"/>
      <c r="K28" s="220"/>
      <c r="L28" s="222"/>
      <c r="M28" s="225"/>
      <c r="O28" s="230" t="s">
        <v>262</v>
      </c>
      <c r="P28" s="230">
        <v>2996.56047033</v>
      </c>
      <c r="Q28" s="228"/>
      <c r="S28" s="234"/>
      <c r="T28" s="234"/>
      <c r="U28" s="234"/>
      <c r="V28" s="234"/>
      <c r="W28" s="234"/>
      <c r="X28" s="234"/>
      <c r="Y28" s="234"/>
      <c r="Z28" s="242" t="s">
        <v>585</v>
      </c>
      <c r="AA28" s="242">
        <v>0</v>
      </c>
      <c r="AB28" s="242">
        <v>0</v>
      </c>
      <c r="AC28" s="242">
        <v>0</v>
      </c>
      <c r="AD28" s="242">
        <v>0</v>
      </c>
      <c r="AE28" s="242">
        <v>0</v>
      </c>
      <c r="AF28" s="242"/>
      <c r="AG28" s="242" t="s">
        <v>585</v>
      </c>
      <c r="AH28" s="242">
        <v>0</v>
      </c>
      <c r="AI28" s="242">
        <v>0</v>
      </c>
      <c r="AJ28" s="242">
        <v>0</v>
      </c>
      <c r="AK28" s="242">
        <v>0</v>
      </c>
      <c r="AL28" s="242">
        <v>0</v>
      </c>
      <c r="AM28" s="234"/>
      <c r="AN28" s="242" t="s">
        <v>585</v>
      </c>
      <c r="AO28" s="242">
        <v>0</v>
      </c>
      <c r="AP28" s="242">
        <v>0</v>
      </c>
      <c r="AQ28" s="242">
        <v>0</v>
      </c>
      <c r="AR28" s="242">
        <v>0</v>
      </c>
      <c r="AS28" s="242">
        <v>0</v>
      </c>
      <c r="AT28" s="234"/>
      <c r="AU28" s="242" t="s">
        <v>585</v>
      </c>
      <c r="AV28" s="242">
        <v>0</v>
      </c>
      <c r="AW28" s="242">
        <v>0</v>
      </c>
      <c r="AX28" s="242">
        <v>0</v>
      </c>
      <c r="AY28" s="242">
        <v>0</v>
      </c>
      <c r="AZ28" s="242">
        <v>0</v>
      </c>
      <c r="BA28" s="234"/>
      <c r="BB28" s="242" t="s">
        <v>588</v>
      </c>
      <c r="BC28" s="242">
        <v>0</v>
      </c>
      <c r="BD28" s="242">
        <v>0</v>
      </c>
      <c r="BE28" s="242">
        <v>0</v>
      </c>
      <c r="BF28" s="242">
        <v>0</v>
      </c>
      <c r="BG28" s="242">
        <v>0</v>
      </c>
      <c r="BH28" s="236" t="s">
        <v>588</v>
      </c>
      <c r="BI28" s="242">
        <v>0</v>
      </c>
      <c r="BJ28" s="242">
        <v>0</v>
      </c>
      <c r="BK28" s="242">
        <v>0</v>
      </c>
      <c r="BL28" s="242">
        <v>0</v>
      </c>
      <c r="BM28" s="242">
        <v>0</v>
      </c>
      <c r="BN28" s="242"/>
      <c r="BO28" s="245" t="s">
        <v>474</v>
      </c>
      <c r="BP28" s="253" t="s">
        <v>556</v>
      </c>
      <c r="BQ28" s="252"/>
      <c r="BR28" s="252"/>
      <c r="BS28" s="234"/>
      <c r="BT28" s="234"/>
      <c r="BU28" s="234"/>
      <c r="BV28" s="234"/>
      <c r="BW28" s="234"/>
      <c r="BX28" s="234"/>
      <c r="BY28" s="234"/>
      <c r="BZ28" s="234"/>
      <c r="CA28" s="234"/>
      <c r="CB28" s="234"/>
      <c r="CC28" s="234"/>
      <c r="CD28" s="234"/>
      <c r="CE28" s="234"/>
      <c r="CF28" s="234"/>
      <c r="CG28" s="234"/>
      <c r="CH28" s="234"/>
      <c r="CI28" s="234"/>
      <c r="CJ28" s="234"/>
      <c r="CK28" s="234"/>
      <c r="CL28" s="234"/>
      <c r="CM28" s="234"/>
      <c r="CN28" s="234"/>
      <c r="CO28" s="234"/>
      <c r="CP28" s="234"/>
      <c r="CQ28" s="234"/>
      <c r="CR28" s="236"/>
      <c r="CS28" s="266">
        <v>2018</v>
      </c>
      <c r="CT28" s="264">
        <v>28</v>
      </c>
      <c r="CU28" s="264" t="s">
        <v>640</v>
      </c>
      <c r="CV28" s="264">
        <v>0</v>
      </c>
      <c r="CW28" s="264">
        <v>9328397611</v>
      </c>
      <c r="CX28" s="264">
        <v>1903</v>
      </c>
      <c r="CY28" s="264">
        <v>0</v>
      </c>
      <c r="CZ28" s="264">
        <v>86009142588</v>
      </c>
      <c r="DA28" s="264">
        <v>925</v>
      </c>
      <c r="DB28" s="264">
        <v>0</v>
      </c>
      <c r="DC28" s="264">
        <v>76680744977</v>
      </c>
      <c r="DD28" s="264">
        <v>978</v>
      </c>
    </row>
    <row r="29" spans="1:108" x14ac:dyDescent="0.2">
      <c r="B29" s="181" t="s">
        <v>222</v>
      </c>
      <c r="C29" s="184">
        <v>38677</v>
      </c>
      <c r="D29" s="181">
        <v>28766.959999999999</v>
      </c>
      <c r="E29" s="212">
        <v>1</v>
      </c>
      <c r="F29" s="198"/>
      <c r="G29" s="212" t="s">
        <v>92</v>
      </c>
      <c r="H29" s="212">
        <v>3516.45922767</v>
      </c>
      <c r="I29" s="158"/>
      <c r="J29" s="152"/>
      <c r="K29" s="220"/>
      <c r="L29" s="217"/>
      <c r="M29" s="217"/>
      <c r="O29" s="230" t="s">
        <v>92</v>
      </c>
      <c r="P29" s="230">
        <v>3689.5335244299999</v>
      </c>
      <c r="Q29" s="228"/>
      <c r="S29" s="234"/>
      <c r="T29" s="234"/>
      <c r="U29" s="234"/>
      <c r="V29" s="234"/>
      <c r="W29" s="234"/>
      <c r="X29" s="234"/>
      <c r="Y29" s="234"/>
      <c r="Z29" s="242" t="s">
        <v>586</v>
      </c>
      <c r="AA29" s="242">
        <v>0</v>
      </c>
      <c r="AB29" s="242">
        <v>0</v>
      </c>
      <c r="AC29" s="242">
        <v>0</v>
      </c>
      <c r="AD29" s="242">
        <v>0</v>
      </c>
      <c r="AE29" s="242">
        <v>0</v>
      </c>
      <c r="AF29" s="242"/>
      <c r="AG29" s="242" t="s">
        <v>586</v>
      </c>
      <c r="AH29" s="242">
        <v>0</v>
      </c>
      <c r="AI29" s="242">
        <v>0</v>
      </c>
      <c r="AJ29" s="242">
        <v>0</v>
      </c>
      <c r="AK29" s="242">
        <v>0</v>
      </c>
      <c r="AL29" s="242">
        <v>0</v>
      </c>
      <c r="AM29" s="234"/>
      <c r="AN29" s="242" t="s">
        <v>586</v>
      </c>
      <c r="AO29" s="242">
        <v>0</v>
      </c>
      <c r="AP29" s="242">
        <v>0</v>
      </c>
      <c r="AQ29" s="242">
        <v>0</v>
      </c>
      <c r="AR29" s="242">
        <v>0</v>
      </c>
      <c r="AS29" s="242">
        <v>0</v>
      </c>
      <c r="AT29" s="234"/>
      <c r="AU29" s="242" t="s">
        <v>586</v>
      </c>
      <c r="AV29" s="242">
        <v>0</v>
      </c>
      <c r="AW29" s="242">
        <v>0</v>
      </c>
      <c r="AX29" s="242">
        <v>0</v>
      </c>
      <c r="AY29" s="242">
        <v>0</v>
      </c>
      <c r="AZ29" s="242">
        <v>0</v>
      </c>
      <c r="BA29" s="234"/>
      <c r="BB29" s="242" t="s">
        <v>589</v>
      </c>
      <c r="BC29" s="242">
        <v>0</v>
      </c>
      <c r="BD29" s="242">
        <v>0</v>
      </c>
      <c r="BE29" s="242">
        <v>0</v>
      </c>
      <c r="BF29" s="242">
        <v>0</v>
      </c>
      <c r="BG29" s="242">
        <v>0</v>
      </c>
      <c r="BH29" s="236" t="s">
        <v>589</v>
      </c>
      <c r="BI29" s="242">
        <v>0</v>
      </c>
      <c r="BJ29" s="242">
        <v>0</v>
      </c>
      <c r="BK29" s="242">
        <v>0</v>
      </c>
      <c r="BL29" s="242">
        <v>0</v>
      </c>
      <c r="BM29" s="242">
        <v>0</v>
      </c>
      <c r="BN29" s="242"/>
      <c r="BO29" s="236"/>
      <c r="BP29" s="252">
        <v>114402</v>
      </c>
      <c r="BQ29" s="252"/>
      <c r="BR29" s="252"/>
      <c r="BS29" s="234"/>
      <c r="BT29" s="234"/>
      <c r="BU29" s="234"/>
      <c r="BV29" s="234"/>
      <c r="BW29" s="234"/>
      <c r="BX29" s="234"/>
      <c r="BY29" s="234"/>
      <c r="BZ29" s="234"/>
      <c r="CA29" s="234"/>
      <c r="CB29" s="234"/>
      <c r="CC29" s="234"/>
      <c r="CD29" s="234"/>
      <c r="CE29" s="234"/>
      <c r="CF29" s="234"/>
      <c r="CG29" s="234"/>
      <c r="CH29" s="234"/>
      <c r="CI29" s="234"/>
      <c r="CJ29" s="234"/>
      <c r="CK29" s="234"/>
      <c r="CL29" s="234"/>
      <c r="CM29" s="234"/>
      <c r="CN29" s="234"/>
      <c r="CO29" s="234"/>
      <c r="CP29" s="234"/>
      <c r="CQ29" s="234"/>
      <c r="CR29" s="236"/>
      <c r="CS29" s="266">
        <v>2018</v>
      </c>
      <c r="CT29" s="264">
        <v>27</v>
      </c>
      <c r="CU29" s="264" t="s">
        <v>641</v>
      </c>
      <c r="CV29" s="264">
        <v>-461191507987.87964</v>
      </c>
      <c r="CW29" s="264">
        <v>-409081247350</v>
      </c>
      <c r="CX29" s="264">
        <v>3546</v>
      </c>
      <c r="CY29" s="264">
        <v>168604412989.96002</v>
      </c>
      <c r="CZ29" s="264">
        <v>177089952090</v>
      </c>
      <c r="DA29" s="264">
        <v>1495</v>
      </c>
      <c r="DB29" s="264">
        <v>629795920977.84021</v>
      </c>
      <c r="DC29" s="264">
        <v>586171199440</v>
      </c>
      <c r="DD29" s="264">
        <v>2051</v>
      </c>
    </row>
    <row r="30" spans="1:108" x14ac:dyDescent="0.2">
      <c r="B30" s="181" t="s">
        <v>223</v>
      </c>
      <c r="C30" s="184">
        <v>37432</v>
      </c>
      <c r="D30" s="181">
        <v>30613.119999999999</v>
      </c>
      <c r="E30" s="212">
        <v>1</v>
      </c>
      <c r="F30" s="198"/>
      <c r="G30" s="212" t="s">
        <v>62</v>
      </c>
      <c r="H30" s="212">
        <v>1614.96128832</v>
      </c>
      <c r="I30" s="158"/>
      <c r="J30" s="152"/>
      <c r="K30" s="220"/>
      <c r="L30" s="217"/>
      <c r="M30" s="217"/>
      <c r="O30" s="230" t="s">
        <v>62</v>
      </c>
      <c r="P30" s="230">
        <v>1432.6767611800001</v>
      </c>
      <c r="Q30" s="228"/>
      <c r="S30" s="243"/>
      <c r="T30" s="246"/>
      <c r="U30" s="246"/>
      <c r="V30" s="246"/>
      <c r="W30" s="246"/>
      <c r="X30" s="246"/>
      <c r="Y30" s="234"/>
      <c r="Z30" s="242" t="s">
        <v>587</v>
      </c>
      <c r="AA30" s="242">
        <v>0</v>
      </c>
      <c r="AB30" s="242">
        <v>0</v>
      </c>
      <c r="AC30" s="242">
        <v>0</v>
      </c>
      <c r="AD30" s="242">
        <v>0</v>
      </c>
      <c r="AE30" s="242">
        <v>0</v>
      </c>
      <c r="AF30" s="242"/>
      <c r="AG30" s="242" t="s">
        <v>587</v>
      </c>
      <c r="AH30" s="242">
        <v>0</v>
      </c>
      <c r="AI30" s="242">
        <v>0</v>
      </c>
      <c r="AJ30" s="242">
        <v>0</v>
      </c>
      <c r="AK30" s="242">
        <v>0</v>
      </c>
      <c r="AL30" s="242">
        <v>0</v>
      </c>
      <c r="AM30" s="234"/>
      <c r="AN30" s="242" t="s">
        <v>587</v>
      </c>
      <c r="AO30" s="242">
        <v>0</v>
      </c>
      <c r="AP30" s="242">
        <v>0</v>
      </c>
      <c r="AQ30" s="242">
        <v>0</v>
      </c>
      <c r="AR30" s="242">
        <v>0</v>
      </c>
      <c r="AS30" s="242">
        <v>0</v>
      </c>
      <c r="AT30" s="234"/>
      <c r="AU30" s="242" t="s">
        <v>587</v>
      </c>
      <c r="AV30" s="242">
        <v>0</v>
      </c>
      <c r="AW30" s="242">
        <v>0</v>
      </c>
      <c r="AX30" s="242">
        <v>0</v>
      </c>
      <c r="AY30" s="242">
        <v>0</v>
      </c>
      <c r="AZ30" s="242">
        <v>0</v>
      </c>
      <c r="BA30" s="234"/>
      <c r="BB30" s="242" t="s">
        <v>590</v>
      </c>
      <c r="BC30" s="242">
        <v>5873537.7999999998</v>
      </c>
      <c r="BD30" s="242">
        <v>1140</v>
      </c>
      <c r="BE30" s="242">
        <v>91</v>
      </c>
      <c r="BF30" s="242">
        <v>49027</v>
      </c>
      <c r="BG30" s="242">
        <v>0</v>
      </c>
      <c r="BH30" s="236" t="s">
        <v>590</v>
      </c>
      <c r="BI30" s="242">
        <v>61836</v>
      </c>
      <c r="BJ30" s="242">
        <v>4</v>
      </c>
      <c r="BK30" s="242">
        <v>1</v>
      </c>
      <c r="BL30" s="242">
        <v>2469</v>
      </c>
      <c r="BM30" s="242">
        <v>0</v>
      </c>
      <c r="BN30" s="242"/>
      <c r="BO30" s="236"/>
      <c r="BP30" s="252"/>
      <c r="BQ30" s="252"/>
      <c r="BR30" s="252"/>
      <c r="BS30" s="234"/>
      <c r="BT30" s="234"/>
      <c r="BU30" s="234"/>
      <c r="BV30" s="234"/>
      <c r="BW30" s="234"/>
      <c r="BX30" s="234"/>
      <c r="BY30" s="234"/>
      <c r="BZ30" s="234"/>
      <c r="CA30" s="234"/>
      <c r="CB30" s="234"/>
      <c r="CC30" s="234"/>
      <c r="CD30" s="234"/>
      <c r="CE30" s="234"/>
      <c r="CF30" s="234"/>
      <c r="CG30" s="234"/>
      <c r="CH30" s="234"/>
      <c r="CI30" s="234"/>
      <c r="CJ30" s="234"/>
      <c r="CK30" s="234"/>
      <c r="CL30" s="234"/>
      <c r="CM30" s="234"/>
      <c r="CN30" s="234"/>
      <c r="CO30" s="234"/>
      <c r="CP30" s="234"/>
      <c r="CQ30" s="234"/>
      <c r="CR30" s="236"/>
      <c r="CS30" s="266">
        <v>2018</v>
      </c>
      <c r="CT30" s="264">
        <v>27</v>
      </c>
      <c r="CU30" s="264" t="s">
        <v>642</v>
      </c>
      <c r="CV30" s="264">
        <v>449809759930.19055</v>
      </c>
      <c r="CW30" s="264">
        <v>397987560350</v>
      </c>
      <c r="CX30" s="264">
        <v>3455</v>
      </c>
      <c r="CY30" s="264">
        <v>614419234919.19995</v>
      </c>
      <c r="CZ30" s="264">
        <v>571016012440</v>
      </c>
      <c r="DA30" s="264">
        <v>1997</v>
      </c>
      <c r="DB30" s="264">
        <v>164609474989.00995</v>
      </c>
      <c r="DC30" s="264">
        <v>173028452090</v>
      </c>
      <c r="DD30" s="264">
        <v>1458</v>
      </c>
    </row>
    <row r="31" spans="1:108" x14ac:dyDescent="0.2">
      <c r="B31" s="181" t="s">
        <v>224</v>
      </c>
      <c r="C31" s="184">
        <v>38425</v>
      </c>
      <c r="D31" s="181">
        <v>14581.36</v>
      </c>
      <c r="E31" s="212">
        <v>1</v>
      </c>
      <c r="F31" s="203"/>
      <c r="G31" s="212" t="s">
        <v>263</v>
      </c>
      <c r="H31" s="212">
        <v>23475.235730230001</v>
      </c>
      <c r="I31" s="158"/>
      <c r="J31" s="153"/>
      <c r="K31" s="218"/>
      <c r="L31" s="217"/>
      <c r="M31" s="217"/>
      <c r="O31" s="230" t="s">
        <v>263</v>
      </c>
      <c r="P31" s="230">
        <v>22570.109794079999</v>
      </c>
      <c r="Q31" s="228"/>
      <c r="R31" s="152"/>
      <c r="S31" s="242"/>
      <c r="T31" s="247"/>
      <c r="U31" s="247"/>
      <c r="V31" s="247"/>
      <c r="W31" s="247"/>
      <c r="X31" s="247"/>
      <c r="Y31" s="234"/>
      <c r="Z31" s="242" t="s">
        <v>588</v>
      </c>
      <c r="AA31" s="242">
        <v>0</v>
      </c>
      <c r="AB31" s="242">
        <v>0</v>
      </c>
      <c r="AC31" s="242">
        <v>0</v>
      </c>
      <c r="AD31" s="242">
        <v>0</v>
      </c>
      <c r="AE31" s="242">
        <v>0</v>
      </c>
      <c r="AF31" s="242"/>
      <c r="AG31" s="242" t="s">
        <v>588</v>
      </c>
      <c r="AH31" s="242">
        <v>0</v>
      </c>
      <c r="AI31" s="242">
        <v>0</v>
      </c>
      <c r="AJ31" s="242">
        <v>0</v>
      </c>
      <c r="AK31" s="242">
        <v>0</v>
      </c>
      <c r="AL31" s="242">
        <v>0</v>
      </c>
      <c r="AM31" s="234"/>
      <c r="AN31" s="242" t="s">
        <v>588</v>
      </c>
      <c r="AO31" s="242">
        <v>0</v>
      </c>
      <c r="AP31" s="242">
        <v>0</v>
      </c>
      <c r="AQ31" s="242">
        <v>0</v>
      </c>
      <c r="AR31" s="242">
        <v>0</v>
      </c>
      <c r="AS31" s="242">
        <v>0</v>
      </c>
      <c r="AT31" s="234"/>
      <c r="AU31" s="242" t="s">
        <v>588</v>
      </c>
      <c r="AV31" s="242">
        <v>0</v>
      </c>
      <c r="AW31" s="242">
        <v>0</v>
      </c>
      <c r="AX31" s="242">
        <v>0</v>
      </c>
      <c r="AY31" s="242">
        <v>0</v>
      </c>
      <c r="AZ31" s="242">
        <v>0</v>
      </c>
      <c r="BA31" s="234"/>
      <c r="BB31" s="242" t="s">
        <v>591</v>
      </c>
      <c r="BC31" s="242">
        <v>0</v>
      </c>
      <c r="BD31" s="242">
        <v>0</v>
      </c>
      <c r="BE31" s="242">
        <v>0</v>
      </c>
      <c r="BF31" s="242">
        <v>0</v>
      </c>
      <c r="BG31" s="242">
        <v>0</v>
      </c>
      <c r="BH31" s="236" t="s">
        <v>591</v>
      </c>
      <c r="BI31" s="242">
        <v>0</v>
      </c>
      <c r="BJ31" s="242">
        <v>0</v>
      </c>
      <c r="BK31" s="242">
        <v>0</v>
      </c>
      <c r="BL31" s="242">
        <v>0</v>
      </c>
      <c r="BM31" s="242">
        <v>0</v>
      </c>
      <c r="BN31" s="242"/>
      <c r="BO31" s="245" t="s">
        <v>457</v>
      </c>
      <c r="BP31" s="253" t="s">
        <v>526</v>
      </c>
      <c r="BQ31" s="253" t="s">
        <v>554</v>
      </c>
      <c r="BR31" s="253" t="s">
        <v>555</v>
      </c>
      <c r="BS31" s="234"/>
      <c r="BT31" s="234"/>
      <c r="BU31" s="234"/>
      <c r="BV31" s="234"/>
      <c r="BW31" s="234"/>
      <c r="BX31" s="234"/>
      <c r="BY31" s="234"/>
      <c r="BZ31" s="234"/>
      <c r="CA31" s="234"/>
      <c r="CB31" s="234"/>
      <c r="CC31" s="234"/>
      <c r="CD31" s="234"/>
      <c r="CE31" s="234"/>
      <c r="CF31" s="234"/>
      <c r="CG31" s="234"/>
      <c r="CH31" s="234"/>
      <c r="CI31" s="234"/>
      <c r="CJ31" s="234"/>
      <c r="CK31" s="234"/>
      <c r="CL31" s="234"/>
      <c r="CM31" s="234"/>
      <c r="CN31" s="234"/>
      <c r="CO31" s="234"/>
      <c r="CP31" s="234"/>
      <c r="CQ31" s="234"/>
      <c r="CR31" s="236"/>
      <c r="CS31" s="266">
        <v>2018</v>
      </c>
      <c r="CT31" s="264">
        <v>239</v>
      </c>
      <c r="CU31" s="264" t="s">
        <v>643</v>
      </c>
      <c r="CV31" s="264">
        <v>-18948290703.629982</v>
      </c>
      <c r="CW31" s="264">
        <v>-18386362012</v>
      </c>
      <c r="CX31" s="264">
        <v>3776</v>
      </c>
      <c r="CY31" s="264">
        <v>68435319391.160057</v>
      </c>
      <c r="CZ31" s="264">
        <v>64968020537</v>
      </c>
      <c r="DA31" s="264">
        <v>2014</v>
      </c>
      <c r="DB31" s="264">
        <v>87383610094.789841</v>
      </c>
      <c r="DC31" s="264">
        <v>83354382549</v>
      </c>
      <c r="DD31" s="264">
        <v>1762</v>
      </c>
    </row>
    <row r="32" spans="1:108" x14ac:dyDescent="0.2">
      <c r="B32" s="181" t="s">
        <v>225</v>
      </c>
      <c r="C32" s="184">
        <v>38715</v>
      </c>
      <c r="D32" s="181">
        <v>17673.63</v>
      </c>
      <c r="E32" s="212">
        <v>1</v>
      </c>
      <c r="F32" s="198"/>
      <c r="G32" s="212" t="s">
        <v>105</v>
      </c>
      <c r="H32" s="212">
        <v>31.47943072</v>
      </c>
      <c r="I32" s="158"/>
      <c r="J32" s="152"/>
      <c r="K32" s="218"/>
      <c r="L32" s="217"/>
      <c r="M32" s="217"/>
      <c r="O32" s="230" t="s">
        <v>105</v>
      </c>
      <c r="P32" s="230">
        <v>31.58652554</v>
      </c>
      <c r="Q32" s="228"/>
      <c r="R32" s="152"/>
      <c r="S32" s="242"/>
      <c r="T32" s="247"/>
      <c r="U32" s="247"/>
      <c r="V32" s="247"/>
      <c r="W32" s="247"/>
      <c r="X32" s="247"/>
      <c r="Y32" s="234"/>
      <c r="Z32" s="242" t="s">
        <v>589</v>
      </c>
      <c r="AA32" s="242">
        <v>0</v>
      </c>
      <c r="AB32" s="242">
        <v>0</v>
      </c>
      <c r="AC32" s="242">
        <v>0</v>
      </c>
      <c r="AD32" s="242">
        <v>0</v>
      </c>
      <c r="AE32" s="242">
        <v>0</v>
      </c>
      <c r="AF32" s="242"/>
      <c r="AG32" s="242" t="s">
        <v>589</v>
      </c>
      <c r="AH32" s="242">
        <v>0</v>
      </c>
      <c r="AI32" s="242">
        <v>0</v>
      </c>
      <c r="AJ32" s="242">
        <v>0</v>
      </c>
      <c r="AK32" s="242">
        <v>0</v>
      </c>
      <c r="AL32" s="242">
        <v>0</v>
      </c>
      <c r="AM32" s="234"/>
      <c r="AN32" s="242" t="s">
        <v>589</v>
      </c>
      <c r="AO32" s="242">
        <v>0</v>
      </c>
      <c r="AP32" s="242">
        <v>0</v>
      </c>
      <c r="AQ32" s="242">
        <v>0</v>
      </c>
      <c r="AR32" s="242">
        <v>0</v>
      </c>
      <c r="AS32" s="242">
        <v>0</v>
      </c>
      <c r="AT32" s="234"/>
      <c r="AU32" s="242" t="s">
        <v>589</v>
      </c>
      <c r="AV32" s="242">
        <v>0</v>
      </c>
      <c r="AW32" s="242">
        <v>0</v>
      </c>
      <c r="AX32" s="242">
        <v>0</v>
      </c>
      <c r="AY32" s="242">
        <v>0</v>
      </c>
      <c r="AZ32" s="242">
        <v>0</v>
      </c>
      <c r="BA32" s="234"/>
      <c r="BB32" s="242" t="s">
        <v>592</v>
      </c>
      <c r="BC32" s="242">
        <v>0</v>
      </c>
      <c r="BD32" s="242">
        <v>0</v>
      </c>
      <c r="BE32" s="242">
        <v>0</v>
      </c>
      <c r="BF32" s="242">
        <v>0</v>
      </c>
      <c r="BG32" s="242">
        <v>0</v>
      </c>
      <c r="BH32" s="236" t="s">
        <v>592</v>
      </c>
      <c r="BI32" s="242">
        <v>0</v>
      </c>
      <c r="BJ32" s="242">
        <v>0</v>
      </c>
      <c r="BK32" s="242">
        <v>0</v>
      </c>
      <c r="BL32" s="242">
        <v>0</v>
      </c>
      <c r="BM32" s="242">
        <v>0</v>
      </c>
      <c r="BN32" s="242"/>
      <c r="BO32" s="234"/>
      <c r="BP32" s="252">
        <v>529992645813.77997</v>
      </c>
      <c r="BQ32" s="252">
        <v>4820948</v>
      </c>
      <c r="BR32" s="252">
        <v>5059</v>
      </c>
      <c r="BS32" s="234"/>
      <c r="BT32" s="234"/>
      <c r="BU32" s="234"/>
      <c r="BV32" s="234"/>
      <c r="BW32" s="234"/>
      <c r="BX32" s="234"/>
      <c r="BY32" s="234"/>
      <c r="BZ32" s="234"/>
      <c r="CA32" s="234"/>
      <c r="CB32" s="234"/>
      <c r="CC32" s="234"/>
      <c r="CD32" s="234"/>
      <c r="CE32" s="234"/>
      <c r="CF32" s="234"/>
      <c r="CG32" s="234"/>
      <c r="CH32" s="234"/>
      <c r="CI32" s="234"/>
      <c r="CJ32" s="234"/>
      <c r="CK32" s="234"/>
      <c r="CL32" s="234"/>
      <c r="CM32" s="234"/>
      <c r="CN32" s="234"/>
      <c r="CO32" s="234"/>
      <c r="CP32" s="234"/>
      <c r="CQ32" s="234"/>
      <c r="CR32" s="236"/>
      <c r="CS32" s="266">
        <v>2018</v>
      </c>
      <c r="CT32" s="264">
        <v>131</v>
      </c>
      <c r="CU32" s="264" t="s">
        <v>644</v>
      </c>
      <c r="CV32" s="264">
        <v>10724087635.03005</v>
      </c>
      <c r="CW32" s="264">
        <v>14342741745</v>
      </c>
      <c r="CX32" s="264">
        <v>13509</v>
      </c>
      <c r="CY32" s="264">
        <v>462260591822.94946</v>
      </c>
      <c r="CZ32" s="264">
        <v>440538800431</v>
      </c>
      <c r="DA32" s="264">
        <v>6912</v>
      </c>
      <c r="DB32" s="264">
        <v>451536504187.92035</v>
      </c>
      <c r="DC32" s="264">
        <v>426196058686</v>
      </c>
      <c r="DD32" s="264">
        <v>6597</v>
      </c>
    </row>
    <row r="33" spans="1:108" x14ac:dyDescent="0.2">
      <c r="B33" s="181" t="s">
        <v>226</v>
      </c>
      <c r="C33" s="184">
        <v>38715</v>
      </c>
      <c r="D33" s="181">
        <v>34075.21</v>
      </c>
      <c r="E33" s="212">
        <v>1</v>
      </c>
      <c r="F33" s="199"/>
      <c r="G33" s="212" t="s">
        <v>107</v>
      </c>
      <c r="H33" s="212">
        <v>11156.585509959999</v>
      </c>
      <c r="I33" s="158"/>
      <c r="J33" s="152"/>
      <c r="K33" s="217"/>
      <c r="L33" s="217"/>
      <c r="M33" s="217"/>
      <c r="O33" s="230" t="s">
        <v>107</v>
      </c>
      <c r="P33" s="230">
        <v>11614.36258114</v>
      </c>
      <c r="Q33" s="228"/>
      <c r="R33" s="148" t="s">
        <v>441</v>
      </c>
      <c r="S33" s="242" t="s">
        <v>552</v>
      </c>
      <c r="T33" s="247" t="s">
        <v>553</v>
      </c>
      <c r="U33" s="247" t="s">
        <v>554</v>
      </c>
      <c r="V33" s="247" t="s">
        <v>555</v>
      </c>
      <c r="W33" s="247" t="s">
        <v>556</v>
      </c>
      <c r="X33" s="247" t="s">
        <v>557</v>
      </c>
      <c r="Y33" s="234"/>
      <c r="Z33" s="242" t="s">
        <v>590</v>
      </c>
      <c r="AA33" s="242">
        <v>2759319.3</v>
      </c>
      <c r="AB33" s="242">
        <v>1125</v>
      </c>
      <c r="AC33" s="242">
        <v>85</v>
      </c>
      <c r="AD33" s="242">
        <v>23048</v>
      </c>
      <c r="AE33" s="242">
        <v>0</v>
      </c>
      <c r="AF33" s="242"/>
      <c r="AG33" s="242" t="s">
        <v>590</v>
      </c>
      <c r="AH33" s="242">
        <v>139000</v>
      </c>
      <c r="AI33" s="242">
        <v>10</v>
      </c>
      <c r="AJ33" s="242">
        <v>1</v>
      </c>
      <c r="AK33" s="242">
        <v>975</v>
      </c>
      <c r="AL33" s="242">
        <v>0</v>
      </c>
      <c r="AM33" s="234"/>
      <c r="AN33" s="242" t="s">
        <v>590</v>
      </c>
      <c r="AO33" s="242">
        <v>190332.6</v>
      </c>
      <c r="AP33" s="242">
        <v>316</v>
      </c>
      <c r="AQ33" s="242">
        <v>23</v>
      </c>
      <c r="AR33" s="242">
        <v>65521</v>
      </c>
      <c r="AS33" s="242">
        <v>0</v>
      </c>
      <c r="AT33" s="234"/>
      <c r="AU33" s="242" t="s">
        <v>590</v>
      </c>
      <c r="AV33" s="242">
        <v>31900</v>
      </c>
      <c r="AW33" s="242">
        <v>3</v>
      </c>
      <c r="AX33" s="242">
        <v>3</v>
      </c>
      <c r="AY33" s="242">
        <v>1419</v>
      </c>
      <c r="AZ33" s="242">
        <v>0</v>
      </c>
      <c r="BA33" s="234"/>
      <c r="BB33" s="242" t="s">
        <v>593</v>
      </c>
      <c r="BC33" s="242">
        <v>0</v>
      </c>
      <c r="BD33" s="242">
        <v>0</v>
      </c>
      <c r="BE33" s="242">
        <v>0</v>
      </c>
      <c r="BF33" s="242">
        <v>0</v>
      </c>
      <c r="BG33" s="242">
        <v>0</v>
      </c>
      <c r="BH33" s="236" t="s">
        <v>593</v>
      </c>
      <c r="BI33" s="242">
        <v>0</v>
      </c>
      <c r="BJ33" s="242">
        <v>0</v>
      </c>
      <c r="BK33" s="242">
        <v>0</v>
      </c>
      <c r="BL33" s="242">
        <v>0</v>
      </c>
      <c r="BM33" s="242">
        <v>0</v>
      </c>
      <c r="BN33" s="242"/>
      <c r="BO33" s="234"/>
      <c r="BP33" s="234"/>
      <c r="BQ33" s="234"/>
      <c r="BR33" s="234"/>
      <c r="BS33" s="234"/>
      <c r="BT33" s="234"/>
      <c r="BU33" s="234"/>
      <c r="BV33" s="234"/>
      <c r="BW33" s="234"/>
      <c r="BX33" s="234"/>
      <c r="BY33" s="234"/>
      <c r="BZ33" s="234"/>
      <c r="CA33" s="234"/>
      <c r="CB33" s="234"/>
      <c r="CC33" s="234"/>
      <c r="CD33" s="234"/>
      <c r="CE33" s="234"/>
      <c r="CF33" s="234"/>
      <c r="CG33" s="234"/>
      <c r="CH33" s="234"/>
      <c r="CI33" s="234"/>
      <c r="CJ33" s="234"/>
      <c r="CK33" s="234"/>
      <c r="CL33" s="234"/>
      <c r="CM33" s="234"/>
      <c r="CN33" s="234"/>
      <c r="CO33" s="234"/>
      <c r="CP33" s="234"/>
      <c r="CQ33" s="234"/>
      <c r="CR33" s="236"/>
      <c r="CS33" s="266">
        <v>2018</v>
      </c>
      <c r="CT33" s="264">
        <v>21</v>
      </c>
      <c r="CU33" s="264" t="s">
        <v>645</v>
      </c>
      <c r="CV33" s="264">
        <v>-11125621027.720003</v>
      </c>
      <c r="CW33" s="264">
        <v>-10044204997</v>
      </c>
      <c r="CX33" s="264">
        <v>333</v>
      </c>
      <c r="CY33" s="264">
        <v>9533207208.6899986</v>
      </c>
      <c r="CZ33" s="264">
        <v>8715178519</v>
      </c>
      <c r="DA33" s="264">
        <v>113</v>
      </c>
      <c r="DB33" s="264">
        <v>20658828236.410007</v>
      </c>
      <c r="DC33" s="264">
        <v>18759383516</v>
      </c>
      <c r="DD33" s="264">
        <v>220</v>
      </c>
    </row>
    <row r="34" spans="1:108" x14ac:dyDescent="0.2">
      <c r="B34" s="181" t="s">
        <v>227</v>
      </c>
      <c r="C34" s="184">
        <v>38680</v>
      </c>
      <c r="D34" s="181">
        <v>18105.080000000002</v>
      </c>
      <c r="E34" s="212">
        <v>1</v>
      </c>
      <c r="F34" s="199"/>
      <c r="G34" s="212" t="s">
        <v>266</v>
      </c>
      <c r="H34" s="212">
        <v>51510.598321750003</v>
      </c>
      <c r="I34" s="158"/>
      <c r="J34" s="152"/>
      <c r="K34" s="217"/>
      <c r="L34" s="217"/>
      <c r="M34" s="217"/>
      <c r="O34" s="230" t="s">
        <v>266</v>
      </c>
      <c r="P34" s="230">
        <v>55896.417102380001</v>
      </c>
      <c r="Q34" s="228"/>
      <c r="R34" s="152"/>
      <c r="S34" s="242" t="s">
        <v>438</v>
      </c>
      <c r="T34" s="247">
        <v>62479111.18</v>
      </c>
      <c r="U34" s="247">
        <v>35133</v>
      </c>
      <c r="V34" s="247">
        <v>112</v>
      </c>
      <c r="W34" s="247">
        <v>0</v>
      </c>
      <c r="X34" s="247">
        <v>0</v>
      </c>
      <c r="Y34" s="234"/>
      <c r="Z34" s="242" t="s">
        <v>591</v>
      </c>
      <c r="AA34" s="242">
        <v>0</v>
      </c>
      <c r="AB34" s="242">
        <v>0</v>
      </c>
      <c r="AC34" s="242">
        <v>0</v>
      </c>
      <c r="AD34" s="242">
        <v>0</v>
      </c>
      <c r="AE34" s="242">
        <v>0</v>
      </c>
      <c r="AF34" s="242"/>
      <c r="AG34" s="242" t="s">
        <v>591</v>
      </c>
      <c r="AH34" s="242">
        <v>0</v>
      </c>
      <c r="AI34" s="242">
        <v>0</v>
      </c>
      <c r="AJ34" s="242">
        <v>0</v>
      </c>
      <c r="AK34" s="242">
        <v>0</v>
      </c>
      <c r="AL34" s="242">
        <v>0</v>
      </c>
      <c r="AM34" s="234"/>
      <c r="AN34" s="242" t="s">
        <v>591</v>
      </c>
      <c r="AO34" s="242">
        <v>0</v>
      </c>
      <c r="AP34" s="242">
        <v>0</v>
      </c>
      <c r="AQ34" s="242">
        <v>0</v>
      </c>
      <c r="AR34" s="242">
        <v>0</v>
      </c>
      <c r="AS34" s="242">
        <v>0</v>
      </c>
      <c r="AT34" s="234"/>
      <c r="AU34" s="242" t="s">
        <v>591</v>
      </c>
      <c r="AV34" s="242">
        <v>0</v>
      </c>
      <c r="AW34" s="242">
        <v>0</v>
      </c>
      <c r="AX34" s="242">
        <v>0</v>
      </c>
      <c r="AY34" s="242">
        <v>0</v>
      </c>
      <c r="AZ34" s="242">
        <v>0</v>
      </c>
      <c r="BA34" s="234"/>
      <c r="BB34" s="242" t="s">
        <v>594</v>
      </c>
      <c r="BC34" s="242">
        <v>0</v>
      </c>
      <c r="BD34" s="242">
        <v>0</v>
      </c>
      <c r="BE34" s="242">
        <v>0</v>
      </c>
      <c r="BF34" s="242">
        <v>0</v>
      </c>
      <c r="BG34" s="242">
        <v>0</v>
      </c>
      <c r="BH34" s="236" t="s">
        <v>594</v>
      </c>
      <c r="BI34" s="242">
        <v>0</v>
      </c>
      <c r="BJ34" s="242">
        <v>0</v>
      </c>
      <c r="BK34" s="242">
        <v>0</v>
      </c>
      <c r="BL34" s="242">
        <v>0</v>
      </c>
      <c r="BM34" s="242">
        <v>0</v>
      </c>
      <c r="BN34" s="242"/>
      <c r="BO34" s="245" t="s">
        <v>468</v>
      </c>
      <c r="BP34" s="253" t="s">
        <v>526</v>
      </c>
      <c r="BQ34" s="253" t="s">
        <v>554</v>
      </c>
      <c r="BR34" s="253" t="s">
        <v>555</v>
      </c>
      <c r="BS34" s="234"/>
      <c r="BT34" s="234"/>
      <c r="BU34" s="234"/>
      <c r="BV34" s="234"/>
      <c r="BW34" s="234"/>
      <c r="BX34" s="234"/>
      <c r="BY34" s="234"/>
      <c r="BZ34" s="234"/>
      <c r="CA34" s="234"/>
      <c r="CB34" s="234"/>
      <c r="CC34" s="234"/>
      <c r="CD34" s="234"/>
      <c r="CE34" s="234"/>
      <c r="CF34" s="234"/>
      <c r="CG34" s="234"/>
      <c r="CH34" s="234"/>
      <c r="CI34" s="234"/>
      <c r="CJ34" s="234"/>
      <c r="CK34" s="234"/>
      <c r="CL34" s="234"/>
      <c r="CM34" s="234"/>
      <c r="CN34" s="234"/>
      <c r="CO34" s="234"/>
      <c r="CP34" s="234"/>
      <c r="CQ34" s="234"/>
      <c r="CR34" s="236"/>
      <c r="CS34" s="266"/>
      <c r="CT34" s="264"/>
      <c r="CU34" s="264"/>
      <c r="CV34" s="264"/>
      <c r="CW34" s="264"/>
      <c r="CX34" s="264"/>
      <c r="CY34" s="264"/>
      <c r="CZ34" s="264"/>
      <c r="DA34" s="264"/>
      <c r="DB34" s="264"/>
      <c r="DC34" s="264"/>
      <c r="DD34" s="264"/>
    </row>
    <row r="35" spans="1:108" x14ac:dyDescent="0.2">
      <c r="B35" s="181" t="s">
        <v>228</v>
      </c>
      <c r="C35" s="184">
        <v>38604</v>
      </c>
      <c r="D35" s="181">
        <v>28742.13</v>
      </c>
      <c r="E35" s="212">
        <v>1</v>
      </c>
      <c r="F35" s="215"/>
      <c r="G35" s="212" t="s">
        <v>267</v>
      </c>
      <c r="H35" s="212">
        <v>22137.190560250001</v>
      </c>
      <c r="I35" s="158"/>
      <c r="J35" s="152"/>
      <c r="K35" s="217"/>
      <c r="L35" s="217"/>
      <c r="M35" s="217"/>
      <c r="O35" s="230" t="s">
        <v>267</v>
      </c>
      <c r="P35" s="230">
        <v>21613.233780859999</v>
      </c>
      <c r="Q35" s="228"/>
      <c r="R35" s="152"/>
      <c r="S35" s="242" t="s">
        <v>433</v>
      </c>
      <c r="T35" s="247">
        <v>1515746496.95</v>
      </c>
      <c r="U35" s="247">
        <v>446853</v>
      </c>
      <c r="V35" s="247">
        <v>644</v>
      </c>
      <c r="W35" s="247">
        <v>0</v>
      </c>
      <c r="X35" s="247">
        <v>0</v>
      </c>
      <c r="Y35" s="234"/>
      <c r="Z35" s="242" t="s">
        <v>592</v>
      </c>
      <c r="AA35" s="242">
        <v>0</v>
      </c>
      <c r="AB35" s="242">
        <v>0</v>
      </c>
      <c r="AC35" s="242">
        <v>0</v>
      </c>
      <c r="AD35" s="242">
        <v>0</v>
      </c>
      <c r="AE35" s="242">
        <v>0</v>
      </c>
      <c r="AF35" s="242"/>
      <c r="AG35" s="242" t="s">
        <v>592</v>
      </c>
      <c r="AH35" s="242">
        <v>0</v>
      </c>
      <c r="AI35" s="242">
        <v>0</v>
      </c>
      <c r="AJ35" s="242">
        <v>0</v>
      </c>
      <c r="AK35" s="242">
        <v>0</v>
      </c>
      <c r="AL35" s="242">
        <v>0</v>
      </c>
      <c r="AM35" s="234"/>
      <c r="AN35" s="242" t="s">
        <v>592</v>
      </c>
      <c r="AO35" s="242">
        <v>0</v>
      </c>
      <c r="AP35" s="242">
        <v>0</v>
      </c>
      <c r="AQ35" s="242">
        <v>0</v>
      </c>
      <c r="AR35" s="242">
        <v>0</v>
      </c>
      <c r="AS35" s="242">
        <v>0</v>
      </c>
      <c r="AT35" s="234"/>
      <c r="AU35" s="242" t="s">
        <v>592</v>
      </c>
      <c r="AV35" s="242">
        <v>0</v>
      </c>
      <c r="AW35" s="242">
        <v>0</v>
      </c>
      <c r="AX35" s="242">
        <v>0</v>
      </c>
      <c r="AY35" s="242">
        <v>0</v>
      </c>
      <c r="AZ35" s="242">
        <v>0</v>
      </c>
      <c r="BA35" s="234"/>
      <c r="BB35" s="242" t="s">
        <v>595</v>
      </c>
      <c r="BC35" s="242">
        <v>0</v>
      </c>
      <c r="BD35" s="242">
        <v>0</v>
      </c>
      <c r="BE35" s="242">
        <v>0</v>
      </c>
      <c r="BF35" s="242">
        <v>0</v>
      </c>
      <c r="BG35" s="242">
        <v>0</v>
      </c>
      <c r="BH35" s="236" t="s">
        <v>595</v>
      </c>
      <c r="BI35" s="242">
        <v>0</v>
      </c>
      <c r="BJ35" s="242">
        <v>0</v>
      </c>
      <c r="BK35" s="242">
        <v>0</v>
      </c>
      <c r="BL35" s="242">
        <v>0</v>
      </c>
      <c r="BM35" s="242">
        <v>0</v>
      </c>
      <c r="BN35" s="242"/>
      <c r="BO35" s="240"/>
      <c r="BP35" s="252">
        <v>47529721389.730003</v>
      </c>
      <c r="BQ35" s="252">
        <v>473440</v>
      </c>
      <c r="BR35" s="252">
        <v>637</v>
      </c>
      <c r="BS35" s="234"/>
      <c r="BT35" s="234"/>
      <c r="BU35" s="234"/>
      <c r="BV35" s="234"/>
      <c r="BW35" s="234"/>
      <c r="BX35" s="234"/>
      <c r="BY35" s="234"/>
      <c r="BZ35" s="234"/>
      <c r="CA35" s="234"/>
      <c r="CB35" s="234"/>
      <c r="CC35" s="234"/>
      <c r="CD35" s="234"/>
      <c r="CE35" s="234"/>
      <c r="CF35" s="234"/>
      <c r="CG35" s="234"/>
      <c r="CH35" s="234"/>
      <c r="CI35" s="234"/>
      <c r="CJ35" s="234"/>
      <c r="CK35" s="234"/>
      <c r="CL35" s="234"/>
      <c r="CM35" s="234"/>
      <c r="CN35" s="234"/>
      <c r="CO35" s="234"/>
      <c r="CP35" s="234"/>
      <c r="CQ35" s="234"/>
      <c r="CR35" s="234"/>
      <c r="CS35" s="236"/>
      <c r="CT35" s="236"/>
      <c r="CU35" s="236"/>
      <c r="CV35" s="236"/>
      <c r="CW35" s="236"/>
      <c r="CX35" s="236"/>
      <c r="CY35" s="236"/>
      <c r="CZ35" s="236"/>
      <c r="DA35" s="236"/>
      <c r="DB35" s="236"/>
      <c r="DC35" s="236"/>
      <c r="DD35" s="236"/>
    </row>
    <row r="36" spans="1:108" x14ac:dyDescent="0.2">
      <c r="B36" s="181" t="s">
        <v>229</v>
      </c>
      <c r="C36" s="184">
        <v>38709</v>
      </c>
      <c r="D36" s="181">
        <v>10955.45</v>
      </c>
      <c r="E36" s="212">
        <v>1</v>
      </c>
      <c r="F36" s="199"/>
      <c r="G36" s="212" t="s">
        <v>268</v>
      </c>
      <c r="H36" s="212">
        <v>36588.117347289997</v>
      </c>
      <c r="I36" s="158"/>
      <c r="J36" s="152"/>
      <c r="K36" s="217"/>
      <c r="L36" s="217"/>
      <c r="M36" s="217"/>
      <c r="O36" s="230" t="s">
        <v>268</v>
      </c>
      <c r="P36" s="230">
        <v>37210.651408229998</v>
      </c>
      <c r="Q36" s="228"/>
      <c r="R36" s="152"/>
      <c r="S36" s="242" t="s">
        <v>434</v>
      </c>
      <c r="T36" s="247">
        <v>576363996.87</v>
      </c>
      <c r="U36" s="247">
        <v>215655</v>
      </c>
      <c r="V36" s="247">
        <v>289</v>
      </c>
      <c r="W36" s="247">
        <v>0</v>
      </c>
      <c r="X36" s="247">
        <v>0</v>
      </c>
      <c r="Y36" s="234"/>
      <c r="Z36" s="242" t="s">
        <v>593</v>
      </c>
      <c r="AA36" s="242">
        <v>0</v>
      </c>
      <c r="AB36" s="242">
        <v>0</v>
      </c>
      <c r="AC36" s="242">
        <v>0</v>
      </c>
      <c r="AD36" s="242">
        <v>0</v>
      </c>
      <c r="AE36" s="242">
        <v>0</v>
      </c>
      <c r="AF36" s="242"/>
      <c r="AG36" s="242" t="s">
        <v>593</v>
      </c>
      <c r="AH36" s="242">
        <v>0</v>
      </c>
      <c r="AI36" s="242">
        <v>0</v>
      </c>
      <c r="AJ36" s="242">
        <v>0</v>
      </c>
      <c r="AK36" s="242">
        <v>0</v>
      </c>
      <c r="AL36" s="242">
        <v>0</v>
      </c>
      <c r="AM36" s="234"/>
      <c r="AN36" s="242" t="s">
        <v>593</v>
      </c>
      <c r="AO36" s="242">
        <v>0</v>
      </c>
      <c r="AP36" s="242">
        <v>0</v>
      </c>
      <c r="AQ36" s="242">
        <v>0</v>
      </c>
      <c r="AR36" s="242">
        <v>0</v>
      </c>
      <c r="AS36" s="242">
        <v>0</v>
      </c>
      <c r="AT36" s="234"/>
      <c r="AU36" s="242" t="s">
        <v>593</v>
      </c>
      <c r="AV36" s="242">
        <v>0</v>
      </c>
      <c r="AW36" s="242">
        <v>0</v>
      </c>
      <c r="AX36" s="242">
        <v>0</v>
      </c>
      <c r="AY36" s="242">
        <v>0</v>
      </c>
      <c r="AZ36" s="242">
        <v>0</v>
      </c>
      <c r="BA36" s="234"/>
      <c r="BB36" s="242" t="s">
        <v>596</v>
      </c>
      <c r="BC36" s="242">
        <v>1759590.14</v>
      </c>
      <c r="BD36" s="242">
        <v>306</v>
      </c>
      <c r="BE36" s="242">
        <v>66</v>
      </c>
      <c r="BF36" s="242">
        <v>16775</v>
      </c>
      <c r="BG36" s="242">
        <v>0</v>
      </c>
      <c r="BH36" s="236" t="s">
        <v>596</v>
      </c>
      <c r="BI36" s="242">
        <v>51850</v>
      </c>
      <c r="BJ36" s="242">
        <v>6</v>
      </c>
      <c r="BK36" s="242">
        <v>2</v>
      </c>
      <c r="BL36" s="242">
        <v>820</v>
      </c>
      <c r="BM36" s="242">
        <v>0</v>
      </c>
      <c r="BN36" s="242"/>
      <c r="BO36" s="234"/>
      <c r="BP36" s="234"/>
      <c r="BQ36" s="234"/>
      <c r="BR36" s="234"/>
      <c r="BS36" s="234"/>
      <c r="BT36" s="234"/>
      <c r="BU36" s="234"/>
      <c r="BV36" s="234"/>
      <c r="BW36" s="234"/>
      <c r="BX36" s="234"/>
      <c r="BY36" s="234"/>
      <c r="BZ36" s="234"/>
      <c r="CA36" s="234"/>
      <c r="CB36" s="234"/>
      <c r="CC36" s="234"/>
      <c r="CD36" s="234"/>
      <c r="CE36" s="234"/>
      <c r="CF36" s="234"/>
      <c r="CG36" s="234"/>
      <c r="CH36" s="234"/>
      <c r="CI36" s="234"/>
      <c r="CJ36" s="234"/>
      <c r="CK36" s="234"/>
      <c r="CL36" s="234"/>
      <c r="CM36" s="234"/>
      <c r="CN36" s="234"/>
      <c r="CO36" s="234"/>
      <c r="CP36" s="234"/>
      <c r="CQ36" s="234"/>
      <c r="CR36" s="234"/>
      <c r="CS36" s="236"/>
      <c r="CT36" s="236"/>
      <c r="CU36" s="236"/>
      <c r="CV36" s="236"/>
      <c r="CW36" s="236"/>
      <c r="CX36" s="236"/>
      <c r="CY36" s="236"/>
      <c r="CZ36" s="236"/>
      <c r="DA36" s="236"/>
      <c r="DB36" s="236"/>
      <c r="DC36" s="236"/>
      <c r="DD36" s="236"/>
    </row>
    <row r="37" spans="1:108" x14ac:dyDescent="0.2">
      <c r="B37" s="181" t="s">
        <v>230</v>
      </c>
      <c r="C37" s="184">
        <v>38580</v>
      </c>
      <c r="D37" s="181">
        <v>2321.6</v>
      </c>
      <c r="E37" s="212">
        <v>1</v>
      </c>
      <c r="F37" s="203"/>
      <c r="G37" s="212" t="s">
        <v>55</v>
      </c>
      <c r="H37" s="212">
        <v>49587.469325760001</v>
      </c>
      <c r="I37" s="158"/>
      <c r="J37" s="152"/>
      <c r="K37" s="217"/>
      <c r="L37" s="217"/>
      <c r="M37" s="217"/>
      <c r="O37" s="230" t="s">
        <v>55</v>
      </c>
      <c r="P37" s="230">
        <v>52274.030369710003</v>
      </c>
      <c r="Q37" s="228"/>
      <c r="R37" s="152"/>
      <c r="S37" s="242" t="s">
        <v>558</v>
      </c>
      <c r="T37" s="247">
        <v>0</v>
      </c>
      <c r="U37" s="247">
        <v>0</v>
      </c>
      <c r="V37" s="247">
        <v>0</v>
      </c>
      <c r="W37" s="247">
        <v>0</v>
      </c>
      <c r="X37" s="247">
        <v>1</v>
      </c>
      <c r="Y37" s="234"/>
      <c r="Z37" s="242" t="s">
        <v>594</v>
      </c>
      <c r="AA37" s="242">
        <v>0</v>
      </c>
      <c r="AB37" s="242">
        <v>0</v>
      </c>
      <c r="AC37" s="242">
        <v>0</v>
      </c>
      <c r="AD37" s="242">
        <v>0</v>
      </c>
      <c r="AE37" s="242">
        <v>0</v>
      </c>
      <c r="AF37" s="242"/>
      <c r="AG37" s="242" t="s">
        <v>594</v>
      </c>
      <c r="AH37" s="242">
        <v>0</v>
      </c>
      <c r="AI37" s="242">
        <v>0</v>
      </c>
      <c r="AJ37" s="242">
        <v>0</v>
      </c>
      <c r="AK37" s="242">
        <v>0</v>
      </c>
      <c r="AL37" s="242">
        <v>0</v>
      </c>
      <c r="AM37" s="234"/>
      <c r="AN37" s="242" t="s">
        <v>594</v>
      </c>
      <c r="AO37" s="242">
        <v>0</v>
      </c>
      <c r="AP37" s="242">
        <v>0</v>
      </c>
      <c r="AQ37" s="242">
        <v>0</v>
      </c>
      <c r="AR37" s="242">
        <v>0</v>
      </c>
      <c r="AS37" s="242">
        <v>0</v>
      </c>
      <c r="AT37" s="234"/>
      <c r="AU37" s="242" t="s">
        <v>594</v>
      </c>
      <c r="AV37" s="242">
        <v>0</v>
      </c>
      <c r="AW37" s="242">
        <v>0</v>
      </c>
      <c r="AX37" s="242">
        <v>0</v>
      </c>
      <c r="AY37" s="242">
        <v>0</v>
      </c>
      <c r="AZ37" s="242">
        <v>0</v>
      </c>
      <c r="BA37" s="234"/>
      <c r="BB37" s="242" t="s">
        <v>597</v>
      </c>
      <c r="BC37" s="242">
        <v>98706466.099999994</v>
      </c>
      <c r="BD37" s="242">
        <v>15511</v>
      </c>
      <c r="BE37" s="242">
        <v>1854</v>
      </c>
      <c r="BF37" s="242">
        <v>667326</v>
      </c>
      <c r="BG37" s="242">
        <v>0</v>
      </c>
      <c r="BH37" s="236" t="s">
        <v>597</v>
      </c>
      <c r="BI37" s="242">
        <v>19017199.219999999</v>
      </c>
      <c r="BJ37" s="242">
        <v>2127</v>
      </c>
      <c r="BK37" s="242">
        <v>109</v>
      </c>
      <c r="BL37" s="242">
        <v>33530</v>
      </c>
      <c r="BM37" s="242">
        <v>0</v>
      </c>
      <c r="BN37" s="242"/>
      <c r="BO37" s="245" t="s">
        <v>460</v>
      </c>
      <c r="BP37" s="253" t="s">
        <v>526</v>
      </c>
      <c r="BQ37" s="253" t="s">
        <v>554</v>
      </c>
      <c r="BR37" s="253" t="s">
        <v>555</v>
      </c>
      <c r="BS37" s="234"/>
      <c r="BT37" s="234"/>
      <c r="BU37" s="234"/>
      <c r="BV37" s="234"/>
      <c r="BW37" s="234"/>
      <c r="BX37" s="234"/>
      <c r="BY37" s="234"/>
      <c r="BZ37" s="234"/>
      <c r="CA37" s="234"/>
      <c r="CB37" s="234"/>
      <c r="CC37" s="234"/>
      <c r="CD37" s="234"/>
      <c r="CE37" s="234"/>
      <c r="CF37" s="234"/>
      <c r="CG37" s="234"/>
      <c r="CH37" s="234"/>
      <c r="CI37" s="234"/>
      <c r="CJ37" s="234"/>
      <c r="CK37" s="234"/>
      <c r="CL37" s="234"/>
      <c r="CM37" s="234"/>
      <c r="CN37" s="234"/>
      <c r="CO37" s="234"/>
      <c r="CP37" s="234"/>
      <c r="CQ37" s="234"/>
      <c r="CR37" s="234"/>
      <c r="CS37" s="236"/>
      <c r="CT37" s="236"/>
      <c r="CU37" s="236"/>
      <c r="CV37" s="236"/>
      <c r="CW37" s="236"/>
      <c r="CX37" s="236"/>
      <c r="CY37" s="236"/>
      <c r="CZ37" s="236"/>
      <c r="DA37" s="236"/>
      <c r="DB37" s="236"/>
      <c r="DC37" s="236"/>
      <c r="DD37" s="236"/>
    </row>
    <row r="38" spans="1:108" x14ac:dyDescent="0.2">
      <c r="B38" s="181" t="s">
        <v>231</v>
      </c>
      <c r="C38" s="184">
        <v>38709</v>
      </c>
      <c r="D38" s="181">
        <v>2183.41</v>
      </c>
      <c r="E38" s="212">
        <v>1</v>
      </c>
      <c r="F38" s="203"/>
      <c r="G38" s="212" t="s">
        <v>44</v>
      </c>
      <c r="H38" s="212">
        <v>70003.876737519997</v>
      </c>
      <c r="I38" s="158"/>
      <c r="J38" s="152"/>
      <c r="K38" s="217"/>
      <c r="L38" s="217"/>
      <c r="M38" s="217"/>
      <c r="O38" s="230" t="s">
        <v>44</v>
      </c>
      <c r="P38" s="230">
        <v>72566.437420410002</v>
      </c>
      <c r="Q38" s="228"/>
      <c r="R38" s="152"/>
      <c r="S38" s="242" t="s">
        <v>438</v>
      </c>
      <c r="T38" s="247">
        <v>2784163074.1560001</v>
      </c>
      <c r="U38" s="247">
        <v>204622</v>
      </c>
      <c r="V38" s="247">
        <v>275</v>
      </c>
      <c r="W38" s="247">
        <v>0</v>
      </c>
      <c r="X38" s="247">
        <v>1</v>
      </c>
      <c r="Y38" s="234"/>
      <c r="Z38" s="242" t="s">
        <v>595</v>
      </c>
      <c r="AA38" s="242">
        <v>0</v>
      </c>
      <c r="AB38" s="242">
        <v>0</v>
      </c>
      <c r="AC38" s="242">
        <v>0</v>
      </c>
      <c r="AD38" s="242">
        <v>0</v>
      </c>
      <c r="AE38" s="242">
        <v>0</v>
      </c>
      <c r="AF38" s="242"/>
      <c r="AG38" s="242" t="s">
        <v>595</v>
      </c>
      <c r="AH38" s="242">
        <v>0</v>
      </c>
      <c r="AI38" s="242">
        <v>0</v>
      </c>
      <c r="AJ38" s="242">
        <v>0</v>
      </c>
      <c r="AK38" s="242">
        <v>0</v>
      </c>
      <c r="AL38" s="242">
        <v>0</v>
      </c>
      <c r="AM38" s="234"/>
      <c r="AN38" s="242" t="s">
        <v>595</v>
      </c>
      <c r="AO38" s="242">
        <v>0</v>
      </c>
      <c r="AP38" s="242">
        <v>0</v>
      </c>
      <c r="AQ38" s="242">
        <v>0</v>
      </c>
      <c r="AR38" s="242">
        <v>0</v>
      </c>
      <c r="AS38" s="242">
        <v>0</v>
      </c>
      <c r="AT38" s="234"/>
      <c r="AU38" s="242" t="s">
        <v>595</v>
      </c>
      <c r="AV38" s="242">
        <v>0</v>
      </c>
      <c r="AW38" s="242">
        <v>0</v>
      </c>
      <c r="AX38" s="242">
        <v>0</v>
      </c>
      <c r="AY38" s="242">
        <v>0</v>
      </c>
      <c r="AZ38" s="242">
        <v>0</v>
      </c>
      <c r="BA38" s="234"/>
      <c r="BB38" s="242" t="s">
        <v>599</v>
      </c>
      <c r="BC38" s="242">
        <v>35233265.469999999</v>
      </c>
      <c r="BD38" s="242">
        <v>5193</v>
      </c>
      <c r="BE38" s="242">
        <v>334</v>
      </c>
      <c r="BF38" s="242">
        <v>386084</v>
      </c>
      <c r="BG38" s="242">
        <v>0</v>
      </c>
      <c r="BH38" s="236" t="s">
        <v>599</v>
      </c>
      <c r="BI38" s="242">
        <v>4197581.5</v>
      </c>
      <c r="BJ38" s="242">
        <v>535</v>
      </c>
      <c r="BK38" s="242">
        <v>24</v>
      </c>
      <c r="BL38" s="242">
        <v>18943</v>
      </c>
      <c r="BM38" s="242">
        <v>0</v>
      </c>
      <c r="BN38" s="242"/>
      <c r="BO38" s="236"/>
      <c r="BP38" s="252">
        <v>705393764947.07996</v>
      </c>
      <c r="BQ38" s="252">
        <v>6310514</v>
      </c>
      <c r="BR38" s="252">
        <v>6342</v>
      </c>
      <c r="BS38" s="234"/>
      <c r="BT38" s="234"/>
      <c r="BU38" s="234"/>
      <c r="BV38" s="234"/>
      <c r="BW38" s="234"/>
      <c r="BX38" s="234"/>
      <c r="BY38" s="234"/>
      <c r="BZ38" s="234"/>
      <c r="CA38" s="234"/>
      <c r="CB38" s="234"/>
      <c r="CC38" s="234"/>
      <c r="CD38" s="234"/>
      <c r="CE38" s="234"/>
      <c r="CF38" s="234"/>
      <c r="CG38" s="234"/>
      <c r="CH38" s="234"/>
      <c r="CI38" s="234"/>
      <c r="CJ38" s="234"/>
      <c r="CK38" s="234"/>
      <c r="CL38" s="234"/>
      <c r="CM38" s="234"/>
      <c r="CN38" s="234"/>
      <c r="CO38" s="234"/>
      <c r="CP38" s="234"/>
      <c r="CQ38" s="234"/>
      <c r="CR38" s="234"/>
      <c r="CS38" s="236"/>
      <c r="CT38" s="236"/>
      <c r="CU38" s="236"/>
      <c r="CV38" s="236"/>
      <c r="CW38" s="236"/>
      <c r="CX38" s="236"/>
      <c r="CY38" s="236"/>
      <c r="CZ38" s="236"/>
      <c r="DA38" s="236"/>
      <c r="DB38" s="236"/>
      <c r="DC38" s="236"/>
      <c r="DD38" s="236"/>
    </row>
    <row r="39" spans="1:108" x14ac:dyDescent="0.2">
      <c r="A39" s="144"/>
      <c r="B39" s="181" t="s">
        <v>232</v>
      </c>
      <c r="C39" s="184">
        <v>38663</v>
      </c>
      <c r="D39" s="181">
        <v>14154.09</v>
      </c>
      <c r="E39" s="212">
        <v>1</v>
      </c>
      <c r="F39" s="203"/>
      <c r="G39" s="212" t="s">
        <v>46</v>
      </c>
      <c r="H39" s="212">
        <v>48484.284168049999</v>
      </c>
      <c r="I39" s="158"/>
      <c r="J39" s="152"/>
      <c r="K39" s="217"/>
      <c r="L39" s="217"/>
      <c r="M39" s="217"/>
      <c r="O39" s="230" t="s">
        <v>46</v>
      </c>
      <c r="P39" s="230">
        <v>50017.146768060004</v>
      </c>
      <c r="Q39" s="228"/>
      <c r="R39" s="152"/>
      <c r="S39" s="242" t="s">
        <v>435</v>
      </c>
      <c r="T39" s="247">
        <v>31267932</v>
      </c>
      <c r="U39" s="247">
        <v>151012</v>
      </c>
      <c r="V39" s="247">
        <v>3266</v>
      </c>
      <c r="W39" s="247">
        <v>0</v>
      </c>
      <c r="X39" s="247">
        <v>1</v>
      </c>
      <c r="Y39" s="234"/>
      <c r="Z39" s="242" t="s">
        <v>596</v>
      </c>
      <c r="AA39" s="242">
        <v>210550</v>
      </c>
      <c r="AB39" s="242">
        <v>42</v>
      </c>
      <c r="AC39" s="242">
        <v>22</v>
      </c>
      <c r="AD39" s="242">
        <v>6318</v>
      </c>
      <c r="AE39" s="242">
        <v>0</v>
      </c>
      <c r="AF39" s="242"/>
      <c r="AG39" s="242" t="s">
        <v>596</v>
      </c>
      <c r="AH39" s="242">
        <v>3850</v>
      </c>
      <c r="AI39" s="242">
        <v>2</v>
      </c>
      <c r="AJ39" s="242">
        <v>2</v>
      </c>
      <c r="AK39" s="242">
        <v>314</v>
      </c>
      <c r="AL39" s="242">
        <v>0</v>
      </c>
      <c r="AM39" s="234"/>
      <c r="AN39" s="242" t="s">
        <v>596</v>
      </c>
      <c r="AO39" s="242">
        <v>423719.4</v>
      </c>
      <c r="AP39" s="242">
        <v>99</v>
      </c>
      <c r="AQ39" s="242">
        <v>8</v>
      </c>
      <c r="AR39" s="242">
        <v>16493</v>
      </c>
      <c r="AS39" s="242">
        <v>0</v>
      </c>
      <c r="AT39" s="234"/>
      <c r="AU39" s="242" t="s">
        <v>596</v>
      </c>
      <c r="AV39" s="242">
        <v>0</v>
      </c>
      <c r="AW39" s="242">
        <v>0</v>
      </c>
      <c r="AX39" s="242">
        <v>0</v>
      </c>
      <c r="AY39" s="242">
        <v>294</v>
      </c>
      <c r="AZ39" s="242">
        <v>0</v>
      </c>
      <c r="BA39" s="234"/>
      <c r="BB39" s="242" t="s">
        <v>601</v>
      </c>
      <c r="BC39" s="242">
        <v>0</v>
      </c>
      <c r="BD39" s="242">
        <v>0</v>
      </c>
      <c r="BE39" s="242">
        <v>0</v>
      </c>
      <c r="BF39" s="242">
        <v>0</v>
      </c>
      <c r="BG39" s="242">
        <v>1</v>
      </c>
      <c r="BH39" s="236" t="s">
        <v>601</v>
      </c>
      <c r="BI39" s="242">
        <v>0</v>
      </c>
      <c r="BJ39" s="242">
        <v>0</v>
      </c>
      <c r="BK39" s="242">
        <v>0</v>
      </c>
      <c r="BL39" s="242">
        <v>0</v>
      </c>
      <c r="BM39" s="242">
        <v>1</v>
      </c>
      <c r="BN39" s="242"/>
      <c r="BO39" s="236"/>
      <c r="BP39" s="236"/>
      <c r="BQ39" s="236"/>
      <c r="BR39" s="236"/>
      <c r="BS39" s="234"/>
      <c r="BT39" s="234"/>
      <c r="BU39" s="234"/>
      <c r="BV39" s="234"/>
      <c r="BW39" s="234"/>
      <c r="BX39" s="234"/>
      <c r="BY39" s="234"/>
      <c r="BZ39" s="234"/>
      <c r="CA39" s="234"/>
      <c r="CB39" s="234"/>
      <c r="CC39" s="234"/>
      <c r="CD39" s="234"/>
      <c r="CE39" s="234"/>
      <c r="CF39" s="234"/>
      <c r="CG39" s="234"/>
      <c r="CH39" s="234"/>
      <c r="CI39" s="234"/>
      <c r="CJ39" s="234"/>
      <c r="CK39" s="234"/>
      <c r="CL39" s="234"/>
      <c r="CM39" s="234"/>
      <c r="CN39" s="234"/>
      <c r="CO39" s="234"/>
      <c r="CP39" s="234"/>
      <c r="CQ39" s="234"/>
      <c r="CR39" s="234"/>
      <c r="CS39" s="236"/>
      <c r="CT39" s="236"/>
      <c r="CU39" s="236"/>
      <c r="CV39" s="236"/>
      <c r="CW39" s="236"/>
      <c r="CX39" s="236"/>
      <c r="CY39" s="236"/>
      <c r="CZ39" s="236"/>
      <c r="DA39" s="236"/>
      <c r="DB39" s="236"/>
      <c r="DC39" s="236"/>
      <c r="DD39" s="236"/>
    </row>
    <row r="40" spans="1:108" x14ac:dyDescent="0.2">
      <c r="A40" s="144"/>
      <c r="B40" s="181" t="s">
        <v>233</v>
      </c>
      <c r="C40" s="184">
        <v>38663</v>
      </c>
      <c r="D40" s="181">
        <v>43569.17</v>
      </c>
      <c r="E40" s="212">
        <v>1</v>
      </c>
      <c r="F40" s="203"/>
      <c r="G40" s="212" t="s">
        <v>42</v>
      </c>
      <c r="H40" s="212">
        <v>55650.413073830001</v>
      </c>
      <c r="I40" s="158"/>
      <c r="J40" s="152"/>
      <c r="K40" s="217"/>
      <c r="L40" s="217"/>
      <c r="M40" s="217"/>
      <c r="O40" s="230" t="s">
        <v>42</v>
      </c>
      <c r="P40" s="230">
        <v>58528.395363759999</v>
      </c>
      <c r="Q40" s="228"/>
      <c r="R40" s="152"/>
      <c r="S40" s="242" t="s">
        <v>173</v>
      </c>
      <c r="T40" s="247">
        <v>83582427.575000003</v>
      </c>
      <c r="U40" s="247">
        <v>1006173</v>
      </c>
      <c r="V40" s="247">
        <v>231</v>
      </c>
      <c r="W40" s="247">
        <v>0</v>
      </c>
      <c r="X40" s="247">
        <v>1</v>
      </c>
      <c r="Y40" s="234"/>
      <c r="Z40" s="242" t="s">
        <v>597</v>
      </c>
      <c r="AA40" s="242">
        <v>226013712.16999999</v>
      </c>
      <c r="AB40" s="242">
        <v>14268</v>
      </c>
      <c r="AC40" s="242">
        <v>1795</v>
      </c>
      <c r="AD40" s="242">
        <v>677102</v>
      </c>
      <c r="AE40" s="242">
        <v>0</v>
      </c>
      <c r="AF40" s="242"/>
      <c r="AG40" s="242" t="s">
        <v>597</v>
      </c>
      <c r="AH40" s="242">
        <v>5761563.3799999999</v>
      </c>
      <c r="AI40" s="242">
        <v>570</v>
      </c>
      <c r="AJ40" s="242">
        <v>98</v>
      </c>
      <c r="AK40" s="242">
        <v>33948</v>
      </c>
      <c r="AL40" s="242">
        <v>0</v>
      </c>
      <c r="AM40" s="234"/>
      <c r="AN40" s="242" t="s">
        <v>597</v>
      </c>
      <c r="AO40" s="242">
        <v>137743971.63</v>
      </c>
      <c r="AP40" s="242">
        <v>13932</v>
      </c>
      <c r="AQ40" s="242">
        <v>1258</v>
      </c>
      <c r="AR40" s="242">
        <v>606233</v>
      </c>
      <c r="AS40" s="242">
        <v>0</v>
      </c>
      <c r="AT40" s="234"/>
      <c r="AU40" s="242" t="s">
        <v>597</v>
      </c>
      <c r="AV40" s="242">
        <v>3620423.53</v>
      </c>
      <c r="AW40" s="242">
        <v>582</v>
      </c>
      <c r="AX40" s="242">
        <v>53</v>
      </c>
      <c r="AY40" s="242">
        <v>30810</v>
      </c>
      <c r="AZ40" s="242">
        <v>0</v>
      </c>
      <c r="BA40" s="234"/>
      <c r="BB40" s="242" t="s">
        <v>559</v>
      </c>
      <c r="BC40" s="242">
        <v>2810714363.2800002</v>
      </c>
      <c r="BD40" s="242">
        <v>14360</v>
      </c>
      <c r="BE40" s="242">
        <v>2042</v>
      </c>
      <c r="BF40" s="242">
        <v>234628</v>
      </c>
      <c r="BG40" s="242">
        <v>1</v>
      </c>
      <c r="BH40" s="236" t="s">
        <v>559</v>
      </c>
      <c r="BI40" s="242">
        <v>219384370.48500001</v>
      </c>
      <c r="BJ40" s="242">
        <v>1135</v>
      </c>
      <c r="BK40" s="242">
        <v>101</v>
      </c>
      <c r="BL40" s="242">
        <v>10676</v>
      </c>
      <c r="BM40" s="242">
        <v>1</v>
      </c>
      <c r="BN40" s="242"/>
      <c r="BO40" s="245" t="s">
        <v>461</v>
      </c>
      <c r="BP40" s="253" t="s">
        <v>526</v>
      </c>
      <c r="BQ40" s="253" t="s">
        <v>554</v>
      </c>
      <c r="BR40" s="253" t="s">
        <v>555</v>
      </c>
      <c r="BS40" s="234"/>
      <c r="BT40" s="234"/>
      <c r="BU40" s="234"/>
      <c r="BV40" s="234"/>
      <c r="BW40" s="234"/>
      <c r="BX40" s="234"/>
      <c r="BY40" s="234"/>
      <c r="BZ40" s="234"/>
      <c r="CA40" s="234"/>
      <c r="CB40" s="234"/>
      <c r="CC40" s="234"/>
      <c r="CD40" s="234"/>
      <c r="CE40" s="234"/>
      <c r="CF40" s="234"/>
      <c r="CG40" s="234"/>
      <c r="CH40" s="234"/>
      <c r="CI40" s="234"/>
      <c r="CJ40" s="234"/>
      <c r="CK40" s="234"/>
      <c r="CL40" s="234"/>
      <c r="CM40" s="234"/>
      <c r="CN40" s="234"/>
      <c r="CO40" s="234"/>
      <c r="CP40" s="234"/>
      <c r="CQ40" s="234"/>
      <c r="CR40" s="234"/>
      <c r="CS40" s="236"/>
      <c r="CT40" s="236"/>
      <c r="CU40" s="236"/>
      <c r="CV40" s="236"/>
      <c r="CW40" s="236"/>
      <c r="CX40" s="236"/>
      <c r="CY40" s="236"/>
      <c r="CZ40" s="236"/>
      <c r="DA40" s="236"/>
      <c r="DB40" s="236"/>
      <c r="DC40" s="236"/>
      <c r="DD40" s="236"/>
    </row>
    <row r="41" spans="1:108" x14ac:dyDescent="0.2">
      <c r="B41" s="181" t="s">
        <v>234</v>
      </c>
      <c r="C41" s="184">
        <v>38715</v>
      </c>
      <c r="D41" s="181">
        <v>25723.24</v>
      </c>
      <c r="E41" s="212">
        <v>1</v>
      </c>
      <c r="F41" s="203"/>
      <c r="G41" s="212" t="s">
        <v>48</v>
      </c>
      <c r="H41" s="212">
        <v>6216.6734232700001</v>
      </c>
      <c r="I41" s="158"/>
      <c r="J41" s="152"/>
      <c r="K41" s="217"/>
      <c r="L41" s="217"/>
      <c r="M41" s="217"/>
      <c r="O41" s="230" t="s">
        <v>48</v>
      </c>
      <c r="P41" s="230">
        <v>6324.74983703</v>
      </c>
      <c r="Q41" s="228"/>
      <c r="R41" s="152"/>
      <c r="S41" s="242" t="s">
        <v>433</v>
      </c>
      <c r="T41" s="247">
        <v>223944243059.88519</v>
      </c>
      <c r="U41" s="247">
        <v>617424</v>
      </c>
      <c r="V41" s="247">
        <v>202702</v>
      </c>
      <c r="W41" s="247">
        <v>0</v>
      </c>
      <c r="X41" s="247">
        <v>1</v>
      </c>
      <c r="Y41" s="234"/>
      <c r="Z41" s="242" t="s">
        <v>598</v>
      </c>
      <c r="AA41" s="242">
        <v>0</v>
      </c>
      <c r="AB41" s="242">
        <v>0</v>
      </c>
      <c r="AC41" s="242">
        <v>0</v>
      </c>
      <c r="AD41" s="242">
        <v>0</v>
      </c>
      <c r="AE41" s="242">
        <v>0</v>
      </c>
      <c r="AF41" s="242"/>
      <c r="AG41" s="242" t="s">
        <v>598</v>
      </c>
      <c r="AH41" s="242">
        <v>0</v>
      </c>
      <c r="AI41" s="242">
        <v>0</v>
      </c>
      <c r="AJ41" s="242">
        <v>0</v>
      </c>
      <c r="AK41" s="242">
        <v>0</v>
      </c>
      <c r="AL41" s="242">
        <v>0</v>
      </c>
      <c r="AM41" s="234"/>
      <c r="AN41" s="242" t="s">
        <v>599</v>
      </c>
      <c r="AO41" s="242">
        <v>86048421.950000003</v>
      </c>
      <c r="AP41" s="242">
        <v>11309</v>
      </c>
      <c r="AQ41" s="242">
        <v>489</v>
      </c>
      <c r="AR41" s="242">
        <v>341049</v>
      </c>
      <c r="AS41" s="242">
        <v>0</v>
      </c>
      <c r="AT41" s="234"/>
      <c r="AU41" s="242" t="s">
        <v>599</v>
      </c>
      <c r="AV41" s="242">
        <v>2839327.2</v>
      </c>
      <c r="AW41" s="242">
        <v>448</v>
      </c>
      <c r="AX41" s="242">
        <v>19</v>
      </c>
      <c r="AY41" s="242">
        <v>19810</v>
      </c>
      <c r="AZ41" s="242">
        <v>0</v>
      </c>
      <c r="BA41" s="234"/>
      <c r="BB41" s="242" t="s">
        <v>605</v>
      </c>
      <c r="BC41" s="242">
        <v>0</v>
      </c>
      <c r="BD41" s="242">
        <v>0</v>
      </c>
      <c r="BE41" s="242">
        <v>0</v>
      </c>
      <c r="BF41" s="242">
        <v>0</v>
      </c>
      <c r="BG41" s="242">
        <v>1</v>
      </c>
      <c r="BH41" s="236" t="s">
        <v>605</v>
      </c>
      <c r="BI41" s="242">
        <v>0</v>
      </c>
      <c r="BJ41" s="242">
        <v>0</v>
      </c>
      <c r="BK41" s="242">
        <v>0</v>
      </c>
      <c r="BL41" s="242">
        <v>0</v>
      </c>
      <c r="BM41" s="242">
        <v>1</v>
      </c>
      <c r="BN41" s="242"/>
      <c r="BO41" s="234"/>
      <c r="BP41" s="252">
        <v>17290343946.459999</v>
      </c>
      <c r="BQ41" s="252">
        <v>169922</v>
      </c>
      <c r="BR41" s="252">
        <v>316</v>
      </c>
      <c r="BS41" s="234"/>
      <c r="BT41" s="234"/>
      <c r="BU41" s="234"/>
      <c r="BV41" s="234"/>
      <c r="BW41" s="234"/>
      <c r="BX41" s="234"/>
      <c r="BY41" s="234"/>
      <c r="BZ41" s="234"/>
      <c r="CA41" s="234"/>
      <c r="CB41" s="234"/>
      <c r="CC41" s="234"/>
      <c r="CD41" s="234"/>
      <c r="CE41" s="234"/>
      <c r="CF41" s="234"/>
      <c r="CG41" s="234"/>
      <c r="CH41" s="234"/>
      <c r="CI41" s="234"/>
      <c r="CJ41" s="234"/>
      <c r="CK41" s="234"/>
      <c r="CL41" s="234"/>
      <c r="CM41" s="234"/>
      <c r="CN41" s="234"/>
      <c r="CO41" s="234"/>
      <c r="CP41" s="234"/>
      <c r="CQ41" s="234"/>
      <c r="CR41" s="234"/>
      <c r="CS41" s="236"/>
      <c r="CT41" s="236"/>
      <c r="CU41" s="236"/>
      <c r="CV41" s="236"/>
      <c r="CW41" s="236"/>
      <c r="CX41" s="236"/>
      <c r="CY41" s="236"/>
      <c r="CZ41" s="236"/>
      <c r="DA41" s="236"/>
      <c r="DB41" s="236"/>
      <c r="DC41" s="236"/>
      <c r="DD41" s="236"/>
    </row>
    <row r="42" spans="1:108" x14ac:dyDescent="0.2">
      <c r="B42" s="181" t="s">
        <v>235</v>
      </c>
      <c r="C42" s="184">
        <v>38716</v>
      </c>
      <c r="D42" s="181">
        <v>18207.32</v>
      </c>
      <c r="E42" s="212">
        <v>1</v>
      </c>
      <c r="F42" s="203"/>
      <c r="G42" s="212" t="s">
        <v>535</v>
      </c>
      <c r="H42" s="212">
        <v>55447.744497090003</v>
      </c>
      <c r="I42" s="158"/>
      <c r="J42" s="152"/>
      <c r="K42" s="217"/>
      <c r="L42" s="217"/>
      <c r="M42" s="217"/>
      <c r="O42" s="230" t="s">
        <v>535</v>
      </c>
      <c r="P42" s="230">
        <v>58487.560004819999</v>
      </c>
      <c r="Q42" s="228"/>
      <c r="R42" s="152"/>
      <c r="S42" s="242" t="s">
        <v>436</v>
      </c>
      <c r="T42" s="247">
        <v>228311811.62099999</v>
      </c>
      <c r="U42" s="247">
        <v>340844</v>
      </c>
      <c r="V42" s="247">
        <v>25</v>
      </c>
      <c r="W42" s="247">
        <v>0</v>
      </c>
      <c r="X42" s="247">
        <v>1</v>
      </c>
      <c r="Y42" s="234"/>
      <c r="Z42" s="242" t="s">
        <v>599</v>
      </c>
      <c r="AA42" s="242">
        <v>159499483.81999999</v>
      </c>
      <c r="AB42" s="242">
        <v>9788</v>
      </c>
      <c r="AC42" s="242">
        <v>705</v>
      </c>
      <c r="AD42" s="242">
        <v>453611</v>
      </c>
      <c r="AE42" s="242">
        <v>0</v>
      </c>
      <c r="AF42" s="242"/>
      <c r="AG42" s="242" t="s">
        <v>599</v>
      </c>
      <c r="AH42" s="242">
        <v>2592692.84</v>
      </c>
      <c r="AI42" s="242">
        <v>332</v>
      </c>
      <c r="AJ42" s="242">
        <v>36</v>
      </c>
      <c r="AK42" s="242">
        <v>23281</v>
      </c>
      <c r="AL42" s="242">
        <v>0</v>
      </c>
      <c r="AM42" s="234"/>
      <c r="AN42" s="242" t="s">
        <v>601</v>
      </c>
      <c r="AO42" s="242">
        <v>0</v>
      </c>
      <c r="AP42" s="242">
        <v>0</v>
      </c>
      <c r="AQ42" s="242">
        <v>0</v>
      </c>
      <c r="AR42" s="242">
        <v>0</v>
      </c>
      <c r="AS42" s="242">
        <v>1</v>
      </c>
      <c r="AT42" s="234"/>
      <c r="AU42" s="242" t="s">
        <v>601</v>
      </c>
      <c r="AV42" s="242">
        <v>0</v>
      </c>
      <c r="AW42" s="242">
        <v>0</v>
      </c>
      <c r="AX42" s="242">
        <v>0</v>
      </c>
      <c r="AY42" s="242">
        <v>0</v>
      </c>
      <c r="AZ42" s="242">
        <v>1</v>
      </c>
      <c r="BA42" s="234"/>
      <c r="BB42" s="242" t="s">
        <v>560</v>
      </c>
      <c r="BC42" s="242">
        <v>58415481.299999997</v>
      </c>
      <c r="BD42" s="242">
        <v>610</v>
      </c>
      <c r="BE42" s="242">
        <v>51</v>
      </c>
      <c r="BF42" s="242">
        <v>71917</v>
      </c>
      <c r="BG42" s="242">
        <v>1</v>
      </c>
      <c r="BH42" s="236" t="s">
        <v>560</v>
      </c>
      <c r="BI42" s="242">
        <v>0</v>
      </c>
      <c r="BJ42" s="242">
        <v>0</v>
      </c>
      <c r="BK42" s="242">
        <v>0</v>
      </c>
      <c r="BL42" s="242">
        <v>3353</v>
      </c>
      <c r="BM42" s="242">
        <v>1</v>
      </c>
      <c r="BN42" s="242"/>
      <c r="BO42" s="236"/>
      <c r="BP42" s="252"/>
      <c r="BQ42" s="252"/>
      <c r="BR42" s="252"/>
      <c r="BS42" s="234"/>
      <c r="BT42" s="234"/>
      <c r="BU42" s="234"/>
      <c r="BV42" s="234"/>
      <c r="BW42" s="234"/>
      <c r="BX42" s="234"/>
      <c r="BY42" s="234"/>
      <c r="BZ42" s="234"/>
      <c r="CA42" s="234"/>
      <c r="CB42" s="234"/>
      <c r="CC42" s="234"/>
      <c r="CD42" s="234"/>
      <c r="CE42" s="234"/>
      <c r="CF42" s="234"/>
      <c r="CG42" s="234"/>
      <c r="CH42" s="234"/>
      <c r="CI42" s="234"/>
      <c r="CJ42" s="234"/>
      <c r="CK42" s="234"/>
      <c r="CL42" s="234"/>
      <c r="CM42" s="234"/>
      <c r="CN42" s="234"/>
      <c r="CO42" s="234"/>
      <c r="CP42" s="234"/>
      <c r="CQ42" s="234"/>
      <c r="CR42" s="234"/>
      <c r="CS42" s="234"/>
      <c r="CT42" s="234"/>
      <c r="CU42" s="234"/>
      <c r="CV42" s="234"/>
      <c r="CW42" s="234"/>
      <c r="CX42" s="234"/>
      <c r="CY42" s="234"/>
      <c r="CZ42" s="234"/>
      <c r="DA42" s="234"/>
      <c r="DB42" s="234"/>
      <c r="DC42" s="234"/>
      <c r="DD42" s="234"/>
    </row>
    <row r="43" spans="1:108" x14ac:dyDescent="0.2">
      <c r="B43" s="181" t="s">
        <v>236</v>
      </c>
      <c r="C43" s="184">
        <v>38615</v>
      </c>
      <c r="D43" s="181">
        <v>4728.4799999999996</v>
      </c>
      <c r="E43" s="212">
        <v>1</v>
      </c>
      <c r="F43" s="203"/>
      <c r="G43" s="212" t="s">
        <v>536</v>
      </c>
      <c r="H43" s="212">
        <v>54276.742899080004</v>
      </c>
      <c r="I43" s="158"/>
      <c r="J43" s="152"/>
      <c r="K43" s="217"/>
      <c r="L43" s="217"/>
      <c r="M43" s="217"/>
      <c r="O43" s="230" t="s">
        <v>536</v>
      </c>
      <c r="P43" s="230">
        <v>57116.728954749997</v>
      </c>
      <c r="Q43" s="228"/>
      <c r="S43" s="234" t="s">
        <v>437</v>
      </c>
      <c r="T43" s="234">
        <v>0</v>
      </c>
      <c r="U43" s="234">
        <v>323397</v>
      </c>
      <c r="V43" s="234">
        <v>25</v>
      </c>
      <c r="W43" s="234">
        <v>0</v>
      </c>
      <c r="X43" s="234">
        <v>1</v>
      </c>
      <c r="Y43" s="234"/>
      <c r="Z43" s="242" t="s">
        <v>600</v>
      </c>
      <c r="AA43" s="242">
        <v>0</v>
      </c>
      <c r="AB43" s="242">
        <v>0</v>
      </c>
      <c r="AC43" s="242">
        <v>0</v>
      </c>
      <c r="AD43" s="242">
        <v>0</v>
      </c>
      <c r="AE43" s="242">
        <v>0</v>
      </c>
      <c r="AF43" s="242"/>
      <c r="AG43" s="242" t="s">
        <v>600</v>
      </c>
      <c r="AH43" s="242">
        <v>0</v>
      </c>
      <c r="AI43" s="242">
        <v>0</v>
      </c>
      <c r="AJ43" s="242">
        <v>0</v>
      </c>
      <c r="AK43" s="242">
        <v>0</v>
      </c>
      <c r="AL43" s="242">
        <v>0</v>
      </c>
      <c r="AM43" s="234"/>
      <c r="AN43" s="242" t="s">
        <v>559</v>
      </c>
      <c r="AO43" s="242">
        <v>5174224843.3100004</v>
      </c>
      <c r="AP43" s="242">
        <v>22432</v>
      </c>
      <c r="AQ43" s="242">
        <v>2383</v>
      </c>
      <c r="AR43" s="242">
        <v>291029</v>
      </c>
      <c r="AS43" s="242">
        <v>1</v>
      </c>
      <c r="AT43" s="234"/>
      <c r="AU43" s="242" t="s">
        <v>559</v>
      </c>
      <c r="AV43" s="242">
        <v>414417275.58999997</v>
      </c>
      <c r="AW43" s="242">
        <v>1794</v>
      </c>
      <c r="AX43" s="242">
        <v>160</v>
      </c>
      <c r="AY43" s="242">
        <v>13058</v>
      </c>
      <c r="AZ43" s="242">
        <v>1</v>
      </c>
      <c r="BA43" s="234"/>
      <c r="BB43" s="242" t="s">
        <v>561</v>
      </c>
      <c r="BC43" s="242">
        <v>383400</v>
      </c>
      <c r="BD43" s="242">
        <v>5</v>
      </c>
      <c r="BE43" s="242">
        <v>1</v>
      </c>
      <c r="BF43" s="242">
        <v>25</v>
      </c>
      <c r="BG43" s="242">
        <v>1</v>
      </c>
      <c r="BH43" s="236" t="s">
        <v>561</v>
      </c>
      <c r="BI43" s="242">
        <v>0</v>
      </c>
      <c r="BJ43" s="242">
        <v>0</v>
      </c>
      <c r="BK43" s="242">
        <v>0</v>
      </c>
      <c r="BL43" s="242">
        <v>0</v>
      </c>
      <c r="BM43" s="242">
        <v>1</v>
      </c>
      <c r="BN43" s="242"/>
      <c r="BO43" s="241" t="s">
        <v>475</v>
      </c>
      <c r="BP43" s="253" t="s">
        <v>556</v>
      </c>
      <c r="BQ43" s="252"/>
      <c r="BR43" s="252"/>
      <c r="BS43" s="234"/>
      <c r="BT43" s="234"/>
      <c r="BU43" s="234"/>
      <c r="BV43" s="234"/>
      <c r="BW43" s="234"/>
      <c r="BX43" s="234"/>
      <c r="BY43" s="234"/>
      <c r="BZ43" s="234"/>
      <c r="CA43" s="234"/>
      <c r="CB43" s="234"/>
      <c r="CC43" s="234"/>
      <c r="CD43" s="234"/>
      <c r="CE43" s="234"/>
      <c r="CF43" s="234"/>
      <c r="CG43" s="234"/>
      <c r="CH43" s="234"/>
      <c r="CI43" s="234"/>
      <c r="CJ43" s="234"/>
      <c r="CK43" s="234"/>
      <c r="CL43" s="234"/>
      <c r="CM43" s="234"/>
      <c r="CN43" s="234"/>
      <c r="CO43" s="234"/>
      <c r="CP43" s="234"/>
      <c r="CQ43" s="234"/>
      <c r="CR43" s="234"/>
      <c r="CS43" s="234"/>
      <c r="CT43" s="234"/>
      <c r="CU43" s="234"/>
      <c r="CV43" s="234"/>
      <c r="CW43" s="234"/>
      <c r="CX43" s="234"/>
      <c r="CY43" s="234"/>
      <c r="CZ43" s="234"/>
      <c r="DA43" s="234"/>
      <c r="DB43" s="234"/>
      <c r="DC43" s="234"/>
      <c r="DD43" s="234"/>
    </row>
    <row r="44" spans="1:108" x14ac:dyDescent="0.2">
      <c r="A44" s="35"/>
      <c r="B44" s="181" t="s">
        <v>237</v>
      </c>
      <c r="C44" s="184">
        <v>38716</v>
      </c>
      <c r="D44" s="181">
        <v>23744.76</v>
      </c>
      <c r="E44" s="212">
        <v>1</v>
      </c>
      <c r="F44" s="198"/>
      <c r="G44" s="212" t="s">
        <v>269</v>
      </c>
      <c r="H44" s="212">
        <v>3661.5789656299999</v>
      </c>
      <c r="I44" s="158"/>
      <c r="J44" s="152"/>
      <c r="K44" s="217"/>
      <c r="L44" s="217"/>
      <c r="M44" s="217"/>
      <c r="O44" s="230" t="s">
        <v>269</v>
      </c>
      <c r="P44" s="230">
        <v>3919.5271637599999</v>
      </c>
      <c r="Q44" s="228"/>
      <c r="S44" s="234" t="s">
        <v>434</v>
      </c>
      <c r="T44" s="234">
        <v>7303295802.3999996</v>
      </c>
      <c r="U44" s="234">
        <v>196793</v>
      </c>
      <c r="V44" s="234">
        <v>3386</v>
      </c>
      <c r="W44" s="234">
        <v>0</v>
      </c>
      <c r="X44" s="234">
        <v>1</v>
      </c>
      <c r="Y44" s="234"/>
      <c r="Z44" s="242" t="s">
        <v>601</v>
      </c>
      <c r="AA44" s="242">
        <v>0</v>
      </c>
      <c r="AB44" s="242">
        <v>0</v>
      </c>
      <c r="AC44" s="242">
        <v>0</v>
      </c>
      <c r="AD44" s="242">
        <v>0</v>
      </c>
      <c r="AE44" s="242">
        <v>1</v>
      </c>
      <c r="AF44" s="242"/>
      <c r="AG44" s="242" t="s">
        <v>601</v>
      </c>
      <c r="AH44" s="242">
        <v>0</v>
      </c>
      <c r="AI44" s="242">
        <v>0</v>
      </c>
      <c r="AJ44" s="242">
        <v>0</v>
      </c>
      <c r="AK44" s="242">
        <v>0</v>
      </c>
      <c r="AL44" s="242">
        <v>1</v>
      </c>
      <c r="AM44" s="234"/>
      <c r="AN44" s="242" t="s">
        <v>560</v>
      </c>
      <c r="AO44" s="242">
        <v>22471920.059999999</v>
      </c>
      <c r="AP44" s="242">
        <v>226</v>
      </c>
      <c r="AQ44" s="242">
        <v>29</v>
      </c>
      <c r="AR44" s="242">
        <v>31149</v>
      </c>
      <c r="AS44" s="242">
        <v>1</v>
      </c>
      <c r="AT44" s="234"/>
      <c r="AU44" s="242" t="s">
        <v>560</v>
      </c>
      <c r="AV44" s="242">
        <v>0</v>
      </c>
      <c r="AW44" s="242">
        <v>0</v>
      </c>
      <c r="AX44" s="242">
        <v>0</v>
      </c>
      <c r="AY44" s="242">
        <v>1595</v>
      </c>
      <c r="AZ44" s="242">
        <v>1</v>
      </c>
      <c r="BA44" s="234"/>
      <c r="BB44" s="242" t="s">
        <v>562</v>
      </c>
      <c r="BC44" s="242">
        <v>284400</v>
      </c>
      <c r="BD44" s="242">
        <v>10</v>
      </c>
      <c r="BE44" s="242">
        <v>1</v>
      </c>
      <c r="BF44" s="242">
        <v>80</v>
      </c>
      <c r="BG44" s="242">
        <v>1</v>
      </c>
      <c r="BH44" s="236" t="s">
        <v>562</v>
      </c>
      <c r="BI44" s="242">
        <v>0</v>
      </c>
      <c r="BJ44" s="242">
        <v>0</v>
      </c>
      <c r="BK44" s="242">
        <v>0</v>
      </c>
      <c r="BL44" s="242">
        <v>0</v>
      </c>
      <c r="BM44" s="242">
        <v>1</v>
      </c>
      <c r="BN44" s="242"/>
      <c r="BO44" s="236"/>
      <c r="BP44" s="252">
        <v>815217</v>
      </c>
      <c r="BQ44" s="252"/>
      <c r="BR44" s="252"/>
      <c r="BS44" s="234"/>
      <c r="BT44" s="234"/>
      <c r="BU44" s="234"/>
      <c r="BV44" s="234"/>
      <c r="BW44" s="234"/>
      <c r="BX44" s="234"/>
      <c r="BY44" s="234"/>
      <c r="BZ44" s="234"/>
      <c r="CA44" s="234"/>
      <c r="CB44" s="234"/>
      <c r="CC44" s="234"/>
      <c r="CD44" s="234"/>
      <c r="CE44" s="234"/>
      <c r="CF44" s="234"/>
      <c r="CG44" s="234"/>
      <c r="CH44" s="234"/>
      <c r="CI44" s="234"/>
      <c r="CJ44" s="234"/>
      <c r="CK44" s="234"/>
      <c r="CL44" s="234"/>
      <c r="CM44" s="234"/>
      <c r="CN44" s="234"/>
      <c r="CO44" s="234"/>
      <c r="CP44" s="234"/>
      <c r="CQ44" s="234"/>
      <c r="CR44" s="234"/>
      <c r="CS44" s="234"/>
      <c r="CT44" s="234"/>
      <c r="CU44" s="234"/>
      <c r="CV44" s="234"/>
      <c r="CW44" s="234"/>
      <c r="CX44" s="234"/>
      <c r="CY44" s="234"/>
      <c r="CZ44" s="234"/>
      <c r="DA44" s="234"/>
      <c r="DB44" s="234"/>
      <c r="DC44" s="234"/>
      <c r="DD44" s="234"/>
    </row>
    <row r="45" spans="1:108" x14ac:dyDescent="0.2">
      <c r="B45" s="181" t="s">
        <v>238</v>
      </c>
      <c r="C45" s="184">
        <v>38715</v>
      </c>
      <c r="D45" s="181">
        <v>24993.42</v>
      </c>
      <c r="E45" s="212">
        <v>1</v>
      </c>
      <c r="F45" s="199"/>
      <c r="G45" s="212" t="s">
        <v>60</v>
      </c>
      <c r="H45" s="212">
        <v>43485.591066350004</v>
      </c>
      <c r="I45" s="158"/>
      <c r="J45" s="152"/>
      <c r="K45" s="217"/>
      <c r="L45" s="217"/>
      <c r="M45" s="217"/>
      <c r="O45" s="230" t="s">
        <v>60</v>
      </c>
      <c r="P45" s="230">
        <v>45937.212550650002</v>
      </c>
      <c r="Q45" s="228"/>
      <c r="S45" s="243"/>
      <c r="T45" s="246"/>
      <c r="U45" s="246"/>
      <c r="V45" s="246"/>
      <c r="W45" s="246"/>
      <c r="X45" s="246"/>
      <c r="Y45" s="234"/>
      <c r="Z45" s="242" t="s">
        <v>559</v>
      </c>
      <c r="AA45" s="242">
        <v>5430958436.0749998</v>
      </c>
      <c r="AB45" s="242">
        <v>24182</v>
      </c>
      <c r="AC45" s="242">
        <v>3985</v>
      </c>
      <c r="AD45" s="242">
        <v>257065</v>
      </c>
      <c r="AE45" s="242">
        <v>1</v>
      </c>
      <c r="AF45" s="242"/>
      <c r="AG45" s="242" t="s">
        <v>559</v>
      </c>
      <c r="AH45" s="242">
        <v>245393645.88</v>
      </c>
      <c r="AI45" s="242">
        <v>1095</v>
      </c>
      <c r="AJ45" s="242">
        <v>130</v>
      </c>
      <c r="AK45" s="242">
        <v>11873</v>
      </c>
      <c r="AL45" s="242">
        <v>1</v>
      </c>
      <c r="AM45" s="234"/>
      <c r="AN45" s="242" t="s">
        <v>561</v>
      </c>
      <c r="AO45" s="242">
        <v>1384720</v>
      </c>
      <c r="AP45" s="242">
        <v>20</v>
      </c>
      <c r="AQ45" s="242">
        <v>4</v>
      </c>
      <c r="AR45" s="242">
        <v>102</v>
      </c>
      <c r="AS45" s="242">
        <v>1</v>
      </c>
      <c r="AT45" s="234"/>
      <c r="AU45" s="242" t="s">
        <v>561</v>
      </c>
      <c r="AV45" s="242">
        <v>0</v>
      </c>
      <c r="AW45" s="242">
        <v>0</v>
      </c>
      <c r="AX45" s="242">
        <v>0</v>
      </c>
      <c r="AY45" s="242">
        <v>3</v>
      </c>
      <c r="AZ45" s="242">
        <v>1</v>
      </c>
      <c r="BA45" s="234"/>
      <c r="BB45" s="242" t="s">
        <v>563</v>
      </c>
      <c r="BC45" s="242">
        <v>2613862.5</v>
      </c>
      <c r="BD45" s="242">
        <v>57</v>
      </c>
      <c r="BE45" s="242">
        <v>12</v>
      </c>
      <c r="BF45" s="242">
        <v>1224</v>
      </c>
      <c r="BG45" s="242">
        <v>1</v>
      </c>
      <c r="BH45" s="236" t="s">
        <v>563</v>
      </c>
      <c r="BI45" s="242">
        <v>0</v>
      </c>
      <c r="BJ45" s="242">
        <v>0</v>
      </c>
      <c r="BK45" s="242">
        <v>0</v>
      </c>
      <c r="BL45" s="242">
        <v>60</v>
      </c>
      <c r="BM45" s="242">
        <v>1</v>
      </c>
      <c r="BN45" s="242"/>
      <c r="BO45" s="236"/>
      <c r="BP45" s="252"/>
      <c r="BQ45" s="252"/>
      <c r="BR45" s="252"/>
      <c r="BS45" s="234"/>
      <c r="BT45" s="234"/>
      <c r="BU45" s="234"/>
      <c r="BV45" s="234"/>
      <c r="BW45" s="234"/>
      <c r="BX45" s="234"/>
      <c r="BY45" s="234"/>
      <c r="BZ45" s="234"/>
      <c r="CA45" s="234"/>
      <c r="CB45" s="234"/>
      <c r="CC45" s="234"/>
      <c r="CD45" s="234"/>
      <c r="CE45" s="234"/>
      <c r="CF45" s="234"/>
      <c r="CG45" s="234"/>
      <c r="CH45" s="234"/>
      <c r="CI45" s="234"/>
      <c r="CJ45" s="234"/>
      <c r="CK45" s="234"/>
      <c r="CL45" s="234"/>
      <c r="CM45" s="234"/>
      <c r="CN45" s="234"/>
      <c r="CO45" s="234"/>
      <c r="CP45" s="234"/>
      <c r="CQ45" s="234"/>
      <c r="CR45" s="234"/>
      <c r="CS45" s="234"/>
      <c r="CT45" s="234"/>
      <c r="CU45" s="234"/>
      <c r="CV45" s="234"/>
      <c r="CW45" s="234"/>
      <c r="CX45" s="234"/>
      <c r="CY45" s="234"/>
      <c r="CZ45" s="234"/>
      <c r="DA45" s="234"/>
      <c r="DB45" s="234"/>
      <c r="DC45" s="234"/>
      <c r="DD45" s="234"/>
    </row>
    <row r="46" spans="1:108" x14ac:dyDescent="0.2">
      <c r="B46" s="181" t="s">
        <v>239</v>
      </c>
      <c r="C46" s="184">
        <v>38716</v>
      </c>
      <c r="D46" s="181">
        <v>2895.12</v>
      </c>
      <c r="E46" s="212">
        <v>1</v>
      </c>
      <c r="F46" s="205"/>
      <c r="G46" s="212" t="s">
        <v>64</v>
      </c>
      <c r="H46" s="212">
        <v>68885.783547030005</v>
      </c>
      <c r="I46" s="158"/>
      <c r="J46" s="152"/>
      <c r="K46" s="217"/>
      <c r="L46" s="217"/>
      <c r="M46" s="217"/>
      <c r="O46" s="230" t="s">
        <v>64</v>
      </c>
      <c r="P46" s="230">
        <v>73365.450256819997</v>
      </c>
      <c r="Q46" s="228"/>
      <c r="S46" s="242"/>
      <c r="T46" s="247"/>
      <c r="U46" s="247"/>
      <c r="V46" s="247"/>
      <c r="W46" s="247"/>
      <c r="X46" s="247"/>
      <c r="Y46" s="234"/>
      <c r="Z46" s="242" t="s">
        <v>560</v>
      </c>
      <c r="AA46" s="242">
        <v>100769219.06999999</v>
      </c>
      <c r="AB46" s="242">
        <v>989</v>
      </c>
      <c r="AC46" s="242">
        <v>41</v>
      </c>
      <c r="AD46" s="242">
        <v>39013</v>
      </c>
      <c r="AE46" s="242">
        <v>1</v>
      </c>
      <c r="AF46" s="242"/>
      <c r="AG46" s="242" t="s">
        <v>560</v>
      </c>
      <c r="AH46" s="242">
        <v>0</v>
      </c>
      <c r="AI46" s="242">
        <v>0</v>
      </c>
      <c r="AJ46" s="242">
        <v>0</v>
      </c>
      <c r="AK46" s="242">
        <v>2019</v>
      </c>
      <c r="AL46" s="242">
        <v>1</v>
      </c>
      <c r="AM46" s="234"/>
      <c r="AN46" s="242" t="s">
        <v>562</v>
      </c>
      <c r="AO46" s="242">
        <v>0</v>
      </c>
      <c r="AP46" s="242">
        <v>0</v>
      </c>
      <c r="AQ46" s="242">
        <v>0</v>
      </c>
      <c r="AR46" s="242">
        <v>0</v>
      </c>
      <c r="AS46" s="242">
        <v>1</v>
      </c>
      <c r="AT46" s="234"/>
      <c r="AU46" s="242" t="s">
        <v>562</v>
      </c>
      <c r="AV46" s="242">
        <v>0</v>
      </c>
      <c r="AW46" s="242">
        <v>0</v>
      </c>
      <c r="AX46" s="242">
        <v>0</v>
      </c>
      <c r="AY46" s="242">
        <v>0</v>
      </c>
      <c r="AZ46" s="242">
        <v>1</v>
      </c>
      <c r="BA46" s="234"/>
      <c r="BB46" s="242" t="s">
        <v>564</v>
      </c>
      <c r="BC46" s="242">
        <v>11397772.5</v>
      </c>
      <c r="BD46" s="242">
        <v>114</v>
      </c>
      <c r="BE46" s="242">
        <v>5</v>
      </c>
      <c r="BF46" s="242">
        <v>2970</v>
      </c>
      <c r="BG46" s="242">
        <v>1</v>
      </c>
      <c r="BH46" s="236" t="s">
        <v>564</v>
      </c>
      <c r="BI46" s="242">
        <v>0</v>
      </c>
      <c r="BJ46" s="242">
        <v>0</v>
      </c>
      <c r="BK46" s="242">
        <v>0</v>
      </c>
      <c r="BL46" s="242">
        <v>220</v>
      </c>
      <c r="BM46" s="242">
        <v>1</v>
      </c>
      <c r="BN46" s="242"/>
      <c r="BO46" s="249" t="s">
        <v>476</v>
      </c>
      <c r="BP46" s="253" t="s">
        <v>556</v>
      </c>
      <c r="BQ46" s="252"/>
      <c r="BR46" s="252"/>
      <c r="BS46" s="234"/>
      <c r="BT46" s="234"/>
      <c r="BU46" s="234"/>
      <c r="BV46" s="234"/>
      <c r="BW46" s="234"/>
      <c r="BX46" s="234"/>
      <c r="BY46" s="234"/>
      <c r="BZ46" s="234"/>
      <c r="CA46" s="234"/>
      <c r="CB46" s="234"/>
      <c r="CC46" s="234"/>
      <c r="CD46" s="234"/>
      <c r="CE46" s="234"/>
      <c r="CF46" s="234"/>
      <c r="CG46" s="234"/>
      <c r="CH46" s="234"/>
      <c r="CI46" s="234"/>
      <c r="CJ46" s="234"/>
      <c r="CK46" s="234"/>
      <c r="CL46" s="234"/>
      <c r="CM46" s="234"/>
      <c r="CN46" s="234"/>
      <c r="CO46" s="234"/>
      <c r="CP46" s="234"/>
      <c r="CQ46" s="234"/>
      <c r="CR46" s="234"/>
      <c r="CS46" s="234"/>
      <c r="CT46" s="234"/>
      <c r="CU46" s="234"/>
      <c r="CV46" s="234"/>
      <c r="CW46" s="234"/>
      <c r="CX46" s="234"/>
      <c r="CY46" s="234"/>
      <c r="CZ46" s="234"/>
      <c r="DA46" s="234"/>
      <c r="DB46" s="234"/>
      <c r="DC46" s="234"/>
      <c r="DD46" s="234"/>
    </row>
    <row r="47" spans="1:108" x14ac:dyDescent="0.2">
      <c r="B47" s="181" t="s">
        <v>240</v>
      </c>
      <c r="C47" s="184">
        <v>38699</v>
      </c>
      <c r="D47" s="181">
        <v>28328.49</v>
      </c>
      <c r="E47" s="212">
        <v>1</v>
      </c>
      <c r="F47" s="206"/>
      <c r="G47" s="212" t="s">
        <v>66</v>
      </c>
      <c r="H47" s="212">
        <v>16760.781776619999</v>
      </c>
      <c r="I47" s="158"/>
      <c r="J47" s="154"/>
      <c r="K47" s="217"/>
      <c r="L47" s="217"/>
      <c r="M47" s="217"/>
      <c r="O47" s="230" t="s">
        <v>66</v>
      </c>
      <c r="P47" s="230">
        <v>17125.86554653</v>
      </c>
      <c r="Q47" s="228"/>
      <c r="S47" s="242"/>
      <c r="T47" s="247"/>
      <c r="U47" s="247"/>
      <c r="V47" s="247"/>
      <c r="W47" s="247"/>
      <c r="X47" s="247"/>
      <c r="Y47" s="234"/>
      <c r="Z47" s="242" t="s">
        <v>561</v>
      </c>
      <c r="AA47" s="242">
        <v>351280</v>
      </c>
      <c r="AB47" s="242">
        <v>5</v>
      </c>
      <c r="AC47" s="242">
        <v>4</v>
      </c>
      <c r="AD47" s="242">
        <v>15</v>
      </c>
      <c r="AE47" s="242">
        <v>1</v>
      </c>
      <c r="AF47" s="242"/>
      <c r="AG47" s="242" t="s">
        <v>561</v>
      </c>
      <c r="AH47" s="242">
        <v>0</v>
      </c>
      <c r="AI47" s="242">
        <v>0</v>
      </c>
      <c r="AJ47" s="242">
        <v>0</v>
      </c>
      <c r="AK47" s="242">
        <v>0</v>
      </c>
      <c r="AL47" s="242">
        <v>1</v>
      </c>
      <c r="AM47" s="234"/>
      <c r="AN47" s="242" t="s">
        <v>563</v>
      </c>
      <c r="AO47" s="242">
        <v>2139375</v>
      </c>
      <c r="AP47" s="242">
        <v>60</v>
      </c>
      <c r="AQ47" s="242">
        <v>4</v>
      </c>
      <c r="AR47" s="242">
        <v>2080</v>
      </c>
      <c r="AS47" s="242">
        <v>1</v>
      </c>
      <c r="AT47" s="234"/>
      <c r="AU47" s="242" t="s">
        <v>563</v>
      </c>
      <c r="AV47" s="242">
        <v>0</v>
      </c>
      <c r="AW47" s="242">
        <v>0</v>
      </c>
      <c r="AX47" s="242">
        <v>0</v>
      </c>
      <c r="AY47" s="242">
        <v>111</v>
      </c>
      <c r="AZ47" s="242">
        <v>1</v>
      </c>
      <c r="BA47" s="234"/>
      <c r="BB47" s="242" t="s">
        <v>565</v>
      </c>
      <c r="BC47" s="242">
        <v>0</v>
      </c>
      <c r="BD47" s="242">
        <v>0</v>
      </c>
      <c r="BE47" s="242">
        <v>0</v>
      </c>
      <c r="BF47" s="242">
        <v>0</v>
      </c>
      <c r="BG47" s="242">
        <v>1</v>
      </c>
      <c r="BH47" s="236" t="s">
        <v>565</v>
      </c>
      <c r="BI47" s="242">
        <v>0</v>
      </c>
      <c r="BJ47" s="242">
        <v>0</v>
      </c>
      <c r="BK47" s="242">
        <v>0</v>
      </c>
      <c r="BL47" s="242">
        <v>0</v>
      </c>
      <c r="BM47" s="242">
        <v>1</v>
      </c>
      <c r="BN47" s="242"/>
      <c r="BO47" s="236"/>
      <c r="BP47" s="252">
        <v>82545</v>
      </c>
      <c r="BQ47" s="252"/>
      <c r="BR47" s="252"/>
      <c r="BS47" s="234"/>
      <c r="BT47" s="234"/>
      <c r="BU47" s="234"/>
      <c r="BV47" s="234"/>
      <c r="BW47" s="234"/>
      <c r="BX47" s="234"/>
      <c r="BY47" s="234"/>
      <c r="BZ47" s="234"/>
      <c r="CA47" s="234"/>
      <c r="CB47" s="234"/>
      <c r="CC47" s="234"/>
      <c r="CD47" s="234"/>
      <c r="CE47" s="234"/>
      <c r="CF47" s="234"/>
      <c r="CG47" s="234"/>
      <c r="CH47" s="234"/>
      <c r="CI47" s="234"/>
      <c r="CJ47" s="234"/>
      <c r="CK47" s="234"/>
      <c r="CL47" s="234"/>
      <c r="CM47" s="234"/>
      <c r="CN47" s="234"/>
      <c r="CO47" s="234"/>
      <c r="CP47" s="234"/>
      <c r="CQ47" s="234"/>
      <c r="CR47" s="234"/>
      <c r="CS47" s="234"/>
      <c r="CT47" s="234"/>
      <c r="CU47" s="234"/>
      <c r="CV47" s="234"/>
      <c r="CW47" s="234"/>
      <c r="CX47" s="234"/>
      <c r="CY47" s="234"/>
      <c r="CZ47" s="234"/>
      <c r="DA47" s="234"/>
      <c r="DB47" s="234"/>
      <c r="DC47" s="234"/>
      <c r="DD47" s="234"/>
    </row>
    <row r="48" spans="1:108" x14ac:dyDescent="0.2">
      <c r="B48" s="181" t="s">
        <v>241</v>
      </c>
      <c r="C48" s="184">
        <v>43255</v>
      </c>
      <c r="D48" s="181">
        <v>72449.463907040001</v>
      </c>
      <c r="E48" s="212">
        <v>1</v>
      </c>
      <c r="F48" s="206"/>
      <c r="G48" s="212" t="s">
        <v>68</v>
      </c>
      <c r="H48" s="212">
        <v>74758.612691360002</v>
      </c>
      <c r="I48" s="158"/>
      <c r="J48" s="154"/>
      <c r="K48" s="217"/>
      <c r="L48" s="217"/>
      <c r="M48" s="217"/>
      <c r="O48" s="230" t="s">
        <v>68</v>
      </c>
      <c r="P48" s="230">
        <v>78499.428910910006</v>
      </c>
      <c r="Q48" s="228"/>
      <c r="S48" s="242"/>
      <c r="T48" s="247"/>
      <c r="U48" s="247"/>
      <c r="V48" s="247"/>
      <c r="W48" s="247"/>
      <c r="X48" s="247"/>
      <c r="Y48" s="234"/>
      <c r="Z48" s="242" t="s">
        <v>562</v>
      </c>
      <c r="AA48" s="242">
        <v>0</v>
      </c>
      <c r="AB48" s="242">
        <v>0</v>
      </c>
      <c r="AC48" s="242">
        <v>0</v>
      </c>
      <c r="AD48" s="242">
        <v>0</v>
      </c>
      <c r="AE48" s="242">
        <v>1</v>
      </c>
      <c r="AF48" s="242"/>
      <c r="AG48" s="242" t="s">
        <v>562</v>
      </c>
      <c r="AH48" s="242">
        <v>0</v>
      </c>
      <c r="AI48" s="242">
        <v>0</v>
      </c>
      <c r="AJ48" s="242">
        <v>0</v>
      </c>
      <c r="AK48" s="242">
        <v>0</v>
      </c>
      <c r="AL48" s="242">
        <v>1</v>
      </c>
      <c r="AM48" s="234"/>
      <c r="AN48" s="242" t="s">
        <v>564</v>
      </c>
      <c r="AO48" s="242">
        <v>312750</v>
      </c>
      <c r="AP48" s="242">
        <v>3</v>
      </c>
      <c r="AQ48" s="242">
        <v>1</v>
      </c>
      <c r="AR48" s="242">
        <v>3060</v>
      </c>
      <c r="AS48" s="242">
        <v>1</v>
      </c>
      <c r="AT48" s="234"/>
      <c r="AU48" s="242" t="s">
        <v>564</v>
      </c>
      <c r="AV48" s="242">
        <v>0</v>
      </c>
      <c r="AW48" s="242">
        <v>0</v>
      </c>
      <c r="AX48" s="242">
        <v>0</v>
      </c>
      <c r="AY48" s="242">
        <v>153</v>
      </c>
      <c r="AZ48" s="242">
        <v>1</v>
      </c>
      <c r="BA48" s="234"/>
      <c r="BB48" s="242" t="s">
        <v>566</v>
      </c>
      <c r="BC48" s="242">
        <v>4948573323.2799997</v>
      </c>
      <c r="BD48" s="242">
        <v>24036</v>
      </c>
      <c r="BE48" s="242">
        <v>1112</v>
      </c>
      <c r="BF48" s="242">
        <v>390833</v>
      </c>
      <c r="BG48" s="242">
        <v>1</v>
      </c>
      <c r="BH48" s="236" t="s">
        <v>566</v>
      </c>
      <c r="BI48" s="242">
        <v>220658497.97</v>
      </c>
      <c r="BJ48" s="242">
        <v>1121</v>
      </c>
      <c r="BK48" s="242">
        <v>82</v>
      </c>
      <c r="BL48" s="242">
        <v>15405</v>
      </c>
      <c r="BM48" s="242">
        <v>1</v>
      </c>
      <c r="BN48" s="242"/>
      <c r="BO48" s="234"/>
      <c r="BP48" s="234"/>
      <c r="BQ48" s="234"/>
      <c r="BR48" s="234"/>
      <c r="BS48" s="234"/>
      <c r="BT48" s="234"/>
      <c r="BU48" s="234"/>
      <c r="BV48" s="234"/>
      <c r="BW48" s="234"/>
      <c r="BX48" s="234"/>
      <c r="BY48" s="234"/>
      <c r="BZ48" s="234"/>
      <c r="CA48" s="234"/>
      <c r="CB48" s="234"/>
      <c r="CC48" s="234"/>
      <c r="CD48" s="234"/>
      <c r="CE48" s="234"/>
      <c r="CF48" s="234"/>
      <c r="CG48" s="234"/>
      <c r="CH48" s="234"/>
      <c r="CI48" s="234"/>
      <c r="CJ48" s="234"/>
      <c r="CK48" s="234"/>
      <c r="CL48" s="234"/>
      <c r="CM48" s="234"/>
      <c r="CN48" s="234"/>
      <c r="CO48" s="234"/>
      <c r="CP48" s="234"/>
      <c r="CQ48" s="234"/>
      <c r="CR48" s="234"/>
      <c r="CS48" s="234"/>
      <c r="CT48" s="234"/>
      <c r="CU48" s="234"/>
      <c r="CV48" s="234"/>
      <c r="CW48" s="234"/>
      <c r="CX48" s="234"/>
      <c r="CY48" s="234"/>
      <c r="CZ48" s="234"/>
      <c r="DA48" s="234"/>
      <c r="DB48" s="234"/>
      <c r="DC48" s="234"/>
      <c r="DD48" s="234"/>
    </row>
    <row r="49" spans="1:70" x14ac:dyDescent="0.2">
      <c r="B49" s="181" t="s">
        <v>242</v>
      </c>
      <c r="C49" s="184">
        <v>38709</v>
      </c>
      <c r="D49" s="181">
        <v>1445.21</v>
      </c>
      <c r="E49" s="212">
        <v>1</v>
      </c>
      <c r="F49" s="206"/>
      <c r="G49" s="212" t="s">
        <v>114</v>
      </c>
      <c r="H49" s="212">
        <v>848.36859451999999</v>
      </c>
      <c r="I49" s="158"/>
      <c r="J49" s="154"/>
      <c r="K49" s="217"/>
      <c r="L49" s="217"/>
      <c r="M49" s="217"/>
      <c r="O49" s="230" t="s">
        <v>114</v>
      </c>
      <c r="P49" s="230">
        <v>855.20593399999996</v>
      </c>
      <c r="Q49" s="228"/>
      <c r="S49" s="242"/>
      <c r="T49" s="247"/>
      <c r="U49" s="247"/>
      <c r="V49" s="247"/>
      <c r="W49" s="247"/>
      <c r="X49" s="247"/>
      <c r="Y49" s="234"/>
      <c r="Z49" s="242" t="s">
        <v>563</v>
      </c>
      <c r="AA49" s="242">
        <v>2415038.625</v>
      </c>
      <c r="AB49" s="242">
        <v>67</v>
      </c>
      <c r="AC49" s="242">
        <v>5</v>
      </c>
      <c r="AD49" s="242">
        <v>1755</v>
      </c>
      <c r="AE49" s="242">
        <v>1</v>
      </c>
      <c r="AF49" s="242"/>
      <c r="AG49" s="242" t="s">
        <v>563</v>
      </c>
      <c r="AH49" s="242">
        <v>387750</v>
      </c>
      <c r="AI49" s="242">
        <v>10</v>
      </c>
      <c r="AJ49" s="242">
        <v>1</v>
      </c>
      <c r="AK49" s="242">
        <v>44</v>
      </c>
      <c r="AL49" s="242">
        <v>1</v>
      </c>
      <c r="AM49" s="234"/>
      <c r="AN49" s="242" t="s">
        <v>565</v>
      </c>
      <c r="AO49" s="242">
        <v>0</v>
      </c>
      <c r="AP49" s="242">
        <v>0</v>
      </c>
      <c r="AQ49" s="242">
        <v>0</v>
      </c>
      <c r="AR49" s="242">
        <v>0</v>
      </c>
      <c r="AS49" s="242">
        <v>1</v>
      </c>
      <c r="AT49" s="234"/>
      <c r="AU49" s="242" t="s">
        <v>565</v>
      </c>
      <c r="AV49" s="242">
        <v>0</v>
      </c>
      <c r="AW49" s="242">
        <v>0</v>
      </c>
      <c r="AX49" s="242">
        <v>0</v>
      </c>
      <c r="AY49" s="242">
        <v>0</v>
      </c>
      <c r="AZ49" s="242">
        <v>1</v>
      </c>
      <c r="BA49" s="234"/>
      <c r="BB49" s="242" t="s">
        <v>567</v>
      </c>
      <c r="BC49" s="242">
        <v>26528549.399999999</v>
      </c>
      <c r="BD49" s="242">
        <v>1296</v>
      </c>
      <c r="BE49" s="242">
        <v>59</v>
      </c>
      <c r="BF49" s="242">
        <v>7991</v>
      </c>
      <c r="BG49" s="242">
        <v>1</v>
      </c>
      <c r="BH49" s="236" t="s">
        <v>567</v>
      </c>
      <c r="BI49" s="242">
        <v>289500</v>
      </c>
      <c r="BJ49" s="242">
        <v>14</v>
      </c>
      <c r="BK49" s="242">
        <v>2</v>
      </c>
      <c r="BL49" s="242">
        <v>440</v>
      </c>
      <c r="BM49" s="242">
        <v>1</v>
      </c>
      <c r="BN49" s="242"/>
      <c r="BO49" s="245" t="s">
        <v>478</v>
      </c>
      <c r="BP49" s="253" t="s">
        <v>526</v>
      </c>
      <c r="BQ49" s="253" t="s">
        <v>554</v>
      </c>
      <c r="BR49" s="253" t="s">
        <v>555</v>
      </c>
    </row>
    <row r="50" spans="1:70" x14ac:dyDescent="0.2">
      <c r="B50" s="181" t="s">
        <v>243</v>
      </c>
      <c r="C50" s="184">
        <v>38673</v>
      </c>
      <c r="D50" s="181">
        <v>110.01</v>
      </c>
      <c r="E50" s="212">
        <v>1</v>
      </c>
      <c r="F50" s="206"/>
      <c r="G50" s="212" t="s">
        <v>270</v>
      </c>
      <c r="H50" s="212">
        <v>329.05910383999998</v>
      </c>
      <c r="I50" s="158"/>
      <c r="J50" s="154"/>
      <c r="K50" s="217"/>
      <c r="L50" s="217"/>
      <c r="M50" s="217"/>
      <c r="O50" s="230" t="s">
        <v>270</v>
      </c>
      <c r="P50" s="230">
        <v>308.03198385000002</v>
      </c>
      <c r="Q50" s="228"/>
      <c r="R50" s="148" t="s">
        <v>442</v>
      </c>
      <c r="S50" s="242"/>
      <c r="T50" s="247"/>
      <c r="U50" s="247"/>
      <c r="V50" s="247"/>
      <c r="W50" s="247"/>
      <c r="X50" s="247"/>
      <c r="Y50" s="234"/>
      <c r="Z50" s="242" t="s">
        <v>564</v>
      </c>
      <c r="AA50" s="242">
        <v>24963248</v>
      </c>
      <c r="AB50" s="242">
        <v>253</v>
      </c>
      <c r="AC50" s="242">
        <v>15</v>
      </c>
      <c r="AD50" s="242">
        <v>2339</v>
      </c>
      <c r="AE50" s="242">
        <v>1</v>
      </c>
      <c r="AF50" s="242"/>
      <c r="AG50" s="242" t="s">
        <v>564</v>
      </c>
      <c r="AH50" s="242">
        <v>0</v>
      </c>
      <c r="AI50" s="242">
        <v>0</v>
      </c>
      <c r="AJ50" s="242">
        <v>0</v>
      </c>
      <c r="AK50" s="242">
        <v>93</v>
      </c>
      <c r="AL50" s="242">
        <v>1</v>
      </c>
      <c r="AM50" s="234"/>
      <c r="AN50" s="242" t="s">
        <v>566</v>
      </c>
      <c r="AO50" s="242">
        <v>3106442049.3800001</v>
      </c>
      <c r="AP50" s="242">
        <v>14632</v>
      </c>
      <c r="AQ50" s="242">
        <v>949</v>
      </c>
      <c r="AR50" s="242">
        <v>168056</v>
      </c>
      <c r="AS50" s="242">
        <v>1</v>
      </c>
      <c r="AT50" s="234"/>
      <c r="AU50" s="242" t="s">
        <v>566</v>
      </c>
      <c r="AV50" s="242">
        <v>34993300.600000001</v>
      </c>
      <c r="AW50" s="242">
        <v>168</v>
      </c>
      <c r="AX50" s="242">
        <v>20</v>
      </c>
      <c r="AY50" s="242">
        <v>8670</v>
      </c>
      <c r="AZ50" s="242">
        <v>1</v>
      </c>
      <c r="BA50" s="234"/>
      <c r="BB50" s="242" t="s">
        <v>568</v>
      </c>
      <c r="BC50" s="242">
        <v>0</v>
      </c>
      <c r="BD50" s="242">
        <v>0</v>
      </c>
      <c r="BE50" s="242">
        <v>0</v>
      </c>
      <c r="BF50" s="242">
        <v>0</v>
      </c>
      <c r="BG50" s="242">
        <v>1</v>
      </c>
      <c r="BH50" s="236" t="s">
        <v>568</v>
      </c>
      <c r="BI50" s="242">
        <v>0</v>
      </c>
      <c r="BJ50" s="242">
        <v>0</v>
      </c>
      <c r="BK50" s="242">
        <v>0</v>
      </c>
      <c r="BL50" s="242">
        <v>0</v>
      </c>
      <c r="BM50" s="242">
        <v>1</v>
      </c>
      <c r="BN50" s="242"/>
      <c r="BO50" s="236"/>
      <c r="BP50" s="252">
        <v>0</v>
      </c>
      <c r="BQ50" s="252">
        <v>0</v>
      </c>
      <c r="BR50" s="252">
        <v>0</v>
      </c>
    </row>
    <row r="51" spans="1:70" x14ac:dyDescent="0.2">
      <c r="B51" s="181" t="s">
        <v>244</v>
      </c>
      <c r="C51" s="184">
        <v>38709</v>
      </c>
      <c r="D51" s="181">
        <v>34691.21</v>
      </c>
      <c r="E51" s="212">
        <v>1</v>
      </c>
      <c r="F51" s="203"/>
      <c r="G51" s="212" t="s">
        <v>271</v>
      </c>
      <c r="H51" s="212">
        <v>17.00178635</v>
      </c>
      <c r="I51" s="158"/>
      <c r="J51" s="152"/>
      <c r="K51" s="217"/>
      <c r="L51" s="217"/>
      <c r="M51" s="217"/>
      <c r="O51" s="230" t="s">
        <v>271</v>
      </c>
      <c r="P51" s="230">
        <v>17.69295739</v>
      </c>
      <c r="Q51" s="228"/>
      <c r="S51" s="242"/>
      <c r="T51" s="247"/>
      <c r="U51" s="247"/>
      <c r="V51" s="247"/>
      <c r="W51" s="247"/>
      <c r="X51" s="247"/>
      <c r="Y51" s="234"/>
      <c r="Z51" s="242" t="s">
        <v>565</v>
      </c>
      <c r="AA51" s="242">
        <v>0</v>
      </c>
      <c r="AB51" s="242">
        <v>0</v>
      </c>
      <c r="AC51" s="242">
        <v>0</v>
      </c>
      <c r="AD51" s="242">
        <v>0</v>
      </c>
      <c r="AE51" s="242">
        <v>1</v>
      </c>
      <c r="AF51" s="242"/>
      <c r="AG51" s="242" t="s">
        <v>565</v>
      </c>
      <c r="AH51" s="242">
        <v>0</v>
      </c>
      <c r="AI51" s="242">
        <v>0</v>
      </c>
      <c r="AJ51" s="242">
        <v>0</v>
      </c>
      <c r="AK51" s="242">
        <v>0</v>
      </c>
      <c r="AL51" s="242">
        <v>1</v>
      </c>
      <c r="AM51" s="234"/>
      <c r="AN51" s="242" t="s">
        <v>567</v>
      </c>
      <c r="AO51" s="242">
        <v>59587665.75</v>
      </c>
      <c r="AP51" s="242">
        <v>3188</v>
      </c>
      <c r="AQ51" s="242">
        <v>162</v>
      </c>
      <c r="AR51" s="242">
        <v>80992</v>
      </c>
      <c r="AS51" s="242">
        <v>1</v>
      </c>
      <c r="AT51" s="234"/>
      <c r="AU51" s="242" t="s">
        <v>567</v>
      </c>
      <c r="AV51" s="242">
        <v>683600</v>
      </c>
      <c r="AW51" s="242">
        <v>37</v>
      </c>
      <c r="AX51" s="242">
        <v>7</v>
      </c>
      <c r="AY51" s="242">
        <v>4631</v>
      </c>
      <c r="AZ51" s="242">
        <v>1</v>
      </c>
      <c r="BA51" s="234"/>
      <c r="BB51" s="242" t="s">
        <v>569</v>
      </c>
      <c r="BC51" s="242">
        <v>16411219.52</v>
      </c>
      <c r="BD51" s="242">
        <v>180</v>
      </c>
      <c r="BE51" s="242">
        <v>10</v>
      </c>
      <c r="BF51" s="242">
        <v>7339</v>
      </c>
      <c r="BG51" s="242">
        <v>1</v>
      </c>
      <c r="BH51" s="236" t="s">
        <v>569</v>
      </c>
      <c r="BI51" s="242">
        <v>0</v>
      </c>
      <c r="BJ51" s="242">
        <v>0</v>
      </c>
      <c r="BK51" s="242">
        <v>0</v>
      </c>
      <c r="BL51" s="242">
        <v>232</v>
      </c>
      <c r="BM51" s="242">
        <v>1</v>
      </c>
      <c r="BN51" s="242"/>
      <c r="BO51" s="236"/>
      <c r="BP51" s="236"/>
      <c r="BQ51" s="236"/>
      <c r="BR51" s="236"/>
    </row>
    <row r="52" spans="1:70" x14ac:dyDescent="0.2">
      <c r="B52" s="181" t="s">
        <v>245</v>
      </c>
      <c r="C52" s="184">
        <v>38716</v>
      </c>
      <c r="D52" s="181">
        <v>14859.1</v>
      </c>
      <c r="E52" s="212">
        <v>1</v>
      </c>
      <c r="F52" s="198"/>
      <c r="G52" s="212" t="s">
        <v>272</v>
      </c>
      <c r="H52" s="212">
        <v>377.13469019000001</v>
      </c>
      <c r="I52" s="158"/>
      <c r="J52" s="152"/>
      <c r="K52" s="217"/>
      <c r="L52" s="217"/>
      <c r="M52" s="217"/>
      <c r="O52" s="230" t="s">
        <v>272</v>
      </c>
      <c r="P52" s="230">
        <v>395.75497032999999</v>
      </c>
      <c r="Q52" s="228"/>
      <c r="S52" s="242"/>
      <c r="T52" s="247"/>
      <c r="U52" s="247"/>
      <c r="V52" s="247"/>
      <c r="W52" s="247"/>
      <c r="X52" s="247"/>
      <c r="Y52" s="234"/>
      <c r="Z52" s="242" t="s">
        <v>566</v>
      </c>
      <c r="AA52" s="242">
        <v>4948776854.8000002</v>
      </c>
      <c r="AB52" s="242">
        <v>20890</v>
      </c>
      <c r="AC52" s="242">
        <v>2044</v>
      </c>
      <c r="AD52" s="242">
        <v>201193</v>
      </c>
      <c r="AE52" s="242">
        <v>1</v>
      </c>
      <c r="AF52" s="242"/>
      <c r="AG52" s="242" t="s">
        <v>566</v>
      </c>
      <c r="AH52" s="242">
        <v>657718427.33000004</v>
      </c>
      <c r="AI52" s="242">
        <v>2488</v>
      </c>
      <c r="AJ52" s="242">
        <v>98</v>
      </c>
      <c r="AK52" s="242">
        <v>10301</v>
      </c>
      <c r="AL52" s="242">
        <v>1</v>
      </c>
      <c r="AM52" s="234"/>
      <c r="AN52" s="242" t="s">
        <v>568</v>
      </c>
      <c r="AO52" s="242">
        <v>312560</v>
      </c>
      <c r="AP52" s="242">
        <v>8</v>
      </c>
      <c r="AQ52" s="242">
        <v>1</v>
      </c>
      <c r="AR52" s="242">
        <v>284</v>
      </c>
      <c r="AS52" s="242">
        <v>1</v>
      </c>
      <c r="AT52" s="234"/>
      <c r="AU52" s="242" t="s">
        <v>568</v>
      </c>
      <c r="AV52" s="242">
        <v>0</v>
      </c>
      <c r="AW52" s="242">
        <v>0</v>
      </c>
      <c r="AX52" s="242">
        <v>0</v>
      </c>
      <c r="AY52" s="242">
        <v>11</v>
      </c>
      <c r="AZ52" s="242">
        <v>1</v>
      </c>
      <c r="BA52" s="234"/>
      <c r="BB52" s="242" t="s">
        <v>570</v>
      </c>
      <c r="BC52" s="242">
        <v>7673092</v>
      </c>
      <c r="BD52" s="242">
        <v>215</v>
      </c>
      <c r="BE52" s="242">
        <v>1</v>
      </c>
      <c r="BF52" s="242">
        <v>49525</v>
      </c>
      <c r="BG52" s="242">
        <v>1</v>
      </c>
      <c r="BH52" s="236" t="s">
        <v>570</v>
      </c>
      <c r="BI52" s="242">
        <v>0</v>
      </c>
      <c r="BJ52" s="242">
        <v>0</v>
      </c>
      <c r="BK52" s="242">
        <v>0</v>
      </c>
      <c r="BL52" s="242">
        <v>2085</v>
      </c>
      <c r="BM52" s="242">
        <v>1</v>
      </c>
      <c r="BN52" s="242"/>
      <c r="BO52" s="248" t="s">
        <v>479</v>
      </c>
      <c r="BP52" s="253" t="s">
        <v>526</v>
      </c>
      <c r="BQ52" s="253" t="s">
        <v>554</v>
      </c>
      <c r="BR52" s="253" t="s">
        <v>555</v>
      </c>
    </row>
    <row r="53" spans="1:70" x14ac:dyDescent="0.2">
      <c r="B53" s="181" t="s">
        <v>246</v>
      </c>
      <c r="C53" s="184">
        <v>38708</v>
      </c>
      <c r="D53" s="181">
        <v>1357.01</v>
      </c>
      <c r="E53" s="212">
        <v>1</v>
      </c>
      <c r="F53" s="199"/>
      <c r="G53" s="212" t="s">
        <v>273</v>
      </c>
      <c r="H53" s="212">
        <v>246.42237018</v>
      </c>
      <c r="I53" s="158"/>
      <c r="J53" s="152"/>
      <c r="K53" s="217"/>
      <c r="L53" s="217"/>
      <c r="M53" s="217"/>
      <c r="O53" s="230" t="s">
        <v>273</v>
      </c>
      <c r="P53" s="230">
        <v>265.56154321999998</v>
      </c>
      <c r="Q53" s="228"/>
      <c r="S53" s="242"/>
      <c r="T53" s="247"/>
      <c r="U53" s="247"/>
      <c r="V53" s="247"/>
      <c r="W53" s="247"/>
      <c r="X53" s="247"/>
      <c r="Y53" s="234"/>
      <c r="Z53" s="242" t="s">
        <v>567</v>
      </c>
      <c r="AA53" s="242">
        <v>438883445.35000002</v>
      </c>
      <c r="AB53" s="242">
        <v>21927</v>
      </c>
      <c r="AC53" s="242">
        <v>730</v>
      </c>
      <c r="AD53" s="242">
        <v>150058</v>
      </c>
      <c r="AE53" s="242">
        <v>1</v>
      </c>
      <c r="AF53" s="242"/>
      <c r="AG53" s="242" t="s">
        <v>567</v>
      </c>
      <c r="AH53" s="242">
        <v>13955514.75</v>
      </c>
      <c r="AI53" s="242">
        <v>628</v>
      </c>
      <c r="AJ53" s="242">
        <v>29</v>
      </c>
      <c r="AK53" s="242">
        <v>12655</v>
      </c>
      <c r="AL53" s="242">
        <v>1</v>
      </c>
      <c r="AM53" s="234"/>
      <c r="AN53" s="242" t="s">
        <v>569</v>
      </c>
      <c r="AO53" s="242">
        <v>18930978.850000001</v>
      </c>
      <c r="AP53" s="242">
        <v>201</v>
      </c>
      <c r="AQ53" s="242">
        <v>19</v>
      </c>
      <c r="AR53" s="242">
        <v>129</v>
      </c>
      <c r="AS53" s="242">
        <v>1</v>
      </c>
      <c r="AT53" s="234"/>
      <c r="AU53" s="242" t="s">
        <v>569</v>
      </c>
      <c r="AV53" s="242">
        <v>0</v>
      </c>
      <c r="AW53" s="242">
        <v>0</v>
      </c>
      <c r="AX53" s="242">
        <v>0</v>
      </c>
      <c r="AY53" s="242">
        <v>0</v>
      </c>
      <c r="AZ53" s="242">
        <v>1</v>
      </c>
      <c r="BA53" s="234"/>
      <c r="BB53" s="242" t="s">
        <v>571</v>
      </c>
      <c r="BC53" s="242">
        <v>2757888</v>
      </c>
      <c r="BD53" s="242">
        <v>30</v>
      </c>
      <c r="BE53" s="242">
        <v>9</v>
      </c>
      <c r="BF53" s="242">
        <v>240</v>
      </c>
      <c r="BG53" s="242">
        <v>1</v>
      </c>
      <c r="BH53" s="236" t="s">
        <v>571</v>
      </c>
      <c r="BI53" s="242">
        <v>0</v>
      </c>
      <c r="BJ53" s="242">
        <v>0</v>
      </c>
      <c r="BK53" s="242">
        <v>0</v>
      </c>
      <c r="BL53" s="242">
        <v>0</v>
      </c>
      <c r="BM53" s="242">
        <v>1</v>
      </c>
      <c r="BN53" s="242"/>
      <c r="BO53" s="240"/>
      <c r="BP53" s="252">
        <v>0</v>
      </c>
      <c r="BQ53" s="252">
        <v>0</v>
      </c>
      <c r="BR53" s="252">
        <v>0</v>
      </c>
    </row>
    <row r="54" spans="1:70" x14ac:dyDescent="0.2">
      <c r="B54" s="181" t="s">
        <v>247</v>
      </c>
      <c r="C54" s="184">
        <v>38713</v>
      </c>
      <c r="D54" s="181">
        <v>17869.22</v>
      </c>
      <c r="E54" s="212">
        <v>1</v>
      </c>
      <c r="F54" s="204"/>
      <c r="G54" s="212" t="s">
        <v>274</v>
      </c>
      <c r="H54" s="212">
        <v>208.28059020000001</v>
      </c>
      <c r="I54" s="158"/>
      <c r="J54" s="152"/>
      <c r="K54" s="217"/>
      <c r="L54" s="217"/>
      <c r="M54" s="217"/>
      <c r="O54" s="230" t="s">
        <v>274</v>
      </c>
      <c r="P54" s="230">
        <v>217.82435197000001</v>
      </c>
      <c r="Q54" s="228"/>
      <c r="S54" s="242"/>
      <c r="T54" s="247"/>
      <c r="U54" s="247"/>
      <c r="V54" s="247"/>
      <c r="W54" s="247"/>
      <c r="X54" s="247"/>
      <c r="Y54" s="234"/>
      <c r="Z54" s="242" t="s">
        <v>568</v>
      </c>
      <c r="AA54" s="242">
        <v>728945</v>
      </c>
      <c r="AB54" s="242">
        <v>22</v>
      </c>
      <c r="AC54" s="242">
        <v>5</v>
      </c>
      <c r="AD54" s="242">
        <v>242</v>
      </c>
      <c r="AE54" s="242">
        <v>1</v>
      </c>
      <c r="AF54" s="242"/>
      <c r="AG54" s="242" t="s">
        <v>568</v>
      </c>
      <c r="AH54" s="242">
        <v>0</v>
      </c>
      <c r="AI54" s="242">
        <v>0</v>
      </c>
      <c r="AJ54" s="242">
        <v>0</v>
      </c>
      <c r="AK54" s="242">
        <v>11</v>
      </c>
      <c r="AL54" s="242">
        <v>1</v>
      </c>
      <c r="AM54" s="234"/>
      <c r="AN54" s="242" t="s">
        <v>570</v>
      </c>
      <c r="AO54" s="242">
        <v>190845</v>
      </c>
      <c r="AP54" s="242">
        <v>5</v>
      </c>
      <c r="AQ54" s="242">
        <v>2</v>
      </c>
      <c r="AR54" s="242">
        <v>13370</v>
      </c>
      <c r="AS54" s="242">
        <v>1</v>
      </c>
      <c r="AT54" s="234"/>
      <c r="AU54" s="242" t="s">
        <v>570</v>
      </c>
      <c r="AV54" s="242">
        <v>0</v>
      </c>
      <c r="AW54" s="242">
        <v>0</v>
      </c>
      <c r="AX54" s="242">
        <v>0</v>
      </c>
      <c r="AY54" s="242">
        <v>670</v>
      </c>
      <c r="AZ54" s="242">
        <v>1</v>
      </c>
      <c r="BA54" s="234"/>
      <c r="BB54" s="242" t="s">
        <v>572</v>
      </c>
      <c r="BC54" s="242">
        <v>85551499.989999995</v>
      </c>
      <c r="BD54" s="242">
        <v>503</v>
      </c>
      <c r="BE54" s="242">
        <v>7</v>
      </c>
      <c r="BF54" s="242">
        <v>28999</v>
      </c>
      <c r="BG54" s="242">
        <v>1</v>
      </c>
      <c r="BH54" s="236" t="s">
        <v>572</v>
      </c>
      <c r="BI54" s="242">
        <v>0</v>
      </c>
      <c r="BJ54" s="242">
        <v>0</v>
      </c>
      <c r="BK54" s="242">
        <v>0</v>
      </c>
      <c r="BL54" s="242">
        <v>1411</v>
      </c>
      <c r="BM54" s="242">
        <v>1</v>
      </c>
      <c r="BN54" s="242"/>
      <c r="BO54" s="240"/>
      <c r="BP54" s="252"/>
      <c r="BQ54" s="252"/>
      <c r="BR54" s="252"/>
    </row>
    <row r="55" spans="1:70" x14ac:dyDescent="0.2">
      <c r="B55" s="181" t="s">
        <v>248</v>
      </c>
      <c r="C55" s="184">
        <v>38713</v>
      </c>
      <c r="D55" s="181">
        <v>30401.200000000001</v>
      </c>
      <c r="E55" s="212">
        <v>1</v>
      </c>
      <c r="F55" s="207"/>
      <c r="G55" s="212" t="s">
        <v>275</v>
      </c>
      <c r="H55" s="212">
        <v>502.70777039000001</v>
      </c>
      <c r="I55" s="158"/>
      <c r="J55" s="152"/>
      <c r="K55" s="217"/>
      <c r="L55" s="217"/>
      <c r="M55" s="217"/>
      <c r="O55" s="230" t="s">
        <v>275</v>
      </c>
      <c r="P55" s="230">
        <v>526.16546544000005</v>
      </c>
      <c r="Q55" s="228"/>
      <c r="S55" s="242"/>
      <c r="T55" s="247"/>
      <c r="U55" s="247"/>
      <c r="V55" s="247"/>
      <c r="W55" s="247"/>
      <c r="X55" s="247"/>
      <c r="Y55" s="234"/>
      <c r="Z55" s="242" t="s">
        <v>569</v>
      </c>
      <c r="AA55" s="242">
        <v>26473197.399999999</v>
      </c>
      <c r="AB55" s="242">
        <v>296</v>
      </c>
      <c r="AC55" s="242">
        <v>12</v>
      </c>
      <c r="AD55" s="242">
        <v>2534</v>
      </c>
      <c r="AE55" s="242">
        <v>1</v>
      </c>
      <c r="AF55" s="242"/>
      <c r="AG55" s="242" t="s">
        <v>569</v>
      </c>
      <c r="AH55" s="242">
        <v>0</v>
      </c>
      <c r="AI55" s="242">
        <v>0</v>
      </c>
      <c r="AJ55" s="242">
        <v>0</v>
      </c>
      <c r="AK55" s="242">
        <v>148</v>
      </c>
      <c r="AL55" s="242">
        <v>1</v>
      </c>
      <c r="AM55" s="234"/>
      <c r="AN55" s="242" t="s">
        <v>571</v>
      </c>
      <c r="AO55" s="242">
        <v>0</v>
      </c>
      <c r="AP55" s="242">
        <v>0</v>
      </c>
      <c r="AQ55" s="242">
        <v>0</v>
      </c>
      <c r="AR55" s="242">
        <v>0</v>
      </c>
      <c r="AS55" s="242">
        <v>1</v>
      </c>
      <c r="AT55" s="234"/>
      <c r="AU55" s="242" t="s">
        <v>571</v>
      </c>
      <c r="AV55" s="242">
        <v>0</v>
      </c>
      <c r="AW55" s="242">
        <v>0</v>
      </c>
      <c r="AX55" s="242">
        <v>0</v>
      </c>
      <c r="AY55" s="242">
        <v>0</v>
      </c>
      <c r="AZ55" s="242">
        <v>1</v>
      </c>
      <c r="BA55" s="234"/>
      <c r="BB55" s="242" t="s">
        <v>573</v>
      </c>
      <c r="BC55" s="242">
        <v>10829700</v>
      </c>
      <c r="BD55" s="242">
        <v>82</v>
      </c>
      <c r="BE55" s="242">
        <v>13</v>
      </c>
      <c r="BF55" s="242">
        <v>1079</v>
      </c>
      <c r="BG55" s="242">
        <v>1</v>
      </c>
      <c r="BH55" s="236" t="s">
        <v>573</v>
      </c>
      <c r="BI55" s="242">
        <v>0</v>
      </c>
      <c r="BJ55" s="242">
        <v>0</v>
      </c>
      <c r="BK55" s="242">
        <v>0</v>
      </c>
      <c r="BL55" s="242">
        <v>46</v>
      </c>
      <c r="BM55" s="242">
        <v>1</v>
      </c>
      <c r="BN55" s="242"/>
      <c r="BO55" s="245" t="s">
        <v>480</v>
      </c>
      <c r="BP55" s="253" t="s">
        <v>606</v>
      </c>
      <c r="BQ55" s="253" t="s">
        <v>556</v>
      </c>
      <c r="BR55" s="252"/>
    </row>
    <row r="56" spans="1:70" x14ac:dyDescent="0.2">
      <c r="B56" s="181" t="s">
        <v>249</v>
      </c>
      <c r="C56" s="184">
        <v>38709</v>
      </c>
      <c r="D56" s="181">
        <v>16626.419999999998</v>
      </c>
      <c r="E56" s="212">
        <v>1</v>
      </c>
      <c r="F56" s="207"/>
      <c r="G56" s="212" t="s">
        <v>276</v>
      </c>
      <c r="H56" s="212">
        <v>7591.2000922699999</v>
      </c>
      <c r="I56" s="158"/>
      <c r="J56" s="152"/>
      <c r="K56" s="217"/>
      <c r="L56" s="217"/>
      <c r="M56" s="217"/>
      <c r="O56" s="230" t="s">
        <v>276</v>
      </c>
      <c r="P56" s="230">
        <v>7976.7629849599998</v>
      </c>
      <c r="Q56" s="228"/>
      <c r="S56" s="242"/>
      <c r="T56" s="247"/>
      <c r="U56" s="247"/>
      <c r="V56" s="247"/>
      <c r="W56" s="247"/>
      <c r="X56" s="247"/>
      <c r="Y56" s="234"/>
      <c r="Z56" s="242" t="s">
        <v>570</v>
      </c>
      <c r="AA56" s="242">
        <v>95866613</v>
      </c>
      <c r="AB56" s="242">
        <v>2448</v>
      </c>
      <c r="AC56" s="242">
        <v>17</v>
      </c>
      <c r="AD56" s="242">
        <v>16395</v>
      </c>
      <c r="AE56" s="242">
        <v>1</v>
      </c>
      <c r="AF56" s="242"/>
      <c r="AG56" s="242" t="s">
        <v>570</v>
      </c>
      <c r="AH56" s="242">
        <v>73805</v>
      </c>
      <c r="AI56" s="242">
        <v>2</v>
      </c>
      <c r="AJ56" s="242">
        <v>2</v>
      </c>
      <c r="AK56" s="242">
        <v>641</v>
      </c>
      <c r="AL56" s="242">
        <v>1</v>
      </c>
      <c r="AM56" s="234"/>
      <c r="AN56" s="242" t="s">
        <v>572</v>
      </c>
      <c r="AO56" s="242">
        <v>41010959.986000001</v>
      </c>
      <c r="AP56" s="242">
        <v>225</v>
      </c>
      <c r="AQ56" s="242">
        <v>11</v>
      </c>
      <c r="AR56" s="242">
        <v>10850</v>
      </c>
      <c r="AS56" s="242">
        <v>1</v>
      </c>
      <c r="AT56" s="234"/>
      <c r="AU56" s="242" t="s">
        <v>572</v>
      </c>
      <c r="AV56" s="242">
        <v>0</v>
      </c>
      <c r="AW56" s="242">
        <v>0</v>
      </c>
      <c r="AX56" s="242">
        <v>0</v>
      </c>
      <c r="AY56" s="242">
        <v>427</v>
      </c>
      <c r="AZ56" s="242">
        <v>1</v>
      </c>
      <c r="BA56" s="234"/>
      <c r="BB56" s="242" t="s">
        <v>574</v>
      </c>
      <c r="BC56" s="242">
        <v>66925565.549999997</v>
      </c>
      <c r="BD56" s="242">
        <v>536</v>
      </c>
      <c r="BE56" s="242">
        <v>40</v>
      </c>
      <c r="BF56" s="242">
        <v>1878</v>
      </c>
      <c r="BG56" s="242">
        <v>1</v>
      </c>
      <c r="BH56" s="236" t="s">
        <v>574</v>
      </c>
      <c r="BI56" s="242">
        <v>10744900.08</v>
      </c>
      <c r="BJ56" s="242">
        <v>87</v>
      </c>
      <c r="BK56" s="242">
        <v>3</v>
      </c>
      <c r="BL56" s="242">
        <v>105</v>
      </c>
      <c r="BM56" s="242">
        <v>1</v>
      </c>
      <c r="BN56" s="242"/>
      <c r="BO56" s="236"/>
      <c r="BP56" s="252" t="s">
        <v>607</v>
      </c>
      <c r="BQ56" s="252">
        <v>0</v>
      </c>
      <c r="BR56" s="252"/>
    </row>
    <row r="57" spans="1:70" x14ac:dyDescent="0.2">
      <c r="B57" s="181" t="s">
        <v>250</v>
      </c>
      <c r="C57" s="184">
        <v>38713</v>
      </c>
      <c r="D57" s="181">
        <v>14630.23</v>
      </c>
      <c r="E57" s="212">
        <v>1</v>
      </c>
      <c r="F57" s="207"/>
      <c r="G57" s="212" t="s">
        <v>277</v>
      </c>
      <c r="H57" s="212">
        <v>879.59353954000005</v>
      </c>
      <c r="I57" s="158"/>
      <c r="J57" s="152"/>
      <c r="K57" s="217"/>
      <c r="L57" s="217"/>
      <c r="M57" s="217"/>
      <c r="O57" s="230" t="s">
        <v>277</v>
      </c>
      <c r="P57" s="230">
        <v>872.58608135999998</v>
      </c>
      <c r="Q57" s="228"/>
      <c r="S57" s="242"/>
      <c r="T57" s="247"/>
      <c r="U57" s="247"/>
      <c r="V57" s="247"/>
      <c r="W57" s="247"/>
      <c r="X57" s="247"/>
      <c r="Y57" s="234"/>
      <c r="Z57" s="242" t="s">
        <v>571</v>
      </c>
      <c r="AA57" s="242">
        <v>0</v>
      </c>
      <c r="AB57" s="242">
        <v>0</v>
      </c>
      <c r="AC57" s="242">
        <v>0</v>
      </c>
      <c r="AD57" s="242">
        <v>0</v>
      </c>
      <c r="AE57" s="242">
        <v>1</v>
      </c>
      <c r="AF57" s="242"/>
      <c r="AG57" s="242" t="s">
        <v>571</v>
      </c>
      <c r="AH57" s="242">
        <v>0</v>
      </c>
      <c r="AI57" s="242">
        <v>0</v>
      </c>
      <c r="AJ57" s="242">
        <v>0</v>
      </c>
      <c r="AK57" s="242">
        <v>0</v>
      </c>
      <c r="AL57" s="242">
        <v>1</v>
      </c>
      <c r="AM57" s="234"/>
      <c r="AN57" s="242" t="s">
        <v>573</v>
      </c>
      <c r="AO57" s="242">
        <v>2572620</v>
      </c>
      <c r="AP57" s="242">
        <v>20</v>
      </c>
      <c r="AQ57" s="242">
        <v>10</v>
      </c>
      <c r="AR57" s="242">
        <v>170</v>
      </c>
      <c r="AS57" s="242">
        <v>1</v>
      </c>
      <c r="AT57" s="234"/>
      <c r="AU57" s="242" t="s">
        <v>573</v>
      </c>
      <c r="AV57" s="242">
        <v>257880</v>
      </c>
      <c r="AW57" s="242">
        <v>2</v>
      </c>
      <c r="AX57" s="242">
        <v>1</v>
      </c>
      <c r="AY57" s="242">
        <v>14</v>
      </c>
      <c r="AZ57" s="242">
        <v>1</v>
      </c>
      <c r="BA57" s="234"/>
      <c r="BB57" s="242" t="s">
        <v>575</v>
      </c>
      <c r="BC57" s="242">
        <v>0</v>
      </c>
      <c r="BD57" s="242">
        <v>0</v>
      </c>
      <c r="BE57" s="242">
        <v>0</v>
      </c>
      <c r="BF57" s="242">
        <v>0</v>
      </c>
      <c r="BG57" s="242">
        <v>1</v>
      </c>
      <c r="BH57" s="236" t="s">
        <v>575</v>
      </c>
      <c r="BI57" s="242">
        <v>0</v>
      </c>
      <c r="BJ57" s="242">
        <v>0</v>
      </c>
      <c r="BK57" s="242">
        <v>0</v>
      </c>
      <c r="BL57" s="242">
        <v>0</v>
      </c>
      <c r="BM57" s="242">
        <v>1</v>
      </c>
      <c r="BN57" s="242"/>
      <c r="BO57" s="236"/>
      <c r="BP57" s="252" t="s">
        <v>608</v>
      </c>
      <c r="BQ57" s="252">
        <v>0</v>
      </c>
      <c r="BR57" s="252"/>
    </row>
    <row r="58" spans="1:70" x14ac:dyDescent="0.2">
      <c r="B58" s="181" t="s">
        <v>251</v>
      </c>
      <c r="C58" s="184">
        <v>38713</v>
      </c>
      <c r="D58" s="181">
        <v>1547.81</v>
      </c>
      <c r="E58" s="212">
        <v>1</v>
      </c>
      <c r="F58" s="207"/>
      <c r="G58" s="212" t="s">
        <v>94</v>
      </c>
      <c r="H58" s="212">
        <v>476.74675581999998</v>
      </c>
      <c r="I58" s="158"/>
      <c r="J58" s="152"/>
      <c r="K58" s="217"/>
      <c r="L58" s="217"/>
      <c r="M58" s="217"/>
      <c r="O58" s="230" t="s">
        <v>94</v>
      </c>
      <c r="P58" s="230">
        <v>485.78827539999997</v>
      </c>
      <c r="Q58" s="228"/>
      <c r="S58" s="234"/>
      <c r="T58" s="234"/>
      <c r="U58" s="234"/>
      <c r="V58" s="234"/>
      <c r="W58" s="234"/>
      <c r="X58" s="234"/>
      <c r="Y58" s="234"/>
      <c r="Z58" s="242" t="s">
        <v>572</v>
      </c>
      <c r="AA58" s="242">
        <v>156518410.00999999</v>
      </c>
      <c r="AB58" s="242">
        <v>838</v>
      </c>
      <c r="AC58" s="242">
        <v>18</v>
      </c>
      <c r="AD58" s="242">
        <v>8455</v>
      </c>
      <c r="AE58" s="242">
        <v>1</v>
      </c>
      <c r="AF58" s="242"/>
      <c r="AG58" s="242" t="s">
        <v>572</v>
      </c>
      <c r="AH58" s="242">
        <v>386060</v>
      </c>
      <c r="AI58" s="242">
        <v>2</v>
      </c>
      <c r="AJ58" s="242">
        <v>2</v>
      </c>
      <c r="AK58" s="242">
        <v>415</v>
      </c>
      <c r="AL58" s="242">
        <v>1</v>
      </c>
      <c r="AM58" s="234"/>
      <c r="AN58" s="242" t="s">
        <v>574</v>
      </c>
      <c r="AO58" s="242">
        <v>23703365.074999999</v>
      </c>
      <c r="AP58" s="242">
        <v>216</v>
      </c>
      <c r="AQ58" s="242">
        <v>37</v>
      </c>
      <c r="AR58" s="242">
        <v>2941</v>
      </c>
      <c r="AS58" s="242">
        <v>1</v>
      </c>
      <c r="AT58" s="234"/>
      <c r="AU58" s="242" t="s">
        <v>574</v>
      </c>
      <c r="AV58" s="242">
        <v>2523935.04</v>
      </c>
      <c r="AW58" s="242">
        <v>24</v>
      </c>
      <c r="AX58" s="242">
        <v>4</v>
      </c>
      <c r="AY58" s="242">
        <v>266</v>
      </c>
      <c r="AZ58" s="242">
        <v>1</v>
      </c>
      <c r="BA58" s="234"/>
      <c r="BB58" s="242" t="s">
        <v>602</v>
      </c>
      <c r="BC58" s="242">
        <v>0</v>
      </c>
      <c r="BD58" s="242">
        <v>0</v>
      </c>
      <c r="BE58" s="242">
        <v>0</v>
      </c>
      <c r="BF58" s="242">
        <v>0</v>
      </c>
      <c r="BG58" s="242">
        <v>1</v>
      </c>
      <c r="BH58" s="236" t="s">
        <v>602</v>
      </c>
      <c r="BI58" s="242">
        <v>0</v>
      </c>
      <c r="BJ58" s="242">
        <v>0</v>
      </c>
      <c r="BK58" s="242">
        <v>0</v>
      </c>
      <c r="BL58" s="242">
        <v>0</v>
      </c>
      <c r="BM58" s="242">
        <v>1</v>
      </c>
      <c r="BN58" s="242"/>
      <c r="BO58" s="236"/>
      <c r="BP58" s="252"/>
      <c r="BQ58" s="252"/>
      <c r="BR58" s="252"/>
    </row>
    <row r="59" spans="1:70" x14ac:dyDescent="0.2">
      <c r="B59" s="181" t="s">
        <v>252</v>
      </c>
      <c r="C59" s="184">
        <v>38713</v>
      </c>
      <c r="D59" s="181">
        <v>590.19000000000005</v>
      </c>
      <c r="E59" s="212">
        <v>1</v>
      </c>
      <c r="F59" s="198"/>
      <c r="G59" s="212" t="s">
        <v>96</v>
      </c>
      <c r="H59" s="212">
        <v>369.63797178999999</v>
      </c>
      <c r="I59" s="158"/>
      <c r="J59" s="152"/>
      <c r="K59" s="217"/>
      <c r="L59" s="217"/>
      <c r="M59" s="217"/>
      <c r="O59" s="230" t="s">
        <v>96</v>
      </c>
      <c r="P59" s="230">
        <v>381.00668461999999</v>
      </c>
      <c r="Q59" s="228"/>
      <c r="S59" s="234"/>
      <c r="T59" s="234"/>
      <c r="U59" s="234"/>
      <c r="V59" s="234"/>
      <c r="W59" s="234"/>
      <c r="X59" s="234"/>
      <c r="Y59" s="234"/>
      <c r="Z59" s="242" t="s">
        <v>573</v>
      </c>
      <c r="AA59" s="242">
        <v>4153860</v>
      </c>
      <c r="AB59" s="242">
        <v>32</v>
      </c>
      <c r="AC59" s="242">
        <v>5</v>
      </c>
      <c r="AD59" s="242">
        <v>256</v>
      </c>
      <c r="AE59" s="242">
        <v>1</v>
      </c>
      <c r="AF59" s="242"/>
      <c r="AG59" s="242" t="s">
        <v>573</v>
      </c>
      <c r="AH59" s="242">
        <v>652500</v>
      </c>
      <c r="AI59" s="242">
        <v>5</v>
      </c>
      <c r="AJ59" s="242">
        <v>1</v>
      </c>
      <c r="AK59" s="242">
        <v>10</v>
      </c>
      <c r="AL59" s="242">
        <v>1</v>
      </c>
      <c r="AM59" s="234"/>
      <c r="AN59" s="242" t="s">
        <v>575</v>
      </c>
      <c r="AO59" s="242">
        <v>0</v>
      </c>
      <c r="AP59" s="242">
        <v>0</v>
      </c>
      <c r="AQ59" s="242">
        <v>0</v>
      </c>
      <c r="AR59" s="242">
        <v>0</v>
      </c>
      <c r="AS59" s="242">
        <v>1</v>
      </c>
      <c r="AT59" s="234"/>
      <c r="AU59" s="242" t="s">
        <v>575</v>
      </c>
      <c r="AV59" s="242">
        <v>0</v>
      </c>
      <c r="AW59" s="242">
        <v>0</v>
      </c>
      <c r="AX59" s="242">
        <v>0</v>
      </c>
      <c r="AY59" s="242">
        <v>0</v>
      </c>
      <c r="AZ59" s="242">
        <v>1</v>
      </c>
      <c r="BA59" s="234"/>
      <c r="BB59" s="242" t="s">
        <v>603</v>
      </c>
      <c r="BC59" s="242">
        <v>0</v>
      </c>
      <c r="BD59" s="242">
        <v>0</v>
      </c>
      <c r="BE59" s="242">
        <v>0</v>
      </c>
      <c r="BF59" s="242">
        <v>0</v>
      </c>
      <c r="BG59" s="242">
        <v>1</v>
      </c>
      <c r="BH59" s="236" t="s">
        <v>603</v>
      </c>
      <c r="BI59" s="242">
        <v>0</v>
      </c>
      <c r="BJ59" s="242">
        <v>0</v>
      </c>
      <c r="BK59" s="242">
        <v>0</v>
      </c>
      <c r="BL59" s="242">
        <v>0</v>
      </c>
      <c r="BM59" s="242">
        <v>1</v>
      </c>
      <c r="BN59" s="242"/>
      <c r="BO59" s="245" t="s">
        <v>462</v>
      </c>
      <c r="BP59" s="253" t="s">
        <v>526</v>
      </c>
      <c r="BQ59" s="253" t="s">
        <v>554</v>
      </c>
      <c r="BR59" s="253" t="s">
        <v>555</v>
      </c>
    </row>
    <row r="60" spans="1:70" x14ac:dyDescent="0.2">
      <c r="B60" s="181" t="s">
        <v>253</v>
      </c>
      <c r="C60" s="184">
        <v>38713</v>
      </c>
      <c r="D60" s="181">
        <v>1846.94</v>
      </c>
      <c r="E60" s="212">
        <v>1</v>
      </c>
      <c r="F60" s="198"/>
      <c r="G60" s="212" t="s">
        <v>280</v>
      </c>
      <c r="H60" s="212">
        <v>75254.571774430005</v>
      </c>
      <c r="I60" s="158"/>
      <c r="J60" s="152"/>
      <c r="K60" s="217"/>
      <c r="L60" s="217"/>
      <c r="M60" s="217"/>
      <c r="O60" s="230" t="s">
        <v>280</v>
      </c>
      <c r="P60" s="230">
        <v>80026.241967669994</v>
      </c>
      <c r="Q60" s="228"/>
      <c r="S60" s="243"/>
      <c r="T60" s="246"/>
      <c r="U60" s="246"/>
      <c r="V60" s="246"/>
      <c r="W60" s="246"/>
      <c r="X60" s="246"/>
      <c r="Y60" s="234"/>
      <c r="Z60" s="242" t="s">
        <v>574</v>
      </c>
      <c r="AA60" s="242">
        <v>67085378.109999999</v>
      </c>
      <c r="AB60" s="242">
        <v>580</v>
      </c>
      <c r="AC60" s="242">
        <v>42</v>
      </c>
      <c r="AD60" s="242">
        <v>4395</v>
      </c>
      <c r="AE60" s="242">
        <v>1</v>
      </c>
      <c r="AF60" s="242"/>
      <c r="AG60" s="242" t="s">
        <v>574</v>
      </c>
      <c r="AH60" s="242">
        <v>2606140</v>
      </c>
      <c r="AI60" s="242">
        <v>20</v>
      </c>
      <c r="AJ60" s="242">
        <v>1</v>
      </c>
      <c r="AK60" s="242">
        <v>100</v>
      </c>
      <c r="AL60" s="242">
        <v>1</v>
      </c>
      <c r="AM60" s="234"/>
      <c r="AN60" s="242" t="s">
        <v>602</v>
      </c>
      <c r="AO60" s="242">
        <v>0</v>
      </c>
      <c r="AP60" s="242">
        <v>0</v>
      </c>
      <c r="AQ60" s="242">
        <v>0</v>
      </c>
      <c r="AR60" s="242">
        <v>0</v>
      </c>
      <c r="AS60" s="242">
        <v>1</v>
      </c>
      <c r="AT60" s="234"/>
      <c r="AU60" s="242" t="s">
        <v>602</v>
      </c>
      <c r="AV60" s="242">
        <v>0</v>
      </c>
      <c r="AW60" s="242">
        <v>0</v>
      </c>
      <c r="AX60" s="242">
        <v>0</v>
      </c>
      <c r="AY60" s="242">
        <v>0</v>
      </c>
      <c r="AZ60" s="242">
        <v>1</v>
      </c>
      <c r="BA60" s="234"/>
      <c r="BB60" s="242" t="s">
        <v>578</v>
      </c>
      <c r="BC60" s="242">
        <v>0</v>
      </c>
      <c r="BD60" s="242">
        <v>0</v>
      </c>
      <c r="BE60" s="242">
        <v>0</v>
      </c>
      <c r="BF60" s="242">
        <v>0</v>
      </c>
      <c r="BG60" s="242">
        <v>1</v>
      </c>
      <c r="BH60" s="236" t="s">
        <v>578</v>
      </c>
      <c r="BI60" s="242">
        <v>0</v>
      </c>
      <c r="BJ60" s="242">
        <v>0</v>
      </c>
      <c r="BK60" s="242">
        <v>0</v>
      </c>
      <c r="BL60" s="242">
        <v>0</v>
      </c>
      <c r="BM60" s="242">
        <v>1</v>
      </c>
      <c r="BN60" s="242"/>
      <c r="BO60" s="236"/>
      <c r="BP60" s="252">
        <v>195922398158.29999</v>
      </c>
      <c r="BQ60" s="252">
        <v>13463662</v>
      </c>
      <c r="BR60" s="252">
        <v>14434</v>
      </c>
    </row>
    <row r="61" spans="1:70" x14ac:dyDescent="0.2">
      <c r="A61" s="35"/>
      <c r="B61" s="181" t="s">
        <v>254</v>
      </c>
      <c r="C61" s="184">
        <v>38709</v>
      </c>
      <c r="D61" s="181">
        <v>9758.19</v>
      </c>
      <c r="E61" s="212">
        <v>1</v>
      </c>
      <c r="F61" s="201"/>
      <c r="G61" s="212" t="s">
        <v>98</v>
      </c>
      <c r="H61" s="212">
        <v>24688.891388069998</v>
      </c>
      <c r="I61" s="158"/>
      <c r="J61" s="152"/>
      <c r="K61" s="217"/>
      <c r="L61" s="217"/>
      <c r="M61" s="217"/>
      <c r="O61" s="230" t="s">
        <v>98</v>
      </c>
      <c r="P61" s="230">
        <v>26032.047869229998</v>
      </c>
      <c r="Q61" s="228"/>
      <c r="R61" s="152"/>
      <c r="S61" s="242"/>
      <c r="T61" s="247"/>
      <c r="U61" s="247"/>
      <c r="V61" s="247"/>
      <c r="W61" s="247"/>
      <c r="X61" s="247"/>
      <c r="Y61" s="234"/>
      <c r="Z61" s="242" t="s">
        <v>575</v>
      </c>
      <c r="AA61" s="242">
        <v>0</v>
      </c>
      <c r="AB61" s="242">
        <v>0</v>
      </c>
      <c r="AC61" s="242">
        <v>0</v>
      </c>
      <c r="AD61" s="242">
        <v>0</v>
      </c>
      <c r="AE61" s="242">
        <v>1</v>
      </c>
      <c r="AF61" s="242"/>
      <c r="AG61" s="242" t="s">
        <v>575</v>
      </c>
      <c r="AH61" s="242">
        <v>0</v>
      </c>
      <c r="AI61" s="242">
        <v>0</v>
      </c>
      <c r="AJ61" s="242">
        <v>0</v>
      </c>
      <c r="AK61" s="242">
        <v>0</v>
      </c>
      <c r="AL61" s="242">
        <v>1</v>
      </c>
      <c r="AM61" s="234"/>
      <c r="AN61" s="242" t="s">
        <v>603</v>
      </c>
      <c r="AO61" s="242">
        <v>0</v>
      </c>
      <c r="AP61" s="242">
        <v>0</v>
      </c>
      <c r="AQ61" s="242">
        <v>0</v>
      </c>
      <c r="AR61" s="242">
        <v>0</v>
      </c>
      <c r="AS61" s="242">
        <v>1</v>
      </c>
      <c r="AT61" s="234"/>
      <c r="AU61" s="242" t="s">
        <v>603</v>
      </c>
      <c r="AV61" s="242">
        <v>0</v>
      </c>
      <c r="AW61" s="242">
        <v>0</v>
      </c>
      <c r="AX61" s="242">
        <v>0</v>
      </c>
      <c r="AY61" s="242">
        <v>0</v>
      </c>
      <c r="AZ61" s="242">
        <v>1</v>
      </c>
      <c r="BA61" s="234"/>
      <c r="BB61" s="242" t="s">
        <v>579</v>
      </c>
      <c r="BC61" s="242">
        <v>1233600</v>
      </c>
      <c r="BD61" s="242">
        <v>10</v>
      </c>
      <c r="BE61" s="242">
        <v>1</v>
      </c>
      <c r="BF61" s="242">
        <v>3724</v>
      </c>
      <c r="BG61" s="242">
        <v>1</v>
      </c>
      <c r="BH61" s="236" t="s">
        <v>579</v>
      </c>
      <c r="BI61" s="242">
        <v>0</v>
      </c>
      <c r="BJ61" s="242">
        <v>0</v>
      </c>
      <c r="BK61" s="242">
        <v>0</v>
      </c>
      <c r="BL61" s="242">
        <v>177</v>
      </c>
      <c r="BM61" s="242">
        <v>1</v>
      </c>
      <c r="BN61" s="242"/>
      <c r="BO61" s="236"/>
      <c r="BP61" s="236"/>
      <c r="BQ61" s="236"/>
      <c r="BR61" s="236"/>
    </row>
    <row r="62" spans="1:70" x14ac:dyDescent="0.2">
      <c r="A62" s="14"/>
      <c r="B62" s="181" t="s">
        <v>255</v>
      </c>
      <c r="C62" s="184">
        <v>38580</v>
      </c>
      <c r="D62" s="181">
        <v>673.25</v>
      </c>
      <c r="E62" s="212">
        <v>1</v>
      </c>
      <c r="F62" s="201"/>
      <c r="G62" s="212" t="s">
        <v>281</v>
      </c>
      <c r="H62" s="212">
        <v>248.48191392000001</v>
      </c>
      <c r="I62" s="158"/>
      <c r="J62" s="152"/>
      <c r="K62" s="217"/>
      <c r="L62" s="217"/>
      <c r="M62" s="217"/>
      <c r="O62" s="230" t="s">
        <v>281</v>
      </c>
      <c r="P62" s="230">
        <v>255.27694797999999</v>
      </c>
      <c r="Q62" s="228"/>
      <c r="R62" s="152"/>
      <c r="S62" s="242"/>
      <c r="T62" s="247"/>
      <c r="U62" s="247"/>
      <c r="V62" s="247"/>
      <c r="W62" s="247"/>
      <c r="X62" s="247"/>
      <c r="Y62" s="234"/>
      <c r="Z62" s="242" t="s">
        <v>602</v>
      </c>
      <c r="AA62" s="242">
        <v>0</v>
      </c>
      <c r="AB62" s="242">
        <v>0</v>
      </c>
      <c r="AC62" s="242">
        <v>0</v>
      </c>
      <c r="AD62" s="242">
        <v>0</v>
      </c>
      <c r="AE62" s="242">
        <v>1</v>
      </c>
      <c r="AF62" s="242"/>
      <c r="AG62" s="242" t="s">
        <v>602</v>
      </c>
      <c r="AH62" s="242">
        <v>0</v>
      </c>
      <c r="AI62" s="242">
        <v>0</v>
      </c>
      <c r="AJ62" s="242">
        <v>0</v>
      </c>
      <c r="AK62" s="242">
        <v>0</v>
      </c>
      <c r="AL62" s="242">
        <v>1</v>
      </c>
      <c r="AM62" s="234"/>
      <c r="AN62" s="242" t="s">
        <v>576</v>
      </c>
      <c r="AO62" s="242">
        <v>0</v>
      </c>
      <c r="AP62" s="242">
        <v>0</v>
      </c>
      <c r="AQ62" s="242">
        <v>0</v>
      </c>
      <c r="AR62" s="242">
        <v>0</v>
      </c>
      <c r="AS62" s="242">
        <v>1</v>
      </c>
      <c r="AT62" s="234"/>
      <c r="AU62" s="242" t="s">
        <v>576</v>
      </c>
      <c r="AV62" s="242">
        <v>0</v>
      </c>
      <c r="AW62" s="242">
        <v>0</v>
      </c>
      <c r="AX62" s="242">
        <v>0</v>
      </c>
      <c r="AY62" s="242">
        <v>0</v>
      </c>
      <c r="AZ62" s="242">
        <v>1</v>
      </c>
      <c r="BA62" s="234"/>
      <c r="BB62" s="242" t="s">
        <v>580</v>
      </c>
      <c r="BC62" s="242">
        <v>3829100</v>
      </c>
      <c r="BD62" s="242">
        <v>40</v>
      </c>
      <c r="BE62" s="242">
        <v>2</v>
      </c>
      <c r="BF62" s="242">
        <v>0</v>
      </c>
      <c r="BG62" s="242">
        <v>1</v>
      </c>
      <c r="BH62" s="236" t="s">
        <v>580</v>
      </c>
      <c r="BI62" s="242">
        <v>0</v>
      </c>
      <c r="BJ62" s="242">
        <v>0</v>
      </c>
      <c r="BK62" s="242">
        <v>0</v>
      </c>
      <c r="BL62" s="242">
        <v>0</v>
      </c>
      <c r="BM62" s="242">
        <v>1</v>
      </c>
      <c r="BN62" s="242"/>
      <c r="BO62" s="245" t="s">
        <v>477</v>
      </c>
      <c r="BP62" s="253" t="s">
        <v>526</v>
      </c>
      <c r="BQ62" s="253" t="s">
        <v>554</v>
      </c>
      <c r="BR62" s="253" t="s">
        <v>555</v>
      </c>
    </row>
    <row r="63" spans="1:70" x14ac:dyDescent="0.2">
      <c r="A63" s="14"/>
      <c r="B63" s="181" t="s">
        <v>256</v>
      </c>
      <c r="C63" s="184">
        <v>38709</v>
      </c>
      <c r="D63" s="181">
        <v>196.52</v>
      </c>
      <c r="E63" s="212">
        <v>1</v>
      </c>
      <c r="F63" s="201"/>
      <c r="G63" s="212" t="s">
        <v>284</v>
      </c>
      <c r="H63" s="212">
        <v>171.29064725999999</v>
      </c>
      <c r="I63" s="158"/>
      <c r="J63" s="152"/>
      <c r="K63" s="217"/>
      <c r="L63" s="217"/>
      <c r="M63" s="217"/>
      <c r="O63" s="230" t="s">
        <v>284</v>
      </c>
      <c r="P63" s="230">
        <v>177.48472710999999</v>
      </c>
      <c r="Q63" s="228"/>
      <c r="R63" s="148" t="s">
        <v>443</v>
      </c>
      <c r="S63" s="242" t="s">
        <v>552</v>
      </c>
      <c r="T63" s="247" t="s">
        <v>553</v>
      </c>
      <c r="U63" s="247" t="s">
        <v>554</v>
      </c>
      <c r="V63" s="247" t="s">
        <v>555</v>
      </c>
      <c r="W63" s="247" t="s">
        <v>556</v>
      </c>
      <c r="X63" s="247" t="s">
        <v>557</v>
      </c>
      <c r="Y63" s="234"/>
      <c r="Z63" s="242" t="s">
        <v>603</v>
      </c>
      <c r="AA63" s="242">
        <v>0</v>
      </c>
      <c r="AB63" s="242">
        <v>0</v>
      </c>
      <c r="AC63" s="242">
        <v>0</v>
      </c>
      <c r="AD63" s="242">
        <v>0</v>
      </c>
      <c r="AE63" s="242">
        <v>1</v>
      </c>
      <c r="AF63" s="242"/>
      <c r="AG63" s="242" t="s">
        <v>603</v>
      </c>
      <c r="AH63" s="242">
        <v>0</v>
      </c>
      <c r="AI63" s="242">
        <v>0</v>
      </c>
      <c r="AJ63" s="242">
        <v>0</v>
      </c>
      <c r="AK63" s="242">
        <v>0</v>
      </c>
      <c r="AL63" s="242">
        <v>1</v>
      </c>
      <c r="AM63" s="234"/>
      <c r="AN63" s="242" t="s">
        <v>577</v>
      </c>
      <c r="AO63" s="242">
        <v>1938000</v>
      </c>
      <c r="AP63" s="242">
        <v>19</v>
      </c>
      <c r="AQ63" s="242">
        <v>1</v>
      </c>
      <c r="AR63" s="242">
        <v>721</v>
      </c>
      <c r="AS63" s="242">
        <v>1</v>
      </c>
      <c r="AT63" s="234"/>
      <c r="AU63" s="242" t="s">
        <v>577</v>
      </c>
      <c r="AV63" s="242">
        <v>1938000</v>
      </c>
      <c r="AW63" s="242">
        <v>19</v>
      </c>
      <c r="AX63" s="242">
        <v>1</v>
      </c>
      <c r="AY63" s="242">
        <v>18</v>
      </c>
      <c r="AZ63" s="242">
        <v>1</v>
      </c>
      <c r="BA63" s="234"/>
      <c r="BB63" s="242" t="s">
        <v>581</v>
      </c>
      <c r="BC63" s="242">
        <v>797500</v>
      </c>
      <c r="BD63" s="242">
        <v>7</v>
      </c>
      <c r="BE63" s="242">
        <v>7</v>
      </c>
      <c r="BF63" s="242">
        <v>329</v>
      </c>
      <c r="BG63" s="242">
        <v>1</v>
      </c>
      <c r="BH63" s="236" t="s">
        <v>581</v>
      </c>
      <c r="BI63" s="242">
        <v>115200</v>
      </c>
      <c r="BJ63" s="242">
        <v>1</v>
      </c>
      <c r="BK63" s="242">
        <v>1</v>
      </c>
      <c r="BL63" s="242">
        <v>15</v>
      </c>
      <c r="BM63" s="242">
        <v>1</v>
      </c>
      <c r="BN63" s="242"/>
      <c r="BO63" s="240"/>
      <c r="BP63" s="252">
        <v>181695647104.70001</v>
      </c>
      <c r="BQ63" s="252">
        <v>12228057</v>
      </c>
      <c r="BR63" s="252">
        <v>1138</v>
      </c>
    </row>
    <row r="64" spans="1:70" x14ac:dyDescent="0.2">
      <c r="A64" s="14"/>
      <c r="B64" s="181" t="s">
        <v>90</v>
      </c>
      <c r="C64" s="184">
        <v>41849</v>
      </c>
      <c r="D64" s="181">
        <v>22461.45680964</v>
      </c>
      <c r="E64" s="212">
        <v>1</v>
      </c>
      <c r="F64" s="201"/>
      <c r="G64" s="212" t="s">
        <v>285</v>
      </c>
      <c r="H64" s="212">
        <v>11624.9238047</v>
      </c>
      <c r="I64" s="158"/>
      <c r="J64" s="3"/>
      <c r="K64" s="217"/>
      <c r="L64" s="217"/>
      <c r="M64" s="217"/>
      <c r="O64" s="230" t="s">
        <v>285</v>
      </c>
      <c r="P64" s="230">
        <v>13077.61747608</v>
      </c>
      <c r="Q64" s="228"/>
      <c r="R64" s="152"/>
      <c r="S64" s="242" t="s">
        <v>558</v>
      </c>
      <c r="T64" s="247">
        <v>0</v>
      </c>
      <c r="U64" s="247">
        <v>0</v>
      </c>
      <c r="V64" s="247">
        <v>0</v>
      </c>
      <c r="W64" s="247">
        <v>0</v>
      </c>
      <c r="X64" s="247">
        <v>0</v>
      </c>
      <c r="Y64" s="234"/>
      <c r="Z64" s="242" t="s">
        <v>576</v>
      </c>
      <c r="AA64" s="242">
        <v>0</v>
      </c>
      <c r="AB64" s="242">
        <v>0</v>
      </c>
      <c r="AC64" s="242">
        <v>0</v>
      </c>
      <c r="AD64" s="242">
        <v>0</v>
      </c>
      <c r="AE64" s="242">
        <v>1</v>
      </c>
      <c r="AF64" s="242"/>
      <c r="AG64" s="242" t="s">
        <v>576</v>
      </c>
      <c r="AH64" s="242">
        <v>0</v>
      </c>
      <c r="AI64" s="242">
        <v>0</v>
      </c>
      <c r="AJ64" s="242">
        <v>0</v>
      </c>
      <c r="AK64" s="242">
        <v>0</v>
      </c>
      <c r="AL64" s="242">
        <v>1</v>
      </c>
      <c r="AM64" s="234"/>
      <c r="AN64" s="242" t="s">
        <v>578</v>
      </c>
      <c r="AO64" s="242">
        <v>0</v>
      </c>
      <c r="AP64" s="242">
        <v>0</v>
      </c>
      <c r="AQ64" s="242">
        <v>0</v>
      </c>
      <c r="AR64" s="242">
        <v>0</v>
      </c>
      <c r="AS64" s="242">
        <v>1</v>
      </c>
      <c r="AT64" s="234"/>
      <c r="AU64" s="242" t="s">
        <v>578</v>
      </c>
      <c r="AV64" s="242">
        <v>0</v>
      </c>
      <c r="AW64" s="242">
        <v>0</v>
      </c>
      <c r="AX64" s="242">
        <v>0</v>
      </c>
      <c r="AY64" s="242">
        <v>0</v>
      </c>
      <c r="AZ64" s="242">
        <v>1</v>
      </c>
      <c r="BA64" s="234"/>
      <c r="BB64" s="242" t="s">
        <v>582</v>
      </c>
      <c r="BC64" s="242">
        <v>3333290</v>
      </c>
      <c r="BD64" s="242">
        <v>36</v>
      </c>
      <c r="BE64" s="242">
        <v>2</v>
      </c>
      <c r="BF64" s="242">
        <v>283</v>
      </c>
      <c r="BG64" s="242">
        <v>1</v>
      </c>
      <c r="BH64" s="236" t="s">
        <v>582</v>
      </c>
      <c r="BI64" s="242">
        <v>0</v>
      </c>
      <c r="BJ64" s="242">
        <v>0</v>
      </c>
      <c r="BK64" s="242">
        <v>0</v>
      </c>
      <c r="BL64" s="242">
        <v>0</v>
      </c>
      <c r="BM64" s="242">
        <v>1</v>
      </c>
      <c r="BN64" s="242"/>
      <c r="BO64" s="236"/>
      <c r="BP64" s="236"/>
      <c r="BQ64" s="236"/>
      <c r="BR64" s="236"/>
    </row>
    <row r="65" spans="1:70" x14ac:dyDescent="0.2">
      <c r="A65" s="14"/>
      <c r="B65" s="181" t="s">
        <v>257</v>
      </c>
      <c r="C65" s="184">
        <v>42122</v>
      </c>
      <c r="D65" s="181">
        <v>9390.5427286199993</v>
      </c>
      <c r="E65" s="212">
        <v>1</v>
      </c>
      <c r="F65" s="201"/>
      <c r="G65" s="212" t="s">
        <v>286</v>
      </c>
      <c r="H65" s="212">
        <v>3165.6075604500002</v>
      </c>
      <c r="I65" s="158"/>
      <c r="J65" s="3"/>
      <c r="K65" s="217"/>
      <c r="L65" s="217"/>
      <c r="M65" s="217"/>
      <c r="O65" s="230" t="s">
        <v>286</v>
      </c>
      <c r="P65" s="230">
        <v>3244.1436258799999</v>
      </c>
      <c r="Q65" s="228"/>
      <c r="R65" s="152"/>
      <c r="S65" s="242" t="s">
        <v>438</v>
      </c>
      <c r="T65" s="247">
        <v>58230536.560000002</v>
      </c>
      <c r="U65" s="247">
        <v>37683</v>
      </c>
      <c r="V65" s="247">
        <v>27</v>
      </c>
      <c r="W65" s="247">
        <v>100001</v>
      </c>
      <c r="X65" s="247">
        <v>0</v>
      </c>
      <c r="Y65" s="234"/>
      <c r="Z65" s="242" t="s">
        <v>577</v>
      </c>
      <c r="AA65" s="242">
        <v>499500</v>
      </c>
      <c r="AB65" s="242">
        <v>6</v>
      </c>
      <c r="AC65" s="242">
        <v>2</v>
      </c>
      <c r="AD65" s="242">
        <v>378</v>
      </c>
      <c r="AE65" s="242">
        <v>1</v>
      </c>
      <c r="AF65" s="242"/>
      <c r="AG65" s="242" t="s">
        <v>577</v>
      </c>
      <c r="AH65" s="242">
        <v>0</v>
      </c>
      <c r="AI65" s="242">
        <v>0</v>
      </c>
      <c r="AJ65" s="242">
        <v>0</v>
      </c>
      <c r="AK65" s="242">
        <v>18</v>
      </c>
      <c r="AL65" s="242">
        <v>1</v>
      </c>
      <c r="AM65" s="234"/>
      <c r="AN65" s="242" t="s">
        <v>579</v>
      </c>
      <c r="AO65" s="242">
        <v>13265970</v>
      </c>
      <c r="AP65" s="242">
        <v>69</v>
      </c>
      <c r="AQ65" s="242">
        <v>7</v>
      </c>
      <c r="AR65" s="242">
        <v>405</v>
      </c>
      <c r="AS65" s="242">
        <v>1</v>
      </c>
      <c r="AT65" s="234"/>
      <c r="AU65" s="242" t="s">
        <v>579</v>
      </c>
      <c r="AV65" s="242">
        <v>0</v>
      </c>
      <c r="AW65" s="242">
        <v>0</v>
      </c>
      <c r="AX65" s="242">
        <v>0</v>
      </c>
      <c r="AY65" s="242">
        <v>0</v>
      </c>
      <c r="AZ65" s="242">
        <v>1</v>
      </c>
      <c r="BA65" s="234"/>
      <c r="BB65" s="242" t="s">
        <v>585</v>
      </c>
      <c r="BC65" s="242">
        <v>5509800</v>
      </c>
      <c r="BD65" s="242">
        <v>52</v>
      </c>
      <c r="BE65" s="242">
        <v>4</v>
      </c>
      <c r="BF65" s="242">
        <v>13982</v>
      </c>
      <c r="BG65" s="242">
        <v>1</v>
      </c>
      <c r="BH65" s="236" t="s">
        <v>585</v>
      </c>
      <c r="BI65" s="242">
        <v>0</v>
      </c>
      <c r="BJ65" s="242">
        <v>0</v>
      </c>
      <c r="BK65" s="242">
        <v>0</v>
      </c>
      <c r="BL65" s="242">
        <v>651</v>
      </c>
      <c r="BM65" s="242">
        <v>1</v>
      </c>
      <c r="BN65" s="242"/>
      <c r="BO65" s="245" t="s">
        <v>463</v>
      </c>
      <c r="BP65" s="253" t="s">
        <v>526</v>
      </c>
      <c r="BQ65" s="253" t="s">
        <v>554</v>
      </c>
      <c r="BR65" s="253" t="s">
        <v>555</v>
      </c>
    </row>
    <row r="66" spans="1:70" x14ac:dyDescent="0.2">
      <c r="A66" s="83"/>
      <c r="B66" s="181" t="s">
        <v>258</v>
      </c>
      <c r="C66" s="184">
        <v>43578</v>
      </c>
      <c r="D66" s="181">
        <v>12448.840151259999</v>
      </c>
      <c r="E66" s="212">
        <v>1</v>
      </c>
      <c r="F66" s="209"/>
      <c r="G66" s="212" t="s">
        <v>287</v>
      </c>
      <c r="H66" s="212">
        <v>132.55335276</v>
      </c>
      <c r="I66" s="158"/>
      <c r="J66" s="3"/>
      <c r="K66" s="217"/>
      <c r="L66" s="217"/>
      <c r="M66" s="217"/>
      <c r="O66" s="230" t="s">
        <v>287</v>
      </c>
      <c r="P66" s="230">
        <v>139.17073113000001</v>
      </c>
      <c r="Q66" s="228"/>
      <c r="R66" s="152"/>
      <c r="S66" s="242" t="s">
        <v>435</v>
      </c>
      <c r="T66" s="247">
        <v>0</v>
      </c>
      <c r="U66" s="247">
        <v>0</v>
      </c>
      <c r="V66" s="247">
        <v>0</v>
      </c>
      <c r="W66" s="247">
        <v>0</v>
      </c>
      <c r="X66" s="247">
        <v>0</v>
      </c>
      <c r="Y66" s="234"/>
      <c r="Z66" s="242" t="s">
        <v>578</v>
      </c>
      <c r="AA66" s="242">
        <v>0</v>
      </c>
      <c r="AB66" s="242">
        <v>0</v>
      </c>
      <c r="AC66" s="242">
        <v>0</v>
      </c>
      <c r="AD66" s="242">
        <v>0</v>
      </c>
      <c r="AE66" s="242">
        <v>1</v>
      </c>
      <c r="AF66" s="242"/>
      <c r="AG66" s="242" t="s">
        <v>578</v>
      </c>
      <c r="AH66" s="242">
        <v>0</v>
      </c>
      <c r="AI66" s="242">
        <v>0</v>
      </c>
      <c r="AJ66" s="242">
        <v>0</v>
      </c>
      <c r="AK66" s="242">
        <v>0</v>
      </c>
      <c r="AL66" s="242">
        <v>1</v>
      </c>
      <c r="AM66" s="234"/>
      <c r="AN66" s="242" t="s">
        <v>580</v>
      </c>
      <c r="AO66" s="242">
        <v>37395120</v>
      </c>
      <c r="AP66" s="242">
        <v>276</v>
      </c>
      <c r="AQ66" s="242">
        <v>19</v>
      </c>
      <c r="AR66" s="242">
        <v>2925</v>
      </c>
      <c r="AS66" s="242">
        <v>1</v>
      </c>
      <c r="AT66" s="234"/>
      <c r="AU66" s="242" t="s">
        <v>580</v>
      </c>
      <c r="AV66" s="242">
        <v>0</v>
      </c>
      <c r="AW66" s="242">
        <v>0</v>
      </c>
      <c r="AX66" s="242">
        <v>0</v>
      </c>
      <c r="AY66" s="242">
        <v>114</v>
      </c>
      <c r="AZ66" s="242">
        <v>1</v>
      </c>
      <c r="BA66" s="234"/>
      <c r="BB66" s="242" t="s">
        <v>586</v>
      </c>
      <c r="BC66" s="242">
        <v>4566236</v>
      </c>
      <c r="BD66" s="242">
        <v>55</v>
      </c>
      <c r="BE66" s="242">
        <v>8</v>
      </c>
      <c r="BF66" s="242">
        <v>676</v>
      </c>
      <c r="BG66" s="242">
        <v>1</v>
      </c>
      <c r="BH66" s="236" t="s">
        <v>586</v>
      </c>
      <c r="BI66" s="242">
        <v>0</v>
      </c>
      <c r="BJ66" s="242">
        <v>0</v>
      </c>
      <c r="BK66" s="242">
        <v>0</v>
      </c>
      <c r="BL66" s="242">
        <v>34</v>
      </c>
      <c r="BM66" s="242">
        <v>1</v>
      </c>
      <c r="BN66" s="242"/>
      <c r="BO66" s="236"/>
      <c r="BP66" s="252">
        <v>199913823626.68924</v>
      </c>
      <c r="BQ66" s="252">
        <v>15868600</v>
      </c>
      <c r="BR66" s="252">
        <v>18294</v>
      </c>
    </row>
    <row r="67" spans="1:70" x14ac:dyDescent="0.2">
      <c r="A67" s="83"/>
      <c r="B67" s="181" t="s">
        <v>259</v>
      </c>
      <c r="C67" s="184">
        <v>43125</v>
      </c>
      <c r="D67" s="181">
        <v>12254.868716880001</v>
      </c>
      <c r="E67" s="212">
        <v>1</v>
      </c>
      <c r="F67" s="202"/>
      <c r="G67" s="212" t="s">
        <v>288</v>
      </c>
      <c r="H67" s="212">
        <v>1742.0855359699999</v>
      </c>
      <c r="I67" s="158"/>
      <c r="J67" s="3"/>
      <c r="K67" s="217"/>
      <c r="L67" s="217"/>
      <c r="M67" s="217"/>
      <c r="O67" s="230" t="s">
        <v>288</v>
      </c>
      <c r="P67" s="230">
        <v>1757.95956961</v>
      </c>
      <c r="Q67" s="228"/>
      <c r="R67" s="152"/>
      <c r="S67" s="242" t="s">
        <v>433</v>
      </c>
      <c r="T67" s="247">
        <v>2657868272.3200002</v>
      </c>
      <c r="U67" s="247">
        <v>484168</v>
      </c>
      <c r="V67" s="247">
        <v>538</v>
      </c>
      <c r="W67" s="247">
        <v>990353</v>
      </c>
      <c r="X67" s="247">
        <v>0</v>
      </c>
      <c r="Y67" s="234"/>
      <c r="Z67" s="242" t="s">
        <v>579</v>
      </c>
      <c r="AA67" s="242">
        <v>0</v>
      </c>
      <c r="AB67" s="242">
        <v>0</v>
      </c>
      <c r="AC67" s="242">
        <v>0</v>
      </c>
      <c r="AD67" s="242">
        <v>0</v>
      </c>
      <c r="AE67" s="242">
        <v>1</v>
      </c>
      <c r="AF67" s="242"/>
      <c r="AG67" s="242" t="s">
        <v>579</v>
      </c>
      <c r="AH67" s="242">
        <v>0</v>
      </c>
      <c r="AI67" s="242">
        <v>0</v>
      </c>
      <c r="AJ67" s="242">
        <v>0</v>
      </c>
      <c r="AK67" s="242">
        <v>0</v>
      </c>
      <c r="AL67" s="242">
        <v>1</v>
      </c>
      <c r="AM67" s="234"/>
      <c r="AN67" s="242" t="s">
        <v>581</v>
      </c>
      <c r="AO67" s="242">
        <v>898180.00300000003</v>
      </c>
      <c r="AP67" s="242">
        <v>7</v>
      </c>
      <c r="AQ67" s="242">
        <v>1</v>
      </c>
      <c r="AR67" s="242">
        <v>5712</v>
      </c>
      <c r="AS67" s="242">
        <v>1</v>
      </c>
      <c r="AT67" s="234"/>
      <c r="AU67" s="242" t="s">
        <v>581</v>
      </c>
      <c r="AV67" s="242">
        <v>0</v>
      </c>
      <c r="AW67" s="242">
        <v>0</v>
      </c>
      <c r="AX67" s="242">
        <v>0</v>
      </c>
      <c r="AY67" s="242">
        <v>280</v>
      </c>
      <c r="AZ67" s="242">
        <v>1</v>
      </c>
      <c r="BA67" s="234"/>
      <c r="BB67" s="242" t="s">
        <v>587</v>
      </c>
      <c r="BC67" s="242">
        <v>17057457.530000001</v>
      </c>
      <c r="BD67" s="242">
        <v>142</v>
      </c>
      <c r="BE67" s="242">
        <v>18</v>
      </c>
      <c r="BF67" s="242">
        <v>491</v>
      </c>
      <c r="BG67" s="242">
        <v>1</v>
      </c>
      <c r="BH67" s="236" t="s">
        <v>587</v>
      </c>
      <c r="BI67" s="242">
        <v>2986680.03</v>
      </c>
      <c r="BJ67" s="242">
        <v>25</v>
      </c>
      <c r="BK67" s="242">
        <v>2</v>
      </c>
      <c r="BL67" s="242">
        <v>28</v>
      </c>
      <c r="BM67" s="242">
        <v>1</v>
      </c>
      <c r="BN67" s="242"/>
      <c r="BO67" s="236"/>
      <c r="BP67" s="236"/>
      <c r="BQ67" s="236"/>
      <c r="BR67" s="236"/>
    </row>
    <row r="68" spans="1:70" x14ac:dyDescent="0.2">
      <c r="A68" s="83"/>
      <c r="B68" s="181" t="s">
        <v>260</v>
      </c>
      <c r="C68" s="184">
        <v>43347</v>
      </c>
      <c r="D68" s="181">
        <v>28871.375256529998</v>
      </c>
      <c r="E68" s="212">
        <v>1</v>
      </c>
      <c r="F68" s="202"/>
      <c r="G68" s="212" t="s">
        <v>290</v>
      </c>
      <c r="H68" s="212">
        <v>14526.625700000001</v>
      </c>
      <c r="I68" s="158"/>
      <c r="J68" s="3"/>
      <c r="K68" s="217"/>
      <c r="L68" s="217"/>
      <c r="M68" s="217"/>
      <c r="O68" s="230" t="s">
        <v>290</v>
      </c>
      <c r="P68" s="230">
        <v>14499.8449</v>
      </c>
      <c r="Q68" s="228"/>
      <c r="R68" s="152"/>
      <c r="S68" s="242" t="s">
        <v>436</v>
      </c>
      <c r="T68" s="247">
        <v>0</v>
      </c>
      <c r="U68" s="247">
        <v>0</v>
      </c>
      <c r="V68" s="247">
        <v>0</v>
      </c>
      <c r="W68" s="247">
        <v>0</v>
      </c>
      <c r="X68" s="247">
        <v>0</v>
      </c>
      <c r="Y68" s="234"/>
      <c r="Z68" s="242" t="s">
        <v>580</v>
      </c>
      <c r="AA68" s="242">
        <v>16495589.48</v>
      </c>
      <c r="AB68" s="242">
        <v>125</v>
      </c>
      <c r="AC68" s="242">
        <v>5</v>
      </c>
      <c r="AD68" s="242">
        <v>753</v>
      </c>
      <c r="AE68" s="242">
        <v>1</v>
      </c>
      <c r="AF68" s="242"/>
      <c r="AG68" s="242" t="s">
        <v>580</v>
      </c>
      <c r="AH68" s="242">
        <v>0</v>
      </c>
      <c r="AI68" s="242">
        <v>0</v>
      </c>
      <c r="AJ68" s="242">
        <v>0</v>
      </c>
      <c r="AK68" s="242">
        <v>4</v>
      </c>
      <c r="AL68" s="242">
        <v>1</v>
      </c>
      <c r="AM68" s="234"/>
      <c r="AN68" s="242" t="s">
        <v>582</v>
      </c>
      <c r="AO68" s="242">
        <v>36475410.049999997</v>
      </c>
      <c r="AP68" s="242">
        <v>404</v>
      </c>
      <c r="AQ68" s="242">
        <v>15</v>
      </c>
      <c r="AR68" s="242">
        <v>3987</v>
      </c>
      <c r="AS68" s="242">
        <v>1</v>
      </c>
      <c r="AT68" s="234"/>
      <c r="AU68" s="242" t="s">
        <v>582</v>
      </c>
      <c r="AV68" s="242">
        <v>0</v>
      </c>
      <c r="AW68" s="242">
        <v>0</v>
      </c>
      <c r="AX68" s="242">
        <v>0</v>
      </c>
      <c r="AY68" s="242">
        <v>161</v>
      </c>
      <c r="AZ68" s="242">
        <v>1</v>
      </c>
      <c r="BA68" s="234"/>
      <c r="BB68" s="242" t="s">
        <v>588</v>
      </c>
      <c r="BC68" s="242">
        <v>1479200</v>
      </c>
      <c r="BD68" s="242">
        <v>4</v>
      </c>
      <c r="BE68" s="242">
        <v>1</v>
      </c>
      <c r="BF68" s="242">
        <v>924</v>
      </c>
      <c r="BG68" s="242">
        <v>1</v>
      </c>
      <c r="BH68" s="236" t="s">
        <v>588</v>
      </c>
      <c r="BI68" s="242">
        <v>0</v>
      </c>
      <c r="BJ68" s="242">
        <v>0</v>
      </c>
      <c r="BK68" s="242">
        <v>0</v>
      </c>
      <c r="BL68" s="242">
        <v>40</v>
      </c>
      <c r="BM68" s="242">
        <v>1</v>
      </c>
      <c r="BN68" s="242"/>
      <c r="BO68" s="245" t="s">
        <v>464</v>
      </c>
      <c r="BP68" s="253" t="s">
        <v>526</v>
      </c>
      <c r="BQ68" s="253" t="s">
        <v>554</v>
      </c>
      <c r="BR68" s="253" t="s">
        <v>555</v>
      </c>
    </row>
    <row r="69" spans="1:70" x14ac:dyDescent="0.2">
      <c r="A69" s="83"/>
      <c r="B69" s="181" t="s">
        <v>261</v>
      </c>
      <c r="C69" s="184">
        <v>41849</v>
      </c>
      <c r="D69" s="181">
        <v>4482.8823280400002</v>
      </c>
      <c r="E69" s="212">
        <v>1</v>
      </c>
      <c r="F69" s="202"/>
      <c r="G69" s="212" t="s">
        <v>291</v>
      </c>
      <c r="H69" s="212">
        <v>21916.849241839998</v>
      </c>
      <c r="I69" s="158"/>
      <c r="J69" s="3"/>
      <c r="K69" s="217"/>
      <c r="L69" s="217"/>
      <c r="M69" s="217"/>
      <c r="O69" s="230" t="s">
        <v>291</v>
      </c>
      <c r="P69" s="230">
        <v>22772.1205419</v>
      </c>
      <c r="Q69" s="228"/>
      <c r="R69" s="152"/>
      <c r="S69" s="242" t="s">
        <v>434</v>
      </c>
      <c r="T69" s="247">
        <v>548499946.37</v>
      </c>
      <c r="U69" s="247">
        <v>643417</v>
      </c>
      <c r="V69" s="247">
        <v>351</v>
      </c>
      <c r="W69" s="247">
        <v>1419384</v>
      </c>
      <c r="X69" s="247">
        <v>0</v>
      </c>
      <c r="Y69" s="234"/>
      <c r="Z69" s="242" t="s">
        <v>581</v>
      </c>
      <c r="AA69" s="242">
        <v>43944720.005999997</v>
      </c>
      <c r="AB69" s="242">
        <v>368</v>
      </c>
      <c r="AC69" s="242">
        <v>15</v>
      </c>
      <c r="AD69" s="242">
        <v>4274</v>
      </c>
      <c r="AE69" s="242">
        <v>1</v>
      </c>
      <c r="AF69" s="242"/>
      <c r="AG69" s="242" t="s">
        <v>581</v>
      </c>
      <c r="AH69" s="242">
        <v>116400</v>
      </c>
      <c r="AI69" s="242">
        <v>1</v>
      </c>
      <c r="AJ69" s="242">
        <v>1</v>
      </c>
      <c r="AK69" s="242">
        <v>117</v>
      </c>
      <c r="AL69" s="242">
        <v>1</v>
      </c>
      <c r="AM69" s="234"/>
      <c r="AN69" s="242" t="s">
        <v>583</v>
      </c>
      <c r="AO69" s="242">
        <v>0</v>
      </c>
      <c r="AP69" s="242">
        <v>0</v>
      </c>
      <c r="AQ69" s="242">
        <v>0</v>
      </c>
      <c r="AR69" s="242">
        <v>0</v>
      </c>
      <c r="AS69" s="242">
        <v>1</v>
      </c>
      <c r="AT69" s="234"/>
      <c r="AU69" s="242" t="s">
        <v>583</v>
      </c>
      <c r="AV69" s="242">
        <v>0</v>
      </c>
      <c r="AW69" s="242">
        <v>0</v>
      </c>
      <c r="AX69" s="242">
        <v>0</v>
      </c>
      <c r="AY69" s="242">
        <v>0</v>
      </c>
      <c r="AZ69" s="242">
        <v>1</v>
      </c>
      <c r="BA69" s="234"/>
      <c r="BB69" s="242" t="s">
        <v>589</v>
      </c>
      <c r="BC69" s="242">
        <v>6582000</v>
      </c>
      <c r="BD69" s="242">
        <v>21</v>
      </c>
      <c r="BE69" s="242">
        <v>5</v>
      </c>
      <c r="BF69" s="242">
        <v>826</v>
      </c>
      <c r="BG69" s="242">
        <v>1</v>
      </c>
      <c r="BH69" s="236" t="s">
        <v>589</v>
      </c>
      <c r="BI69" s="242">
        <v>1803000</v>
      </c>
      <c r="BJ69" s="242">
        <v>6</v>
      </c>
      <c r="BK69" s="242">
        <v>2</v>
      </c>
      <c r="BL69" s="242">
        <v>25</v>
      </c>
      <c r="BM69" s="242">
        <v>1</v>
      </c>
      <c r="BN69" s="242"/>
      <c r="BO69" s="236"/>
      <c r="BP69" s="252">
        <v>179489237082.42499</v>
      </c>
      <c r="BQ69" s="252">
        <v>10042603</v>
      </c>
      <c r="BR69" s="252">
        <v>1167</v>
      </c>
    </row>
    <row r="70" spans="1:70" x14ac:dyDescent="0.2">
      <c r="A70" s="83"/>
      <c r="B70" s="181" t="s">
        <v>262</v>
      </c>
      <c r="C70" s="184">
        <v>41849</v>
      </c>
      <c r="D70" s="181">
        <v>4264.0820106800002</v>
      </c>
      <c r="E70" s="212">
        <v>1</v>
      </c>
      <c r="F70" s="201"/>
      <c r="G70" s="212" t="s">
        <v>57</v>
      </c>
      <c r="H70" s="212">
        <v>25441.039897629998</v>
      </c>
      <c r="I70" s="158"/>
      <c r="J70" s="3"/>
      <c r="K70" s="217"/>
      <c r="L70" s="217"/>
      <c r="M70" s="217"/>
      <c r="O70" s="230" t="s">
        <v>57</v>
      </c>
      <c r="P70" s="230">
        <v>26576.519849420001</v>
      </c>
      <c r="Q70" s="228"/>
      <c r="R70" s="152"/>
      <c r="S70" s="242" t="s">
        <v>558</v>
      </c>
      <c r="T70" s="247">
        <v>0</v>
      </c>
      <c r="U70" s="247">
        <v>0</v>
      </c>
      <c r="V70" s="247">
        <v>0</v>
      </c>
      <c r="W70" s="247">
        <v>0</v>
      </c>
      <c r="X70" s="247">
        <v>1</v>
      </c>
      <c r="Y70" s="234"/>
      <c r="Z70" s="242" t="s">
        <v>582</v>
      </c>
      <c r="AA70" s="242">
        <v>15737800</v>
      </c>
      <c r="AB70" s="242">
        <v>182</v>
      </c>
      <c r="AC70" s="242">
        <v>24</v>
      </c>
      <c r="AD70" s="242">
        <v>2070</v>
      </c>
      <c r="AE70" s="242">
        <v>1</v>
      </c>
      <c r="AF70" s="242"/>
      <c r="AG70" s="242" t="s">
        <v>582</v>
      </c>
      <c r="AH70" s="242">
        <v>0</v>
      </c>
      <c r="AI70" s="242">
        <v>0</v>
      </c>
      <c r="AJ70" s="242">
        <v>0</v>
      </c>
      <c r="AK70" s="242">
        <v>61</v>
      </c>
      <c r="AL70" s="242">
        <v>1</v>
      </c>
      <c r="AM70" s="234"/>
      <c r="AN70" s="242" t="s">
        <v>584</v>
      </c>
      <c r="AO70" s="242">
        <v>0</v>
      </c>
      <c r="AP70" s="242">
        <v>0</v>
      </c>
      <c r="AQ70" s="242">
        <v>0</v>
      </c>
      <c r="AR70" s="242">
        <v>0</v>
      </c>
      <c r="AS70" s="242">
        <v>1</v>
      </c>
      <c r="AT70" s="234"/>
      <c r="AU70" s="242" t="s">
        <v>584</v>
      </c>
      <c r="AV70" s="242">
        <v>0</v>
      </c>
      <c r="AW70" s="242">
        <v>0</v>
      </c>
      <c r="AX70" s="242">
        <v>0</v>
      </c>
      <c r="AY70" s="242">
        <v>0</v>
      </c>
      <c r="AZ70" s="242">
        <v>1</v>
      </c>
      <c r="BA70" s="234"/>
      <c r="BB70" s="242" t="s">
        <v>590</v>
      </c>
      <c r="BC70" s="242">
        <v>16237255336.404989</v>
      </c>
      <c r="BD70" s="242">
        <v>69408</v>
      </c>
      <c r="BE70" s="242">
        <v>4893</v>
      </c>
      <c r="BF70" s="242">
        <v>415794</v>
      </c>
      <c r="BG70" s="242">
        <v>1</v>
      </c>
      <c r="BH70" s="236" t="s">
        <v>590</v>
      </c>
      <c r="BI70" s="242">
        <v>365432732.89999998</v>
      </c>
      <c r="BJ70" s="242">
        <v>1596</v>
      </c>
      <c r="BK70" s="242">
        <v>282</v>
      </c>
      <c r="BL70" s="242">
        <v>21159</v>
      </c>
      <c r="BM70" s="242">
        <v>1</v>
      </c>
      <c r="BN70" s="242"/>
      <c r="BO70" s="234"/>
      <c r="BP70" s="234"/>
      <c r="BQ70" s="234"/>
      <c r="BR70" s="234"/>
    </row>
    <row r="71" spans="1:70" x14ac:dyDescent="0.2">
      <c r="A71" s="14"/>
      <c r="B71" s="181" t="s">
        <v>92</v>
      </c>
      <c r="C71" s="184">
        <v>41849</v>
      </c>
      <c r="D71" s="181">
        <v>4599.9677435399999</v>
      </c>
      <c r="E71" s="212">
        <v>1</v>
      </c>
      <c r="F71" s="201"/>
      <c r="G71" s="212" t="s">
        <v>50</v>
      </c>
      <c r="H71" s="212">
        <v>27670.989248999998</v>
      </c>
      <c r="I71" s="158"/>
      <c r="J71" s="3"/>
      <c r="K71" s="217"/>
      <c r="L71" s="217"/>
      <c r="M71" s="217"/>
      <c r="O71" s="230" t="s">
        <v>50</v>
      </c>
      <c r="P71" s="230">
        <v>28907.968015570001</v>
      </c>
      <c r="Q71" s="228"/>
      <c r="R71" s="152"/>
      <c r="S71" s="242" t="s">
        <v>438</v>
      </c>
      <c r="T71" s="247">
        <v>2901460725.3000002</v>
      </c>
      <c r="U71" s="247">
        <v>58418</v>
      </c>
      <c r="V71" s="247">
        <v>332</v>
      </c>
      <c r="W71" s="247">
        <v>415604</v>
      </c>
      <c r="X71" s="247">
        <v>1</v>
      </c>
      <c r="Y71" s="234"/>
      <c r="Z71" s="242" t="s">
        <v>583</v>
      </c>
      <c r="AA71" s="242">
        <v>0</v>
      </c>
      <c r="AB71" s="242">
        <v>0</v>
      </c>
      <c r="AC71" s="242">
        <v>0</v>
      </c>
      <c r="AD71" s="242">
        <v>0</v>
      </c>
      <c r="AE71" s="242">
        <v>1</v>
      </c>
      <c r="AF71" s="242"/>
      <c r="AG71" s="242" t="s">
        <v>583</v>
      </c>
      <c r="AH71" s="242">
        <v>0</v>
      </c>
      <c r="AI71" s="242">
        <v>0</v>
      </c>
      <c r="AJ71" s="242">
        <v>0</v>
      </c>
      <c r="AK71" s="242">
        <v>0</v>
      </c>
      <c r="AL71" s="242">
        <v>1</v>
      </c>
      <c r="AM71" s="234"/>
      <c r="AN71" s="242" t="s">
        <v>585</v>
      </c>
      <c r="AO71" s="242">
        <v>39738625.100000001</v>
      </c>
      <c r="AP71" s="242">
        <v>370</v>
      </c>
      <c r="AQ71" s="242">
        <v>21</v>
      </c>
      <c r="AR71" s="242">
        <v>3134</v>
      </c>
      <c r="AS71" s="242">
        <v>1</v>
      </c>
      <c r="AT71" s="234"/>
      <c r="AU71" s="242" t="s">
        <v>585</v>
      </c>
      <c r="AV71" s="242">
        <v>216000</v>
      </c>
      <c r="AW71" s="242">
        <v>2</v>
      </c>
      <c r="AX71" s="242">
        <v>1</v>
      </c>
      <c r="AY71" s="242">
        <v>40</v>
      </c>
      <c r="AZ71" s="242">
        <v>1</v>
      </c>
      <c r="BA71" s="234"/>
      <c r="BB71" s="242" t="s">
        <v>604</v>
      </c>
      <c r="BC71" s="242">
        <v>0</v>
      </c>
      <c r="BD71" s="242">
        <v>0</v>
      </c>
      <c r="BE71" s="242">
        <v>0</v>
      </c>
      <c r="BF71" s="242">
        <v>0</v>
      </c>
      <c r="BG71" s="242">
        <v>1</v>
      </c>
      <c r="BH71" s="236" t="s">
        <v>604</v>
      </c>
      <c r="BI71" s="242">
        <v>0</v>
      </c>
      <c r="BJ71" s="242">
        <v>0</v>
      </c>
      <c r="BK71" s="242">
        <v>0</v>
      </c>
      <c r="BL71" s="242">
        <v>0</v>
      </c>
      <c r="BM71" s="242">
        <v>1</v>
      </c>
      <c r="BN71" s="242"/>
      <c r="BO71" s="245" t="s">
        <v>481</v>
      </c>
      <c r="BP71" s="253" t="s">
        <v>606</v>
      </c>
      <c r="BQ71" s="253" t="s">
        <v>556</v>
      </c>
      <c r="BR71" s="236"/>
    </row>
    <row r="72" spans="1:70" x14ac:dyDescent="0.2">
      <c r="A72" s="145"/>
      <c r="B72" s="181" t="s">
        <v>62</v>
      </c>
      <c r="C72" s="184">
        <v>37515</v>
      </c>
      <c r="D72" s="181">
        <v>3456.48</v>
      </c>
      <c r="E72" s="212">
        <v>1</v>
      </c>
      <c r="F72" s="202"/>
      <c r="G72" s="212" t="s">
        <v>292</v>
      </c>
      <c r="H72" s="212">
        <v>15738.38</v>
      </c>
      <c r="I72" s="158"/>
      <c r="J72" s="3"/>
      <c r="K72" s="217"/>
      <c r="L72" s="217"/>
      <c r="M72" s="217"/>
      <c r="O72" s="230" t="s">
        <v>292</v>
      </c>
      <c r="P72" s="230">
        <v>16689.79</v>
      </c>
      <c r="Q72" s="228"/>
      <c r="R72" s="152"/>
      <c r="S72" s="242" t="s">
        <v>435</v>
      </c>
      <c r="T72" s="247">
        <v>1056505.2</v>
      </c>
      <c r="U72" s="247">
        <v>285804</v>
      </c>
      <c r="V72" s="247">
        <v>3779</v>
      </c>
      <c r="W72" s="247">
        <v>557478</v>
      </c>
      <c r="X72" s="247">
        <v>1</v>
      </c>
      <c r="Y72" s="234"/>
      <c r="Z72" s="242" t="s">
        <v>584</v>
      </c>
      <c r="AA72" s="242">
        <v>0</v>
      </c>
      <c r="AB72" s="242">
        <v>0</v>
      </c>
      <c r="AC72" s="242">
        <v>0</v>
      </c>
      <c r="AD72" s="242">
        <v>0</v>
      </c>
      <c r="AE72" s="242">
        <v>1</v>
      </c>
      <c r="AF72" s="242"/>
      <c r="AG72" s="242" t="s">
        <v>584</v>
      </c>
      <c r="AH72" s="242">
        <v>0</v>
      </c>
      <c r="AI72" s="242">
        <v>0</v>
      </c>
      <c r="AJ72" s="242">
        <v>0</v>
      </c>
      <c r="AK72" s="242">
        <v>0</v>
      </c>
      <c r="AL72" s="242">
        <v>1</v>
      </c>
      <c r="AM72" s="234"/>
      <c r="AN72" s="242" t="s">
        <v>586</v>
      </c>
      <c r="AO72" s="242">
        <v>758001</v>
      </c>
      <c r="AP72" s="242">
        <v>10</v>
      </c>
      <c r="AQ72" s="242">
        <v>6</v>
      </c>
      <c r="AR72" s="242">
        <v>1018</v>
      </c>
      <c r="AS72" s="242">
        <v>1</v>
      </c>
      <c r="AT72" s="234"/>
      <c r="AU72" s="242" t="s">
        <v>586</v>
      </c>
      <c r="AV72" s="242">
        <v>0</v>
      </c>
      <c r="AW72" s="242">
        <v>0</v>
      </c>
      <c r="AX72" s="242">
        <v>0</v>
      </c>
      <c r="AY72" s="242">
        <v>50</v>
      </c>
      <c r="AZ72" s="242">
        <v>1</v>
      </c>
      <c r="BA72" s="234"/>
      <c r="BB72" s="242" t="s">
        <v>591</v>
      </c>
      <c r="BC72" s="242">
        <v>869078496.58000004</v>
      </c>
      <c r="BD72" s="242">
        <v>1808</v>
      </c>
      <c r="BE72" s="242">
        <v>224</v>
      </c>
      <c r="BF72" s="242">
        <v>10719</v>
      </c>
      <c r="BG72" s="242">
        <v>1</v>
      </c>
      <c r="BH72" s="236" t="s">
        <v>591</v>
      </c>
      <c r="BI72" s="242">
        <v>60015030.159999996</v>
      </c>
      <c r="BJ72" s="242">
        <v>127</v>
      </c>
      <c r="BK72" s="242">
        <v>21</v>
      </c>
      <c r="BL72" s="242">
        <v>649</v>
      </c>
      <c r="BM72" s="242">
        <v>1</v>
      </c>
      <c r="BN72" s="242"/>
      <c r="BO72" s="236"/>
      <c r="BP72" s="252" t="s">
        <v>607</v>
      </c>
      <c r="BQ72" s="252">
        <v>3871868</v>
      </c>
      <c r="BR72" s="236"/>
    </row>
    <row r="73" spans="1:70" x14ac:dyDescent="0.2">
      <c r="A73" s="83"/>
      <c r="B73" s="181" t="s">
        <v>263</v>
      </c>
      <c r="C73" s="184">
        <v>39629</v>
      </c>
      <c r="D73" s="181">
        <v>51541.23</v>
      </c>
      <c r="E73" s="212">
        <v>1</v>
      </c>
      <c r="F73" s="202"/>
      <c r="G73" s="212" t="s">
        <v>537</v>
      </c>
      <c r="H73" s="212">
        <v>66197.565348060001</v>
      </c>
      <c r="I73" s="158"/>
      <c r="J73" s="3"/>
      <c r="K73" s="217"/>
      <c r="L73" s="217"/>
      <c r="M73" s="217"/>
      <c r="O73" s="230" t="s">
        <v>537</v>
      </c>
      <c r="P73" s="230">
        <v>69799.818001210006</v>
      </c>
      <c r="Q73" s="228"/>
      <c r="R73" s="152"/>
      <c r="S73" s="236" t="s">
        <v>173</v>
      </c>
      <c r="T73" s="236">
        <v>42439436.195</v>
      </c>
      <c r="U73" s="236">
        <v>253715</v>
      </c>
      <c r="V73" s="236">
        <v>259</v>
      </c>
      <c r="W73" s="236">
        <v>616429</v>
      </c>
      <c r="X73" s="236">
        <v>1</v>
      </c>
      <c r="Y73" s="234"/>
      <c r="Z73" s="242" t="s">
        <v>585</v>
      </c>
      <c r="AA73" s="242">
        <v>3597600.2</v>
      </c>
      <c r="AB73" s="242">
        <v>34</v>
      </c>
      <c r="AC73" s="242">
        <v>12</v>
      </c>
      <c r="AD73" s="242">
        <v>842</v>
      </c>
      <c r="AE73" s="242">
        <v>1</v>
      </c>
      <c r="AF73" s="242"/>
      <c r="AG73" s="242" t="s">
        <v>585</v>
      </c>
      <c r="AH73" s="242">
        <v>107025</v>
      </c>
      <c r="AI73" s="242">
        <v>1</v>
      </c>
      <c r="AJ73" s="242">
        <v>1</v>
      </c>
      <c r="AK73" s="242">
        <v>32</v>
      </c>
      <c r="AL73" s="242">
        <v>1</v>
      </c>
      <c r="AM73" s="234"/>
      <c r="AN73" s="242" t="s">
        <v>587</v>
      </c>
      <c r="AO73" s="242">
        <v>5900000</v>
      </c>
      <c r="AP73" s="242">
        <v>50</v>
      </c>
      <c r="AQ73" s="242">
        <v>1</v>
      </c>
      <c r="AR73" s="242">
        <v>700</v>
      </c>
      <c r="AS73" s="242">
        <v>1</v>
      </c>
      <c r="AT73" s="234"/>
      <c r="AU73" s="242" t="s">
        <v>587</v>
      </c>
      <c r="AV73" s="242">
        <v>0</v>
      </c>
      <c r="AW73" s="242">
        <v>0</v>
      </c>
      <c r="AX73" s="242">
        <v>0</v>
      </c>
      <c r="AY73" s="242">
        <v>80</v>
      </c>
      <c r="AZ73" s="242">
        <v>1</v>
      </c>
      <c r="BA73" s="234"/>
      <c r="BB73" s="242" t="s">
        <v>592</v>
      </c>
      <c r="BC73" s="242">
        <v>35165353.32</v>
      </c>
      <c r="BD73" s="242">
        <v>66</v>
      </c>
      <c r="BE73" s="242">
        <v>14</v>
      </c>
      <c r="BF73" s="242">
        <v>971</v>
      </c>
      <c r="BG73" s="242">
        <v>1</v>
      </c>
      <c r="BH73" s="236" t="s">
        <v>592</v>
      </c>
      <c r="BI73" s="242">
        <v>526600</v>
      </c>
      <c r="BJ73" s="242">
        <v>1</v>
      </c>
      <c r="BK73" s="242">
        <v>1</v>
      </c>
      <c r="BL73" s="242">
        <v>53</v>
      </c>
      <c r="BM73" s="242">
        <v>1</v>
      </c>
      <c r="BN73" s="242"/>
      <c r="BO73" s="236"/>
      <c r="BP73" s="252" t="s">
        <v>608</v>
      </c>
      <c r="BQ73" s="252">
        <v>2187025</v>
      </c>
      <c r="BR73" s="236"/>
    </row>
    <row r="74" spans="1:70" x14ac:dyDescent="0.2">
      <c r="A74" s="83"/>
      <c r="B74" s="181" t="s">
        <v>264</v>
      </c>
      <c r="C74" s="184">
        <v>37970</v>
      </c>
      <c r="D74" s="181">
        <v>1201.19</v>
      </c>
      <c r="E74" s="212">
        <v>1</v>
      </c>
      <c r="F74" s="202"/>
      <c r="G74" s="212" t="s">
        <v>100</v>
      </c>
      <c r="H74" s="212">
        <v>365.74736243000001</v>
      </c>
      <c r="I74" s="158"/>
      <c r="J74" s="3"/>
      <c r="K74" s="217"/>
      <c r="L74" s="217"/>
      <c r="M74" s="217"/>
      <c r="O74" s="230" t="s">
        <v>100</v>
      </c>
      <c r="P74" s="230">
        <v>383.54746978999998</v>
      </c>
      <c r="Q74" s="228"/>
      <c r="R74" s="152"/>
      <c r="S74" s="236" t="s">
        <v>433</v>
      </c>
      <c r="T74" s="236">
        <v>320456549220.38538</v>
      </c>
      <c r="U74" s="236">
        <v>930845</v>
      </c>
      <c r="V74" s="236">
        <v>259675</v>
      </c>
      <c r="W74" s="236">
        <v>645478</v>
      </c>
      <c r="X74" s="236">
        <v>1</v>
      </c>
      <c r="Y74" s="234"/>
      <c r="Z74" s="242" t="s">
        <v>586</v>
      </c>
      <c r="AA74" s="242">
        <v>7843724</v>
      </c>
      <c r="AB74" s="242">
        <v>106</v>
      </c>
      <c r="AC74" s="242">
        <v>8</v>
      </c>
      <c r="AD74" s="242">
        <v>1009</v>
      </c>
      <c r="AE74" s="242">
        <v>1</v>
      </c>
      <c r="AF74" s="242"/>
      <c r="AG74" s="242" t="s">
        <v>586</v>
      </c>
      <c r="AH74" s="242">
        <v>365000</v>
      </c>
      <c r="AI74" s="242">
        <v>5</v>
      </c>
      <c r="AJ74" s="242">
        <v>1</v>
      </c>
      <c r="AK74" s="242">
        <v>46</v>
      </c>
      <c r="AL74" s="242">
        <v>1</v>
      </c>
      <c r="AM74" s="234"/>
      <c r="AN74" s="242" t="s">
        <v>588</v>
      </c>
      <c r="AO74" s="242">
        <v>0</v>
      </c>
      <c r="AP74" s="242">
        <v>0</v>
      </c>
      <c r="AQ74" s="242">
        <v>0</v>
      </c>
      <c r="AR74" s="242">
        <v>0</v>
      </c>
      <c r="AS74" s="242">
        <v>1</v>
      </c>
      <c r="AT74" s="234"/>
      <c r="AU74" s="242" t="s">
        <v>588</v>
      </c>
      <c r="AV74" s="242">
        <v>0</v>
      </c>
      <c r="AW74" s="242">
        <v>0</v>
      </c>
      <c r="AX74" s="242">
        <v>0</v>
      </c>
      <c r="AY74" s="242">
        <v>0</v>
      </c>
      <c r="AZ74" s="242">
        <v>1</v>
      </c>
      <c r="BA74" s="234"/>
      <c r="BB74" s="242" t="s">
        <v>593</v>
      </c>
      <c r="BC74" s="242">
        <v>5445200</v>
      </c>
      <c r="BD74" s="242">
        <v>25</v>
      </c>
      <c r="BE74" s="242">
        <v>9</v>
      </c>
      <c r="BF74" s="242">
        <v>1166</v>
      </c>
      <c r="BG74" s="242">
        <v>1</v>
      </c>
      <c r="BH74" s="236" t="s">
        <v>593</v>
      </c>
      <c r="BI74" s="242">
        <v>669860</v>
      </c>
      <c r="BJ74" s="242">
        <v>3</v>
      </c>
      <c r="BK74" s="242">
        <v>2</v>
      </c>
      <c r="BL74" s="242">
        <v>53</v>
      </c>
      <c r="BM74" s="242">
        <v>1</v>
      </c>
      <c r="BN74" s="242"/>
      <c r="BO74" s="236"/>
      <c r="BP74" s="252"/>
      <c r="BQ74" s="236"/>
      <c r="BR74" s="236"/>
    </row>
    <row r="75" spans="1:70" x14ac:dyDescent="0.2">
      <c r="A75" s="83"/>
      <c r="B75" s="181" t="s">
        <v>105</v>
      </c>
      <c r="C75" s="184">
        <v>39587</v>
      </c>
      <c r="D75" s="181">
        <v>146.47999999999999</v>
      </c>
      <c r="E75" s="212">
        <v>1</v>
      </c>
      <c r="F75" s="208"/>
      <c r="G75" s="212" t="s">
        <v>102</v>
      </c>
      <c r="H75" s="212">
        <v>654.15133084000001</v>
      </c>
      <c r="I75" s="158"/>
      <c r="J75" s="3"/>
      <c r="K75" s="217"/>
      <c r="L75" s="217"/>
      <c r="M75" s="217"/>
      <c r="O75" s="230" t="s">
        <v>102</v>
      </c>
      <c r="P75" s="230">
        <v>689.82168394999997</v>
      </c>
      <c r="Q75" s="228"/>
      <c r="S75" s="243" t="s">
        <v>436</v>
      </c>
      <c r="T75" s="246">
        <v>926014608.13199997</v>
      </c>
      <c r="U75" s="246">
        <v>846484</v>
      </c>
      <c r="V75" s="246">
        <v>42</v>
      </c>
      <c r="W75" s="246">
        <v>2361338</v>
      </c>
      <c r="X75" s="246">
        <v>1</v>
      </c>
      <c r="Y75" s="234"/>
      <c r="Z75" s="242" t="s">
        <v>587</v>
      </c>
      <c r="AA75" s="242">
        <v>10787335.01</v>
      </c>
      <c r="AB75" s="242">
        <v>87</v>
      </c>
      <c r="AC75" s="242">
        <v>8</v>
      </c>
      <c r="AD75" s="242">
        <v>882</v>
      </c>
      <c r="AE75" s="242">
        <v>1</v>
      </c>
      <c r="AF75" s="242"/>
      <c r="AG75" s="242" t="s">
        <v>587</v>
      </c>
      <c r="AH75" s="242">
        <v>0</v>
      </c>
      <c r="AI75" s="242">
        <v>0</v>
      </c>
      <c r="AJ75" s="242">
        <v>0</v>
      </c>
      <c r="AK75" s="242">
        <v>10</v>
      </c>
      <c r="AL75" s="242">
        <v>1</v>
      </c>
      <c r="AM75" s="234"/>
      <c r="AN75" s="242" t="s">
        <v>589</v>
      </c>
      <c r="AO75" s="242">
        <v>0</v>
      </c>
      <c r="AP75" s="242">
        <v>0</v>
      </c>
      <c r="AQ75" s="242">
        <v>0</v>
      </c>
      <c r="AR75" s="242">
        <v>0</v>
      </c>
      <c r="AS75" s="242">
        <v>1</v>
      </c>
      <c r="AT75" s="234"/>
      <c r="AU75" s="242" t="s">
        <v>589</v>
      </c>
      <c r="AV75" s="242">
        <v>0</v>
      </c>
      <c r="AW75" s="242">
        <v>0</v>
      </c>
      <c r="AX75" s="242">
        <v>0</v>
      </c>
      <c r="AY75" s="242">
        <v>0</v>
      </c>
      <c r="AZ75" s="242">
        <v>1</v>
      </c>
      <c r="BA75" s="234"/>
      <c r="BB75" s="242" t="s">
        <v>594</v>
      </c>
      <c r="BC75" s="242">
        <v>8232787.5</v>
      </c>
      <c r="BD75" s="242">
        <v>161</v>
      </c>
      <c r="BE75" s="242">
        <v>15</v>
      </c>
      <c r="BF75" s="242">
        <v>233</v>
      </c>
      <c r="BG75" s="242">
        <v>1</v>
      </c>
      <c r="BH75" s="236" t="s">
        <v>594</v>
      </c>
      <c r="BI75" s="242">
        <v>0</v>
      </c>
      <c r="BJ75" s="242">
        <v>0</v>
      </c>
      <c r="BK75" s="242">
        <v>0</v>
      </c>
      <c r="BL75" s="242">
        <v>3</v>
      </c>
      <c r="BM75" s="242">
        <v>1</v>
      </c>
      <c r="BN75" s="242"/>
      <c r="BO75" s="245" t="s">
        <v>465</v>
      </c>
      <c r="BP75" s="253" t="s">
        <v>553</v>
      </c>
      <c r="BQ75" s="253" t="s">
        <v>554</v>
      </c>
      <c r="BR75" s="253" t="s">
        <v>555</v>
      </c>
    </row>
    <row r="76" spans="1:70" x14ac:dyDescent="0.2">
      <c r="B76" s="181" t="s">
        <v>107</v>
      </c>
      <c r="C76" s="184">
        <v>39590</v>
      </c>
      <c r="D76" s="181">
        <v>12608.67</v>
      </c>
      <c r="E76" s="212">
        <v>1</v>
      </c>
      <c r="F76" s="198"/>
      <c r="G76" s="212" t="s">
        <v>293</v>
      </c>
      <c r="H76" s="212">
        <v>5332.7998197200004</v>
      </c>
      <c r="I76" s="158"/>
      <c r="J76" s="3"/>
      <c r="K76" s="217"/>
      <c r="L76" s="217"/>
      <c r="M76" s="217"/>
      <c r="O76" s="230" t="s">
        <v>293</v>
      </c>
      <c r="P76" s="230">
        <v>5314.68415155</v>
      </c>
      <c r="Q76" s="228"/>
      <c r="R76" s="152"/>
      <c r="S76" s="242" t="s">
        <v>437</v>
      </c>
      <c r="T76" s="247">
        <v>298088.28000000003</v>
      </c>
      <c r="U76" s="247">
        <v>1161704</v>
      </c>
      <c r="V76" s="247">
        <v>43</v>
      </c>
      <c r="W76" s="247">
        <v>2261088</v>
      </c>
      <c r="X76" s="247">
        <v>1</v>
      </c>
      <c r="Y76" s="234"/>
      <c r="Z76" s="242" t="s">
        <v>588</v>
      </c>
      <c r="AA76" s="242">
        <v>0</v>
      </c>
      <c r="AB76" s="242">
        <v>0</v>
      </c>
      <c r="AC76" s="242">
        <v>0</v>
      </c>
      <c r="AD76" s="242">
        <v>0</v>
      </c>
      <c r="AE76" s="242">
        <v>1</v>
      </c>
      <c r="AF76" s="242"/>
      <c r="AG76" s="242" t="s">
        <v>588</v>
      </c>
      <c r="AH76" s="242">
        <v>0</v>
      </c>
      <c r="AI76" s="242">
        <v>0</v>
      </c>
      <c r="AJ76" s="242">
        <v>0</v>
      </c>
      <c r="AK76" s="242">
        <v>0</v>
      </c>
      <c r="AL76" s="242">
        <v>1</v>
      </c>
      <c r="AM76" s="234"/>
      <c r="AN76" s="242" t="s">
        <v>590</v>
      </c>
      <c r="AO76" s="242">
        <v>11442017924.58</v>
      </c>
      <c r="AP76" s="242">
        <v>47246</v>
      </c>
      <c r="AQ76" s="242">
        <v>2887</v>
      </c>
      <c r="AR76" s="242">
        <v>274160</v>
      </c>
      <c r="AS76" s="242">
        <v>1</v>
      </c>
      <c r="AT76" s="234"/>
      <c r="AU76" s="242" t="s">
        <v>590</v>
      </c>
      <c r="AV76" s="242">
        <v>1160829321.385</v>
      </c>
      <c r="AW76" s="242">
        <v>4883</v>
      </c>
      <c r="AX76" s="242">
        <v>207</v>
      </c>
      <c r="AY76" s="242">
        <v>14946</v>
      </c>
      <c r="AZ76" s="242">
        <v>1</v>
      </c>
      <c r="BA76" s="234"/>
      <c r="BB76" s="242" t="s">
        <v>595</v>
      </c>
      <c r="BC76" s="242">
        <v>454048</v>
      </c>
      <c r="BD76" s="242">
        <v>35</v>
      </c>
      <c r="BE76" s="242">
        <v>3</v>
      </c>
      <c r="BF76" s="242">
        <v>895</v>
      </c>
      <c r="BG76" s="242">
        <v>1</v>
      </c>
      <c r="BH76" s="234" t="s">
        <v>595</v>
      </c>
      <c r="BI76" s="242">
        <v>0</v>
      </c>
      <c r="BJ76" s="242">
        <v>0</v>
      </c>
      <c r="BK76" s="242">
        <v>0</v>
      </c>
      <c r="BL76" s="242">
        <v>25</v>
      </c>
      <c r="BM76" s="242">
        <v>1</v>
      </c>
      <c r="BN76" s="242"/>
      <c r="BO76" s="236"/>
      <c r="BP76" s="252">
        <v>295561595620.72797</v>
      </c>
      <c r="BQ76" s="252">
        <v>1180608</v>
      </c>
      <c r="BR76" s="252">
        <v>162599</v>
      </c>
    </row>
    <row r="77" spans="1:70" x14ac:dyDescent="0.2">
      <c r="B77" s="181" t="s">
        <v>265</v>
      </c>
      <c r="C77" s="184">
        <v>38009</v>
      </c>
      <c r="D77" s="181">
        <v>999.63</v>
      </c>
      <c r="E77" s="212">
        <v>1</v>
      </c>
      <c r="F77" s="198"/>
      <c r="G77" s="212" t="s">
        <v>294</v>
      </c>
      <c r="H77" s="212">
        <v>208.42771791999999</v>
      </c>
      <c r="I77" s="158"/>
      <c r="J77" s="3"/>
      <c r="K77" s="217"/>
      <c r="L77" s="217"/>
      <c r="M77" s="217"/>
      <c r="O77" s="230" t="s">
        <v>294</v>
      </c>
      <c r="P77" s="230">
        <v>226.62980686</v>
      </c>
      <c r="Q77" s="228"/>
      <c r="R77" s="152"/>
      <c r="S77" s="242" t="s">
        <v>434</v>
      </c>
      <c r="T77" s="247">
        <v>5625892345.6110001</v>
      </c>
      <c r="U77" s="247">
        <v>403427</v>
      </c>
      <c r="V77" s="247">
        <v>4006</v>
      </c>
      <c r="W77" s="247">
        <v>808272</v>
      </c>
      <c r="X77" s="247">
        <v>1</v>
      </c>
      <c r="Y77" s="234"/>
      <c r="Z77" s="242" t="s">
        <v>589</v>
      </c>
      <c r="AA77" s="242">
        <v>0</v>
      </c>
      <c r="AB77" s="242">
        <v>0</v>
      </c>
      <c r="AC77" s="242">
        <v>0</v>
      </c>
      <c r="AD77" s="242">
        <v>0</v>
      </c>
      <c r="AE77" s="242">
        <v>1</v>
      </c>
      <c r="AF77" s="242"/>
      <c r="AG77" s="242" t="s">
        <v>589</v>
      </c>
      <c r="AH77" s="242">
        <v>0</v>
      </c>
      <c r="AI77" s="242">
        <v>0</v>
      </c>
      <c r="AJ77" s="242">
        <v>0</v>
      </c>
      <c r="AK77" s="242">
        <v>0</v>
      </c>
      <c r="AL77" s="242">
        <v>1</v>
      </c>
      <c r="AM77" s="234"/>
      <c r="AN77" s="242" t="s">
        <v>604</v>
      </c>
      <c r="AO77" s="242">
        <v>0</v>
      </c>
      <c r="AP77" s="242">
        <v>0</v>
      </c>
      <c r="AQ77" s="242">
        <v>0</v>
      </c>
      <c r="AR77" s="242">
        <v>0</v>
      </c>
      <c r="AS77" s="242">
        <v>1</v>
      </c>
      <c r="AT77" s="234"/>
      <c r="AU77" s="242" t="s">
        <v>604</v>
      </c>
      <c r="AV77" s="242">
        <v>0</v>
      </c>
      <c r="AW77" s="242">
        <v>0</v>
      </c>
      <c r="AX77" s="242">
        <v>0</v>
      </c>
      <c r="AY77" s="242">
        <v>0</v>
      </c>
      <c r="AZ77" s="242">
        <v>1</v>
      </c>
      <c r="BA77" s="234"/>
      <c r="BB77" s="242" t="s">
        <v>596</v>
      </c>
      <c r="BC77" s="242">
        <v>6130160684.0050001</v>
      </c>
      <c r="BD77" s="242">
        <v>26152</v>
      </c>
      <c r="BE77" s="242">
        <v>2416</v>
      </c>
      <c r="BF77" s="242">
        <v>160712</v>
      </c>
      <c r="BG77" s="242">
        <v>1</v>
      </c>
      <c r="BH77" s="234" t="s">
        <v>596</v>
      </c>
      <c r="BI77" s="242">
        <v>245788614.83500001</v>
      </c>
      <c r="BJ77" s="242">
        <v>1047</v>
      </c>
      <c r="BK77" s="242">
        <v>78</v>
      </c>
      <c r="BL77" s="242">
        <v>8231</v>
      </c>
      <c r="BM77" s="242">
        <v>1</v>
      </c>
      <c r="BN77" s="242"/>
      <c r="BO77" s="236"/>
      <c r="BP77" s="236"/>
      <c r="BQ77" s="236"/>
      <c r="BR77" s="236"/>
    </row>
    <row r="78" spans="1:70" x14ac:dyDescent="0.2">
      <c r="A78" s="144"/>
      <c r="B78" s="181" t="s">
        <v>266</v>
      </c>
      <c r="C78" s="184">
        <v>43348</v>
      </c>
      <c r="D78" s="181">
        <v>76814.837934449999</v>
      </c>
      <c r="E78" s="212">
        <v>1</v>
      </c>
      <c r="F78" s="198"/>
      <c r="G78" s="212" t="s">
        <v>295</v>
      </c>
      <c r="H78" s="212">
        <v>6491.6307514099999</v>
      </c>
      <c r="I78" s="158"/>
      <c r="J78" s="63"/>
      <c r="K78" s="217"/>
      <c r="L78" s="217"/>
      <c r="M78" s="217"/>
      <c r="O78" s="230" t="s">
        <v>295</v>
      </c>
      <c r="P78" s="230">
        <v>7057.6829251700001</v>
      </c>
      <c r="Q78" s="228"/>
      <c r="R78" s="152"/>
      <c r="S78" s="242"/>
      <c r="T78" s="247"/>
      <c r="U78" s="247"/>
      <c r="V78" s="247"/>
      <c r="W78" s="247"/>
      <c r="X78" s="247"/>
      <c r="Y78" s="234"/>
      <c r="Z78" s="242" t="s">
        <v>590</v>
      </c>
      <c r="AA78" s="242">
        <v>18143042546.099998</v>
      </c>
      <c r="AB78" s="242">
        <v>75318</v>
      </c>
      <c r="AC78" s="242">
        <v>4927</v>
      </c>
      <c r="AD78" s="242">
        <v>377498</v>
      </c>
      <c r="AE78" s="242">
        <v>1</v>
      </c>
      <c r="AF78" s="242"/>
      <c r="AG78" s="242" t="s">
        <v>590</v>
      </c>
      <c r="AH78" s="242">
        <v>855584826.36000001</v>
      </c>
      <c r="AI78" s="242">
        <v>3237</v>
      </c>
      <c r="AJ78" s="242">
        <v>260</v>
      </c>
      <c r="AK78" s="242">
        <v>19582</v>
      </c>
      <c r="AL78" s="242">
        <v>1</v>
      </c>
      <c r="AM78" s="234"/>
      <c r="AN78" s="242" t="s">
        <v>591</v>
      </c>
      <c r="AO78" s="242">
        <v>111354650.12</v>
      </c>
      <c r="AP78" s="242">
        <v>237</v>
      </c>
      <c r="AQ78" s="242">
        <v>64</v>
      </c>
      <c r="AR78" s="242">
        <v>3940</v>
      </c>
      <c r="AS78" s="242">
        <v>1</v>
      </c>
      <c r="AT78" s="234"/>
      <c r="AU78" s="242" t="s">
        <v>591</v>
      </c>
      <c r="AV78" s="242">
        <v>12369940.01</v>
      </c>
      <c r="AW78" s="242">
        <v>27</v>
      </c>
      <c r="AX78" s="242">
        <v>4</v>
      </c>
      <c r="AY78" s="242">
        <v>207</v>
      </c>
      <c r="AZ78" s="242">
        <v>1</v>
      </c>
      <c r="BA78" s="234"/>
      <c r="BB78" s="242" t="s">
        <v>597</v>
      </c>
      <c r="BC78" s="242">
        <v>16339503319.24</v>
      </c>
      <c r="BD78" s="242">
        <v>75557</v>
      </c>
      <c r="BE78" s="242">
        <v>12653</v>
      </c>
      <c r="BF78" s="242">
        <v>803432</v>
      </c>
      <c r="BG78" s="242">
        <v>1</v>
      </c>
      <c r="BH78" s="234" t="s">
        <v>597</v>
      </c>
      <c r="BI78" s="242">
        <v>963281636.29999995</v>
      </c>
      <c r="BJ78" s="242">
        <v>4475</v>
      </c>
      <c r="BK78" s="242">
        <v>711</v>
      </c>
      <c r="BL78" s="242">
        <v>35944</v>
      </c>
      <c r="BM78" s="242">
        <v>1</v>
      </c>
      <c r="BN78" s="242"/>
      <c r="BO78" s="245" t="s">
        <v>484</v>
      </c>
      <c r="BP78" s="253" t="s">
        <v>553</v>
      </c>
      <c r="BQ78" s="253" t="s">
        <v>554</v>
      </c>
      <c r="BR78" s="253" t="s">
        <v>555</v>
      </c>
    </row>
    <row r="79" spans="1:70" x14ac:dyDescent="0.2">
      <c r="A79" s="144"/>
      <c r="B79" s="181" t="s">
        <v>267</v>
      </c>
      <c r="C79" s="184">
        <v>39604</v>
      </c>
      <c r="D79" s="181">
        <v>61121.71</v>
      </c>
      <c r="E79" s="212">
        <v>1</v>
      </c>
      <c r="F79" s="198"/>
      <c r="G79" s="212" t="s">
        <v>296</v>
      </c>
      <c r="H79" s="212">
        <v>9.1961386300000001</v>
      </c>
      <c r="I79" s="158"/>
      <c r="J79" s="63"/>
      <c r="K79" s="217"/>
      <c r="L79" s="217"/>
      <c r="M79" s="217"/>
      <c r="O79" s="230" t="s">
        <v>296</v>
      </c>
      <c r="P79" s="230">
        <v>14.068719550000001</v>
      </c>
      <c r="Q79" s="228"/>
      <c r="R79" s="152"/>
      <c r="S79" s="242"/>
      <c r="T79" s="247"/>
      <c r="U79" s="247"/>
      <c r="V79" s="247"/>
      <c r="W79" s="247"/>
      <c r="X79" s="247"/>
      <c r="Y79" s="234"/>
      <c r="Z79" s="242" t="s">
        <v>604</v>
      </c>
      <c r="AA79" s="242">
        <v>0</v>
      </c>
      <c r="AB79" s="242">
        <v>0</v>
      </c>
      <c r="AC79" s="242">
        <v>0</v>
      </c>
      <c r="AD79" s="242">
        <v>0</v>
      </c>
      <c r="AE79" s="242">
        <v>1</v>
      </c>
      <c r="AF79" s="242"/>
      <c r="AG79" s="242" t="s">
        <v>604</v>
      </c>
      <c r="AH79" s="242">
        <v>0</v>
      </c>
      <c r="AI79" s="242">
        <v>0</v>
      </c>
      <c r="AJ79" s="242">
        <v>0</v>
      </c>
      <c r="AK79" s="242">
        <v>0</v>
      </c>
      <c r="AL79" s="242">
        <v>1</v>
      </c>
      <c r="AM79" s="234"/>
      <c r="AN79" s="242" t="s">
        <v>592</v>
      </c>
      <c r="AO79" s="242">
        <v>226606459.88</v>
      </c>
      <c r="AP79" s="242">
        <v>467</v>
      </c>
      <c r="AQ79" s="242">
        <v>12</v>
      </c>
      <c r="AR79" s="242">
        <v>3143</v>
      </c>
      <c r="AS79" s="242">
        <v>1</v>
      </c>
      <c r="AT79" s="234"/>
      <c r="AU79" s="242" t="s">
        <v>592</v>
      </c>
      <c r="AV79" s="242">
        <v>0</v>
      </c>
      <c r="AW79" s="242">
        <v>0</v>
      </c>
      <c r="AX79" s="242">
        <v>0</v>
      </c>
      <c r="AY79" s="242">
        <v>0</v>
      </c>
      <c r="AZ79" s="242">
        <v>1</v>
      </c>
      <c r="BA79" s="234"/>
      <c r="BB79" s="242" t="s">
        <v>599</v>
      </c>
      <c r="BC79" s="242">
        <v>13180436418.959999</v>
      </c>
      <c r="BD79" s="242">
        <v>58374</v>
      </c>
      <c r="BE79" s="242">
        <v>7453</v>
      </c>
      <c r="BF79" s="242">
        <v>531151</v>
      </c>
      <c r="BG79" s="242">
        <v>1</v>
      </c>
      <c r="BH79" s="234" t="s">
        <v>599</v>
      </c>
      <c r="BI79" s="242">
        <v>405225462.85000002</v>
      </c>
      <c r="BJ79" s="242">
        <v>1806</v>
      </c>
      <c r="BK79" s="242">
        <v>336</v>
      </c>
      <c r="BL79" s="242">
        <v>25201</v>
      </c>
      <c r="BM79" s="242">
        <v>1</v>
      </c>
      <c r="BN79" s="242"/>
      <c r="BO79" s="240"/>
      <c r="BP79" s="252">
        <v>3146676607.8299899</v>
      </c>
      <c r="BQ79" s="252">
        <v>164169</v>
      </c>
      <c r="BR79" s="252">
        <v>15757</v>
      </c>
    </row>
    <row r="80" spans="1:70" x14ac:dyDescent="0.2">
      <c r="A80" s="144"/>
      <c r="B80" s="181" t="s">
        <v>268</v>
      </c>
      <c r="C80" s="184">
        <v>39590</v>
      </c>
      <c r="D80" s="181">
        <v>50553.22</v>
      </c>
      <c r="E80" s="212">
        <v>1</v>
      </c>
      <c r="F80" s="198"/>
      <c r="G80" s="212" t="s">
        <v>298</v>
      </c>
      <c r="H80" s="212">
        <v>1062.8836784600001</v>
      </c>
      <c r="I80" s="158"/>
      <c r="J80" s="3"/>
      <c r="K80" s="217"/>
      <c r="L80" s="217"/>
      <c r="M80" s="217"/>
      <c r="O80" s="230" t="s">
        <v>298</v>
      </c>
      <c r="P80" s="230">
        <v>1046.90346905</v>
      </c>
      <c r="Q80" s="228"/>
      <c r="R80" s="148" t="s">
        <v>444</v>
      </c>
      <c r="S80" s="242" t="s">
        <v>552</v>
      </c>
      <c r="T80" s="247" t="s">
        <v>553</v>
      </c>
      <c r="U80" s="247" t="s">
        <v>554</v>
      </c>
      <c r="V80" s="247" t="s">
        <v>555</v>
      </c>
      <c r="W80" s="247" t="s">
        <v>556</v>
      </c>
      <c r="X80" s="247" t="s">
        <v>557</v>
      </c>
      <c r="Y80" s="234"/>
      <c r="Z80" s="234" t="s">
        <v>591</v>
      </c>
      <c r="AA80" s="234">
        <v>502823768.48000002</v>
      </c>
      <c r="AB80" s="234">
        <v>1095</v>
      </c>
      <c r="AC80" s="234">
        <v>125</v>
      </c>
      <c r="AD80" s="234">
        <v>5726</v>
      </c>
      <c r="AE80" s="234">
        <v>1</v>
      </c>
      <c r="AF80" s="234"/>
      <c r="AG80" s="234" t="s">
        <v>591</v>
      </c>
      <c r="AH80" s="234">
        <v>23493756.039999999</v>
      </c>
      <c r="AI80" s="234">
        <v>46</v>
      </c>
      <c r="AJ80" s="234">
        <v>7</v>
      </c>
      <c r="AK80" s="234">
        <v>458</v>
      </c>
      <c r="AL80" s="234">
        <v>1</v>
      </c>
      <c r="AM80" s="234"/>
      <c r="AN80" s="234" t="s">
        <v>593</v>
      </c>
      <c r="AO80" s="234">
        <v>0</v>
      </c>
      <c r="AP80" s="234">
        <v>0</v>
      </c>
      <c r="AQ80" s="234">
        <v>0</v>
      </c>
      <c r="AR80" s="234">
        <v>0</v>
      </c>
      <c r="AS80" s="234">
        <v>1</v>
      </c>
      <c r="AT80" s="234"/>
      <c r="AU80" s="234" t="s">
        <v>593</v>
      </c>
      <c r="AV80" s="234">
        <v>0</v>
      </c>
      <c r="AW80" s="234">
        <v>0</v>
      </c>
      <c r="AX80" s="234">
        <v>0</v>
      </c>
      <c r="AY80" s="234">
        <v>0</v>
      </c>
      <c r="AZ80" s="234">
        <v>1</v>
      </c>
      <c r="BA80" s="234"/>
      <c r="BB80" s="234"/>
      <c r="BC80" s="234"/>
      <c r="BD80" s="234"/>
      <c r="BE80" s="234"/>
      <c r="BF80" s="234"/>
      <c r="BG80" s="234"/>
      <c r="BH80" s="234"/>
      <c r="BI80" s="234"/>
      <c r="BJ80" s="234"/>
      <c r="BK80" s="234"/>
      <c r="BL80" s="234"/>
      <c r="BM80" s="234"/>
      <c r="BN80" s="234"/>
      <c r="BO80" s="236"/>
      <c r="BP80" s="236"/>
      <c r="BQ80" s="236"/>
      <c r="BR80" s="236"/>
    </row>
    <row r="81" spans="1:70" x14ac:dyDescent="0.2">
      <c r="A81" s="144"/>
      <c r="B81" s="181" t="s">
        <v>55</v>
      </c>
      <c r="C81" s="184">
        <v>43060</v>
      </c>
      <c r="D81" s="181">
        <v>55065.365928040002</v>
      </c>
      <c r="E81" s="212">
        <v>1</v>
      </c>
      <c r="F81" s="198"/>
      <c r="G81" s="212" t="s">
        <v>299</v>
      </c>
      <c r="H81" s="212">
        <v>6478.8250844100003</v>
      </c>
      <c r="I81" s="158"/>
      <c r="J81" s="3"/>
      <c r="K81" s="217"/>
      <c r="L81" s="217"/>
      <c r="M81" s="217"/>
      <c r="O81" s="230" t="s">
        <v>299</v>
      </c>
      <c r="P81" s="230">
        <v>7120.1651321199997</v>
      </c>
      <c r="Q81" s="228"/>
      <c r="R81" s="152"/>
      <c r="S81" s="242" t="s">
        <v>558</v>
      </c>
      <c r="T81" s="247">
        <v>0</v>
      </c>
      <c r="U81" s="247">
        <v>0</v>
      </c>
      <c r="V81" s="247">
        <v>0</v>
      </c>
      <c r="W81" s="247">
        <v>0</v>
      </c>
      <c r="X81" s="247">
        <v>0</v>
      </c>
      <c r="Y81" s="234"/>
      <c r="Z81" s="234" t="s">
        <v>592</v>
      </c>
      <c r="AA81" s="234">
        <v>973324301.19000006</v>
      </c>
      <c r="AB81" s="234">
        <v>2003</v>
      </c>
      <c r="AC81" s="234">
        <v>29</v>
      </c>
      <c r="AD81" s="234">
        <v>7533</v>
      </c>
      <c r="AE81" s="234">
        <v>1</v>
      </c>
      <c r="AF81" s="234"/>
      <c r="AG81" s="234" t="s">
        <v>592</v>
      </c>
      <c r="AH81" s="234">
        <v>185659736.91999999</v>
      </c>
      <c r="AI81" s="234">
        <v>344</v>
      </c>
      <c r="AJ81" s="234">
        <v>6</v>
      </c>
      <c r="AK81" s="234">
        <v>563</v>
      </c>
      <c r="AL81" s="234">
        <v>1</v>
      </c>
      <c r="AM81" s="234"/>
      <c r="AN81" s="234" t="s">
        <v>594</v>
      </c>
      <c r="AO81" s="234">
        <v>440850</v>
      </c>
      <c r="AP81" s="234">
        <v>10</v>
      </c>
      <c r="AQ81" s="234">
        <v>3</v>
      </c>
      <c r="AR81" s="234">
        <v>8110</v>
      </c>
      <c r="AS81" s="234">
        <v>1</v>
      </c>
      <c r="AT81" s="234"/>
      <c r="AU81" s="234" t="s">
        <v>594</v>
      </c>
      <c r="AV81" s="234">
        <v>217500</v>
      </c>
      <c r="AW81" s="234">
        <v>5</v>
      </c>
      <c r="AX81" s="234">
        <v>1</v>
      </c>
      <c r="AY81" s="234">
        <v>407</v>
      </c>
      <c r="AZ81" s="234">
        <v>1</v>
      </c>
      <c r="BA81" s="234"/>
      <c r="BB81" s="234"/>
      <c r="BC81" s="234"/>
      <c r="BD81" s="234"/>
      <c r="BE81" s="234"/>
      <c r="BF81" s="234"/>
      <c r="BG81" s="234"/>
      <c r="BH81" s="234"/>
      <c r="BI81" s="234"/>
      <c r="BJ81" s="234"/>
      <c r="BK81" s="234"/>
      <c r="BL81" s="234"/>
      <c r="BM81" s="234"/>
      <c r="BN81" s="234"/>
      <c r="BO81" s="245" t="s">
        <v>466</v>
      </c>
      <c r="BP81" s="253" t="s">
        <v>553</v>
      </c>
      <c r="BQ81" s="253" t="s">
        <v>554</v>
      </c>
      <c r="BR81" s="253" t="s">
        <v>555</v>
      </c>
    </row>
    <row r="82" spans="1:70" x14ac:dyDescent="0.2">
      <c r="A82" s="144"/>
      <c r="B82" s="181" t="s">
        <v>44</v>
      </c>
      <c r="C82" s="184">
        <v>42594</v>
      </c>
      <c r="D82" s="181">
        <v>82603.124167989998</v>
      </c>
      <c r="E82" s="212">
        <v>1</v>
      </c>
      <c r="F82" s="198"/>
      <c r="G82" s="212" t="s">
        <v>300</v>
      </c>
      <c r="H82" s="212">
        <v>1305.08869061</v>
      </c>
      <c r="I82" s="158"/>
      <c r="J82" s="152"/>
      <c r="K82" s="217"/>
      <c r="L82" s="217"/>
      <c r="M82" s="217"/>
      <c r="O82" s="230" t="s">
        <v>300</v>
      </c>
      <c r="P82" s="230">
        <v>1327.4132300900001</v>
      </c>
      <c r="Q82" s="228"/>
      <c r="R82" s="152"/>
      <c r="S82" s="242" t="s">
        <v>438</v>
      </c>
      <c r="T82" s="247">
        <v>1311850</v>
      </c>
      <c r="U82" s="247">
        <v>250</v>
      </c>
      <c r="V82" s="247">
        <v>1</v>
      </c>
      <c r="W82" s="247">
        <v>100001</v>
      </c>
      <c r="X82" s="247">
        <v>0</v>
      </c>
      <c r="Y82" s="234"/>
      <c r="Z82" s="234" t="s">
        <v>593</v>
      </c>
      <c r="AA82" s="234">
        <v>12214824.975</v>
      </c>
      <c r="AB82" s="234">
        <v>54</v>
      </c>
      <c r="AC82" s="234">
        <v>2</v>
      </c>
      <c r="AD82" s="234">
        <v>54</v>
      </c>
      <c r="AE82" s="234">
        <v>1</v>
      </c>
      <c r="AF82" s="234"/>
      <c r="AG82" s="234" t="s">
        <v>593</v>
      </c>
      <c r="AH82" s="234">
        <v>0</v>
      </c>
      <c r="AI82" s="234">
        <v>0</v>
      </c>
      <c r="AJ82" s="234">
        <v>0</v>
      </c>
      <c r="AK82" s="234">
        <v>27</v>
      </c>
      <c r="AL82" s="234">
        <v>1</v>
      </c>
      <c r="AM82" s="234"/>
      <c r="AN82" s="234" t="s">
        <v>595</v>
      </c>
      <c r="AO82" s="234">
        <v>1110480</v>
      </c>
      <c r="AP82" s="234">
        <v>75</v>
      </c>
      <c r="AQ82" s="234">
        <v>4</v>
      </c>
      <c r="AR82" s="234">
        <v>625</v>
      </c>
      <c r="AS82" s="234">
        <v>1</v>
      </c>
      <c r="AT82" s="234"/>
      <c r="AU82" s="234" t="s">
        <v>595</v>
      </c>
      <c r="AV82" s="234">
        <v>0</v>
      </c>
      <c r="AW82" s="234">
        <v>0</v>
      </c>
      <c r="AX82" s="234">
        <v>0</v>
      </c>
      <c r="AY82" s="234">
        <v>95</v>
      </c>
      <c r="AZ82" s="234">
        <v>1</v>
      </c>
      <c r="BA82" s="234"/>
      <c r="BB82" s="234"/>
      <c r="BC82" s="234"/>
      <c r="BD82" s="234"/>
      <c r="BE82" s="234"/>
      <c r="BF82" s="234"/>
      <c r="BG82" s="234"/>
      <c r="BH82" s="234"/>
      <c r="BI82" s="234"/>
      <c r="BJ82" s="234"/>
      <c r="BK82" s="234"/>
      <c r="BL82" s="234"/>
      <c r="BM82" s="234"/>
      <c r="BN82" s="234"/>
      <c r="BO82" s="236"/>
      <c r="BP82" s="252">
        <v>240477850610.60995</v>
      </c>
      <c r="BQ82" s="252">
        <v>1167667</v>
      </c>
      <c r="BR82" s="252">
        <v>156155</v>
      </c>
    </row>
    <row r="83" spans="1:70" x14ac:dyDescent="0.2">
      <c r="A83" s="14"/>
      <c r="B83" s="181" t="s">
        <v>46</v>
      </c>
      <c r="C83" s="184">
        <v>42814</v>
      </c>
      <c r="D83" s="181">
        <v>65469.71245626</v>
      </c>
      <c r="E83" s="212">
        <v>1</v>
      </c>
      <c r="F83" s="201"/>
      <c r="G83" s="212" t="s">
        <v>59</v>
      </c>
      <c r="H83" s="212">
        <v>10652.72663393</v>
      </c>
      <c r="I83" s="158"/>
      <c r="J83" s="152"/>
      <c r="K83" s="217"/>
      <c r="L83" s="217"/>
      <c r="M83" s="217"/>
      <c r="O83" s="230" t="s">
        <v>59</v>
      </c>
      <c r="P83" s="230">
        <v>11377.121684629999</v>
      </c>
      <c r="Q83" s="228"/>
      <c r="R83" s="152"/>
      <c r="S83" s="242" t="s">
        <v>435</v>
      </c>
      <c r="T83" s="247">
        <v>0</v>
      </c>
      <c r="U83" s="247">
        <v>0</v>
      </c>
      <c r="V83" s="247">
        <v>0</v>
      </c>
      <c r="W83" s="247">
        <v>0</v>
      </c>
      <c r="X83" s="247">
        <v>0</v>
      </c>
      <c r="Y83" s="234"/>
      <c r="Z83" s="234" t="s">
        <v>594</v>
      </c>
      <c r="AA83" s="234">
        <v>88770968</v>
      </c>
      <c r="AB83" s="234">
        <v>2091</v>
      </c>
      <c r="AC83" s="234">
        <v>127</v>
      </c>
      <c r="AD83" s="234">
        <v>8683</v>
      </c>
      <c r="AE83" s="234">
        <v>1</v>
      </c>
      <c r="AF83" s="234"/>
      <c r="AG83" s="234" t="s">
        <v>594</v>
      </c>
      <c r="AH83" s="234">
        <v>2246505</v>
      </c>
      <c r="AI83" s="234">
        <v>50</v>
      </c>
      <c r="AJ83" s="234">
        <v>2</v>
      </c>
      <c r="AK83" s="234">
        <v>86</v>
      </c>
      <c r="AL83" s="234">
        <v>1</v>
      </c>
      <c r="AM83" s="234"/>
      <c r="AN83" s="234" t="s">
        <v>596</v>
      </c>
      <c r="AO83" s="234">
        <v>2812798913.4850001</v>
      </c>
      <c r="AP83" s="234">
        <v>11021</v>
      </c>
      <c r="AQ83" s="234">
        <v>2823</v>
      </c>
      <c r="AR83" s="234">
        <v>60237</v>
      </c>
      <c r="AS83" s="234">
        <v>1</v>
      </c>
      <c r="AT83" s="234"/>
      <c r="AU83" s="234" t="s">
        <v>596</v>
      </c>
      <c r="AV83" s="234">
        <v>143770103.83500001</v>
      </c>
      <c r="AW83" s="234">
        <v>567</v>
      </c>
      <c r="AX83" s="234">
        <v>100</v>
      </c>
      <c r="AY83" s="234">
        <v>3303</v>
      </c>
      <c r="AZ83" s="234">
        <v>1</v>
      </c>
      <c r="BA83" s="234"/>
      <c r="BB83" s="234"/>
      <c r="BC83" s="234"/>
      <c r="BD83" s="234"/>
      <c r="BE83" s="234"/>
      <c r="BF83" s="234"/>
      <c r="BG83" s="234"/>
      <c r="BH83" s="234"/>
      <c r="BI83" s="234"/>
      <c r="BJ83" s="234"/>
      <c r="BK83" s="234"/>
      <c r="BL83" s="234"/>
      <c r="BM83" s="234"/>
      <c r="BN83" s="234"/>
      <c r="BO83" s="236"/>
      <c r="BP83" s="236"/>
      <c r="BQ83" s="236"/>
      <c r="BR83" s="236"/>
    </row>
    <row r="84" spans="1:70" x14ac:dyDescent="0.2">
      <c r="A84" s="144"/>
      <c r="B84" s="181" t="s">
        <v>42</v>
      </c>
      <c r="C84" s="184">
        <v>43125</v>
      </c>
      <c r="D84" s="181">
        <v>61684.771932919997</v>
      </c>
      <c r="E84" s="212">
        <v>1</v>
      </c>
      <c r="F84" s="202"/>
      <c r="G84" s="212" t="s">
        <v>52</v>
      </c>
      <c r="H84" s="212">
        <v>11863.692693139999</v>
      </c>
      <c r="I84" s="158"/>
      <c r="J84" s="152"/>
      <c r="K84" s="217"/>
      <c r="L84" s="217"/>
      <c r="M84" s="217"/>
      <c r="O84" s="230" t="s">
        <v>52</v>
      </c>
      <c r="P84" s="230">
        <v>12585.66219202</v>
      </c>
      <c r="Q84" s="228"/>
      <c r="R84" s="152"/>
      <c r="S84" s="242" t="s">
        <v>433</v>
      </c>
      <c r="T84" s="247">
        <v>172015291.06</v>
      </c>
      <c r="U84" s="247">
        <v>23338</v>
      </c>
      <c r="V84" s="247">
        <v>31</v>
      </c>
      <c r="W84" s="247">
        <v>990353</v>
      </c>
      <c r="X84" s="247">
        <v>0</v>
      </c>
      <c r="Y84" s="234"/>
      <c r="Z84" s="234" t="s">
        <v>595</v>
      </c>
      <c r="AA84" s="234">
        <v>265216</v>
      </c>
      <c r="AB84" s="234">
        <v>20</v>
      </c>
      <c r="AC84" s="234">
        <v>1</v>
      </c>
      <c r="AD84" s="234">
        <v>1715</v>
      </c>
      <c r="AE84" s="234">
        <v>1</v>
      </c>
      <c r="AF84" s="234"/>
      <c r="AG84" s="234" t="s">
        <v>595</v>
      </c>
      <c r="AH84" s="234">
        <v>0</v>
      </c>
      <c r="AI84" s="234">
        <v>0</v>
      </c>
      <c r="AJ84" s="234">
        <v>0</v>
      </c>
      <c r="AK84" s="234">
        <v>75</v>
      </c>
      <c r="AL84" s="234">
        <v>1</v>
      </c>
      <c r="AM84" s="234"/>
      <c r="AN84" s="234" t="s">
        <v>597</v>
      </c>
      <c r="AO84" s="234">
        <v>17276618607.27</v>
      </c>
      <c r="AP84" s="234">
        <v>63244</v>
      </c>
      <c r="AQ84" s="234">
        <v>10456</v>
      </c>
      <c r="AR84" s="234">
        <v>432740</v>
      </c>
      <c r="AS84" s="234">
        <v>1</v>
      </c>
      <c r="AT84" s="234"/>
      <c r="AU84" s="234" t="s">
        <v>597</v>
      </c>
      <c r="AV84" s="234">
        <v>949753783.13999999</v>
      </c>
      <c r="AW84" s="234">
        <v>3601</v>
      </c>
      <c r="AX84" s="234">
        <v>431</v>
      </c>
      <c r="AY84" s="234">
        <v>21940</v>
      </c>
      <c r="AZ84" s="234">
        <v>1</v>
      </c>
      <c r="BA84" s="234"/>
      <c r="BB84" s="234"/>
      <c r="BC84" s="234"/>
      <c r="BD84" s="234"/>
      <c r="BE84" s="234"/>
      <c r="BF84" s="234"/>
      <c r="BG84" s="234"/>
      <c r="BH84" s="234"/>
      <c r="BI84" s="234"/>
      <c r="BJ84" s="234"/>
      <c r="BK84" s="234"/>
      <c r="BL84" s="234"/>
      <c r="BM84" s="234"/>
      <c r="BN84" s="234"/>
      <c r="BO84" s="245" t="s">
        <v>467</v>
      </c>
      <c r="BP84" s="253" t="s">
        <v>553</v>
      </c>
      <c r="BQ84" s="253" t="s">
        <v>554</v>
      </c>
      <c r="BR84" s="253" t="s">
        <v>555</v>
      </c>
    </row>
    <row r="85" spans="1:70" x14ac:dyDescent="0.2">
      <c r="A85" s="144"/>
      <c r="B85" s="181" t="s">
        <v>544</v>
      </c>
      <c r="C85" s="184">
        <v>42115</v>
      </c>
      <c r="D85" s="181">
        <v>1374.4866460000001</v>
      </c>
      <c r="E85" s="212">
        <v>1</v>
      </c>
      <c r="F85" s="202"/>
      <c r="G85" s="212" t="s">
        <v>538</v>
      </c>
      <c r="H85" s="212">
        <v>16285.556662430001</v>
      </c>
      <c r="I85" s="158"/>
      <c r="J85" s="152"/>
      <c r="K85" s="217"/>
      <c r="L85" s="217"/>
      <c r="M85" s="217"/>
      <c r="O85" s="230" t="s">
        <v>538</v>
      </c>
      <c r="P85" s="230">
        <v>17178.822658419998</v>
      </c>
      <c r="Q85" s="228"/>
      <c r="R85" s="152"/>
      <c r="S85" s="242" t="s">
        <v>436</v>
      </c>
      <c r="T85" s="247">
        <v>0</v>
      </c>
      <c r="U85" s="247">
        <v>0</v>
      </c>
      <c r="V85" s="247">
        <v>0</v>
      </c>
      <c r="W85" s="247">
        <v>0</v>
      </c>
      <c r="X85" s="247">
        <v>0</v>
      </c>
      <c r="Y85" s="234"/>
      <c r="Z85" s="234" t="s">
        <v>596</v>
      </c>
      <c r="AA85" s="234">
        <v>3755996616.9000001</v>
      </c>
      <c r="AB85" s="234">
        <v>14828</v>
      </c>
      <c r="AC85" s="234">
        <v>2472</v>
      </c>
      <c r="AD85" s="234">
        <v>85084</v>
      </c>
      <c r="AE85" s="234">
        <v>1</v>
      </c>
      <c r="AF85" s="234"/>
      <c r="AG85" s="234" t="s">
        <v>596</v>
      </c>
      <c r="AH85" s="234">
        <v>515362708.065</v>
      </c>
      <c r="AI85" s="234">
        <v>1979</v>
      </c>
      <c r="AJ85" s="234">
        <v>258</v>
      </c>
      <c r="AK85" s="234">
        <v>4406</v>
      </c>
      <c r="AL85" s="234">
        <v>1</v>
      </c>
      <c r="AM85" s="234"/>
      <c r="AN85" s="234" t="s">
        <v>599</v>
      </c>
      <c r="AO85" s="234">
        <v>11164666797.68</v>
      </c>
      <c r="AP85" s="234">
        <v>42735</v>
      </c>
      <c r="AQ85" s="234">
        <v>8340</v>
      </c>
      <c r="AR85" s="234">
        <v>415968</v>
      </c>
      <c r="AS85" s="234">
        <v>1</v>
      </c>
      <c r="AT85" s="234"/>
      <c r="AU85" s="234" t="s">
        <v>599</v>
      </c>
      <c r="AV85" s="234">
        <v>687700279.27999997</v>
      </c>
      <c r="AW85" s="234">
        <v>2677</v>
      </c>
      <c r="AX85" s="234">
        <v>458</v>
      </c>
      <c r="AY85" s="234">
        <v>19873</v>
      </c>
      <c r="AZ85" s="234">
        <v>1</v>
      </c>
      <c r="BA85" s="234"/>
      <c r="BB85" s="234"/>
      <c r="BC85" s="234"/>
      <c r="BD85" s="234"/>
      <c r="BE85" s="234"/>
      <c r="BF85" s="234"/>
      <c r="BG85" s="234"/>
      <c r="BH85" s="234"/>
      <c r="BI85" s="234"/>
      <c r="BJ85" s="234"/>
      <c r="BK85" s="234"/>
      <c r="BL85" s="234"/>
      <c r="BM85" s="234"/>
      <c r="BN85" s="234"/>
      <c r="BO85" s="236"/>
      <c r="BP85" s="252">
        <v>857963561.61998999</v>
      </c>
      <c r="BQ85" s="252">
        <v>120016</v>
      </c>
      <c r="BR85" s="252">
        <v>12292</v>
      </c>
    </row>
    <row r="86" spans="1:70" x14ac:dyDescent="0.2">
      <c r="A86" s="144"/>
      <c r="B86" s="181" t="s">
        <v>545</v>
      </c>
      <c r="C86" s="184">
        <v>42118</v>
      </c>
      <c r="D86" s="181">
        <v>1225.1600000000001</v>
      </c>
      <c r="E86" s="212">
        <v>1</v>
      </c>
      <c r="F86" s="202"/>
      <c r="G86" s="212" t="s">
        <v>539</v>
      </c>
      <c r="H86" s="212">
        <v>17236.558773469998</v>
      </c>
      <c r="I86" s="158"/>
      <c r="J86" s="152"/>
      <c r="K86" s="217"/>
      <c r="L86" s="217"/>
      <c r="M86" s="217"/>
      <c r="O86" s="230" t="s">
        <v>539</v>
      </c>
      <c r="P86" s="230">
        <v>18117.038808739999</v>
      </c>
      <c r="Q86" s="228"/>
      <c r="R86" s="152"/>
      <c r="S86" s="242" t="s">
        <v>434</v>
      </c>
      <c r="T86" s="247">
        <v>1798654.06</v>
      </c>
      <c r="U86" s="247">
        <v>4453</v>
      </c>
      <c r="V86" s="247">
        <v>3</v>
      </c>
      <c r="W86" s="247">
        <v>1419384</v>
      </c>
      <c r="X86" s="247">
        <v>0</v>
      </c>
      <c r="Y86" s="234"/>
      <c r="Z86" s="234" t="s">
        <v>597</v>
      </c>
      <c r="AA86" s="234">
        <v>18702777815.039989</v>
      </c>
      <c r="AB86" s="234">
        <v>68662</v>
      </c>
      <c r="AC86" s="234">
        <v>13072</v>
      </c>
      <c r="AD86" s="234">
        <v>502625</v>
      </c>
      <c r="AE86" s="234">
        <v>1</v>
      </c>
      <c r="AF86" s="234"/>
      <c r="AG86" s="234" t="s">
        <v>597</v>
      </c>
      <c r="AH86" s="234">
        <v>1169552620.26</v>
      </c>
      <c r="AI86" s="234">
        <v>3931</v>
      </c>
      <c r="AJ86" s="234">
        <v>1099</v>
      </c>
      <c r="AK86" s="234">
        <v>25060</v>
      </c>
      <c r="AL86" s="234">
        <v>1</v>
      </c>
      <c r="AM86" s="234"/>
      <c r="AN86" s="234"/>
      <c r="AO86" s="234"/>
      <c r="AP86" s="234"/>
      <c r="AQ86" s="234"/>
      <c r="AR86" s="234"/>
      <c r="AS86" s="234"/>
      <c r="AT86" s="234"/>
      <c r="AU86" s="234"/>
      <c r="AV86" s="234"/>
      <c r="AW86" s="234"/>
      <c r="AX86" s="234"/>
      <c r="AY86" s="234"/>
      <c r="AZ86" s="234"/>
      <c r="BA86" s="234"/>
      <c r="BB86" s="234"/>
      <c r="BC86" s="234"/>
      <c r="BD86" s="234"/>
      <c r="BE86" s="234"/>
      <c r="BF86" s="234"/>
      <c r="BG86" s="234"/>
      <c r="BH86" s="234"/>
      <c r="BI86" s="234"/>
      <c r="BJ86" s="234"/>
      <c r="BK86" s="234"/>
      <c r="BL86" s="234"/>
      <c r="BM86" s="234"/>
      <c r="BN86" s="234"/>
      <c r="BO86" s="234"/>
      <c r="BP86" s="234"/>
      <c r="BQ86" s="234"/>
      <c r="BR86" s="234"/>
    </row>
    <row r="87" spans="1:70" x14ac:dyDescent="0.2">
      <c r="A87" s="146"/>
      <c r="B87" s="181" t="s">
        <v>546</v>
      </c>
      <c r="C87" s="184">
        <v>42143</v>
      </c>
      <c r="D87" s="181">
        <v>1310.1099999999999</v>
      </c>
      <c r="E87" s="212">
        <v>1</v>
      </c>
      <c r="F87" s="202"/>
      <c r="G87" s="212" t="s">
        <v>301</v>
      </c>
      <c r="H87" s="212">
        <v>5379.4050144100001</v>
      </c>
      <c r="I87" s="158"/>
      <c r="J87" s="152"/>
      <c r="K87" s="217"/>
      <c r="L87" s="217"/>
      <c r="M87" s="217"/>
      <c r="O87" s="230" t="s">
        <v>301</v>
      </c>
      <c r="P87" s="230">
        <v>6369.5128049799996</v>
      </c>
      <c r="Q87" s="228"/>
      <c r="R87" s="152"/>
      <c r="S87" s="242" t="s">
        <v>558</v>
      </c>
      <c r="T87" s="247">
        <v>0</v>
      </c>
      <c r="U87" s="247">
        <v>0</v>
      </c>
      <c r="V87" s="247">
        <v>0</v>
      </c>
      <c r="W87" s="247">
        <v>0</v>
      </c>
      <c r="X87" s="247">
        <v>1</v>
      </c>
      <c r="Y87" s="234"/>
      <c r="Z87" s="234" t="s">
        <v>598</v>
      </c>
      <c r="AA87" s="234">
        <v>3684000</v>
      </c>
      <c r="AB87" s="234">
        <v>15</v>
      </c>
      <c r="AC87" s="234">
        <v>1</v>
      </c>
      <c r="AD87" s="234">
        <v>120</v>
      </c>
      <c r="AE87" s="234">
        <v>1</v>
      </c>
      <c r="AF87" s="234"/>
      <c r="AG87" s="234" t="s">
        <v>598</v>
      </c>
      <c r="AH87" s="234">
        <v>0</v>
      </c>
      <c r="AI87" s="234">
        <v>0</v>
      </c>
      <c r="AJ87" s="234">
        <v>0</v>
      </c>
      <c r="AK87" s="234">
        <v>15</v>
      </c>
      <c r="AL87" s="234">
        <v>1</v>
      </c>
      <c r="AM87" s="234"/>
      <c r="AN87" s="234"/>
      <c r="AO87" s="234"/>
      <c r="AP87" s="234"/>
      <c r="AQ87" s="234"/>
      <c r="AR87" s="234"/>
      <c r="AS87" s="234"/>
      <c r="AT87" s="234"/>
      <c r="AU87" s="234"/>
      <c r="AV87" s="234"/>
      <c r="AW87" s="234"/>
      <c r="AX87" s="234"/>
      <c r="AY87" s="234"/>
      <c r="AZ87" s="234"/>
      <c r="BA87" s="234"/>
      <c r="BB87" s="234"/>
      <c r="BC87" s="234"/>
      <c r="BD87" s="234"/>
      <c r="BE87" s="234"/>
      <c r="BF87" s="234"/>
      <c r="BG87" s="234"/>
      <c r="BH87" s="234"/>
      <c r="BI87" s="234"/>
      <c r="BJ87" s="234"/>
      <c r="BK87" s="234"/>
      <c r="BL87" s="234"/>
      <c r="BM87" s="234"/>
      <c r="BN87" s="234"/>
      <c r="BO87" s="245" t="s">
        <v>482</v>
      </c>
      <c r="BP87" s="253" t="s">
        <v>556</v>
      </c>
      <c r="BQ87" s="234"/>
      <c r="BR87" s="234"/>
    </row>
    <row r="88" spans="1:70" x14ac:dyDescent="0.2">
      <c r="A88" s="146"/>
      <c r="B88" s="181" t="s">
        <v>547</v>
      </c>
      <c r="C88" s="184">
        <v>42312</v>
      </c>
      <c r="D88" s="181">
        <v>1315.4607390000001</v>
      </c>
      <c r="E88" s="212">
        <v>1</v>
      </c>
      <c r="F88" s="198"/>
      <c r="G88" s="212" t="s">
        <v>302</v>
      </c>
      <c r="H88" s="212">
        <v>10472.66355168</v>
      </c>
      <c r="I88" s="158"/>
      <c r="J88" s="152"/>
      <c r="K88" s="217"/>
      <c r="L88" s="217"/>
      <c r="M88" s="217"/>
      <c r="O88" s="230" t="s">
        <v>302</v>
      </c>
      <c r="P88" s="230">
        <v>10995.91365624</v>
      </c>
      <c r="Q88" s="228"/>
      <c r="R88" s="152"/>
      <c r="S88" s="236" t="s">
        <v>438</v>
      </c>
      <c r="T88" s="236">
        <v>96485216.200000003</v>
      </c>
      <c r="U88" s="236">
        <v>2537</v>
      </c>
      <c r="V88" s="236">
        <v>23</v>
      </c>
      <c r="W88" s="236">
        <v>415604</v>
      </c>
      <c r="X88" s="236">
        <v>1</v>
      </c>
      <c r="Y88" s="234"/>
      <c r="Z88" s="234" t="s">
        <v>599</v>
      </c>
      <c r="AA88" s="234">
        <v>15607157598.129999</v>
      </c>
      <c r="AB88" s="234">
        <v>57460</v>
      </c>
      <c r="AC88" s="234">
        <v>12521</v>
      </c>
      <c r="AD88" s="234">
        <v>415918</v>
      </c>
      <c r="AE88" s="234">
        <v>1</v>
      </c>
      <c r="AF88" s="234"/>
      <c r="AG88" s="234" t="s">
        <v>599</v>
      </c>
      <c r="AH88" s="234">
        <v>2104504067.74</v>
      </c>
      <c r="AI88" s="234">
        <v>7129</v>
      </c>
      <c r="AJ88" s="234">
        <v>1072</v>
      </c>
      <c r="AK88" s="234">
        <v>21189</v>
      </c>
      <c r="AL88" s="234">
        <v>1</v>
      </c>
      <c r="AM88" s="234"/>
      <c r="AN88" s="234"/>
      <c r="AO88" s="234"/>
      <c r="AP88" s="234"/>
      <c r="AQ88" s="234"/>
      <c r="AR88" s="234"/>
      <c r="AS88" s="234"/>
      <c r="AT88" s="234"/>
      <c r="AU88" s="234"/>
      <c r="AV88" s="234"/>
      <c r="AW88" s="234"/>
      <c r="AX88" s="234"/>
      <c r="AY88" s="234"/>
      <c r="AZ88" s="234"/>
      <c r="BA88" s="234"/>
      <c r="BB88" s="234"/>
      <c r="BC88" s="234"/>
      <c r="BD88" s="234"/>
      <c r="BE88" s="234"/>
      <c r="BF88" s="234"/>
      <c r="BG88" s="234"/>
      <c r="BH88" s="234"/>
      <c r="BI88" s="234"/>
      <c r="BJ88" s="234"/>
      <c r="BK88" s="234"/>
      <c r="BL88" s="234"/>
      <c r="BM88" s="234"/>
      <c r="BN88" s="234"/>
      <c r="BO88" s="236"/>
      <c r="BP88" s="252">
        <v>126321</v>
      </c>
      <c r="BQ88" s="234"/>
      <c r="BR88" s="234"/>
    </row>
    <row r="89" spans="1:70" x14ac:dyDescent="0.2">
      <c r="A89" s="14"/>
      <c r="B89" s="181" t="s">
        <v>548</v>
      </c>
      <c r="C89" s="184">
        <v>42312</v>
      </c>
      <c r="D89" s="181">
        <v>1209.71</v>
      </c>
      <c r="E89" s="212">
        <v>1</v>
      </c>
      <c r="F89" s="198"/>
      <c r="G89" s="212" t="s">
        <v>303</v>
      </c>
      <c r="H89" s="212">
        <v>5531.8114134099997</v>
      </c>
      <c r="I89" s="158"/>
      <c r="J89" s="152"/>
      <c r="K89" s="217"/>
      <c r="L89" s="217"/>
      <c r="M89" s="217"/>
      <c r="O89" s="230" t="s">
        <v>303</v>
      </c>
      <c r="P89" s="230">
        <v>5693.1010241800004</v>
      </c>
      <c r="Q89" s="228"/>
      <c r="S89" s="234" t="s">
        <v>435</v>
      </c>
      <c r="T89" s="234">
        <v>0</v>
      </c>
      <c r="U89" s="234">
        <v>13542</v>
      </c>
      <c r="V89" s="234">
        <v>185</v>
      </c>
      <c r="W89" s="234">
        <v>557478</v>
      </c>
      <c r="X89" s="234">
        <v>1</v>
      </c>
      <c r="Y89" s="234"/>
      <c r="Z89" s="234" t="s">
        <v>600</v>
      </c>
      <c r="AA89" s="234">
        <v>0</v>
      </c>
      <c r="AB89" s="234">
        <v>0</v>
      </c>
      <c r="AC89" s="234">
        <v>0</v>
      </c>
      <c r="AD89" s="234">
        <v>0</v>
      </c>
      <c r="AE89" s="234">
        <v>1</v>
      </c>
      <c r="AF89" s="234"/>
      <c r="AG89" s="234" t="s">
        <v>600</v>
      </c>
      <c r="AH89" s="234">
        <v>0</v>
      </c>
      <c r="AI89" s="234">
        <v>0</v>
      </c>
      <c r="AJ89" s="234">
        <v>0</v>
      </c>
      <c r="AK89" s="234">
        <v>0</v>
      </c>
      <c r="AL89" s="234">
        <v>1</v>
      </c>
      <c r="AM89" s="234"/>
      <c r="AN89" s="234"/>
      <c r="AO89" s="234"/>
      <c r="AP89" s="234"/>
      <c r="AQ89" s="234"/>
      <c r="AR89" s="234"/>
      <c r="AS89" s="234"/>
      <c r="AT89" s="234"/>
      <c r="AU89" s="234"/>
      <c r="AV89" s="234"/>
      <c r="AW89" s="234"/>
      <c r="AX89" s="234"/>
      <c r="AY89" s="234"/>
      <c r="AZ89" s="234"/>
      <c r="BA89" s="234"/>
      <c r="BB89" s="234"/>
      <c r="BC89" s="234"/>
      <c r="BD89" s="234"/>
      <c r="BE89" s="234"/>
      <c r="BF89" s="234"/>
      <c r="BG89" s="234"/>
      <c r="BH89" s="234"/>
      <c r="BI89" s="234"/>
      <c r="BJ89" s="234"/>
      <c r="BK89" s="234"/>
      <c r="BL89" s="234"/>
      <c r="BM89" s="234"/>
      <c r="BN89" s="234"/>
      <c r="BO89" s="236"/>
      <c r="BP89" s="252"/>
      <c r="BQ89" s="234"/>
      <c r="BR89" s="234"/>
    </row>
    <row r="90" spans="1:70" x14ac:dyDescent="0.2">
      <c r="A90" s="144"/>
      <c r="B90" s="181" t="s">
        <v>549</v>
      </c>
      <c r="C90" s="184">
        <v>42594</v>
      </c>
      <c r="D90" s="181">
        <v>1327.18</v>
      </c>
      <c r="E90" s="212">
        <v>1</v>
      </c>
      <c r="F90" s="202"/>
      <c r="G90" s="212" t="s">
        <v>73</v>
      </c>
      <c r="H90" s="212">
        <v>30970.445376520001</v>
      </c>
      <c r="I90" s="158"/>
      <c r="J90" s="152"/>
      <c r="K90" s="217"/>
      <c r="L90" s="217"/>
      <c r="M90" s="217"/>
      <c r="O90" s="230" t="s">
        <v>73</v>
      </c>
      <c r="P90" s="230">
        <v>32655.338949829998</v>
      </c>
      <c r="Q90" s="228"/>
      <c r="S90" s="234" t="s">
        <v>173</v>
      </c>
      <c r="T90" s="234">
        <v>1530479.09</v>
      </c>
      <c r="U90" s="234">
        <v>13568</v>
      </c>
      <c r="V90" s="234">
        <v>40</v>
      </c>
      <c r="W90" s="234">
        <v>616429</v>
      </c>
      <c r="X90" s="234">
        <v>1</v>
      </c>
      <c r="Y90" s="234"/>
      <c r="Z90" s="234"/>
      <c r="AA90" s="234"/>
      <c r="AB90" s="234"/>
      <c r="AC90" s="234"/>
      <c r="AD90" s="234"/>
      <c r="AE90" s="234"/>
      <c r="AF90" s="234"/>
      <c r="AG90" s="234"/>
      <c r="AH90" s="234"/>
      <c r="AI90" s="234"/>
      <c r="AJ90" s="234"/>
      <c r="AK90" s="234"/>
      <c r="AL90" s="234"/>
      <c r="AM90" s="234"/>
      <c r="AN90" s="234"/>
      <c r="AO90" s="234"/>
      <c r="AP90" s="234"/>
      <c r="AQ90" s="234"/>
      <c r="AR90" s="234"/>
      <c r="AS90" s="234"/>
      <c r="AT90" s="234"/>
      <c r="AU90" s="234"/>
      <c r="AV90" s="234"/>
      <c r="AW90" s="234"/>
      <c r="AX90" s="234"/>
      <c r="AY90" s="234"/>
      <c r="AZ90" s="234"/>
      <c r="BA90" s="234"/>
      <c r="BB90" s="234"/>
      <c r="BC90" s="234"/>
      <c r="BD90" s="234"/>
      <c r="BE90" s="234"/>
      <c r="BF90" s="234"/>
      <c r="BG90" s="234"/>
      <c r="BH90" s="234"/>
      <c r="BI90" s="234"/>
      <c r="BJ90" s="234"/>
      <c r="BK90" s="234"/>
      <c r="BL90" s="234"/>
      <c r="BM90" s="234"/>
      <c r="BN90" s="234"/>
      <c r="BO90" s="245" t="s">
        <v>483</v>
      </c>
      <c r="BP90" s="253" t="s">
        <v>556</v>
      </c>
      <c r="BQ90" s="234"/>
      <c r="BR90" s="234"/>
    </row>
    <row r="91" spans="1:70" x14ac:dyDescent="0.2">
      <c r="A91" s="144"/>
      <c r="B91" s="181" t="s">
        <v>550</v>
      </c>
      <c r="C91" s="184">
        <v>42118</v>
      </c>
      <c r="D91" s="181">
        <v>1238.74</v>
      </c>
      <c r="E91" s="212">
        <v>1</v>
      </c>
      <c r="F91" s="202"/>
      <c r="G91" s="212" t="s">
        <v>75</v>
      </c>
      <c r="H91" s="212">
        <v>43096.731159399998</v>
      </c>
      <c r="I91" s="158"/>
      <c r="J91" s="152"/>
      <c r="K91" s="217"/>
      <c r="L91" s="217"/>
      <c r="M91" s="217"/>
      <c r="O91" s="230" t="s">
        <v>75</v>
      </c>
      <c r="P91" s="230">
        <v>44841.29425318</v>
      </c>
      <c r="Q91" s="228"/>
      <c r="S91" s="234" t="s">
        <v>433</v>
      </c>
      <c r="T91" s="234">
        <v>17787919219.69249</v>
      </c>
      <c r="U91" s="234">
        <v>40405</v>
      </c>
      <c r="V91" s="234">
        <v>15767</v>
      </c>
      <c r="W91" s="234">
        <v>645478</v>
      </c>
      <c r="X91" s="234">
        <v>1</v>
      </c>
      <c r="Y91" s="234"/>
      <c r="Z91" s="234"/>
      <c r="AA91" s="234"/>
      <c r="AB91" s="234"/>
      <c r="AC91" s="234"/>
      <c r="AD91" s="234"/>
      <c r="AE91" s="234"/>
      <c r="AF91" s="234"/>
      <c r="AG91" s="234"/>
      <c r="AH91" s="234"/>
      <c r="AI91" s="234"/>
      <c r="AJ91" s="234"/>
      <c r="AK91" s="234"/>
      <c r="AL91" s="234"/>
      <c r="AM91" s="234"/>
      <c r="AN91" s="234"/>
      <c r="AO91" s="234"/>
      <c r="AP91" s="234"/>
      <c r="AQ91" s="234"/>
      <c r="AR91" s="234"/>
      <c r="AS91" s="234"/>
      <c r="AT91" s="234"/>
      <c r="AU91" s="234"/>
      <c r="AV91" s="234"/>
      <c r="AW91" s="234"/>
      <c r="AX91" s="234"/>
      <c r="AY91" s="234"/>
      <c r="AZ91" s="234"/>
      <c r="BA91" s="234"/>
      <c r="BB91" s="234"/>
      <c r="BC91" s="234"/>
      <c r="BD91" s="234"/>
      <c r="BE91" s="234"/>
      <c r="BF91" s="234"/>
      <c r="BG91" s="234"/>
      <c r="BH91" s="234"/>
      <c r="BI91" s="234"/>
      <c r="BJ91" s="234"/>
      <c r="BK91" s="234"/>
      <c r="BL91" s="234"/>
      <c r="BM91" s="234"/>
      <c r="BN91" s="234"/>
      <c r="BO91" s="236"/>
      <c r="BP91" s="252">
        <v>57136</v>
      </c>
      <c r="BQ91" s="234"/>
      <c r="BR91" s="234"/>
    </row>
    <row r="92" spans="1:70" x14ac:dyDescent="0.2">
      <c r="A92" s="144"/>
      <c r="B92" s="181" t="s">
        <v>551</v>
      </c>
      <c r="C92" s="184">
        <v>42118</v>
      </c>
      <c r="D92" s="181">
        <v>1315.36</v>
      </c>
      <c r="E92" s="212">
        <v>1</v>
      </c>
      <c r="F92" s="202"/>
      <c r="G92" s="212" t="s">
        <v>77</v>
      </c>
      <c r="H92" s="212">
        <v>54944.040928709997</v>
      </c>
      <c r="I92" s="158"/>
      <c r="J92" s="152"/>
      <c r="K92" s="217"/>
      <c r="L92" s="217"/>
      <c r="M92" s="217"/>
      <c r="O92" s="230" t="s">
        <v>77</v>
      </c>
      <c r="P92" s="230">
        <v>56114.064973629997</v>
      </c>
      <c r="Q92" s="228"/>
      <c r="S92" s="234" t="s">
        <v>436</v>
      </c>
      <c r="T92" s="234">
        <v>5586979.0499999998</v>
      </c>
      <c r="U92" s="234">
        <v>8700</v>
      </c>
      <c r="V92" s="234">
        <v>1</v>
      </c>
      <c r="W92" s="234">
        <v>2361338</v>
      </c>
      <c r="X92" s="234">
        <v>1</v>
      </c>
      <c r="Y92" s="234"/>
      <c r="Z92" s="234"/>
      <c r="AA92" s="234"/>
      <c r="AB92" s="234"/>
      <c r="AC92" s="234"/>
      <c r="AD92" s="234"/>
      <c r="AE92" s="234"/>
      <c r="AF92" s="234"/>
      <c r="AG92" s="234"/>
      <c r="AH92" s="234"/>
      <c r="AI92" s="234"/>
      <c r="AJ92" s="234"/>
      <c r="AK92" s="234"/>
      <c r="AL92" s="234"/>
      <c r="AM92" s="234"/>
      <c r="AN92" s="234"/>
      <c r="AO92" s="234"/>
      <c r="AP92" s="234"/>
      <c r="AQ92" s="234"/>
      <c r="AR92" s="234"/>
      <c r="AS92" s="234"/>
      <c r="AT92" s="234"/>
      <c r="AU92" s="234"/>
      <c r="AV92" s="234"/>
      <c r="AW92" s="234"/>
      <c r="AX92" s="234"/>
      <c r="AY92" s="234"/>
      <c r="AZ92" s="234"/>
      <c r="BA92" s="234"/>
      <c r="BB92" s="234"/>
      <c r="BC92" s="234"/>
      <c r="BD92" s="234"/>
      <c r="BE92" s="234"/>
      <c r="BF92" s="234"/>
      <c r="BG92" s="234"/>
      <c r="BH92" s="234"/>
      <c r="BI92" s="234"/>
      <c r="BJ92" s="234"/>
      <c r="BK92" s="234"/>
      <c r="BL92" s="234"/>
      <c r="BM92" s="234"/>
      <c r="BN92" s="234"/>
      <c r="BO92" s="234"/>
      <c r="BP92" s="234"/>
      <c r="BQ92" s="234"/>
      <c r="BR92" s="234"/>
    </row>
    <row r="93" spans="1:70" x14ac:dyDescent="0.2">
      <c r="A93" s="146"/>
      <c r="B93" s="181" t="s">
        <v>48</v>
      </c>
      <c r="C93" s="184">
        <v>42783</v>
      </c>
      <c r="D93" s="181">
        <v>8292.5284918300003</v>
      </c>
      <c r="E93" s="212">
        <v>1</v>
      </c>
      <c r="F93" s="202"/>
      <c r="G93" s="212" t="s">
        <v>304</v>
      </c>
      <c r="H93" s="212">
        <v>11389.712504470001</v>
      </c>
      <c r="I93" s="158"/>
      <c r="J93" s="152"/>
      <c r="K93" s="217"/>
      <c r="L93" s="217"/>
      <c r="M93" s="217"/>
      <c r="O93" s="230" t="s">
        <v>304</v>
      </c>
      <c r="P93" s="230">
        <v>11437.22074579</v>
      </c>
      <c r="Q93" s="228"/>
      <c r="S93" s="234" t="s">
        <v>437</v>
      </c>
      <c r="T93" s="234">
        <v>298088.28000000003</v>
      </c>
      <c r="U93" s="234">
        <v>80184</v>
      </c>
      <c r="V93" s="234">
        <v>2</v>
      </c>
      <c r="W93" s="234">
        <v>2261088</v>
      </c>
      <c r="X93" s="234">
        <v>1</v>
      </c>
      <c r="Y93" s="234"/>
      <c r="Z93" s="234"/>
      <c r="AA93" s="234"/>
      <c r="AB93" s="234"/>
      <c r="AC93" s="234"/>
      <c r="AD93" s="234"/>
      <c r="AE93" s="234"/>
      <c r="AF93" s="234"/>
      <c r="AG93" s="234"/>
      <c r="AH93" s="234"/>
      <c r="AI93" s="234"/>
      <c r="AJ93" s="234"/>
      <c r="AK93" s="234"/>
      <c r="AL93" s="234"/>
      <c r="AM93" s="234"/>
      <c r="AN93" s="234"/>
      <c r="AO93" s="234"/>
      <c r="AP93" s="234"/>
      <c r="AQ93" s="234"/>
      <c r="AR93" s="234"/>
      <c r="AS93" s="234"/>
      <c r="AT93" s="234"/>
      <c r="AU93" s="234"/>
      <c r="AV93" s="234"/>
      <c r="AW93" s="234"/>
      <c r="AX93" s="234"/>
      <c r="AY93" s="234"/>
      <c r="AZ93" s="234"/>
      <c r="BA93" s="234"/>
      <c r="BB93" s="234"/>
      <c r="BC93" s="234"/>
      <c r="BD93" s="234"/>
      <c r="BE93" s="234"/>
      <c r="BF93" s="234"/>
      <c r="BG93" s="234"/>
      <c r="BH93" s="234"/>
      <c r="BI93" s="234"/>
      <c r="BJ93" s="234"/>
      <c r="BK93" s="234"/>
      <c r="BL93" s="234"/>
      <c r="BM93" s="234"/>
      <c r="BN93" s="234"/>
      <c r="BO93" s="234"/>
      <c r="BP93" s="234"/>
      <c r="BQ93" s="234"/>
      <c r="BR93" s="234"/>
    </row>
    <row r="94" spans="1:70" x14ac:dyDescent="0.2">
      <c r="B94" s="181" t="s">
        <v>535</v>
      </c>
      <c r="C94" s="184">
        <v>43060</v>
      </c>
      <c r="D94" s="181">
        <v>61066.919248099999</v>
      </c>
      <c r="E94" s="212">
        <v>1</v>
      </c>
      <c r="F94" s="198"/>
      <c r="G94" s="212" t="s">
        <v>305</v>
      </c>
      <c r="H94" s="212">
        <v>6251.4180248100001</v>
      </c>
      <c r="I94" s="158"/>
      <c r="J94" s="152"/>
      <c r="K94" s="217"/>
      <c r="L94" s="217"/>
      <c r="M94" s="217"/>
      <c r="O94" s="230" t="s">
        <v>305</v>
      </c>
      <c r="P94" s="230">
        <v>6668.2176051400002</v>
      </c>
      <c r="Q94" s="228"/>
      <c r="S94" s="234" t="s">
        <v>434</v>
      </c>
      <c r="T94" s="234">
        <v>201338757.90000001</v>
      </c>
      <c r="U94" s="234">
        <v>18026</v>
      </c>
      <c r="V94" s="234">
        <v>194</v>
      </c>
      <c r="W94" s="234">
        <v>808272</v>
      </c>
      <c r="X94" s="234">
        <v>1</v>
      </c>
      <c r="Y94" s="234"/>
      <c r="Z94" s="234"/>
      <c r="AA94" s="234"/>
      <c r="AB94" s="234"/>
      <c r="AC94" s="234"/>
      <c r="AD94" s="234"/>
      <c r="AE94" s="234"/>
      <c r="AF94" s="234"/>
      <c r="AG94" s="234"/>
      <c r="AH94" s="234"/>
      <c r="AI94" s="234"/>
      <c r="AJ94" s="234"/>
      <c r="AK94" s="234"/>
      <c r="AL94" s="234"/>
      <c r="AM94" s="234"/>
      <c r="AN94" s="234"/>
      <c r="AO94" s="234"/>
      <c r="AP94" s="234"/>
      <c r="AQ94" s="234"/>
      <c r="AR94" s="234"/>
      <c r="AS94" s="234"/>
      <c r="AT94" s="234"/>
      <c r="AU94" s="234"/>
      <c r="AV94" s="234"/>
      <c r="AW94" s="234"/>
      <c r="AX94" s="234"/>
      <c r="AY94" s="234"/>
      <c r="AZ94" s="234"/>
      <c r="BA94" s="234"/>
      <c r="BB94" s="234"/>
      <c r="BC94" s="234"/>
      <c r="BD94" s="234"/>
      <c r="BE94" s="234"/>
      <c r="BF94" s="234"/>
      <c r="BG94" s="234"/>
      <c r="BH94" s="234"/>
      <c r="BI94" s="234"/>
      <c r="BJ94" s="234"/>
      <c r="BK94" s="234"/>
      <c r="BL94" s="234"/>
      <c r="BM94" s="234"/>
      <c r="BN94" s="234"/>
      <c r="BO94" s="234"/>
      <c r="BP94" s="234"/>
      <c r="BQ94" s="234"/>
      <c r="BR94" s="234"/>
    </row>
    <row r="95" spans="1:70" x14ac:dyDescent="0.2">
      <c r="A95" s="14"/>
      <c r="B95" s="181" t="s">
        <v>536</v>
      </c>
      <c r="C95" s="184">
        <v>43125</v>
      </c>
      <c r="D95" s="181">
        <v>59875.289842060003</v>
      </c>
      <c r="E95" s="212">
        <v>1</v>
      </c>
      <c r="F95" s="198"/>
      <c r="G95" s="212" t="s">
        <v>87</v>
      </c>
      <c r="H95" s="212">
        <v>3909.4342898199998</v>
      </c>
      <c r="I95" s="158"/>
      <c r="J95" s="152"/>
      <c r="K95" s="217"/>
      <c r="L95" s="217"/>
      <c r="M95" s="217"/>
      <c r="O95" s="230" t="s">
        <v>87</v>
      </c>
      <c r="P95" s="230">
        <v>4448.9152067900004</v>
      </c>
      <c r="Q95" s="228"/>
      <c r="S95" s="234"/>
      <c r="T95" s="234"/>
      <c r="U95" s="234"/>
      <c r="V95" s="234"/>
      <c r="W95" s="234"/>
      <c r="X95" s="234"/>
      <c r="Y95" s="234"/>
      <c r="Z95" s="234"/>
      <c r="AA95" s="234"/>
      <c r="AB95" s="234"/>
      <c r="AC95" s="234"/>
      <c r="AD95" s="234"/>
      <c r="AE95" s="234"/>
      <c r="AF95" s="234"/>
      <c r="AG95" s="234"/>
      <c r="AH95" s="234"/>
      <c r="AI95" s="234"/>
      <c r="AJ95" s="234"/>
      <c r="AK95" s="234"/>
      <c r="AL95" s="234"/>
      <c r="AM95" s="234"/>
      <c r="AN95" s="234"/>
      <c r="AO95" s="234"/>
      <c r="AP95" s="234"/>
      <c r="AQ95" s="234"/>
      <c r="AR95" s="234"/>
      <c r="AS95" s="234"/>
      <c r="AT95" s="234"/>
      <c r="AU95" s="234"/>
      <c r="AV95" s="234"/>
      <c r="AW95" s="234"/>
      <c r="AX95" s="234"/>
      <c r="AY95" s="234"/>
      <c r="AZ95" s="234"/>
      <c r="BA95" s="234"/>
      <c r="BB95" s="234"/>
      <c r="BC95" s="234"/>
      <c r="BD95" s="234"/>
      <c r="BE95" s="234"/>
      <c r="BF95" s="234"/>
      <c r="BG95" s="234"/>
      <c r="BH95" s="234"/>
      <c r="BI95" s="234"/>
      <c r="BJ95" s="234"/>
      <c r="BK95" s="234"/>
      <c r="BL95" s="234"/>
      <c r="BM95" s="234"/>
      <c r="BN95" s="234"/>
      <c r="BO95" s="234"/>
      <c r="BP95" s="234"/>
      <c r="BQ95" s="234"/>
      <c r="BR95" s="234"/>
    </row>
    <row r="96" spans="1:70" x14ac:dyDescent="0.2">
      <c r="A96" s="144"/>
      <c r="B96" s="181" t="s">
        <v>269</v>
      </c>
      <c r="C96" s="184">
        <v>43125</v>
      </c>
      <c r="D96" s="181">
        <v>4957.9597465699999</v>
      </c>
      <c r="E96" s="212">
        <v>1</v>
      </c>
      <c r="F96" s="202"/>
      <c r="G96" s="212" t="s">
        <v>79</v>
      </c>
      <c r="H96" s="212">
        <v>22946.089785299999</v>
      </c>
      <c r="I96" s="158"/>
      <c r="J96" s="152"/>
      <c r="K96" s="217"/>
      <c r="L96" s="217"/>
      <c r="M96" s="217"/>
      <c r="O96" s="230" t="s">
        <v>79</v>
      </c>
      <c r="P96" s="230">
        <v>23690.935123300002</v>
      </c>
      <c r="Q96" s="228"/>
      <c r="S96" s="234"/>
      <c r="T96" s="234"/>
      <c r="U96" s="234"/>
      <c r="V96" s="234"/>
      <c r="W96" s="234"/>
      <c r="X96" s="234"/>
      <c r="Y96" s="234"/>
      <c r="Z96" s="234"/>
      <c r="AA96" s="234"/>
      <c r="AB96" s="234"/>
      <c r="AC96" s="234"/>
      <c r="AD96" s="234"/>
      <c r="AE96" s="234"/>
      <c r="AF96" s="234"/>
      <c r="AG96" s="234"/>
      <c r="AH96" s="234"/>
      <c r="AI96" s="234"/>
      <c r="AJ96" s="234"/>
      <c r="AK96" s="234"/>
      <c r="AL96" s="234"/>
      <c r="AM96" s="234"/>
      <c r="AN96" s="234"/>
      <c r="AO96" s="234"/>
      <c r="AP96" s="234"/>
      <c r="AQ96" s="234"/>
      <c r="AR96" s="234"/>
      <c r="AS96" s="234"/>
      <c r="AT96" s="234"/>
      <c r="AU96" s="234"/>
      <c r="AV96" s="234"/>
      <c r="AW96" s="234"/>
      <c r="AX96" s="234"/>
      <c r="AY96" s="234"/>
      <c r="AZ96" s="234"/>
      <c r="BA96" s="234"/>
      <c r="BB96" s="234"/>
      <c r="BC96" s="234"/>
      <c r="BD96" s="234"/>
      <c r="BE96" s="234"/>
      <c r="BF96" s="234"/>
      <c r="BG96" s="234"/>
      <c r="BH96" s="234"/>
      <c r="BI96" s="234"/>
      <c r="BJ96" s="234"/>
      <c r="BK96" s="234"/>
      <c r="BL96" s="234"/>
      <c r="BM96" s="234"/>
      <c r="BN96" s="234"/>
      <c r="BO96" s="234"/>
      <c r="BP96" s="234"/>
      <c r="BQ96" s="234"/>
      <c r="BR96" s="234"/>
    </row>
    <row r="97" spans="1:16" x14ac:dyDescent="0.2">
      <c r="A97" s="144"/>
      <c r="B97" s="181" t="s">
        <v>60</v>
      </c>
      <c r="C97" s="184">
        <v>39590</v>
      </c>
      <c r="D97" s="181">
        <v>77308.45</v>
      </c>
      <c r="E97" s="212">
        <v>1</v>
      </c>
      <c r="F97" s="202"/>
      <c r="G97" s="212" t="s">
        <v>306</v>
      </c>
      <c r="H97" s="212">
        <v>794.69381767000004</v>
      </c>
      <c r="I97" s="158"/>
      <c r="K97" s="217"/>
      <c r="L97" s="217"/>
      <c r="M97" s="217"/>
      <c r="O97" s="230" t="s">
        <v>306</v>
      </c>
      <c r="P97" s="230">
        <v>837.46345786999996</v>
      </c>
    </row>
    <row r="98" spans="1:16" x14ac:dyDescent="0.2">
      <c r="A98" s="144"/>
      <c r="B98" s="181" t="s">
        <v>64</v>
      </c>
      <c r="C98" s="184">
        <v>43060</v>
      </c>
      <c r="D98" s="181">
        <v>87017.951262529998</v>
      </c>
      <c r="E98" s="212">
        <v>1</v>
      </c>
      <c r="F98" s="202"/>
      <c r="G98" s="212" t="s">
        <v>85</v>
      </c>
      <c r="H98" s="212">
        <v>5719.1477587400004</v>
      </c>
      <c r="I98" s="158"/>
      <c r="K98" s="217"/>
      <c r="L98" s="217"/>
      <c r="M98" s="217"/>
      <c r="O98" s="230" t="s">
        <v>85</v>
      </c>
      <c r="P98" s="230">
        <v>5675.4114998599998</v>
      </c>
    </row>
    <row r="99" spans="1:16" x14ac:dyDescent="0.2">
      <c r="A99" s="144"/>
      <c r="B99" s="181" t="s">
        <v>66</v>
      </c>
      <c r="C99" s="184">
        <v>43165</v>
      </c>
      <c r="D99" s="181">
        <v>18847.577311370002</v>
      </c>
      <c r="E99" s="212">
        <v>1</v>
      </c>
      <c r="F99" s="202"/>
      <c r="G99" s="212" t="s">
        <v>307</v>
      </c>
      <c r="H99" s="212">
        <v>4211.6460352399999</v>
      </c>
      <c r="I99" s="158"/>
      <c r="K99" s="217"/>
      <c r="L99" s="217"/>
      <c r="M99" s="217"/>
      <c r="O99" s="230" t="s">
        <v>307</v>
      </c>
      <c r="P99" s="230">
        <v>4304.8495380499999</v>
      </c>
    </row>
    <row r="100" spans="1:16" x14ac:dyDescent="0.2">
      <c r="B100" s="181" t="s">
        <v>68</v>
      </c>
      <c r="C100" s="184">
        <v>43060</v>
      </c>
      <c r="D100" s="181">
        <v>88373.331097460003</v>
      </c>
      <c r="E100" s="212">
        <v>1</v>
      </c>
      <c r="F100" s="198"/>
      <c r="G100" s="212" t="s">
        <v>81</v>
      </c>
      <c r="H100" s="212">
        <v>41692.491793540001</v>
      </c>
      <c r="I100" s="158"/>
      <c r="K100" s="217"/>
      <c r="L100" s="217"/>
      <c r="M100" s="217"/>
      <c r="O100" s="230" t="s">
        <v>81</v>
      </c>
      <c r="P100" s="230">
        <v>42771.804947320001</v>
      </c>
    </row>
    <row r="101" spans="1:16" x14ac:dyDescent="0.2">
      <c r="B101" s="181" t="s">
        <v>110</v>
      </c>
      <c r="C101" s="184">
        <v>42346</v>
      </c>
      <c r="D101" s="181">
        <v>1703.8449540300001</v>
      </c>
      <c r="E101" s="212">
        <v>1</v>
      </c>
      <c r="F101" s="202"/>
      <c r="G101" s="212" t="s">
        <v>83</v>
      </c>
      <c r="H101" s="212">
        <v>29568.502350610001</v>
      </c>
      <c r="I101" s="158"/>
      <c r="K101" s="217"/>
      <c r="L101" s="217"/>
      <c r="M101" s="217"/>
      <c r="O101" s="230" t="s">
        <v>83</v>
      </c>
      <c r="P101" s="230">
        <v>32929.57026167</v>
      </c>
    </row>
    <row r="102" spans="1:16" x14ac:dyDescent="0.2">
      <c r="B102" s="181" t="s">
        <v>112</v>
      </c>
      <c r="C102" s="184">
        <v>38723</v>
      </c>
      <c r="D102" s="181">
        <v>641.64</v>
      </c>
      <c r="E102" s="212">
        <v>1</v>
      </c>
      <c r="F102" s="198"/>
      <c r="G102" s="212" t="s">
        <v>308</v>
      </c>
      <c r="H102" s="212">
        <v>7526.9238998700002</v>
      </c>
      <c r="I102" s="158"/>
      <c r="K102" s="217"/>
      <c r="L102" s="217"/>
      <c r="M102" s="217"/>
      <c r="O102" s="230" t="s">
        <v>308</v>
      </c>
      <c r="P102" s="230">
        <v>7915.5638776100004</v>
      </c>
    </row>
    <row r="103" spans="1:16" x14ac:dyDescent="0.2">
      <c r="A103" s="14"/>
      <c r="B103" s="181" t="s">
        <v>114</v>
      </c>
      <c r="C103" s="184">
        <v>39400</v>
      </c>
      <c r="D103" s="181">
        <v>5041.9399999999996</v>
      </c>
      <c r="E103" s="212">
        <v>1</v>
      </c>
      <c r="F103" s="202"/>
      <c r="G103" s="212" t="s">
        <v>309</v>
      </c>
      <c r="H103" s="212">
        <v>2944.0601585200002</v>
      </c>
      <c r="I103" s="158"/>
      <c r="K103" s="217"/>
      <c r="L103" s="217"/>
      <c r="M103" s="217"/>
      <c r="O103" s="230" t="s">
        <v>309</v>
      </c>
      <c r="P103" s="230">
        <v>2721.6186310600001</v>
      </c>
    </row>
    <row r="104" spans="1:16" x14ac:dyDescent="0.2">
      <c r="B104" s="181" t="s">
        <v>270</v>
      </c>
      <c r="C104" s="184">
        <v>39400</v>
      </c>
      <c r="D104" s="181">
        <v>2186.16</v>
      </c>
      <c r="E104" s="212">
        <v>1</v>
      </c>
      <c r="F104" s="202"/>
      <c r="G104" s="212" t="s">
        <v>310</v>
      </c>
      <c r="H104" s="212">
        <v>178.99753507</v>
      </c>
      <c r="I104" s="158"/>
      <c r="K104" s="217"/>
      <c r="L104" s="217"/>
      <c r="M104" s="217"/>
      <c r="O104" s="230" t="s">
        <v>310</v>
      </c>
      <c r="P104" s="230">
        <v>178.87610452999999</v>
      </c>
    </row>
    <row r="105" spans="1:16" x14ac:dyDescent="0.2">
      <c r="B105" s="181" t="s">
        <v>271</v>
      </c>
      <c r="C105" s="184">
        <v>39381</v>
      </c>
      <c r="D105" s="181">
        <v>90476.79</v>
      </c>
      <c r="E105" s="212">
        <v>1</v>
      </c>
      <c r="F105" s="202"/>
      <c r="G105" s="212" t="s">
        <v>540</v>
      </c>
      <c r="H105" s="212">
        <v>12464.55274014</v>
      </c>
      <c r="I105" s="158"/>
      <c r="K105" s="217"/>
      <c r="L105" s="217"/>
      <c r="M105" s="217"/>
      <c r="O105" s="230" t="s">
        <v>540</v>
      </c>
      <c r="P105" s="230">
        <v>12833.91103909</v>
      </c>
    </row>
    <row r="106" spans="1:16" x14ac:dyDescent="0.2">
      <c r="B106" s="181" t="s">
        <v>272</v>
      </c>
      <c r="C106" s="184">
        <v>43348</v>
      </c>
      <c r="D106" s="181">
        <v>421.77493391000002</v>
      </c>
      <c r="E106" s="212">
        <v>1</v>
      </c>
      <c r="F106" s="202"/>
      <c r="G106" s="212" t="s">
        <v>541</v>
      </c>
      <c r="H106" s="212">
        <v>12030.824433080001</v>
      </c>
      <c r="I106" s="158"/>
      <c r="K106" s="217"/>
      <c r="L106" s="217"/>
      <c r="M106" s="217"/>
      <c r="O106" s="230" t="s">
        <v>541</v>
      </c>
      <c r="P106" s="230">
        <v>12398.630643</v>
      </c>
    </row>
    <row r="107" spans="1:16" x14ac:dyDescent="0.2">
      <c r="B107" s="181" t="s">
        <v>273</v>
      </c>
      <c r="C107" s="184">
        <v>43348</v>
      </c>
      <c r="D107" s="181">
        <v>302.76282674999999</v>
      </c>
      <c r="E107" s="212">
        <v>1</v>
      </c>
      <c r="F107" s="202"/>
      <c r="G107" s="212" t="s">
        <v>542</v>
      </c>
      <c r="H107" s="212">
        <v>9405.29864671</v>
      </c>
      <c r="I107" s="158"/>
      <c r="K107" s="217"/>
      <c r="L107" s="217"/>
      <c r="M107" s="217"/>
      <c r="O107" s="230" t="s">
        <v>542</v>
      </c>
      <c r="P107" s="230">
        <v>9611.5390936200001</v>
      </c>
    </row>
    <row r="108" spans="1:16" x14ac:dyDescent="0.2">
      <c r="B108" s="181" t="s">
        <v>274</v>
      </c>
      <c r="C108" s="184">
        <v>43348</v>
      </c>
      <c r="D108" s="181">
        <v>234.75259614999999</v>
      </c>
      <c r="E108" s="212">
        <v>1</v>
      </c>
      <c r="F108" s="198"/>
      <c r="G108" s="212" t="s">
        <v>311</v>
      </c>
      <c r="H108" s="212">
        <v>9667.5324892499993</v>
      </c>
      <c r="I108" s="158"/>
      <c r="K108" s="217"/>
      <c r="L108" s="217"/>
      <c r="M108" s="217"/>
      <c r="O108" s="230" t="s">
        <v>311</v>
      </c>
      <c r="P108" s="230">
        <v>9708.9328000599999</v>
      </c>
    </row>
    <row r="109" spans="1:16" x14ac:dyDescent="0.2">
      <c r="B109" s="181" t="s">
        <v>275</v>
      </c>
      <c r="C109" s="184">
        <v>43348</v>
      </c>
      <c r="D109" s="181">
        <v>553.52868425999998</v>
      </c>
      <c r="E109" s="212">
        <v>1</v>
      </c>
      <c r="F109" s="198"/>
      <c r="G109" s="212" t="s">
        <v>312</v>
      </c>
      <c r="H109" s="212">
        <v>80090.648726910003</v>
      </c>
      <c r="I109" s="158"/>
      <c r="K109" s="217"/>
      <c r="L109" s="217"/>
      <c r="M109" s="217"/>
      <c r="O109" s="230" t="s">
        <v>312</v>
      </c>
      <c r="P109" s="230">
        <v>88725.880217309998</v>
      </c>
    </row>
    <row r="110" spans="1:16" x14ac:dyDescent="0.2">
      <c r="B110" s="181" t="s">
        <v>276</v>
      </c>
      <c r="C110" s="184">
        <v>39381</v>
      </c>
      <c r="D110" s="181">
        <v>31030.1</v>
      </c>
      <c r="E110" s="212">
        <v>1</v>
      </c>
      <c r="F110" s="198"/>
      <c r="G110" s="212" t="s">
        <v>313</v>
      </c>
      <c r="H110" s="212">
        <v>40860.271558259999</v>
      </c>
      <c r="I110" s="158"/>
      <c r="K110" s="217"/>
      <c r="L110" s="217"/>
      <c r="M110" s="217"/>
      <c r="O110" s="230" t="s">
        <v>313</v>
      </c>
      <c r="P110" s="230">
        <v>42202.581429719998</v>
      </c>
    </row>
    <row r="111" spans="1:16" x14ac:dyDescent="0.2">
      <c r="B111" s="181" t="s">
        <v>277</v>
      </c>
      <c r="C111" s="184">
        <v>40926</v>
      </c>
      <c r="D111" s="181">
        <v>1131.78</v>
      </c>
      <c r="E111" s="212">
        <v>1</v>
      </c>
      <c r="F111" s="198"/>
      <c r="G111" s="212" t="s">
        <v>314</v>
      </c>
      <c r="H111" s="212">
        <v>1115.2391553</v>
      </c>
      <c r="I111" s="158"/>
      <c r="K111" s="217"/>
      <c r="L111" s="217"/>
      <c r="M111" s="217"/>
      <c r="O111" s="230" t="s">
        <v>314</v>
      </c>
      <c r="P111" s="230">
        <v>1138.5647714300001</v>
      </c>
    </row>
    <row r="112" spans="1:16" x14ac:dyDescent="0.2">
      <c r="B112" s="181" t="s">
        <v>94</v>
      </c>
      <c r="C112" s="184">
        <v>43098</v>
      </c>
      <c r="D112" s="181">
        <v>694.66658584000004</v>
      </c>
      <c r="E112" s="212">
        <v>1</v>
      </c>
      <c r="F112" s="198"/>
      <c r="G112" s="212" t="s">
        <v>181</v>
      </c>
      <c r="H112" s="212">
        <v>630.79411661999995</v>
      </c>
      <c r="I112" s="158"/>
      <c r="K112" s="217"/>
      <c r="L112" s="217"/>
      <c r="M112" s="217"/>
      <c r="O112" s="230" t="s">
        <v>181</v>
      </c>
      <c r="P112" s="230">
        <v>652.25358086999995</v>
      </c>
    </row>
    <row r="113" spans="2:16" x14ac:dyDescent="0.2">
      <c r="B113" s="181" t="s">
        <v>96</v>
      </c>
      <c r="C113" s="184">
        <v>42305</v>
      </c>
      <c r="D113" s="181">
        <v>597.8558587</v>
      </c>
      <c r="E113" s="212">
        <v>1</v>
      </c>
      <c r="F113" s="198"/>
      <c r="G113" s="212" t="s">
        <v>316</v>
      </c>
      <c r="H113" s="212">
        <v>3223.91603166</v>
      </c>
      <c r="I113" s="158"/>
      <c r="K113" s="217"/>
      <c r="L113" s="217"/>
      <c r="M113" s="217"/>
      <c r="O113" s="230" t="s">
        <v>316</v>
      </c>
      <c r="P113" s="230">
        <v>3470.2173780500002</v>
      </c>
    </row>
    <row r="114" spans="2:16" x14ac:dyDescent="0.2">
      <c r="B114" s="181" t="s">
        <v>278</v>
      </c>
      <c r="C114" s="184">
        <v>42032</v>
      </c>
      <c r="D114" s="181">
        <v>695.5143372</v>
      </c>
      <c r="E114" s="212">
        <v>1</v>
      </c>
      <c r="F114" s="198"/>
      <c r="G114" s="212" t="s">
        <v>317</v>
      </c>
      <c r="H114" s="212">
        <v>4021.1678674499999</v>
      </c>
      <c r="I114" s="158"/>
      <c r="K114" s="217"/>
      <c r="L114" s="217"/>
      <c r="M114" s="217"/>
      <c r="O114" s="230" t="s">
        <v>317</v>
      </c>
      <c r="P114" s="230">
        <v>4183.1701987300003</v>
      </c>
    </row>
    <row r="115" spans="2:16" x14ac:dyDescent="0.2">
      <c r="B115" s="181" t="s">
        <v>279</v>
      </c>
      <c r="C115" s="184">
        <v>41411</v>
      </c>
      <c r="D115" s="181">
        <v>2240.63</v>
      </c>
      <c r="E115" s="212">
        <v>1</v>
      </c>
      <c r="F115" s="198"/>
      <c r="G115" s="212" t="s">
        <v>318</v>
      </c>
      <c r="H115" s="212">
        <v>633.89508652999996</v>
      </c>
      <c r="I115" s="158"/>
      <c r="K115" s="217"/>
      <c r="L115" s="217"/>
      <c r="M115" s="217"/>
      <c r="O115" s="230" t="s">
        <v>318</v>
      </c>
      <c r="P115" s="230">
        <v>705.95028936000006</v>
      </c>
    </row>
    <row r="116" spans="2:16" x14ac:dyDescent="0.2">
      <c r="B116" s="181" t="s">
        <v>280</v>
      </c>
      <c r="C116" s="184">
        <v>43060</v>
      </c>
      <c r="D116" s="181">
        <v>94610.911279070002</v>
      </c>
      <c r="E116" s="212">
        <v>1</v>
      </c>
      <c r="F116" s="198"/>
      <c r="G116" s="212" t="s">
        <v>320</v>
      </c>
      <c r="H116" s="212">
        <v>66.369226010000006</v>
      </c>
      <c r="I116" s="158"/>
      <c r="K116" s="217"/>
      <c r="L116" s="217"/>
      <c r="M116" s="217"/>
      <c r="O116" s="230" t="s">
        <v>320</v>
      </c>
      <c r="P116" s="230">
        <v>70.469828559999996</v>
      </c>
    </row>
    <row r="117" spans="2:16" x14ac:dyDescent="0.2">
      <c r="B117" s="181" t="s">
        <v>98</v>
      </c>
      <c r="C117" s="184">
        <v>39590</v>
      </c>
      <c r="D117" s="181">
        <v>42495.61</v>
      </c>
      <c r="E117" s="212">
        <v>1</v>
      </c>
      <c r="F117" s="198"/>
      <c r="G117" s="212" t="s">
        <v>321</v>
      </c>
      <c r="H117" s="212">
        <v>125.17051077000001</v>
      </c>
      <c r="I117" s="158"/>
      <c r="K117" s="217"/>
      <c r="L117" s="217"/>
      <c r="M117" s="217"/>
      <c r="O117" s="230" t="s">
        <v>321</v>
      </c>
      <c r="P117" s="230">
        <v>130.88420919999999</v>
      </c>
    </row>
    <row r="118" spans="2:16" x14ac:dyDescent="0.2">
      <c r="B118" s="181" t="s">
        <v>281</v>
      </c>
      <c r="C118" s="184">
        <v>43158</v>
      </c>
      <c r="D118" s="181">
        <v>268.36495516999997</v>
      </c>
      <c r="E118" s="212">
        <v>1</v>
      </c>
      <c r="F118" s="198"/>
      <c r="G118" s="212" t="s">
        <v>322</v>
      </c>
      <c r="H118" s="212">
        <v>47.96305855</v>
      </c>
      <c r="I118" s="158"/>
      <c r="K118" s="217"/>
      <c r="L118" s="217"/>
      <c r="M118" s="217"/>
      <c r="O118" s="230" t="s">
        <v>322</v>
      </c>
      <c r="P118" s="230">
        <v>50.164469169999997</v>
      </c>
    </row>
    <row r="119" spans="2:16" x14ac:dyDescent="0.2">
      <c r="B119" s="181" t="s">
        <v>282</v>
      </c>
      <c r="C119" s="184">
        <v>43125</v>
      </c>
      <c r="D119" s="181">
        <v>11610.59631465</v>
      </c>
      <c r="E119" s="212">
        <v>1</v>
      </c>
      <c r="F119" s="198"/>
      <c r="G119" s="212" t="s">
        <v>323</v>
      </c>
      <c r="H119" s="212">
        <v>86.688568579999995</v>
      </c>
      <c r="I119" s="158"/>
      <c r="K119" s="217"/>
      <c r="L119" s="217"/>
      <c r="M119" s="217"/>
      <c r="O119" s="230" t="s">
        <v>323</v>
      </c>
      <c r="P119" s="230">
        <v>89.289409340000006</v>
      </c>
    </row>
    <row r="120" spans="2:16" x14ac:dyDescent="0.2">
      <c r="B120" s="181" t="s">
        <v>283</v>
      </c>
      <c r="C120" s="184">
        <v>43125</v>
      </c>
      <c r="D120" s="181">
        <v>10936.001684839999</v>
      </c>
      <c r="E120" s="212">
        <v>1</v>
      </c>
      <c r="F120" s="198"/>
      <c r="G120" s="212" t="s">
        <v>324</v>
      </c>
      <c r="H120" s="212">
        <v>49587.469325760001</v>
      </c>
      <c r="I120" s="158"/>
      <c r="K120" s="217"/>
      <c r="L120" s="217"/>
      <c r="M120" s="217"/>
      <c r="O120" s="230" t="s">
        <v>324</v>
      </c>
      <c r="P120" s="230">
        <v>52274.030369710003</v>
      </c>
    </row>
    <row r="121" spans="2:16" x14ac:dyDescent="0.2">
      <c r="B121" s="181" t="s">
        <v>284</v>
      </c>
      <c r="C121" s="184">
        <v>41009</v>
      </c>
      <c r="D121" s="181">
        <v>91356.97</v>
      </c>
      <c r="E121" s="212">
        <v>1</v>
      </c>
      <c r="F121" s="198"/>
      <c r="G121" s="212" t="s">
        <v>325</v>
      </c>
      <c r="H121" s="212">
        <v>3661.5789656299999</v>
      </c>
      <c r="I121" s="158"/>
      <c r="K121" s="217"/>
      <c r="L121" s="217"/>
      <c r="M121" s="217"/>
      <c r="O121" s="230" t="s">
        <v>325</v>
      </c>
      <c r="P121" s="230">
        <v>3919.5271637599999</v>
      </c>
    </row>
    <row r="122" spans="2:16" x14ac:dyDescent="0.2">
      <c r="B122" s="181" t="s">
        <v>285</v>
      </c>
      <c r="C122" s="184">
        <v>39226</v>
      </c>
      <c r="D122" s="181">
        <v>30904.43</v>
      </c>
      <c r="E122" s="212">
        <v>1</v>
      </c>
      <c r="F122" s="198"/>
      <c r="G122" s="212" t="s">
        <v>326</v>
      </c>
      <c r="H122" s="212">
        <v>55650.413073830001</v>
      </c>
      <c r="I122" s="158"/>
      <c r="K122" s="217"/>
      <c r="L122" s="217"/>
      <c r="M122" s="217"/>
      <c r="O122" s="230" t="s">
        <v>326</v>
      </c>
      <c r="P122" s="230">
        <v>58528.395363759999</v>
      </c>
    </row>
    <row r="123" spans="2:16" x14ac:dyDescent="0.2">
      <c r="B123" s="181" t="s">
        <v>286</v>
      </c>
      <c r="C123" s="184">
        <v>39381</v>
      </c>
      <c r="D123" s="181">
        <v>70277.3</v>
      </c>
      <c r="E123" s="212">
        <v>1</v>
      </c>
      <c r="F123" s="198"/>
      <c r="G123" s="212" t="s">
        <v>327</v>
      </c>
      <c r="H123" s="212">
        <v>11863.692693139999</v>
      </c>
      <c r="I123" s="158"/>
      <c r="K123" s="217"/>
      <c r="L123" s="217"/>
      <c r="M123" s="217"/>
      <c r="O123" s="230" t="s">
        <v>327</v>
      </c>
      <c r="P123" s="230">
        <v>12585.66219202</v>
      </c>
    </row>
    <row r="124" spans="2:16" x14ac:dyDescent="0.2">
      <c r="B124" s="181" t="s">
        <v>287</v>
      </c>
      <c r="C124" s="184">
        <v>43131</v>
      </c>
      <c r="D124" s="181">
        <v>227.82227137999999</v>
      </c>
      <c r="E124" s="212">
        <v>1</v>
      </c>
      <c r="F124" s="198"/>
      <c r="G124" s="212" t="s">
        <v>328</v>
      </c>
      <c r="H124" s="212">
        <v>879.59353954000005</v>
      </c>
      <c r="I124" s="158"/>
      <c r="K124" s="217"/>
      <c r="L124" s="217"/>
      <c r="M124" s="217"/>
      <c r="O124" s="230" t="s">
        <v>328</v>
      </c>
      <c r="P124" s="230">
        <v>872.58608135999998</v>
      </c>
    </row>
    <row r="125" spans="2:16" x14ac:dyDescent="0.2">
      <c r="B125" s="181" t="s">
        <v>288</v>
      </c>
      <c r="C125" s="184">
        <v>42193</v>
      </c>
      <c r="D125" s="181">
        <v>3470.8482101700001</v>
      </c>
      <c r="E125" s="212">
        <v>1</v>
      </c>
      <c r="F125" s="198"/>
      <c r="G125" s="212" t="s">
        <v>330</v>
      </c>
      <c r="H125" s="212">
        <v>3097.6096875500002</v>
      </c>
      <c r="I125" s="158"/>
      <c r="K125" s="217"/>
      <c r="L125" s="217"/>
      <c r="M125" s="217"/>
      <c r="O125" s="230" t="s">
        <v>330</v>
      </c>
      <c r="P125" s="230">
        <v>3265.1780576400001</v>
      </c>
    </row>
    <row r="126" spans="2:16" x14ac:dyDescent="0.2">
      <c r="B126" s="181" t="s">
        <v>289</v>
      </c>
      <c r="C126" s="184">
        <v>43125</v>
      </c>
      <c r="D126" s="181">
        <v>11425.13000949</v>
      </c>
      <c r="E126" s="212">
        <v>1</v>
      </c>
      <c r="F126" s="198"/>
      <c r="G126" s="212" t="s">
        <v>331</v>
      </c>
      <c r="H126" s="212">
        <v>10652.72663393</v>
      </c>
      <c r="I126" s="158"/>
      <c r="K126" s="217"/>
      <c r="L126" s="217"/>
      <c r="M126" s="217"/>
      <c r="O126" s="230" t="s">
        <v>331</v>
      </c>
      <c r="P126" s="230">
        <v>11377.121684629999</v>
      </c>
    </row>
    <row r="127" spans="2:16" x14ac:dyDescent="0.2">
      <c r="B127" s="181" t="s">
        <v>290</v>
      </c>
      <c r="C127" s="184">
        <v>43607</v>
      </c>
      <c r="D127" s="181">
        <v>14526.625700000001</v>
      </c>
      <c r="E127" s="212">
        <v>1</v>
      </c>
      <c r="F127" s="198"/>
      <c r="G127" s="212" t="s">
        <v>333</v>
      </c>
      <c r="H127" s="212">
        <v>7066.11</v>
      </c>
      <c r="I127" s="158"/>
      <c r="K127" s="217"/>
      <c r="L127" s="217"/>
      <c r="M127" s="217"/>
      <c r="O127" s="230" t="s">
        <v>333</v>
      </c>
      <c r="P127" s="230">
        <v>9029.42</v>
      </c>
    </row>
    <row r="128" spans="2:16" x14ac:dyDescent="0.2">
      <c r="B128" s="181" t="s">
        <v>291</v>
      </c>
      <c r="C128" s="184">
        <v>42122</v>
      </c>
      <c r="D128" s="181">
        <v>26558.425318059999</v>
      </c>
      <c r="E128" s="212">
        <v>1</v>
      </c>
      <c r="F128" s="198"/>
      <c r="G128" s="212" t="s">
        <v>334</v>
      </c>
      <c r="H128" s="212">
        <v>12252.49</v>
      </c>
      <c r="I128" s="158"/>
      <c r="K128" s="217"/>
      <c r="L128" s="217"/>
      <c r="M128" s="217"/>
      <c r="O128" s="230" t="s">
        <v>334</v>
      </c>
      <c r="P128" s="230">
        <v>13602.43</v>
      </c>
    </row>
    <row r="129" spans="2:16" x14ac:dyDescent="0.2">
      <c r="B129" s="181" t="s">
        <v>57</v>
      </c>
      <c r="C129" s="184">
        <v>43125</v>
      </c>
      <c r="D129" s="181">
        <v>28107.866765129998</v>
      </c>
      <c r="E129" s="212">
        <v>1</v>
      </c>
      <c r="F129" s="198"/>
      <c r="G129" s="212" t="s">
        <v>335</v>
      </c>
      <c r="H129" s="212">
        <v>6128.2</v>
      </c>
      <c r="I129" s="158"/>
      <c r="K129" s="217"/>
      <c r="L129" s="217"/>
      <c r="M129" s="217"/>
      <c r="O129" s="230" t="s">
        <v>335</v>
      </c>
      <c r="P129" s="230">
        <v>5983.15</v>
      </c>
    </row>
    <row r="130" spans="2:16" x14ac:dyDescent="0.2">
      <c r="B130" s="181" t="s">
        <v>50</v>
      </c>
      <c r="C130" s="184">
        <v>43125</v>
      </c>
      <c r="D130" s="181">
        <v>30767.717573220001</v>
      </c>
      <c r="E130" s="212">
        <v>1</v>
      </c>
      <c r="F130" s="198"/>
      <c r="G130" s="212" t="s">
        <v>336</v>
      </c>
      <c r="H130" s="212">
        <v>5803.02</v>
      </c>
      <c r="I130" s="158"/>
      <c r="K130" s="217"/>
      <c r="L130" s="217"/>
      <c r="M130" s="217"/>
      <c r="O130" s="230" t="s">
        <v>336</v>
      </c>
      <c r="P130" s="230">
        <v>5859.49</v>
      </c>
    </row>
    <row r="131" spans="2:16" x14ac:dyDescent="0.2">
      <c r="B131" s="181" t="s">
        <v>292</v>
      </c>
      <c r="C131" s="184">
        <v>40588</v>
      </c>
      <c r="D131" s="181">
        <v>24209.279999999999</v>
      </c>
      <c r="E131" s="212">
        <v>1</v>
      </c>
      <c r="F131" s="198"/>
      <c r="G131" s="212" t="s">
        <v>337</v>
      </c>
      <c r="H131" s="212">
        <v>2311.13</v>
      </c>
      <c r="I131" s="158"/>
      <c r="K131" s="217"/>
      <c r="L131" s="217"/>
      <c r="M131" s="217"/>
      <c r="O131" s="230" t="s">
        <v>337</v>
      </c>
      <c r="P131" s="230">
        <v>2405.08</v>
      </c>
    </row>
    <row r="132" spans="2:16" x14ac:dyDescent="0.2">
      <c r="B132" s="181" t="s">
        <v>537</v>
      </c>
      <c r="C132" s="184">
        <v>43060</v>
      </c>
      <c r="D132" s="181">
        <v>85296.650230529995</v>
      </c>
      <c r="E132" s="212">
        <v>1</v>
      </c>
      <c r="F132" s="198"/>
      <c r="G132" s="212" t="s">
        <v>338</v>
      </c>
      <c r="H132" s="212">
        <v>19941.09</v>
      </c>
      <c r="I132" s="158"/>
      <c r="K132" s="217"/>
      <c r="L132" s="217"/>
      <c r="M132" s="217"/>
      <c r="O132" s="230" t="s">
        <v>338</v>
      </c>
      <c r="P132" s="230">
        <v>20662.18</v>
      </c>
    </row>
    <row r="133" spans="2:16" x14ac:dyDescent="0.2">
      <c r="B133" s="181" t="s">
        <v>100</v>
      </c>
      <c r="C133" s="184">
        <v>42129</v>
      </c>
      <c r="D133" s="181">
        <v>431.46959335999998</v>
      </c>
      <c r="E133" s="212">
        <v>1</v>
      </c>
      <c r="F133" s="198"/>
      <c r="G133" s="212" t="s">
        <v>339</v>
      </c>
      <c r="H133" s="212">
        <v>2514.77</v>
      </c>
      <c r="I133" s="158"/>
      <c r="K133" s="217"/>
      <c r="L133" s="217"/>
      <c r="M133" s="217"/>
      <c r="O133" s="230" t="s">
        <v>339</v>
      </c>
      <c r="P133" s="230">
        <v>2829.03</v>
      </c>
    </row>
    <row r="134" spans="2:16" x14ac:dyDescent="0.2">
      <c r="B134" s="181" t="s">
        <v>102</v>
      </c>
      <c r="C134" s="184">
        <v>43060</v>
      </c>
      <c r="D134" s="181">
        <v>738.92755879000003</v>
      </c>
      <c r="E134" s="212">
        <v>1</v>
      </c>
      <c r="F134" s="198"/>
      <c r="G134" s="212" t="s">
        <v>340</v>
      </c>
      <c r="H134" s="212">
        <v>4551.7</v>
      </c>
      <c r="I134" s="158"/>
      <c r="K134" s="217"/>
      <c r="L134" s="217"/>
      <c r="M134" s="217"/>
      <c r="O134" s="230" t="s">
        <v>340</v>
      </c>
      <c r="P134" s="230">
        <v>4664.62</v>
      </c>
    </row>
    <row r="135" spans="2:16" x14ac:dyDescent="0.2">
      <c r="B135" s="181" t="s">
        <v>293</v>
      </c>
      <c r="C135" s="184">
        <v>41689</v>
      </c>
      <c r="D135" s="181">
        <v>10314.608568510001</v>
      </c>
      <c r="E135" s="212">
        <v>1</v>
      </c>
      <c r="F135" s="198"/>
      <c r="G135" s="212" t="s">
        <v>341</v>
      </c>
      <c r="H135" s="212">
        <v>4775.2299999999996</v>
      </c>
      <c r="I135" s="158"/>
      <c r="K135" s="217"/>
      <c r="L135" s="217"/>
      <c r="M135" s="217"/>
      <c r="O135" s="230" t="s">
        <v>341</v>
      </c>
      <c r="P135" s="230">
        <v>5013.62</v>
      </c>
    </row>
    <row r="136" spans="2:16" x14ac:dyDescent="0.2">
      <c r="B136" s="181" t="s">
        <v>294</v>
      </c>
      <c r="C136" s="184">
        <v>40581</v>
      </c>
      <c r="D136" s="181">
        <v>82132.160000000003</v>
      </c>
      <c r="E136" s="212">
        <v>1</v>
      </c>
      <c r="F136" s="198"/>
      <c r="G136" s="212" t="s">
        <v>342</v>
      </c>
      <c r="H136" s="212">
        <v>4672.5600000000004</v>
      </c>
      <c r="I136" s="158"/>
      <c r="K136" s="217"/>
      <c r="L136" s="217"/>
      <c r="M136" s="217"/>
      <c r="O136" s="230" t="s">
        <v>342</v>
      </c>
      <c r="P136" s="230">
        <v>4702.66</v>
      </c>
    </row>
    <row r="137" spans="2:16" x14ac:dyDescent="0.2">
      <c r="B137" s="181" t="s">
        <v>295</v>
      </c>
      <c r="C137" s="184">
        <v>41893</v>
      </c>
      <c r="D137" s="181">
        <v>83071.234493240001</v>
      </c>
      <c r="E137" s="212">
        <v>1</v>
      </c>
      <c r="F137" s="198"/>
      <c r="G137" s="212" t="s">
        <v>343</v>
      </c>
      <c r="H137" s="212">
        <v>9469.81</v>
      </c>
      <c r="I137" s="158"/>
      <c r="K137" s="217"/>
      <c r="L137" s="217"/>
      <c r="M137" s="217"/>
      <c r="O137" s="230" t="s">
        <v>343</v>
      </c>
      <c r="P137" s="230">
        <v>9437.64</v>
      </c>
    </row>
    <row r="138" spans="2:16" x14ac:dyDescent="0.2">
      <c r="B138" s="181" t="s">
        <v>296</v>
      </c>
      <c r="C138" s="184">
        <v>42460</v>
      </c>
      <c r="D138" s="181">
        <v>664.66121383999996</v>
      </c>
      <c r="E138" s="212">
        <v>1</v>
      </c>
      <c r="F138" s="198"/>
      <c r="G138" s="212" t="s">
        <v>344</v>
      </c>
      <c r="H138" s="212">
        <v>19927.63</v>
      </c>
      <c r="I138" s="158"/>
      <c r="K138" s="217"/>
      <c r="L138" s="217"/>
      <c r="M138" s="217"/>
      <c r="O138" s="230" t="s">
        <v>344</v>
      </c>
      <c r="P138" s="230">
        <v>21667.919999999998</v>
      </c>
    </row>
    <row r="139" spans="2:16" x14ac:dyDescent="0.2">
      <c r="B139" s="181" t="s">
        <v>297</v>
      </c>
      <c r="C139" s="184">
        <v>38840</v>
      </c>
      <c r="D139" s="181">
        <v>2905.13</v>
      </c>
      <c r="E139" s="212">
        <v>1</v>
      </c>
      <c r="F139" s="198"/>
      <c r="G139" s="212" t="s">
        <v>345</v>
      </c>
      <c r="H139" s="212">
        <v>9753.42</v>
      </c>
      <c r="I139" s="158"/>
      <c r="K139" s="217"/>
      <c r="L139" s="217"/>
      <c r="M139" s="217"/>
      <c r="O139" s="230" t="s">
        <v>345</v>
      </c>
      <c r="P139" s="230">
        <v>10603.89</v>
      </c>
    </row>
    <row r="140" spans="2:16" x14ac:dyDescent="0.2">
      <c r="B140" s="181" t="s">
        <v>298</v>
      </c>
      <c r="C140" s="184">
        <v>43342</v>
      </c>
      <c r="D140" s="181">
        <v>1323.46096818</v>
      </c>
      <c r="E140" s="212">
        <v>1</v>
      </c>
      <c r="F140" s="198"/>
      <c r="G140" s="212" t="s">
        <v>346</v>
      </c>
      <c r="H140" s="212">
        <v>355.35</v>
      </c>
      <c r="I140" s="158"/>
      <c r="K140" s="217"/>
      <c r="L140" s="217"/>
      <c r="M140" s="217"/>
      <c r="O140" s="230" t="s">
        <v>346</v>
      </c>
      <c r="P140" s="230">
        <v>543.63</v>
      </c>
    </row>
    <row r="141" spans="2:16" x14ac:dyDescent="0.2">
      <c r="B141" s="181" t="s">
        <v>299</v>
      </c>
      <c r="C141" s="184">
        <v>42521</v>
      </c>
      <c r="D141" s="181">
        <v>12393.618495070001</v>
      </c>
      <c r="E141" s="212">
        <v>1</v>
      </c>
      <c r="F141" s="198"/>
      <c r="G141" s="212" t="s">
        <v>347</v>
      </c>
      <c r="H141" s="212">
        <v>41071.129999999997</v>
      </c>
      <c r="I141" s="158"/>
      <c r="K141" s="217"/>
      <c r="L141" s="217"/>
      <c r="M141" s="217"/>
      <c r="O141" s="230" t="s">
        <v>347</v>
      </c>
      <c r="P141" s="230">
        <v>40453.64</v>
      </c>
    </row>
    <row r="142" spans="2:16" x14ac:dyDescent="0.2">
      <c r="B142" s="181" t="s">
        <v>300</v>
      </c>
      <c r="C142" s="184">
        <v>40934</v>
      </c>
      <c r="D142" s="181">
        <v>2257.3200000000002</v>
      </c>
      <c r="E142" s="212">
        <v>1</v>
      </c>
      <c r="F142" s="198"/>
      <c r="G142" s="212" t="s">
        <v>348</v>
      </c>
      <c r="H142" s="212">
        <v>6361.37</v>
      </c>
      <c r="I142" s="158"/>
      <c r="K142" s="217"/>
      <c r="L142" s="217"/>
      <c r="M142" s="217"/>
      <c r="O142" s="230" t="s">
        <v>348</v>
      </c>
      <c r="P142" s="230">
        <v>6991.08</v>
      </c>
    </row>
    <row r="143" spans="2:16" x14ac:dyDescent="0.2">
      <c r="B143" s="181" t="s">
        <v>59</v>
      </c>
      <c r="C143" s="184">
        <v>43060</v>
      </c>
      <c r="D143" s="181">
        <v>12491.5886923</v>
      </c>
      <c r="E143" s="212">
        <v>1</v>
      </c>
      <c r="F143" s="198"/>
      <c r="G143" s="212" t="s">
        <v>349</v>
      </c>
      <c r="H143" s="212">
        <v>11416.66</v>
      </c>
      <c r="I143" s="158"/>
      <c r="K143" s="217"/>
      <c r="L143" s="217"/>
      <c r="M143" s="217"/>
      <c r="O143" s="230" t="s">
        <v>349</v>
      </c>
      <c r="P143" s="230">
        <v>13517.96</v>
      </c>
    </row>
    <row r="144" spans="2:16" x14ac:dyDescent="0.2">
      <c r="B144" s="181" t="s">
        <v>52</v>
      </c>
      <c r="C144" s="184">
        <v>43125</v>
      </c>
      <c r="D144" s="181">
        <v>13771.555498350001</v>
      </c>
      <c r="E144" s="212">
        <v>1</v>
      </c>
      <c r="F144" s="198"/>
      <c r="G144" s="212" t="s">
        <v>350</v>
      </c>
      <c r="H144" s="212">
        <v>9006.23</v>
      </c>
      <c r="I144" s="158"/>
      <c r="K144" s="217"/>
      <c r="L144" s="217"/>
      <c r="M144" s="217"/>
      <c r="O144" s="230" t="s">
        <v>350</v>
      </c>
      <c r="P144" s="230">
        <v>9456.2099999999991</v>
      </c>
    </row>
    <row r="145" spans="2:16" x14ac:dyDescent="0.2">
      <c r="B145" s="181" t="s">
        <v>538</v>
      </c>
      <c r="C145" s="184">
        <v>43125</v>
      </c>
      <c r="D145" s="181">
        <v>19449.716547939999</v>
      </c>
      <c r="E145" s="212">
        <v>1</v>
      </c>
      <c r="F145" s="198"/>
      <c r="G145" s="212" t="s">
        <v>351</v>
      </c>
      <c r="H145" s="212">
        <v>29618.58</v>
      </c>
      <c r="I145" s="158"/>
      <c r="K145" s="217"/>
      <c r="L145" s="217"/>
      <c r="M145" s="217"/>
      <c r="O145" s="230" t="s">
        <v>351</v>
      </c>
      <c r="P145" s="230">
        <v>29742.09</v>
      </c>
    </row>
    <row r="146" spans="2:16" x14ac:dyDescent="0.2">
      <c r="B146" s="181" t="s">
        <v>539</v>
      </c>
      <c r="C146" s="184">
        <v>43125</v>
      </c>
      <c r="D146" s="181">
        <v>20280.098055819999</v>
      </c>
      <c r="E146" s="212">
        <v>1</v>
      </c>
      <c r="F146" s="198"/>
      <c r="G146" s="212" t="s">
        <v>352</v>
      </c>
      <c r="H146" s="212">
        <v>10687.43</v>
      </c>
      <c r="I146" s="158"/>
      <c r="K146" s="217"/>
      <c r="L146" s="217"/>
      <c r="M146" s="217"/>
      <c r="O146" s="230" t="s">
        <v>352</v>
      </c>
      <c r="P146" s="230">
        <v>11399.99</v>
      </c>
    </row>
    <row r="147" spans="2:16" x14ac:dyDescent="0.2">
      <c r="B147" s="181" t="s">
        <v>301</v>
      </c>
      <c r="C147" s="184">
        <v>39381</v>
      </c>
      <c r="D147" s="181">
        <v>30836.11</v>
      </c>
      <c r="E147" s="212">
        <v>1</v>
      </c>
      <c r="F147" s="198"/>
      <c r="G147" s="212" t="s">
        <v>353</v>
      </c>
      <c r="H147" s="212">
        <v>109359.58</v>
      </c>
      <c r="I147" s="158"/>
      <c r="K147" s="217"/>
      <c r="L147" s="217"/>
      <c r="M147" s="217"/>
      <c r="O147" s="230" t="s">
        <v>353</v>
      </c>
      <c r="P147" s="230">
        <v>115245.2</v>
      </c>
    </row>
    <row r="148" spans="2:16" x14ac:dyDescent="0.2">
      <c r="B148" s="181" t="s">
        <v>302</v>
      </c>
      <c r="C148" s="184">
        <v>42030</v>
      </c>
      <c r="D148" s="181">
        <v>42581.471937620001</v>
      </c>
      <c r="E148" s="212">
        <v>1</v>
      </c>
      <c r="F148" s="198"/>
      <c r="G148" s="212" t="s">
        <v>354</v>
      </c>
      <c r="H148" s="212">
        <v>5621.88</v>
      </c>
      <c r="I148" s="158"/>
      <c r="K148" s="217"/>
      <c r="L148" s="217"/>
      <c r="M148" s="217"/>
      <c r="O148" s="230" t="s">
        <v>354</v>
      </c>
      <c r="P148" s="230">
        <v>5746.29</v>
      </c>
    </row>
    <row r="149" spans="2:16" x14ac:dyDescent="0.2">
      <c r="B149" s="181" t="s">
        <v>303</v>
      </c>
      <c r="C149" s="184">
        <v>43125</v>
      </c>
      <c r="D149" s="181">
        <v>6026.6277274599997</v>
      </c>
      <c r="E149" s="212">
        <v>1</v>
      </c>
      <c r="F149" s="198"/>
      <c r="G149" s="212" t="s">
        <v>355</v>
      </c>
      <c r="H149" s="212">
        <v>8620.84</v>
      </c>
      <c r="I149" s="158"/>
      <c r="K149" s="217"/>
      <c r="L149" s="217"/>
      <c r="M149" s="217"/>
      <c r="O149" s="230" t="s">
        <v>355</v>
      </c>
      <c r="P149" s="230">
        <v>7969.48</v>
      </c>
    </row>
    <row r="150" spans="2:16" x14ac:dyDescent="0.2">
      <c r="B150" s="181" t="s">
        <v>71</v>
      </c>
      <c r="C150" s="184">
        <v>39381</v>
      </c>
      <c r="D150" s="181">
        <v>24943.07</v>
      </c>
      <c r="E150" s="212">
        <v>1</v>
      </c>
      <c r="F150" s="198"/>
      <c r="G150" s="212" t="s">
        <v>356</v>
      </c>
      <c r="H150" s="212">
        <v>6916.68</v>
      </c>
      <c r="I150" s="158"/>
      <c r="K150" s="217"/>
      <c r="L150" s="217"/>
      <c r="M150" s="217"/>
      <c r="O150" s="230" t="s">
        <v>356</v>
      </c>
      <c r="P150" s="230">
        <v>6911.99</v>
      </c>
    </row>
    <row r="151" spans="2:16" x14ac:dyDescent="0.2">
      <c r="B151" s="181" t="s">
        <v>73</v>
      </c>
      <c r="C151" s="184">
        <v>39590</v>
      </c>
      <c r="D151" s="181">
        <v>42763.39</v>
      </c>
      <c r="E151" s="212">
        <v>1</v>
      </c>
      <c r="F151" s="198"/>
      <c r="G151" s="212" t="s">
        <v>357</v>
      </c>
      <c r="H151" s="212">
        <v>13065.63</v>
      </c>
      <c r="I151" s="158"/>
      <c r="K151" s="217"/>
      <c r="L151" s="217"/>
      <c r="M151" s="217"/>
      <c r="O151" s="230" t="s">
        <v>357</v>
      </c>
      <c r="P151" s="230">
        <v>13121.59</v>
      </c>
    </row>
    <row r="152" spans="2:16" x14ac:dyDescent="0.2">
      <c r="B152" s="181" t="s">
        <v>75</v>
      </c>
      <c r="C152" s="184">
        <v>43126</v>
      </c>
      <c r="D152" s="181">
        <v>57747.257279739999</v>
      </c>
      <c r="E152" s="212">
        <v>1</v>
      </c>
      <c r="F152" s="198"/>
      <c r="G152" s="212" t="s">
        <v>358</v>
      </c>
      <c r="H152" s="212">
        <v>18923.349999999999</v>
      </c>
      <c r="I152" s="158"/>
      <c r="K152" s="217"/>
      <c r="L152" s="217"/>
      <c r="M152" s="217"/>
      <c r="O152" s="230" t="s">
        <v>358</v>
      </c>
      <c r="P152" s="230">
        <v>20963.64</v>
      </c>
    </row>
    <row r="153" spans="2:16" x14ac:dyDescent="0.2">
      <c r="B153" s="181" t="s">
        <v>77</v>
      </c>
      <c r="C153" s="184">
        <v>43042</v>
      </c>
      <c r="D153" s="181">
        <v>84330.008150740003</v>
      </c>
      <c r="E153" s="212">
        <v>1</v>
      </c>
      <c r="F153" s="198"/>
      <c r="G153" s="212" t="s">
        <v>359</v>
      </c>
      <c r="H153" s="212">
        <v>12751.42</v>
      </c>
      <c r="I153" s="158"/>
      <c r="K153" s="217"/>
      <c r="L153" s="217"/>
      <c r="M153" s="217"/>
      <c r="O153" s="230" t="s">
        <v>359</v>
      </c>
      <c r="P153" s="230">
        <v>13135.45</v>
      </c>
    </row>
    <row r="154" spans="2:16" x14ac:dyDescent="0.2">
      <c r="B154" s="181" t="s">
        <v>304</v>
      </c>
      <c r="C154" s="184">
        <v>41250</v>
      </c>
      <c r="D154" s="181">
        <v>94719.679999999993</v>
      </c>
      <c r="E154" s="212">
        <v>1</v>
      </c>
      <c r="F154" s="198"/>
      <c r="G154" s="212" t="s">
        <v>360</v>
      </c>
      <c r="H154" s="212">
        <v>8369.61</v>
      </c>
      <c r="I154" s="158"/>
      <c r="K154" s="217"/>
      <c r="L154" s="217"/>
      <c r="M154" s="217"/>
      <c r="O154" s="230" t="s">
        <v>360</v>
      </c>
      <c r="P154" s="230">
        <v>8544.66</v>
      </c>
    </row>
    <row r="155" spans="2:16" x14ac:dyDescent="0.2">
      <c r="B155" s="181" t="s">
        <v>305</v>
      </c>
      <c r="C155" s="184">
        <v>39381</v>
      </c>
      <c r="D155" s="181">
        <v>31088.74</v>
      </c>
      <c r="E155" s="212">
        <v>1</v>
      </c>
      <c r="F155" s="198"/>
      <c r="G155" s="212" t="s">
        <v>361</v>
      </c>
      <c r="H155" s="212">
        <v>5089.6400000000003</v>
      </c>
      <c r="I155" s="158"/>
      <c r="K155" s="217"/>
      <c r="L155" s="217"/>
      <c r="M155" s="217"/>
      <c r="O155" s="230" t="s">
        <v>361</v>
      </c>
      <c r="P155" s="230">
        <v>5259.7</v>
      </c>
    </row>
    <row r="156" spans="2:16" x14ac:dyDescent="0.2">
      <c r="B156" s="181" t="s">
        <v>87</v>
      </c>
      <c r="C156" s="184">
        <v>41893</v>
      </c>
      <c r="D156" s="181">
        <v>95446.135778840006</v>
      </c>
      <c r="E156" s="212">
        <v>1</v>
      </c>
      <c r="F156" s="198"/>
      <c r="G156" s="212" t="s">
        <v>362</v>
      </c>
      <c r="H156" s="212">
        <v>7105.57</v>
      </c>
      <c r="I156" s="158"/>
      <c r="K156" s="217"/>
      <c r="L156" s="217"/>
      <c r="M156" s="217"/>
      <c r="O156" s="230" t="s">
        <v>362</v>
      </c>
      <c r="P156" s="230">
        <v>7655.15</v>
      </c>
    </row>
    <row r="157" spans="2:16" x14ac:dyDescent="0.2">
      <c r="B157" s="181" t="s">
        <v>79</v>
      </c>
      <c r="C157" s="184">
        <v>39381</v>
      </c>
      <c r="D157" s="181">
        <v>35813.949999999997</v>
      </c>
      <c r="E157" s="212">
        <v>1</v>
      </c>
      <c r="F157" s="198"/>
      <c r="G157" s="212" t="s">
        <v>363</v>
      </c>
      <c r="H157" s="212">
        <v>9126.69</v>
      </c>
      <c r="I157" s="158"/>
      <c r="K157" s="217"/>
      <c r="L157" s="217"/>
      <c r="M157" s="217"/>
      <c r="O157" s="230" t="s">
        <v>363</v>
      </c>
      <c r="P157" s="230">
        <v>9494.3799999999992</v>
      </c>
    </row>
    <row r="158" spans="2:16" x14ac:dyDescent="0.2">
      <c r="B158" s="181" t="s">
        <v>306</v>
      </c>
      <c r="C158" s="184">
        <v>40581</v>
      </c>
      <c r="D158" s="181">
        <v>88089.14</v>
      </c>
      <c r="E158" s="212">
        <v>1</v>
      </c>
      <c r="F158" s="198"/>
      <c r="G158" s="212" t="s">
        <v>364</v>
      </c>
      <c r="H158" s="212">
        <v>11681.22</v>
      </c>
      <c r="I158" s="158"/>
      <c r="K158" s="217"/>
      <c r="L158" s="217"/>
      <c r="M158" s="217"/>
      <c r="O158" s="230" t="s">
        <v>364</v>
      </c>
      <c r="P158" s="230">
        <v>13009.04</v>
      </c>
    </row>
    <row r="159" spans="2:16" x14ac:dyDescent="0.2">
      <c r="B159" s="181" t="s">
        <v>85</v>
      </c>
      <c r="C159" s="184">
        <v>39381</v>
      </c>
      <c r="D159" s="181">
        <v>65291.38</v>
      </c>
      <c r="E159" s="212">
        <v>1</v>
      </c>
      <c r="F159" s="198"/>
      <c r="G159" s="212" t="s">
        <v>367</v>
      </c>
      <c r="H159" s="212">
        <v>5771.5</v>
      </c>
      <c r="I159" s="158"/>
      <c r="K159" s="217"/>
      <c r="L159" s="217"/>
      <c r="M159" s="217"/>
      <c r="O159" s="230" t="s">
        <v>367</v>
      </c>
      <c r="P159" s="230">
        <v>6242.4</v>
      </c>
    </row>
    <row r="160" spans="2:16" x14ac:dyDescent="0.2">
      <c r="B160" s="181" t="s">
        <v>307</v>
      </c>
      <c r="C160" s="184">
        <v>42655</v>
      </c>
      <c r="D160" s="181">
        <v>6829.7257960500001</v>
      </c>
      <c r="E160" s="212">
        <v>1</v>
      </c>
      <c r="F160" s="198"/>
      <c r="G160" s="212" t="s">
        <v>368</v>
      </c>
      <c r="H160" s="212">
        <v>9624.76</v>
      </c>
      <c r="I160" s="158"/>
      <c r="K160" s="217"/>
      <c r="L160" s="217"/>
      <c r="M160" s="217"/>
      <c r="O160" s="230" t="s">
        <v>368</v>
      </c>
      <c r="P160" s="230">
        <v>10014.51</v>
      </c>
    </row>
    <row r="161" spans="2:16" x14ac:dyDescent="0.2">
      <c r="B161" s="181" t="s">
        <v>81</v>
      </c>
      <c r="C161" s="184">
        <v>43125</v>
      </c>
      <c r="D161" s="181">
        <v>48467.669364840003</v>
      </c>
      <c r="E161" s="212">
        <v>1</v>
      </c>
      <c r="F161" s="198"/>
      <c r="G161" s="212" t="s">
        <v>369</v>
      </c>
      <c r="H161" s="212">
        <v>12256.81</v>
      </c>
      <c r="I161" s="158"/>
      <c r="K161" s="217"/>
      <c r="L161" s="217"/>
      <c r="M161" s="217"/>
      <c r="O161" s="230" t="s">
        <v>369</v>
      </c>
      <c r="P161" s="230">
        <v>13089.21</v>
      </c>
    </row>
    <row r="162" spans="2:16" x14ac:dyDescent="0.2">
      <c r="B162" s="181" t="s">
        <v>83</v>
      </c>
      <c r="C162" s="184">
        <v>42222</v>
      </c>
      <c r="D162" s="181">
        <v>71088.506129760004</v>
      </c>
      <c r="E162" s="212">
        <v>1</v>
      </c>
      <c r="F162" s="198"/>
      <c r="G162" s="212" t="s">
        <v>370</v>
      </c>
      <c r="H162" s="212">
        <v>10793.26</v>
      </c>
      <c r="I162" s="158"/>
      <c r="K162" s="217"/>
      <c r="L162" s="217"/>
      <c r="M162" s="217"/>
      <c r="O162" s="230" t="s">
        <v>370</v>
      </c>
      <c r="P162" s="230">
        <v>12282.67</v>
      </c>
    </row>
    <row r="163" spans="2:16" x14ac:dyDescent="0.2">
      <c r="B163" s="181" t="s">
        <v>308</v>
      </c>
      <c r="C163" s="184">
        <v>43125</v>
      </c>
      <c r="D163" s="181">
        <v>9856.3269865999991</v>
      </c>
      <c r="E163" s="212">
        <v>1</v>
      </c>
      <c r="F163" s="198"/>
      <c r="G163" s="212" t="s">
        <v>371</v>
      </c>
      <c r="H163" s="212">
        <v>38733.870000000003</v>
      </c>
      <c r="I163" s="158"/>
      <c r="K163" s="217"/>
      <c r="L163" s="217"/>
      <c r="M163" s="217"/>
      <c r="O163" s="230" t="s">
        <v>371</v>
      </c>
      <c r="P163" s="230">
        <v>39991.24</v>
      </c>
    </row>
    <row r="164" spans="2:16" x14ac:dyDescent="0.2">
      <c r="B164" s="181" t="s">
        <v>309</v>
      </c>
      <c r="C164" s="184">
        <v>43616</v>
      </c>
      <c r="D164" s="181">
        <v>2944.0601585200002</v>
      </c>
      <c r="E164" s="212">
        <v>1</v>
      </c>
      <c r="F164" s="198"/>
      <c r="G164" s="212" t="s">
        <v>372</v>
      </c>
      <c r="H164" s="212">
        <v>6578.38</v>
      </c>
      <c r="I164" s="158"/>
      <c r="K164" s="217"/>
      <c r="L164" s="217"/>
      <c r="M164" s="217"/>
      <c r="O164" s="230" t="s">
        <v>372</v>
      </c>
      <c r="P164" s="230">
        <v>6528.07</v>
      </c>
    </row>
    <row r="165" spans="2:16" x14ac:dyDescent="0.2">
      <c r="B165" s="181" t="s">
        <v>310</v>
      </c>
      <c r="C165" s="184">
        <v>41887</v>
      </c>
      <c r="D165" s="181">
        <v>417.67220522999997</v>
      </c>
      <c r="E165" s="212">
        <v>1</v>
      </c>
      <c r="F165" s="198"/>
      <c r="G165" s="212" t="s">
        <v>373</v>
      </c>
      <c r="H165" s="212">
        <v>10065.280000000001</v>
      </c>
      <c r="I165" s="158"/>
      <c r="K165" s="217"/>
      <c r="L165" s="217"/>
      <c r="M165" s="217"/>
      <c r="O165" s="230" t="s">
        <v>373</v>
      </c>
      <c r="P165" s="230">
        <v>10313.06</v>
      </c>
    </row>
    <row r="166" spans="2:16" x14ac:dyDescent="0.2">
      <c r="B166" s="181" t="s">
        <v>540</v>
      </c>
      <c r="C166" s="184">
        <v>42488</v>
      </c>
      <c r="D166" s="181">
        <v>19062.31522</v>
      </c>
      <c r="E166" s="212">
        <v>1</v>
      </c>
      <c r="F166" s="198"/>
      <c r="G166" s="212" t="s">
        <v>374</v>
      </c>
      <c r="H166" s="212">
        <v>10863.28</v>
      </c>
      <c r="I166" s="158"/>
      <c r="K166" s="217"/>
      <c r="L166" s="217"/>
      <c r="M166" s="217"/>
      <c r="O166" s="230" t="s">
        <v>374</v>
      </c>
      <c r="P166" s="230">
        <v>12098.12</v>
      </c>
    </row>
    <row r="167" spans="2:16" x14ac:dyDescent="0.2">
      <c r="B167" s="181" t="s">
        <v>541</v>
      </c>
      <c r="C167" s="184">
        <v>42305</v>
      </c>
      <c r="D167" s="181">
        <v>18548.60542</v>
      </c>
      <c r="E167" s="212">
        <v>1</v>
      </c>
      <c r="F167" s="198"/>
      <c r="G167" s="212" t="s">
        <v>375</v>
      </c>
      <c r="H167" s="212">
        <v>4066.8</v>
      </c>
      <c r="I167" s="158"/>
      <c r="K167" s="217"/>
      <c r="L167" s="217"/>
      <c r="M167" s="217"/>
      <c r="O167" s="230" t="s">
        <v>375</v>
      </c>
      <c r="P167" s="230">
        <v>4430.6499999999996</v>
      </c>
    </row>
    <row r="168" spans="2:16" x14ac:dyDescent="0.2">
      <c r="B168" s="181" t="s">
        <v>542</v>
      </c>
      <c r="C168" s="184">
        <v>42578</v>
      </c>
      <c r="D168" s="181">
        <v>13742.29947</v>
      </c>
      <c r="E168" s="212">
        <v>1</v>
      </c>
      <c r="F168" s="198"/>
      <c r="G168" s="212" t="s">
        <v>376</v>
      </c>
      <c r="H168" s="212">
        <v>18656.45</v>
      </c>
      <c r="I168" s="158"/>
      <c r="K168" s="217"/>
      <c r="L168" s="217"/>
      <c r="M168" s="217"/>
      <c r="O168" s="230" t="s">
        <v>376</v>
      </c>
      <c r="P168" s="230">
        <v>20114.189999999999</v>
      </c>
    </row>
    <row r="169" spans="2:16" x14ac:dyDescent="0.2">
      <c r="B169" s="181" t="s">
        <v>311</v>
      </c>
      <c r="C169" s="184">
        <v>39381</v>
      </c>
      <c r="D169" s="181">
        <v>42355.94</v>
      </c>
      <c r="E169" s="212">
        <v>1</v>
      </c>
      <c r="F169" s="198"/>
      <c r="G169" s="212" t="s">
        <v>377</v>
      </c>
      <c r="H169" s="212">
        <v>13937.77</v>
      </c>
      <c r="I169" s="158"/>
      <c r="K169" s="217"/>
      <c r="L169" s="217"/>
      <c r="M169" s="217"/>
      <c r="O169" s="230" t="s">
        <v>377</v>
      </c>
      <c r="P169" s="230">
        <v>14219.75</v>
      </c>
    </row>
    <row r="170" spans="2:16" x14ac:dyDescent="0.2">
      <c r="B170" s="181" t="s">
        <v>312</v>
      </c>
      <c r="C170" s="184">
        <v>43587</v>
      </c>
      <c r="D170" s="181">
        <v>89801.649796929996</v>
      </c>
      <c r="E170" s="212">
        <v>1</v>
      </c>
      <c r="F170" s="198"/>
      <c r="G170" s="212" t="s">
        <v>378</v>
      </c>
      <c r="H170" s="212">
        <v>17281.849999999999</v>
      </c>
      <c r="I170" s="158"/>
      <c r="K170" s="217"/>
      <c r="L170" s="217"/>
      <c r="M170" s="217"/>
      <c r="O170" s="230" t="s">
        <v>378</v>
      </c>
      <c r="P170" s="230">
        <v>18273.87</v>
      </c>
    </row>
    <row r="171" spans="2:16" x14ac:dyDescent="0.2">
      <c r="B171" s="181" t="s">
        <v>313</v>
      </c>
      <c r="C171" s="184">
        <v>43165</v>
      </c>
      <c r="D171" s="181">
        <v>47641.71241624</v>
      </c>
      <c r="E171" s="212">
        <v>1</v>
      </c>
      <c r="F171" s="198"/>
      <c r="G171" s="212" t="s">
        <v>379</v>
      </c>
      <c r="H171" s="212">
        <v>4557.1000000000004</v>
      </c>
      <c r="I171" s="158"/>
      <c r="K171" s="217"/>
      <c r="L171" s="217"/>
      <c r="M171" s="217"/>
      <c r="O171" s="230" t="s">
        <v>379</v>
      </c>
      <c r="P171" s="230">
        <v>4928.91</v>
      </c>
    </row>
    <row r="172" spans="2:16" x14ac:dyDescent="0.2">
      <c r="B172" s="181" t="s">
        <v>314</v>
      </c>
      <c r="C172" s="184">
        <v>42374</v>
      </c>
      <c r="D172" s="181">
        <v>1792.3439825099999</v>
      </c>
      <c r="E172" s="212">
        <v>1</v>
      </c>
      <c r="F172" s="198"/>
      <c r="G172" s="212" t="s">
        <v>380</v>
      </c>
      <c r="H172" s="212">
        <v>16819.48</v>
      </c>
      <c r="I172" s="158"/>
      <c r="K172" s="217"/>
      <c r="L172" s="217"/>
      <c r="M172" s="217"/>
      <c r="O172" s="230" t="s">
        <v>380</v>
      </c>
      <c r="P172" s="230">
        <v>18080.86</v>
      </c>
    </row>
    <row r="173" spans="2:16" x14ac:dyDescent="0.2">
      <c r="B173" s="181" t="s">
        <v>181</v>
      </c>
      <c r="C173" s="184">
        <v>42303</v>
      </c>
      <c r="D173" s="181">
        <v>1035.8389392900001</v>
      </c>
      <c r="E173" s="212">
        <v>1</v>
      </c>
      <c r="F173" s="198"/>
      <c r="G173" s="212" t="s">
        <v>381</v>
      </c>
      <c r="H173" s="212">
        <v>13159.11</v>
      </c>
      <c r="I173" s="158"/>
      <c r="K173" s="217"/>
      <c r="L173" s="217"/>
      <c r="M173" s="217"/>
      <c r="O173" s="230" t="s">
        <v>381</v>
      </c>
      <c r="P173" s="230">
        <v>13483.06</v>
      </c>
    </row>
    <row r="174" spans="2:16" x14ac:dyDescent="0.2">
      <c r="B174" s="181" t="s">
        <v>315</v>
      </c>
      <c r="C174" s="184">
        <v>39209</v>
      </c>
      <c r="D174" s="181">
        <v>910.48</v>
      </c>
      <c r="E174" s="212">
        <v>1</v>
      </c>
      <c r="F174" s="198"/>
      <c r="G174" s="212" t="s">
        <v>382</v>
      </c>
      <c r="H174" s="212">
        <v>15561.63</v>
      </c>
      <c r="I174" s="158"/>
      <c r="K174" s="217"/>
      <c r="L174" s="217"/>
      <c r="M174" s="217"/>
      <c r="O174" s="230" t="s">
        <v>382</v>
      </c>
      <c r="P174" s="230">
        <v>16445.16</v>
      </c>
    </row>
    <row r="175" spans="2:16" x14ac:dyDescent="0.2">
      <c r="B175" s="181" t="s">
        <v>316</v>
      </c>
      <c r="C175" s="184">
        <v>42334</v>
      </c>
      <c r="D175" s="181">
        <v>5012.4318484900004</v>
      </c>
      <c r="E175" s="212">
        <v>1</v>
      </c>
      <c r="F175" s="198"/>
      <c r="G175" s="212" t="s">
        <v>383</v>
      </c>
      <c r="H175" s="212">
        <v>54731.145650760001</v>
      </c>
      <c r="I175" s="158"/>
      <c r="K175" s="217"/>
      <c r="L175" s="217"/>
      <c r="M175" s="217"/>
      <c r="O175" s="230" t="s">
        <v>383</v>
      </c>
      <c r="P175" s="230">
        <v>53937.623449519997</v>
      </c>
    </row>
    <row r="176" spans="2:16" x14ac:dyDescent="0.2">
      <c r="B176" s="181" t="s">
        <v>317</v>
      </c>
      <c r="C176" s="184">
        <v>42877</v>
      </c>
      <c r="D176" s="181">
        <v>5389.3519094800004</v>
      </c>
      <c r="E176" s="212">
        <v>1</v>
      </c>
      <c r="F176" s="198"/>
      <c r="G176" s="212"/>
      <c r="H176" s="212"/>
      <c r="I176" s="158"/>
      <c r="K176" s="217"/>
      <c r="L176" s="217"/>
      <c r="M176" s="217"/>
      <c r="O176" s="230"/>
      <c r="P176" s="230"/>
    </row>
    <row r="177" spans="2:16" x14ac:dyDescent="0.2">
      <c r="B177" s="181" t="s">
        <v>318</v>
      </c>
      <c r="C177" s="184">
        <v>42222</v>
      </c>
      <c r="D177" s="181">
        <v>1524.0086971600001</v>
      </c>
      <c r="E177" s="212">
        <v>1</v>
      </c>
      <c r="F177" s="198"/>
      <c r="G177" s="212"/>
      <c r="H177" s="212"/>
      <c r="I177" s="158"/>
      <c r="K177" s="217"/>
      <c r="L177" s="217"/>
      <c r="M177" s="217"/>
      <c r="O177" s="230"/>
      <c r="P177" s="230"/>
    </row>
    <row r="178" spans="2:16" x14ac:dyDescent="0.2">
      <c r="B178" s="181" t="s">
        <v>319</v>
      </c>
      <c r="C178" s="184">
        <v>41492</v>
      </c>
      <c r="D178" s="181">
        <v>4293.55</v>
      </c>
      <c r="E178" s="212">
        <v>1</v>
      </c>
      <c r="F178" s="198"/>
      <c r="G178" s="212"/>
      <c r="H178" s="212"/>
      <c r="I178" s="158"/>
      <c r="K178" s="217"/>
      <c r="L178" s="217"/>
      <c r="M178" s="217"/>
      <c r="O178" s="230"/>
      <c r="P178" s="230"/>
    </row>
    <row r="179" spans="2:16" x14ac:dyDescent="0.2">
      <c r="B179" s="181" t="s">
        <v>320</v>
      </c>
      <c r="C179" s="184">
        <v>43172</v>
      </c>
      <c r="D179" s="181">
        <v>82.544370499999999</v>
      </c>
      <c r="E179" s="212">
        <v>1</v>
      </c>
      <c r="F179" s="198"/>
      <c r="G179" s="212"/>
      <c r="H179" s="212"/>
      <c r="I179" s="158"/>
      <c r="K179" s="217"/>
      <c r="L179" s="217"/>
      <c r="M179" s="217"/>
      <c r="O179" s="230"/>
      <c r="P179" s="230"/>
    </row>
    <row r="180" spans="2:16" x14ac:dyDescent="0.2">
      <c r="B180" s="181" t="s">
        <v>321</v>
      </c>
      <c r="C180" s="184">
        <v>43341</v>
      </c>
      <c r="D180" s="181">
        <v>135.65917651999999</v>
      </c>
      <c r="E180" s="212">
        <v>1</v>
      </c>
      <c r="F180" s="198"/>
      <c r="G180" s="212"/>
      <c r="H180" s="212"/>
      <c r="I180" s="158"/>
      <c r="K180" s="217"/>
      <c r="L180" s="217"/>
      <c r="M180" s="217"/>
      <c r="O180" s="230"/>
      <c r="P180" s="230"/>
    </row>
    <row r="181" spans="2:16" x14ac:dyDescent="0.2">
      <c r="B181" s="181" t="s">
        <v>322</v>
      </c>
      <c r="C181" s="184">
        <v>43220</v>
      </c>
      <c r="D181" s="181">
        <v>60.391819920000003</v>
      </c>
      <c r="E181" s="212">
        <v>1</v>
      </c>
      <c r="F181" s="198"/>
      <c r="G181" s="212"/>
      <c r="H181" s="212"/>
      <c r="I181" s="158"/>
      <c r="K181" s="217"/>
      <c r="L181" s="217"/>
      <c r="M181" s="217"/>
      <c r="O181" s="230"/>
      <c r="P181" s="230"/>
    </row>
    <row r="182" spans="2:16" x14ac:dyDescent="0.2">
      <c r="B182" s="181" t="s">
        <v>323</v>
      </c>
      <c r="C182" s="184">
        <v>43348</v>
      </c>
      <c r="D182" s="181">
        <v>98.026254199999997</v>
      </c>
      <c r="E182" s="212">
        <v>1</v>
      </c>
      <c r="F182" s="198"/>
      <c r="G182" s="212"/>
      <c r="H182" s="212"/>
      <c r="I182" s="158"/>
      <c r="K182" s="217"/>
      <c r="L182" s="217"/>
      <c r="M182" s="217"/>
      <c r="O182" s="230"/>
      <c r="P182" s="230"/>
    </row>
    <row r="183" spans="2:16" x14ac:dyDescent="0.2">
      <c r="B183" s="181" t="s">
        <v>324</v>
      </c>
      <c r="C183" s="184">
        <v>43060</v>
      </c>
      <c r="D183" s="181">
        <v>55065.365928040002</v>
      </c>
      <c r="E183" s="212">
        <v>1</v>
      </c>
      <c r="F183" s="198"/>
      <c r="G183" s="212"/>
      <c r="H183" s="212"/>
      <c r="I183" s="158"/>
      <c r="K183" s="217"/>
      <c r="L183" s="217"/>
      <c r="M183" s="217"/>
      <c r="O183" s="230"/>
      <c r="P183" s="230"/>
    </row>
    <row r="184" spans="2:16" x14ac:dyDescent="0.2">
      <c r="B184" s="181" t="s">
        <v>325</v>
      </c>
      <c r="C184" s="184">
        <v>43125</v>
      </c>
      <c r="D184" s="181">
        <v>4957.9597465699999</v>
      </c>
      <c r="E184" s="212">
        <v>1</v>
      </c>
      <c r="F184" s="198"/>
      <c r="G184" s="212"/>
      <c r="H184" s="212"/>
      <c r="I184" s="158"/>
      <c r="K184" s="217"/>
      <c r="L184" s="217"/>
      <c r="M184" s="217"/>
      <c r="O184" s="230"/>
      <c r="P184" s="230"/>
    </row>
    <row r="185" spans="2:16" x14ac:dyDescent="0.2">
      <c r="B185" s="181" t="s">
        <v>326</v>
      </c>
      <c r="C185" s="184">
        <v>43125</v>
      </c>
      <c r="D185" s="181">
        <v>61684.771932919997</v>
      </c>
      <c r="E185" s="212">
        <v>1</v>
      </c>
      <c r="F185" s="198"/>
      <c r="G185" s="212"/>
      <c r="H185" s="212"/>
      <c r="I185" s="158"/>
      <c r="K185" s="217"/>
      <c r="L185" s="217"/>
      <c r="M185" s="217"/>
      <c r="O185" s="230"/>
      <c r="P185" s="230"/>
    </row>
    <row r="186" spans="2:16" x14ac:dyDescent="0.2">
      <c r="B186" s="181" t="s">
        <v>327</v>
      </c>
      <c r="C186" s="184">
        <v>43125</v>
      </c>
      <c r="D186" s="181">
        <v>13771.555498350001</v>
      </c>
      <c r="E186" s="212">
        <v>1</v>
      </c>
      <c r="F186" s="198"/>
      <c r="G186" s="212"/>
      <c r="H186" s="212"/>
      <c r="I186" s="158"/>
      <c r="K186" s="217"/>
      <c r="L186" s="217"/>
      <c r="M186" s="217"/>
      <c r="O186" s="230"/>
      <c r="P186" s="230"/>
    </row>
    <row r="187" spans="2:16" x14ac:dyDescent="0.2">
      <c r="B187" s="181" t="s">
        <v>328</v>
      </c>
      <c r="C187" s="184">
        <v>41065</v>
      </c>
      <c r="D187" s="181">
        <v>1120.92</v>
      </c>
      <c r="E187" s="212">
        <v>1</v>
      </c>
      <c r="F187" s="198"/>
      <c r="G187" s="212"/>
      <c r="H187" s="212"/>
      <c r="I187" s="158"/>
      <c r="K187" s="217"/>
      <c r="L187" s="217"/>
      <c r="M187" s="217"/>
      <c r="O187" s="230"/>
      <c r="P187" s="230"/>
    </row>
    <row r="188" spans="2:16" x14ac:dyDescent="0.2">
      <c r="B188" s="181" t="s">
        <v>329</v>
      </c>
      <c r="C188" s="184">
        <v>43125</v>
      </c>
      <c r="D188" s="181">
        <v>11610.59631465</v>
      </c>
      <c r="E188" s="212">
        <v>1</v>
      </c>
      <c r="F188" s="198"/>
      <c r="G188" s="212"/>
      <c r="H188" s="212"/>
      <c r="I188" s="158"/>
      <c r="K188" s="217"/>
      <c r="L188" s="217"/>
      <c r="M188" s="217"/>
      <c r="O188" s="230"/>
      <c r="P188" s="230"/>
    </row>
    <row r="189" spans="2:16" x14ac:dyDescent="0.2">
      <c r="B189" s="181" t="s">
        <v>330</v>
      </c>
      <c r="C189" s="184">
        <v>41849</v>
      </c>
      <c r="D189" s="181">
        <v>4482.8823280400002</v>
      </c>
      <c r="E189" s="212">
        <v>1</v>
      </c>
      <c r="F189" s="198"/>
      <c r="G189" s="212"/>
      <c r="H189" s="212"/>
      <c r="I189" s="158"/>
      <c r="K189" s="217"/>
      <c r="L189" s="217"/>
      <c r="M189" s="217"/>
      <c r="O189" s="230"/>
      <c r="P189" s="230"/>
    </row>
    <row r="190" spans="2:16" x14ac:dyDescent="0.2">
      <c r="B190" s="181" t="s">
        <v>331</v>
      </c>
      <c r="C190" s="184">
        <v>43060</v>
      </c>
      <c r="D190" s="181">
        <v>12491.5886923</v>
      </c>
      <c r="E190" s="212">
        <v>1</v>
      </c>
      <c r="F190" s="198"/>
      <c r="G190" s="212"/>
      <c r="H190" s="212"/>
      <c r="I190" s="158"/>
      <c r="K190" s="217"/>
      <c r="L190" s="217"/>
      <c r="M190" s="217"/>
      <c r="O190" s="230"/>
      <c r="P190" s="230"/>
    </row>
    <row r="191" spans="2:16" x14ac:dyDescent="0.2">
      <c r="B191" s="181" t="s">
        <v>332</v>
      </c>
      <c r="C191" s="184">
        <v>43255</v>
      </c>
      <c r="D191" s="181">
        <v>30300.78</v>
      </c>
      <c r="E191" s="212">
        <v>1</v>
      </c>
      <c r="F191" s="198"/>
      <c r="G191" s="212"/>
      <c r="H191" s="212"/>
      <c r="I191" s="158"/>
      <c r="K191" s="217"/>
      <c r="L191" s="217"/>
      <c r="M191" s="217"/>
      <c r="O191" s="230"/>
      <c r="P191" s="230"/>
    </row>
    <row r="192" spans="2:16" x14ac:dyDescent="0.2">
      <c r="B192" s="181" t="s">
        <v>333</v>
      </c>
      <c r="C192" s="184">
        <v>43347</v>
      </c>
      <c r="D192" s="181">
        <v>11098.43</v>
      </c>
      <c r="E192" s="212">
        <v>1</v>
      </c>
      <c r="F192" s="198"/>
      <c r="G192" s="212"/>
      <c r="H192" s="212"/>
      <c r="I192" s="158"/>
      <c r="K192" s="217"/>
      <c r="L192" s="217"/>
      <c r="M192" s="217"/>
      <c r="O192" s="230"/>
      <c r="P192" s="230"/>
    </row>
    <row r="193" spans="2:16" x14ac:dyDescent="0.2">
      <c r="B193" s="181" t="s">
        <v>334</v>
      </c>
      <c r="C193" s="184">
        <v>43348</v>
      </c>
      <c r="D193" s="181">
        <v>19072.88</v>
      </c>
      <c r="E193" s="212">
        <v>1</v>
      </c>
      <c r="F193" s="198"/>
      <c r="G193" s="212"/>
      <c r="H193" s="212"/>
      <c r="I193" s="158"/>
      <c r="K193" s="217"/>
      <c r="L193" s="217"/>
      <c r="M193" s="217"/>
      <c r="O193" s="230"/>
      <c r="P193" s="230"/>
    </row>
    <row r="194" spans="2:16" x14ac:dyDescent="0.2">
      <c r="B194" s="181" t="s">
        <v>335</v>
      </c>
      <c r="C194" s="184">
        <v>43565</v>
      </c>
      <c r="D194" s="181">
        <v>6681.17</v>
      </c>
      <c r="E194" s="212">
        <v>1</v>
      </c>
      <c r="F194" s="198"/>
      <c r="G194" s="212"/>
      <c r="H194" s="212"/>
      <c r="I194" s="158"/>
      <c r="K194" s="217"/>
      <c r="L194" s="217"/>
      <c r="M194" s="217"/>
      <c r="O194" s="230"/>
      <c r="P194" s="230"/>
    </row>
    <row r="195" spans="2:16" x14ac:dyDescent="0.2">
      <c r="B195" s="181" t="s">
        <v>336</v>
      </c>
      <c r="C195" s="184">
        <v>43563</v>
      </c>
      <c r="D195" s="181">
        <v>6436.54</v>
      </c>
      <c r="E195" s="212">
        <v>1</v>
      </c>
      <c r="F195" s="198"/>
      <c r="G195" s="212"/>
      <c r="H195" s="212"/>
      <c r="I195" s="158"/>
      <c r="K195" s="217"/>
      <c r="L195" s="217"/>
      <c r="M195" s="217"/>
      <c r="O195" s="230"/>
      <c r="P195" s="230"/>
    </row>
    <row r="196" spans="2:16" x14ac:dyDescent="0.2">
      <c r="B196" s="181" t="s">
        <v>337</v>
      </c>
      <c r="C196" s="184">
        <v>41904</v>
      </c>
      <c r="D196" s="181">
        <v>5684.71</v>
      </c>
      <c r="E196" s="212">
        <v>1</v>
      </c>
      <c r="F196" s="198"/>
      <c r="G196" s="212"/>
      <c r="H196" s="212"/>
      <c r="I196" s="158"/>
      <c r="K196" s="217"/>
      <c r="L196" s="217"/>
      <c r="M196" s="217"/>
      <c r="O196" s="230"/>
      <c r="P196" s="230"/>
    </row>
    <row r="197" spans="2:16" x14ac:dyDescent="0.2">
      <c r="B197" s="181" t="s">
        <v>338</v>
      </c>
      <c r="C197" s="184">
        <v>43126</v>
      </c>
      <c r="D197" s="181">
        <v>25359.33</v>
      </c>
      <c r="E197" s="212">
        <v>1</v>
      </c>
      <c r="F197" s="198"/>
      <c r="G197" s="198"/>
      <c r="H197" s="198"/>
      <c r="K197" s="217"/>
      <c r="L197" s="217"/>
      <c r="M197" s="217"/>
      <c r="O197" s="228"/>
      <c r="P197" s="228"/>
    </row>
    <row r="198" spans="2:16" x14ac:dyDescent="0.2">
      <c r="B198" s="181" t="s">
        <v>339</v>
      </c>
      <c r="C198" s="184">
        <v>41904</v>
      </c>
      <c r="D198" s="181">
        <v>4598.12</v>
      </c>
      <c r="E198" s="212">
        <v>1</v>
      </c>
      <c r="F198" s="198"/>
      <c r="G198" s="198"/>
      <c r="H198" s="198"/>
      <c r="K198" s="217"/>
      <c r="L198" s="217"/>
      <c r="M198" s="217"/>
      <c r="O198" s="228"/>
      <c r="P198" s="228"/>
    </row>
    <row r="199" spans="2:16" x14ac:dyDescent="0.2">
      <c r="B199" s="181" t="s">
        <v>340</v>
      </c>
      <c r="C199" s="184">
        <v>42146</v>
      </c>
      <c r="D199" s="181">
        <v>12996.36</v>
      </c>
      <c r="E199" s="212">
        <v>1</v>
      </c>
      <c r="F199" s="198"/>
      <c r="G199" s="198"/>
      <c r="H199" s="198"/>
      <c r="K199" s="217"/>
      <c r="L199" s="217"/>
      <c r="M199" s="217"/>
      <c r="O199" s="228"/>
      <c r="P199" s="228"/>
    </row>
    <row r="200" spans="2:16" x14ac:dyDescent="0.2">
      <c r="B200" s="181" t="s">
        <v>341</v>
      </c>
      <c r="C200" s="184">
        <v>43131</v>
      </c>
      <c r="D200" s="181">
        <v>8207.27</v>
      </c>
      <c r="E200" s="212">
        <v>1</v>
      </c>
      <c r="F200" s="198"/>
      <c r="G200" s="198"/>
      <c r="H200" s="198"/>
      <c r="K200" s="217"/>
      <c r="L200" s="217"/>
      <c r="M200" s="217"/>
      <c r="O200" s="228"/>
      <c r="P200" s="228"/>
    </row>
    <row r="201" spans="2:16" x14ac:dyDescent="0.2">
      <c r="B201" s="181" t="s">
        <v>342</v>
      </c>
      <c r="C201" s="184">
        <v>42193</v>
      </c>
      <c r="D201" s="181">
        <v>9363.98</v>
      </c>
      <c r="E201" s="212">
        <v>1</v>
      </c>
      <c r="F201" s="198"/>
      <c r="G201" s="198"/>
      <c r="H201" s="198"/>
      <c r="K201" s="217"/>
      <c r="L201" s="217"/>
      <c r="M201" s="217"/>
      <c r="O201" s="228"/>
      <c r="P201" s="228"/>
    </row>
    <row r="202" spans="2:16" x14ac:dyDescent="0.2">
      <c r="B202" s="181" t="s">
        <v>343</v>
      </c>
      <c r="C202" s="184">
        <v>41948</v>
      </c>
      <c r="D202" s="181">
        <v>15682.48</v>
      </c>
      <c r="E202" s="212">
        <v>1</v>
      </c>
      <c r="F202" s="198"/>
      <c r="G202" s="198"/>
      <c r="H202" s="198"/>
      <c r="K202" s="217"/>
      <c r="L202" s="217"/>
      <c r="M202" s="217"/>
      <c r="O202" s="228"/>
      <c r="P202" s="228"/>
    </row>
    <row r="203" spans="2:16" x14ac:dyDescent="0.2">
      <c r="B203" s="181" t="s">
        <v>344</v>
      </c>
      <c r="C203" s="184">
        <v>42520</v>
      </c>
      <c r="D203" s="181">
        <v>31469.57</v>
      </c>
      <c r="E203" s="212">
        <v>1</v>
      </c>
      <c r="F203" s="198"/>
      <c r="G203" s="198"/>
      <c r="H203" s="198"/>
      <c r="K203" s="217"/>
      <c r="L203" s="217"/>
      <c r="M203" s="217"/>
      <c r="O203" s="228"/>
      <c r="P203" s="228"/>
    </row>
    <row r="204" spans="2:16" x14ac:dyDescent="0.2">
      <c r="B204" s="181" t="s">
        <v>345</v>
      </c>
      <c r="C204" s="184">
        <v>43125</v>
      </c>
      <c r="D204" s="181">
        <v>16687.3</v>
      </c>
      <c r="E204" s="212">
        <v>1</v>
      </c>
      <c r="F204" s="198"/>
      <c r="G204" s="198"/>
      <c r="H204" s="198"/>
      <c r="K204" s="217"/>
      <c r="L204" s="217"/>
      <c r="M204" s="217"/>
      <c r="O204" s="228"/>
      <c r="P204" s="228"/>
    </row>
    <row r="205" spans="2:16" x14ac:dyDescent="0.2">
      <c r="B205" s="181" t="s">
        <v>346</v>
      </c>
      <c r="C205" s="184">
        <v>42460</v>
      </c>
      <c r="D205" s="181">
        <v>25683.33</v>
      </c>
      <c r="E205" s="212">
        <v>1</v>
      </c>
      <c r="F205" s="198"/>
      <c r="G205" s="198"/>
      <c r="H205" s="198"/>
      <c r="K205" s="217"/>
      <c r="L205" s="217"/>
      <c r="M205" s="217"/>
      <c r="O205" s="228"/>
      <c r="P205" s="228"/>
    </row>
    <row r="206" spans="2:16" x14ac:dyDescent="0.2">
      <c r="B206" s="181" t="s">
        <v>347</v>
      </c>
      <c r="C206" s="184">
        <v>43342</v>
      </c>
      <c r="D206" s="181">
        <v>51140.160000000003</v>
      </c>
      <c r="E206" s="212">
        <v>1</v>
      </c>
      <c r="F206" s="198"/>
      <c r="G206" s="198"/>
      <c r="H206" s="198"/>
      <c r="K206" s="217"/>
      <c r="L206" s="217"/>
      <c r="M206" s="217"/>
      <c r="O206" s="228"/>
      <c r="P206" s="228"/>
    </row>
    <row r="207" spans="2:16" x14ac:dyDescent="0.2">
      <c r="B207" s="181" t="s">
        <v>348</v>
      </c>
      <c r="C207" s="184">
        <v>42521</v>
      </c>
      <c r="D207" s="181">
        <v>12168.93</v>
      </c>
      <c r="E207" s="212">
        <v>1</v>
      </c>
      <c r="F207" s="198"/>
      <c r="G207" s="198"/>
      <c r="H207" s="198"/>
      <c r="K207" s="217"/>
      <c r="L207" s="217"/>
      <c r="M207" s="217"/>
      <c r="O207" s="228"/>
      <c r="P207" s="228"/>
    </row>
    <row r="208" spans="2:16" x14ac:dyDescent="0.2">
      <c r="B208" s="181" t="s">
        <v>349</v>
      </c>
      <c r="C208" s="184">
        <v>42117</v>
      </c>
      <c r="D208" s="181">
        <v>27409.74</v>
      </c>
      <c r="E208" s="212">
        <v>1</v>
      </c>
      <c r="F208" s="198"/>
      <c r="G208" s="198"/>
      <c r="H208" s="198"/>
      <c r="K208" s="217"/>
      <c r="L208" s="217"/>
      <c r="M208" s="217"/>
      <c r="O208" s="228"/>
      <c r="P208" s="228"/>
    </row>
    <row r="209" spans="2:5" x14ac:dyDescent="0.2">
      <c r="B209" s="181" t="s">
        <v>350</v>
      </c>
      <c r="C209" s="184">
        <v>42030</v>
      </c>
      <c r="D209" s="181">
        <v>36618.99</v>
      </c>
      <c r="E209" s="212">
        <v>1</v>
      </c>
    </row>
    <row r="210" spans="2:5" x14ac:dyDescent="0.2">
      <c r="B210" s="181" t="s">
        <v>351</v>
      </c>
      <c r="C210" s="184">
        <v>43220</v>
      </c>
      <c r="D210" s="181">
        <v>34255.11</v>
      </c>
      <c r="E210" s="212">
        <v>1</v>
      </c>
    </row>
    <row r="211" spans="2:5" x14ac:dyDescent="0.2">
      <c r="B211" s="181" t="s">
        <v>352</v>
      </c>
      <c r="C211" s="184">
        <v>43166</v>
      </c>
      <c r="D211" s="181">
        <v>15441.01</v>
      </c>
      <c r="E211" s="212">
        <v>1</v>
      </c>
    </row>
    <row r="212" spans="2:5" x14ac:dyDescent="0.2">
      <c r="B212" s="181" t="s">
        <v>353</v>
      </c>
      <c r="C212" s="184">
        <v>43060</v>
      </c>
      <c r="D212" s="181">
        <v>122363.97</v>
      </c>
      <c r="E212" s="212">
        <v>1</v>
      </c>
    </row>
    <row r="213" spans="2:5" x14ac:dyDescent="0.2">
      <c r="B213" s="181" t="s">
        <v>354</v>
      </c>
      <c r="C213" s="184">
        <v>42655</v>
      </c>
      <c r="D213" s="181">
        <v>9116.6</v>
      </c>
      <c r="E213" s="212">
        <v>1</v>
      </c>
    </row>
    <row r="214" spans="2:5" x14ac:dyDescent="0.2">
      <c r="B214" s="181" t="s">
        <v>355</v>
      </c>
      <c r="C214" s="184">
        <v>43616</v>
      </c>
      <c r="D214" s="181">
        <v>8620.84</v>
      </c>
      <c r="E214" s="212">
        <v>1</v>
      </c>
    </row>
    <row r="215" spans="2:5" x14ac:dyDescent="0.2">
      <c r="B215" s="181" t="s">
        <v>356</v>
      </c>
      <c r="C215" s="184">
        <v>42122</v>
      </c>
      <c r="D215" s="181">
        <v>15553.66</v>
      </c>
      <c r="E215" s="212">
        <v>1</v>
      </c>
    </row>
    <row r="216" spans="2:5" x14ac:dyDescent="0.2">
      <c r="B216" s="181" t="s">
        <v>357</v>
      </c>
      <c r="C216" s="184">
        <v>43165</v>
      </c>
      <c r="D216" s="181">
        <v>14437.3</v>
      </c>
      <c r="E216" s="212">
        <v>1</v>
      </c>
    </row>
    <row r="217" spans="2:5" x14ac:dyDescent="0.2">
      <c r="B217" s="181" t="s">
        <v>358</v>
      </c>
      <c r="C217" s="184">
        <v>43587</v>
      </c>
      <c r="D217" s="181">
        <v>21217.81</v>
      </c>
      <c r="E217" s="212">
        <v>1</v>
      </c>
    </row>
    <row r="218" spans="2:5" x14ac:dyDescent="0.2">
      <c r="B218" s="181" t="s">
        <v>359</v>
      </c>
      <c r="C218" s="184">
        <v>43165</v>
      </c>
      <c r="D218" s="181">
        <v>15182</v>
      </c>
      <c r="E218" s="212">
        <v>1</v>
      </c>
    </row>
    <row r="219" spans="2:5" x14ac:dyDescent="0.2">
      <c r="B219" s="181" t="s">
        <v>360</v>
      </c>
      <c r="C219" s="184">
        <v>42374</v>
      </c>
      <c r="D219" s="181">
        <v>13453.03</v>
      </c>
      <c r="E219" s="212">
        <v>1</v>
      </c>
    </row>
    <row r="220" spans="2:5" x14ac:dyDescent="0.2">
      <c r="B220" s="181" t="s">
        <v>361</v>
      </c>
      <c r="C220" s="184">
        <v>42303</v>
      </c>
      <c r="D220" s="181">
        <v>7915.02</v>
      </c>
      <c r="E220" s="212">
        <v>1</v>
      </c>
    </row>
    <row r="221" spans="2:5" x14ac:dyDescent="0.2">
      <c r="B221" s="181" t="s">
        <v>362</v>
      </c>
      <c r="C221" s="184">
        <v>42310</v>
      </c>
      <c r="D221" s="181">
        <v>11222.21</v>
      </c>
      <c r="E221" s="212">
        <v>1</v>
      </c>
    </row>
    <row r="222" spans="2:5" x14ac:dyDescent="0.2">
      <c r="B222" s="181" t="s">
        <v>363</v>
      </c>
      <c r="C222" s="184">
        <v>42877</v>
      </c>
      <c r="D222" s="181">
        <v>12232.01</v>
      </c>
      <c r="E222" s="212">
        <v>1</v>
      </c>
    </row>
    <row r="223" spans="2:5" x14ac:dyDescent="0.2">
      <c r="B223" s="181" t="s">
        <v>364</v>
      </c>
      <c r="C223" s="184">
        <v>42222</v>
      </c>
      <c r="D223" s="181">
        <v>28083.96</v>
      </c>
      <c r="E223" s="212">
        <v>1</v>
      </c>
    </row>
    <row r="224" spans="2:5" x14ac:dyDescent="0.2">
      <c r="B224" s="181" t="s">
        <v>365</v>
      </c>
      <c r="C224" s="184">
        <v>41947</v>
      </c>
      <c r="D224" s="181">
        <v>7127.6</v>
      </c>
      <c r="E224" s="212">
        <v>1</v>
      </c>
    </row>
    <row r="225" spans="2:5" x14ac:dyDescent="0.2">
      <c r="B225" s="181" t="s">
        <v>366</v>
      </c>
      <c r="C225" s="184">
        <v>43255</v>
      </c>
      <c r="D225" s="181">
        <v>30300.78</v>
      </c>
      <c r="E225" s="212">
        <v>1</v>
      </c>
    </row>
    <row r="226" spans="2:5" x14ac:dyDescent="0.2">
      <c r="B226" s="181" t="s">
        <v>367</v>
      </c>
      <c r="C226" s="184">
        <v>43563</v>
      </c>
      <c r="D226" s="181">
        <v>6623.77</v>
      </c>
      <c r="E226" s="212">
        <v>1</v>
      </c>
    </row>
    <row r="227" spans="2:5" x14ac:dyDescent="0.2">
      <c r="B227" s="181" t="s">
        <v>368</v>
      </c>
      <c r="C227" s="184">
        <v>43126</v>
      </c>
      <c r="D227" s="181">
        <v>12900.1</v>
      </c>
      <c r="E227" s="212">
        <v>1</v>
      </c>
    </row>
    <row r="228" spans="2:5" x14ac:dyDescent="0.2">
      <c r="B228" s="181" t="s">
        <v>369</v>
      </c>
      <c r="C228" s="184">
        <v>42520</v>
      </c>
      <c r="D228" s="181">
        <v>26408.99</v>
      </c>
      <c r="E228" s="212">
        <v>1</v>
      </c>
    </row>
    <row r="229" spans="2:5" x14ac:dyDescent="0.2">
      <c r="B229" s="181" t="s">
        <v>370</v>
      </c>
      <c r="C229" s="184">
        <v>42069</v>
      </c>
      <c r="D229" s="181">
        <v>31823.85</v>
      </c>
      <c r="E229" s="212">
        <v>1</v>
      </c>
    </row>
    <row r="230" spans="2:5" x14ac:dyDescent="0.2">
      <c r="B230" s="181" t="s">
        <v>371</v>
      </c>
      <c r="C230" s="184">
        <v>43060</v>
      </c>
      <c r="D230" s="181">
        <v>47173.61</v>
      </c>
      <c r="E230" s="212">
        <v>1</v>
      </c>
    </row>
    <row r="231" spans="2:5" x14ac:dyDescent="0.2">
      <c r="B231" s="181" t="s">
        <v>372</v>
      </c>
      <c r="C231" s="184">
        <v>42122</v>
      </c>
      <c r="D231" s="181">
        <v>13908.83</v>
      </c>
      <c r="E231" s="212">
        <v>1</v>
      </c>
    </row>
    <row r="232" spans="2:5" x14ac:dyDescent="0.2">
      <c r="B232" s="181" t="s">
        <v>373</v>
      </c>
      <c r="C232" s="184">
        <v>43125</v>
      </c>
      <c r="D232" s="181">
        <v>11736.27</v>
      </c>
      <c r="E232" s="212">
        <v>1</v>
      </c>
    </row>
    <row r="233" spans="2:5" x14ac:dyDescent="0.2">
      <c r="B233" s="181" t="s">
        <v>374</v>
      </c>
      <c r="C233" s="184">
        <v>42222</v>
      </c>
      <c r="D233" s="181">
        <v>26117.47</v>
      </c>
      <c r="E233" s="212">
        <v>1</v>
      </c>
    </row>
    <row r="234" spans="2:5" x14ac:dyDescent="0.2">
      <c r="B234" s="181" t="s">
        <v>375</v>
      </c>
      <c r="C234" s="184">
        <v>41904</v>
      </c>
      <c r="D234" s="181">
        <v>6904.09</v>
      </c>
      <c r="E234" s="212">
        <v>1</v>
      </c>
    </row>
    <row r="235" spans="2:5" x14ac:dyDescent="0.2">
      <c r="B235" s="181" t="s">
        <v>376</v>
      </c>
      <c r="C235" s="184">
        <v>43060</v>
      </c>
      <c r="D235" s="181">
        <v>23850.18</v>
      </c>
      <c r="E235" s="212">
        <v>1</v>
      </c>
    </row>
    <row r="236" spans="2:5" x14ac:dyDescent="0.2">
      <c r="B236" s="181" t="s">
        <v>377</v>
      </c>
      <c r="C236" s="184">
        <v>43165</v>
      </c>
      <c r="D236" s="181">
        <v>15739.25</v>
      </c>
      <c r="E236" s="212">
        <v>1</v>
      </c>
    </row>
    <row r="237" spans="2:5" x14ac:dyDescent="0.2">
      <c r="B237" s="181" t="s">
        <v>378</v>
      </c>
      <c r="C237" s="184">
        <v>43060</v>
      </c>
      <c r="D237" s="181">
        <v>20575.990000000002</v>
      </c>
      <c r="E237" s="212">
        <v>1</v>
      </c>
    </row>
    <row r="238" spans="2:5" x14ac:dyDescent="0.2">
      <c r="B238" s="181" t="s">
        <v>379</v>
      </c>
      <c r="C238" s="184">
        <v>41904</v>
      </c>
      <c r="D238" s="181">
        <v>6817.36</v>
      </c>
      <c r="E238" s="212">
        <v>1</v>
      </c>
    </row>
    <row r="239" spans="2:5" x14ac:dyDescent="0.2">
      <c r="B239" s="181" t="s">
        <v>380</v>
      </c>
      <c r="C239" s="184">
        <v>43060</v>
      </c>
      <c r="D239" s="181">
        <v>21366.95</v>
      </c>
      <c r="E239" s="212">
        <v>1</v>
      </c>
    </row>
    <row r="240" spans="2:5" x14ac:dyDescent="0.2">
      <c r="B240" s="181" t="s">
        <v>381</v>
      </c>
      <c r="C240" s="184">
        <v>43125</v>
      </c>
      <c r="D240" s="181">
        <v>15343.72</v>
      </c>
      <c r="E240" s="212">
        <v>1</v>
      </c>
    </row>
    <row r="241" spans="2:5" x14ac:dyDescent="0.2">
      <c r="B241" s="181" t="s">
        <v>382</v>
      </c>
      <c r="C241" s="184">
        <v>43125</v>
      </c>
      <c r="D241" s="181">
        <v>18705.11</v>
      </c>
      <c r="E241" s="212">
        <v>1</v>
      </c>
    </row>
    <row r="242" spans="2:5" x14ac:dyDescent="0.2">
      <c r="B242" s="181" t="s">
        <v>383</v>
      </c>
      <c r="C242" s="184">
        <v>43615</v>
      </c>
      <c r="D242" s="181">
        <v>54806.256126280001</v>
      </c>
      <c r="E242" s="212">
        <v>1</v>
      </c>
    </row>
    <row r="243" spans="2:5" x14ac:dyDescent="0.2">
      <c r="B243" s="181" t="s">
        <v>384</v>
      </c>
      <c r="C243" s="184">
        <v>37469</v>
      </c>
      <c r="D243" s="181">
        <v>394.88</v>
      </c>
      <c r="E243" s="212">
        <v>1</v>
      </c>
    </row>
    <row r="244" spans="2:5" x14ac:dyDescent="0.2">
      <c r="B244" s="181" t="s">
        <v>385</v>
      </c>
      <c r="C244" s="184">
        <v>37469</v>
      </c>
      <c r="D244" s="181">
        <v>394.88</v>
      </c>
      <c r="E244" s="212">
        <v>1</v>
      </c>
    </row>
    <row r="245" spans="2:5" x14ac:dyDescent="0.2">
      <c r="B245" s="181" t="s">
        <v>386</v>
      </c>
      <c r="C245" s="184">
        <v>38665</v>
      </c>
      <c r="D245" s="181">
        <v>225.62</v>
      </c>
      <c r="E245" s="212">
        <v>1</v>
      </c>
    </row>
    <row r="246" spans="2:5" x14ac:dyDescent="0.2">
      <c r="B246" s="181" t="s">
        <v>387</v>
      </c>
      <c r="C246" s="184">
        <v>38665</v>
      </c>
      <c r="D246" s="181">
        <v>225.62</v>
      </c>
      <c r="E246" s="212">
        <v>1</v>
      </c>
    </row>
    <row r="247" spans="2:5" x14ac:dyDescent="0.2">
      <c r="B247" s="181" t="s">
        <v>388</v>
      </c>
      <c r="C247" s="184">
        <v>38624</v>
      </c>
      <c r="D247" s="181">
        <v>173.45</v>
      </c>
      <c r="E247" s="212">
        <v>1</v>
      </c>
    </row>
    <row r="248" spans="2:5" x14ac:dyDescent="0.2">
      <c r="B248" s="181" t="s">
        <v>389</v>
      </c>
      <c r="C248" s="184">
        <v>38624</v>
      </c>
      <c r="D248" s="181">
        <v>173.45</v>
      </c>
      <c r="E248" s="212">
        <v>1</v>
      </c>
    </row>
    <row r="249" spans="2:5" x14ac:dyDescent="0.2">
      <c r="B249" s="181" t="s">
        <v>390</v>
      </c>
      <c r="C249" s="184">
        <v>38027</v>
      </c>
      <c r="D249" s="181">
        <v>108.65</v>
      </c>
      <c r="E249" s="212">
        <v>1</v>
      </c>
    </row>
    <row r="250" spans="2:5" x14ac:dyDescent="0.2">
      <c r="B250" s="181" t="s">
        <v>391</v>
      </c>
      <c r="C250" s="184">
        <v>37757</v>
      </c>
      <c r="D250" s="181">
        <v>125</v>
      </c>
      <c r="E250" s="212">
        <v>1</v>
      </c>
    </row>
    <row r="251" spans="2:5" x14ac:dyDescent="0.2">
      <c r="B251" s="181" t="s">
        <v>392</v>
      </c>
      <c r="C251" s="184">
        <v>38006</v>
      </c>
      <c r="D251" s="181">
        <v>106.83</v>
      </c>
      <c r="E251" s="212">
        <v>1</v>
      </c>
    </row>
    <row r="252" spans="2:5" x14ac:dyDescent="0.2">
      <c r="B252" s="181" t="s">
        <v>393</v>
      </c>
      <c r="C252" s="184">
        <v>38715</v>
      </c>
      <c r="D252" s="181">
        <v>508.88</v>
      </c>
      <c r="E252" s="212">
        <v>1</v>
      </c>
    </row>
    <row r="253" spans="2:5" x14ac:dyDescent="0.2">
      <c r="B253" s="181" t="s">
        <v>394</v>
      </c>
      <c r="C253" s="184">
        <v>38715</v>
      </c>
      <c r="D253" s="181">
        <v>510.55</v>
      </c>
      <c r="E253" s="212">
        <v>1</v>
      </c>
    </row>
    <row r="254" spans="2:5" x14ac:dyDescent="0.2">
      <c r="B254" s="181" t="s">
        <v>395</v>
      </c>
      <c r="C254" s="184">
        <v>38260</v>
      </c>
      <c r="D254" s="181">
        <v>730.16</v>
      </c>
      <c r="E254" s="212">
        <v>1</v>
      </c>
    </row>
    <row r="255" spans="2:5" x14ac:dyDescent="0.2">
      <c r="B255" s="181" t="s">
        <v>396</v>
      </c>
      <c r="C255" s="184">
        <v>38716</v>
      </c>
      <c r="D255" s="181">
        <v>250.34</v>
      </c>
      <c r="E255" s="212">
        <v>1</v>
      </c>
    </row>
    <row r="256" spans="2:5" x14ac:dyDescent="0.2">
      <c r="B256" s="181" t="s">
        <v>397</v>
      </c>
      <c r="C256" s="184">
        <v>38716</v>
      </c>
      <c r="D256" s="181">
        <v>250.34</v>
      </c>
      <c r="E256" s="212">
        <v>1</v>
      </c>
    </row>
    <row r="257" spans="2:5" x14ac:dyDescent="0.2">
      <c r="B257" s="181" t="s">
        <v>398</v>
      </c>
      <c r="C257" s="184">
        <v>38713</v>
      </c>
      <c r="D257" s="181">
        <v>185.77</v>
      </c>
      <c r="E257" s="212">
        <v>1</v>
      </c>
    </row>
    <row r="258" spans="2:5" x14ac:dyDescent="0.2">
      <c r="B258" s="181" t="s">
        <v>399</v>
      </c>
      <c r="C258" s="184">
        <v>38713</v>
      </c>
      <c r="D258" s="181">
        <v>232.72</v>
      </c>
      <c r="E258" s="212">
        <v>1</v>
      </c>
    </row>
    <row r="259" spans="2:5" x14ac:dyDescent="0.2">
      <c r="B259" s="181" t="s">
        <v>400</v>
      </c>
      <c r="C259" s="184">
        <v>38713</v>
      </c>
      <c r="D259" s="181">
        <v>137.76</v>
      </c>
      <c r="E259" s="212">
        <v>1</v>
      </c>
    </row>
    <row r="260" spans="2:5" x14ac:dyDescent="0.2">
      <c r="B260" s="181" t="s">
        <v>401</v>
      </c>
      <c r="C260" s="184">
        <v>38713</v>
      </c>
      <c r="D260" s="181">
        <v>141.75</v>
      </c>
      <c r="E260" s="212">
        <v>1</v>
      </c>
    </row>
    <row r="261" spans="2:5" x14ac:dyDescent="0.2">
      <c r="B261" s="181" t="s">
        <v>402</v>
      </c>
      <c r="C261" s="184">
        <v>38370</v>
      </c>
      <c r="D261" s="181">
        <v>242.71</v>
      </c>
      <c r="E261" s="212">
        <v>1</v>
      </c>
    </row>
    <row r="262" spans="2:5" x14ac:dyDescent="0.2">
      <c r="B262" s="181" t="s">
        <v>403</v>
      </c>
      <c r="C262" s="184">
        <v>38706</v>
      </c>
      <c r="D262" s="181">
        <v>128.63</v>
      </c>
      <c r="E262" s="212">
        <v>1</v>
      </c>
    </row>
    <row r="263" spans="2:5" x14ac:dyDescent="0.2">
      <c r="B263" s="181" t="s">
        <v>404</v>
      </c>
      <c r="C263" s="184">
        <v>38705</v>
      </c>
      <c r="D263" s="181">
        <v>217.85</v>
      </c>
      <c r="E263" s="212">
        <v>1</v>
      </c>
    </row>
    <row r="264" spans="2:5" x14ac:dyDescent="0.2">
      <c r="B264" s="181" t="s">
        <v>405</v>
      </c>
      <c r="C264" s="184">
        <v>42129</v>
      </c>
      <c r="D264" s="181">
        <v>1211.2244297899999</v>
      </c>
      <c r="E264" s="212">
        <v>1</v>
      </c>
    </row>
    <row r="265" spans="2:5" x14ac:dyDescent="0.2">
      <c r="B265" s="181" t="s">
        <v>406</v>
      </c>
      <c r="C265" s="184">
        <v>42552</v>
      </c>
      <c r="D265" s="181">
        <v>532.75119029999996</v>
      </c>
      <c r="E265" s="212">
        <v>1</v>
      </c>
    </row>
    <row r="266" spans="2:5" x14ac:dyDescent="0.2">
      <c r="B266" s="181" t="s">
        <v>407</v>
      </c>
      <c r="C266" s="184">
        <v>39329</v>
      </c>
      <c r="D266" s="181">
        <v>321.83999999999997</v>
      </c>
      <c r="E266" s="212">
        <v>1</v>
      </c>
    </row>
    <row r="267" spans="2:5" x14ac:dyDescent="0.2">
      <c r="B267" s="181" t="s">
        <v>408</v>
      </c>
      <c r="C267" s="184">
        <v>40577</v>
      </c>
      <c r="D267" s="181">
        <v>493.46</v>
      </c>
      <c r="E267" s="212">
        <v>1</v>
      </c>
    </row>
    <row r="268" spans="2:5" x14ac:dyDescent="0.2">
      <c r="B268" s="181" t="s">
        <v>409</v>
      </c>
      <c r="C268" s="184">
        <v>39618</v>
      </c>
      <c r="D268" s="181">
        <v>303</v>
      </c>
      <c r="E268" s="212">
        <v>1</v>
      </c>
    </row>
    <row r="269" spans="2:5" x14ac:dyDescent="0.2">
      <c r="B269" s="181" t="s">
        <v>410</v>
      </c>
      <c r="C269" s="184">
        <v>39394</v>
      </c>
      <c r="D269" s="181">
        <v>363.69</v>
      </c>
      <c r="E269" s="212">
        <v>1</v>
      </c>
    </row>
    <row r="270" spans="2:5" x14ac:dyDescent="0.2">
      <c r="B270" s="181" t="s">
        <v>411</v>
      </c>
      <c r="C270" s="184">
        <v>40478</v>
      </c>
      <c r="D270" s="181">
        <v>148.34</v>
      </c>
      <c r="E270" s="212">
        <v>1</v>
      </c>
    </row>
    <row r="271" spans="2:5" x14ac:dyDescent="0.2">
      <c r="B271" s="181" t="s">
        <v>412</v>
      </c>
      <c r="C271" s="184">
        <v>42552</v>
      </c>
      <c r="D271" s="181">
        <v>1062.7544994699999</v>
      </c>
      <c r="E271" s="212">
        <v>1</v>
      </c>
    </row>
    <row r="272" spans="2:5" x14ac:dyDescent="0.2">
      <c r="B272" s="181" t="s">
        <v>413</v>
      </c>
      <c r="C272" s="184">
        <v>42227</v>
      </c>
      <c r="D272" s="181">
        <v>4757.8587041199999</v>
      </c>
      <c r="E272" s="212">
        <v>1</v>
      </c>
    </row>
    <row r="273" spans="2:5" x14ac:dyDescent="0.2">
      <c r="B273" s="181" t="s">
        <v>414</v>
      </c>
      <c r="C273" s="184">
        <v>42550</v>
      </c>
      <c r="D273" s="181">
        <v>147.67885862</v>
      </c>
      <c r="E273" s="212">
        <v>1</v>
      </c>
    </row>
    <row r="274" spans="2:5" x14ac:dyDescent="0.2">
      <c r="B274" s="10" t="s">
        <v>415</v>
      </c>
      <c r="C274" s="125">
        <v>39618</v>
      </c>
      <c r="D274" s="10">
        <v>562.29</v>
      </c>
      <c r="E274" s="10">
        <v>1</v>
      </c>
    </row>
    <row r="275" spans="2:5" x14ac:dyDescent="0.2">
      <c r="B275" s="10" t="s">
        <v>416</v>
      </c>
      <c r="C275" s="125">
        <v>39394</v>
      </c>
      <c r="D275" s="10">
        <v>363.69</v>
      </c>
      <c r="E275" s="10">
        <v>1</v>
      </c>
    </row>
    <row r="276" spans="2:5" x14ac:dyDescent="0.2">
      <c r="B276" s="10" t="s">
        <v>417</v>
      </c>
      <c r="C276" s="125">
        <v>42227</v>
      </c>
      <c r="D276" s="10">
        <v>4215.8333879900001</v>
      </c>
      <c r="E276" s="10">
        <v>1</v>
      </c>
    </row>
    <row r="277" spans="2:5" x14ac:dyDescent="0.2">
      <c r="B277" s="10" t="s">
        <v>418</v>
      </c>
      <c r="C277" s="125">
        <v>41277</v>
      </c>
      <c r="D277" s="10">
        <v>2807.39</v>
      </c>
      <c r="E277" s="10">
        <v>1</v>
      </c>
    </row>
    <row r="278" spans="2:5" x14ac:dyDescent="0.2">
      <c r="B278" s="10" t="s">
        <v>419</v>
      </c>
      <c r="C278" s="125">
        <v>41283</v>
      </c>
      <c r="D278" s="10">
        <v>2316.58</v>
      </c>
      <c r="E278" s="10">
        <v>1</v>
      </c>
    </row>
    <row r="279" spans="2:5" x14ac:dyDescent="0.2">
      <c r="B279" s="10" t="s">
        <v>420</v>
      </c>
      <c r="C279" s="125">
        <v>42550</v>
      </c>
      <c r="D279" s="10">
        <v>130.66139737</v>
      </c>
      <c r="E279" s="10">
        <v>1</v>
      </c>
    </row>
    <row r="280" spans="2:5" x14ac:dyDescent="0.2">
      <c r="B280" s="10" t="s">
        <v>421</v>
      </c>
      <c r="C280" s="125">
        <v>41281</v>
      </c>
      <c r="D280" s="10">
        <v>3365.22</v>
      </c>
      <c r="E280" s="10">
        <v>1</v>
      </c>
    </row>
    <row r="281" spans="2:5" x14ac:dyDescent="0.2">
      <c r="B281" s="10" t="s">
        <v>422</v>
      </c>
      <c r="C281" s="125">
        <v>42110</v>
      </c>
      <c r="D281" s="10">
        <v>522.89537319999999</v>
      </c>
      <c r="E281" s="10">
        <v>1</v>
      </c>
    </row>
    <row r="282" spans="2:5" x14ac:dyDescent="0.2">
      <c r="B282" s="10" t="s">
        <v>423</v>
      </c>
      <c r="C282" s="125">
        <v>42117</v>
      </c>
      <c r="D282" s="10">
        <v>650.14363865999997</v>
      </c>
      <c r="E282" s="10">
        <v>1</v>
      </c>
    </row>
    <row r="283" spans="2:5" x14ac:dyDescent="0.2">
      <c r="B283" s="10" t="s">
        <v>424</v>
      </c>
      <c r="C283" s="125">
        <v>42479</v>
      </c>
      <c r="D283" s="10">
        <v>517.55154836999998</v>
      </c>
      <c r="E283" s="10">
        <v>1</v>
      </c>
    </row>
    <row r="284" spans="2:5" x14ac:dyDescent="0.2">
      <c r="B284" s="10" t="s">
        <v>425</v>
      </c>
      <c r="C284" s="125">
        <v>42110</v>
      </c>
      <c r="D284" s="10">
        <v>419.85620591000003</v>
      </c>
      <c r="E284" s="10">
        <v>1</v>
      </c>
    </row>
    <row r="285" spans="2:5" x14ac:dyDescent="0.2">
      <c r="B285" s="10" t="s">
        <v>426</v>
      </c>
      <c r="C285" s="125">
        <v>41444</v>
      </c>
      <c r="D285" s="10">
        <v>1386.8</v>
      </c>
      <c r="E285" s="10">
        <v>1</v>
      </c>
    </row>
    <row r="286" spans="2:5" x14ac:dyDescent="0.2">
      <c r="B286" s="10" t="s">
        <v>427</v>
      </c>
      <c r="C286" s="125">
        <v>42030</v>
      </c>
      <c r="D286" s="10">
        <v>227.86509369000001</v>
      </c>
      <c r="E286" s="10">
        <v>1</v>
      </c>
    </row>
    <row r="287" spans="2:5" x14ac:dyDescent="0.2">
      <c r="B287" s="10" t="s">
        <v>428</v>
      </c>
      <c r="C287" s="125">
        <v>39604</v>
      </c>
      <c r="D287" s="10">
        <v>233.37</v>
      </c>
      <c r="E287" s="10">
        <v>1</v>
      </c>
    </row>
    <row r="288" spans="2:5" x14ac:dyDescent="0.2">
      <c r="B288" s="10" t="s">
        <v>429</v>
      </c>
      <c r="C288" s="125">
        <v>42339</v>
      </c>
      <c r="D288" s="10">
        <v>487.53221783999999</v>
      </c>
      <c r="E288" s="10">
        <v>1</v>
      </c>
    </row>
    <row r="289" spans="2:5" x14ac:dyDescent="0.2">
      <c r="B289" s="10" t="s">
        <v>430</v>
      </c>
      <c r="C289" s="125">
        <v>38866</v>
      </c>
      <c r="D289" s="10">
        <v>203.88</v>
      </c>
      <c r="E289"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40625" defaultRowHeight="12.75" x14ac:dyDescent="0.2"/>
  <cols>
    <col min="1" max="1" width="39.85546875" style="10" customWidth="1"/>
    <col min="2" max="2" width="17.85546875" style="10" bestFit="1" customWidth="1"/>
    <col min="3" max="3" width="15" style="10" bestFit="1" customWidth="1"/>
    <col min="4" max="4" width="11.42578125" style="10" bestFit="1" customWidth="1"/>
    <col min="5" max="5" width="10.5703125" style="10" bestFit="1" customWidth="1"/>
    <col min="6" max="6" width="13.42578125" style="10" bestFit="1" customWidth="1"/>
    <col min="7" max="7" width="11.140625" style="10" bestFit="1" customWidth="1"/>
    <col min="8" max="9" width="11.28515625" style="10" bestFit="1" customWidth="1"/>
    <col min="10" max="10" width="10.28515625" style="10" bestFit="1" customWidth="1"/>
    <col min="11" max="16384" width="9.140625" style="10"/>
  </cols>
  <sheetData>
    <row r="1" spans="1:13" s="35" customFormat="1" x14ac:dyDescent="0.2">
      <c r="A1" s="61"/>
    </row>
    <row r="2" spans="1:13" s="56" customFormat="1" x14ac:dyDescent="0.2">
      <c r="F2" s="382"/>
      <c r="G2" s="382"/>
      <c r="H2" s="382"/>
      <c r="I2" s="382"/>
    </row>
    <row r="3" spans="1:13" s="56" customFormat="1" x14ac:dyDescent="0.2">
      <c r="B3" s="11"/>
      <c r="C3" s="24"/>
      <c r="D3" s="11"/>
      <c r="E3" s="24"/>
      <c r="G3" s="24"/>
      <c r="I3" s="24"/>
      <c r="K3" s="10"/>
    </row>
    <row r="4" spans="1:13" x14ac:dyDescent="0.2">
      <c r="B4" s="27"/>
      <c r="C4" s="48"/>
      <c r="D4" s="27"/>
      <c r="E4" s="48"/>
      <c r="G4" s="48"/>
      <c r="I4" s="48"/>
      <c r="J4" s="44"/>
    </row>
    <row r="5" spans="1:13" x14ac:dyDescent="0.2">
      <c r="B5" s="27"/>
      <c r="C5" s="48"/>
      <c r="D5" s="27"/>
      <c r="E5" s="48"/>
      <c r="G5" s="48"/>
      <c r="I5" s="48"/>
      <c r="J5" s="44"/>
    </row>
    <row r="6" spans="1:13" x14ac:dyDescent="0.2">
      <c r="B6" s="57"/>
      <c r="C6" s="48"/>
      <c r="D6" s="57"/>
      <c r="E6" s="48"/>
      <c r="G6" s="48"/>
      <c r="I6" s="48"/>
      <c r="J6" s="44"/>
    </row>
    <row r="7" spans="1:13" x14ac:dyDescent="0.2">
      <c r="B7" s="57"/>
      <c r="C7" s="48"/>
      <c r="D7" s="57"/>
      <c r="E7" s="48"/>
      <c r="G7" s="48"/>
      <c r="I7" s="48"/>
    </row>
    <row r="8" spans="1:13" x14ac:dyDescent="0.2">
      <c r="A8" s="18"/>
      <c r="B8" s="18"/>
      <c r="D8" s="27"/>
      <c r="E8" s="49"/>
    </row>
    <row r="9" spans="1:13" x14ac:dyDescent="0.2">
      <c r="A9" s="18"/>
      <c r="B9" s="36"/>
      <c r="J9" s="27"/>
    </row>
    <row r="10" spans="1:13" x14ac:dyDescent="0.2">
      <c r="J10" s="27"/>
    </row>
    <row r="11" spans="1:13" x14ac:dyDescent="0.2">
      <c r="A11" s="35"/>
      <c r="J11" s="27"/>
      <c r="K11" s="27"/>
    </row>
    <row r="12" spans="1:13" s="56" customFormat="1" x14ac:dyDescent="0.2">
      <c r="J12" s="33"/>
      <c r="K12" s="33"/>
    </row>
    <row r="13" spans="1:13" s="56" customFormat="1" x14ac:dyDescent="0.2">
      <c r="B13" s="24"/>
      <c r="C13" s="24"/>
      <c r="D13" s="24"/>
      <c r="E13" s="24"/>
      <c r="F13" s="16"/>
    </row>
    <row r="14" spans="1:13" s="56" customFormat="1" x14ac:dyDescent="0.2">
      <c r="B14" s="24"/>
      <c r="C14" s="24"/>
      <c r="D14" s="24"/>
      <c r="E14" s="24"/>
      <c r="F14" s="16"/>
    </row>
    <row r="15" spans="1:13" s="56" customFormat="1" x14ac:dyDescent="0.2">
      <c r="B15" s="25"/>
      <c r="C15" s="25"/>
      <c r="D15" s="25"/>
      <c r="E15" s="24"/>
      <c r="F15" s="24"/>
      <c r="G15" s="24"/>
      <c r="H15" s="24"/>
      <c r="I15" s="24"/>
      <c r="J15" s="24"/>
      <c r="M15" s="10"/>
    </row>
    <row r="16" spans="1:13" ht="15" x14ac:dyDescent="0.25">
      <c r="B16" s="88"/>
      <c r="C16" s="72"/>
      <c r="D16" s="27"/>
      <c r="E16" s="28"/>
      <c r="F16" s="45"/>
      <c r="G16" s="27"/>
      <c r="H16" s="27"/>
      <c r="I16" s="27"/>
      <c r="J16" s="27"/>
      <c r="K16" s="49"/>
      <c r="L16" s="16"/>
    </row>
    <row r="17" spans="1:12" ht="15" x14ac:dyDescent="0.25">
      <c r="B17" s="88"/>
      <c r="C17" s="72"/>
      <c r="D17" s="27"/>
      <c r="E17" s="28"/>
      <c r="F17" s="45"/>
      <c r="G17" s="27"/>
      <c r="H17" s="27"/>
      <c r="I17" s="27"/>
      <c r="J17" s="27"/>
      <c r="K17" s="49"/>
      <c r="L17" s="19"/>
    </row>
    <row r="18" spans="1:12" x14ac:dyDescent="0.2">
      <c r="A18" s="43"/>
      <c r="B18" s="3"/>
      <c r="C18" s="27"/>
      <c r="D18" s="27"/>
      <c r="E18" s="28"/>
      <c r="F18" s="45"/>
      <c r="G18" s="2"/>
      <c r="H18" s="2"/>
      <c r="I18" s="2"/>
      <c r="J18" s="2"/>
      <c r="K18" s="49"/>
      <c r="L18" s="19"/>
    </row>
    <row r="19" spans="1:12" ht="15" x14ac:dyDescent="0.25">
      <c r="B19" s="88"/>
      <c r="C19" s="73"/>
      <c r="D19" s="27"/>
      <c r="E19" s="28"/>
      <c r="F19" s="45"/>
      <c r="G19" s="27"/>
      <c r="H19" s="27"/>
      <c r="I19" s="27"/>
      <c r="J19" s="27"/>
      <c r="K19" s="49"/>
      <c r="L19" s="19"/>
    </row>
    <row r="20" spans="1:12" ht="15" x14ac:dyDescent="0.25">
      <c r="B20" s="88"/>
      <c r="C20" s="73"/>
      <c r="D20" s="27"/>
      <c r="E20" s="28"/>
      <c r="F20" s="45"/>
      <c r="G20" s="27"/>
      <c r="H20" s="27"/>
      <c r="I20" s="27"/>
      <c r="J20" s="27"/>
      <c r="K20" s="49"/>
      <c r="L20" s="19"/>
    </row>
    <row r="21" spans="1:12" s="60" customFormat="1" x14ac:dyDescent="0.2">
      <c r="B21" s="33"/>
      <c r="C21" s="33"/>
      <c r="D21" s="33"/>
      <c r="E21" s="34"/>
      <c r="F21" s="33"/>
      <c r="G21" s="33"/>
      <c r="H21" s="33"/>
      <c r="I21" s="33"/>
      <c r="J21" s="33"/>
      <c r="K21" s="50"/>
      <c r="L21" s="16"/>
    </row>
    <row r="22" spans="1:12" x14ac:dyDescent="0.2">
      <c r="A22" s="18"/>
      <c r="B22" s="27"/>
      <c r="D22" s="28"/>
      <c r="E22" s="28"/>
      <c r="F22" s="28"/>
    </row>
    <row r="24" spans="1:12" x14ac:dyDescent="0.2">
      <c r="A24" s="35"/>
    </row>
    <row r="25" spans="1:12" s="56" customFormat="1" x14ac:dyDescent="0.2">
      <c r="B25" s="24"/>
      <c r="C25" s="24"/>
      <c r="D25" s="24"/>
      <c r="E25" s="24"/>
      <c r="F25" s="24"/>
      <c r="G25" s="65"/>
      <c r="H25" s="65"/>
      <c r="I25" s="65"/>
    </row>
    <row r="26" spans="1:12" s="56" customFormat="1" x14ac:dyDescent="0.2">
      <c r="B26" s="24"/>
      <c r="C26" s="24"/>
      <c r="D26" s="24"/>
      <c r="E26" s="24"/>
      <c r="F26" s="24"/>
      <c r="G26" s="65"/>
      <c r="H26" s="65"/>
      <c r="I26" s="65"/>
    </row>
    <row r="27" spans="1:12" s="56" customFormat="1" x14ac:dyDescent="0.2">
      <c r="B27" s="25"/>
      <c r="C27" s="25"/>
      <c r="D27" s="25"/>
      <c r="E27" s="24"/>
      <c r="F27" s="24"/>
      <c r="G27" s="24"/>
      <c r="H27" s="24"/>
      <c r="I27" s="24"/>
      <c r="J27" s="24"/>
    </row>
    <row r="28" spans="1:12" ht="13.5" customHeight="1" x14ac:dyDescent="0.2">
      <c r="A28" s="43"/>
      <c r="B28" s="37"/>
      <c r="C28" s="37"/>
      <c r="D28" s="37"/>
      <c r="E28" s="28"/>
      <c r="F28" s="53"/>
      <c r="G28" s="53"/>
      <c r="H28" s="53"/>
      <c r="I28" s="53"/>
      <c r="J28" s="53"/>
      <c r="K28" s="43"/>
    </row>
    <row r="29" spans="1:12" x14ac:dyDescent="0.2">
      <c r="A29" s="43"/>
      <c r="B29" s="57"/>
      <c r="C29" s="57"/>
      <c r="D29" s="37"/>
      <c r="E29" s="28"/>
      <c r="F29" s="53"/>
      <c r="G29" s="53"/>
      <c r="H29" s="53"/>
      <c r="I29" s="53"/>
      <c r="J29" s="53"/>
      <c r="K29" s="43"/>
    </row>
    <row r="30" spans="1:12" x14ac:dyDescent="0.2">
      <c r="A30" s="18"/>
      <c r="B30" s="37"/>
      <c r="C30" s="53"/>
      <c r="D30" s="46"/>
      <c r="E30" s="53"/>
      <c r="F30" s="53"/>
      <c r="G30" s="53"/>
      <c r="H30" s="37"/>
      <c r="I30" s="37"/>
    </row>
    <row r="32" spans="1:12" s="56" customFormat="1" x14ac:dyDescent="0.2">
      <c r="A32" s="35"/>
      <c r="F32" s="84"/>
      <c r="G32" s="65"/>
      <c r="H32" s="65"/>
      <c r="I32" s="65"/>
      <c r="J32" s="65"/>
    </row>
    <row r="33" spans="1:11" s="56" customFormat="1" x14ac:dyDescent="0.2">
      <c r="F33" s="84"/>
      <c r="G33" s="65"/>
      <c r="H33" s="65"/>
      <c r="I33" s="65"/>
      <c r="J33" s="65"/>
    </row>
    <row r="34" spans="1:11" s="56" customFormat="1" x14ac:dyDescent="0.2">
      <c r="B34" s="24"/>
      <c r="C34" s="24"/>
      <c r="D34" s="24"/>
      <c r="E34" s="24"/>
      <c r="F34" s="84"/>
      <c r="G34" s="65"/>
      <c r="H34" s="65"/>
      <c r="I34" s="65"/>
      <c r="J34" s="65"/>
    </row>
    <row r="35" spans="1:11" s="56" customFormat="1" x14ac:dyDescent="0.2">
      <c r="B35" s="24"/>
      <c r="C35" s="24"/>
      <c r="D35" s="24"/>
      <c r="E35" s="24"/>
      <c r="F35" s="84"/>
      <c r="G35" s="65"/>
      <c r="H35" s="65"/>
      <c r="I35" s="65"/>
      <c r="J35" s="65"/>
    </row>
    <row r="36" spans="1:11" s="56" customFormat="1" x14ac:dyDescent="0.2">
      <c r="B36" s="25"/>
      <c r="C36" s="25"/>
      <c r="D36" s="25"/>
      <c r="E36" s="24"/>
      <c r="F36" s="24"/>
      <c r="G36" s="24"/>
      <c r="H36" s="24"/>
      <c r="I36" s="24"/>
      <c r="J36" s="24"/>
    </row>
    <row r="37" spans="1:11" x14ac:dyDescent="0.2">
      <c r="A37" s="35"/>
      <c r="E37" s="28"/>
      <c r="F37" s="28"/>
      <c r="G37" s="28"/>
      <c r="H37" s="28"/>
      <c r="I37" s="28"/>
      <c r="J37" s="28"/>
    </row>
    <row r="38" spans="1:11" x14ac:dyDescent="0.2">
      <c r="B38" s="27"/>
      <c r="C38" s="27"/>
      <c r="E38" s="28"/>
      <c r="F38" s="27"/>
      <c r="G38" s="27"/>
      <c r="H38" s="27"/>
      <c r="I38" s="27"/>
      <c r="J38" s="27"/>
      <c r="K38" s="49"/>
    </row>
    <row r="39" spans="1:11" x14ac:dyDescent="0.2">
      <c r="B39" s="27"/>
      <c r="C39" s="27"/>
      <c r="D39" s="27"/>
      <c r="E39" s="28"/>
      <c r="F39" s="27"/>
      <c r="G39" s="27"/>
      <c r="H39" s="27"/>
      <c r="I39" s="27"/>
      <c r="J39" s="27"/>
      <c r="K39" s="49"/>
    </row>
    <row r="40" spans="1:11" x14ac:dyDescent="0.2">
      <c r="B40" s="27"/>
      <c r="C40" s="27"/>
      <c r="D40" s="27"/>
      <c r="E40" s="28"/>
      <c r="F40" s="27"/>
      <c r="G40" s="27"/>
      <c r="H40" s="27"/>
      <c r="I40" s="27"/>
      <c r="J40" s="27"/>
      <c r="K40" s="49"/>
    </row>
    <row r="41" spans="1:11" ht="14.25" x14ac:dyDescent="0.2">
      <c r="A41" s="21"/>
      <c r="B41" s="40"/>
      <c r="C41" s="40"/>
      <c r="D41" s="40"/>
      <c r="E41" s="28"/>
      <c r="F41" s="27"/>
      <c r="G41" s="27"/>
      <c r="H41" s="40"/>
      <c r="I41" s="40"/>
      <c r="J41" s="40"/>
      <c r="K41" s="27"/>
    </row>
    <row r="42" spans="1:11" x14ac:dyDescent="0.2">
      <c r="A42" s="56"/>
      <c r="B42" s="27"/>
      <c r="C42" s="27"/>
      <c r="D42" s="27"/>
      <c r="E42" s="28"/>
      <c r="F42" s="27"/>
      <c r="G42" s="27"/>
      <c r="H42" s="27"/>
      <c r="I42" s="27"/>
      <c r="J42" s="27"/>
      <c r="K42" s="27"/>
    </row>
    <row r="43" spans="1:11" x14ac:dyDescent="0.2">
      <c r="B43" s="27"/>
      <c r="C43" s="27"/>
      <c r="D43" s="27"/>
      <c r="E43" s="28"/>
      <c r="F43" s="27"/>
      <c r="G43" s="27"/>
      <c r="H43" s="27"/>
      <c r="I43" s="27"/>
      <c r="J43" s="27"/>
      <c r="K43" s="49"/>
    </row>
    <row r="44" spans="1:11" x14ac:dyDescent="0.2">
      <c r="B44" s="27"/>
      <c r="C44" s="27"/>
      <c r="D44" s="27"/>
      <c r="E44" s="28"/>
      <c r="F44" s="27"/>
      <c r="G44" s="27"/>
      <c r="H44" s="27"/>
      <c r="I44" s="27"/>
      <c r="J44" s="27"/>
      <c r="K44" s="49"/>
    </row>
    <row r="45" spans="1:11" x14ac:dyDescent="0.2">
      <c r="B45" s="27"/>
      <c r="C45" s="27"/>
      <c r="D45" s="27"/>
      <c r="E45" s="28"/>
      <c r="F45" s="27"/>
      <c r="G45" s="27"/>
      <c r="H45" s="27"/>
      <c r="I45" s="27"/>
      <c r="J45" s="27"/>
      <c r="K45" s="49"/>
    </row>
    <row r="46" spans="1:11" ht="14.25" x14ac:dyDescent="0.2">
      <c r="A46" s="21"/>
      <c r="B46" s="40"/>
      <c r="C46" s="40"/>
      <c r="D46" s="40"/>
      <c r="E46" s="28"/>
      <c r="F46" s="40"/>
      <c r="G46" s="40"/>
      <c r="H46" s="40"/>
      <c r="I46" s="40"/>
      <c r="J46" s="40"/>
      <c r="K46" s="27"/>
    </row>
    <row r="47" spans="1:11" x14ac:dyDescent="0.2">
      <c r="A47" s="56"/>
      <c r="B47" s="27"/>
      <c r="C47" s="27"/>
      <c r="D47" s="27"/>
      <c r="E47" s="28"/>
      <c r="F47" s="27"/>
      <c r="G47" s="27"/>
      <c r="H47" s="27"/>
      <c r="I47" s="27"/>
      <c r="J47" s="27"/>
      <c r="K47" s="27"/>
    </row>
    <row r="48" spans="1:11" x14ac:dyDescent="0.2">
      <c r="B48" s="27"/>
      <c r="C48" s="27"/>
      <c r="D48" s="27"/>
      <c r="E48" s="28"/>
      <c r="F48" s="27"/>
      <c r="G48" s="27"/>
      <c r="H48" s="27"/>
      <c r="I48" s="27"/>
      <c r="J48" s="27"/>
      <c r="K48" s="49"/>
    </row>
    <row r="49" spans="1:11" x14ac:dyDescent="0.2">
      <c r="B49" s="27"/>
      <c r="C49" s="27"/>
      <c r="D49" s="27"/>
      <c r="E49" s="28"/>
      <c r="F49" s="27"/>
      <c r="G49" s="27"/>
      <c r="H49" s="27"/>
      <c r="I49" s="27"/>
      <c r="J49" s="27"/>
      <c r="K49" s="49"/>
    </row>
    <row r="50" spans="1:11" x14ac:dyDescent="0.2">
      <c r="B50" s="27"/>
      <c r="C50" s="27"/>
      <c r="D50" s="27"/>
      <c r="E50" s="28"/>
      <c r="F50" s="27"/>
      <c r="G50" s="27"/>
      <c r="H50" s="27"/>
      <c r="I50" s="27"/>
      <c r="J50" s="27"/>
      <c r="K50" s="49"/>
    </row>
    <row r="51" spans="1:11" x14ac:dyDescent="0.2">
      <c r="B51" s="27"/>
      <c r="C51" s="27"/>
      <c r="D51" s="27"/>
      <c r="E51" s="28"/>
      <c r="F51" s="27"/>
      <c r="G51" s="27"/>
      <c r="H51" s="27"/>
      <c r="I51" s="27"/>
      <c r="J51" s="27"/>
      <c r="K51" s="49"/>
    </row>
    <row r="52" spans="1:11" s="56" customFormat="1" x14ac:dyDescent="0.2">
      <c r="B52" s="33"/>
      <c r="C52" s="33"/>
      <c r="D52" s="33"/>
      <c r="E52" s="34"/>
      <c r="F52" s="33"/>
      <c r="G52" s="33"/>
      <c r="H52" s="33"/>
      <c r="I52" s="33"/>
      <c r="J52" s="33"/>
      <c r="K52" s="50"/>
    </row>
    <row r="53" spans="1:11" s="56" customFormat="1" x14ac:dyDescent="0.2">
      <c r="B53" s="27"/>
      <c r="C53" s="27"/>
      <c r="D53" s="33"/>
      <c r="E53" s="28"/>
      <c r="F53" s="27"/>
      <c r="G53" s="27"/>
      <c r="H53" s="27"/>
      <c r="I53" s="27"/>
      <c r="J53" s="27"/>
      <c r="K53" s="33"/>
    </row>
    <row r="54" spans="1:11" s="56" customFormat="1" x14ac:dyDescent="0.2">
      <c r="B54" s="33"/>
      <c r="C54" s="33"/>
      <c r="D54" s="33"/>
      <c r="E54" s="34"/>
      <c r="F54" s="33"/>
      <c r="G54" s="33"/>
      <c r="H54" s="33"/>
      <c r="I54" s="33"/>
      <c r="J54" s="33"/>
      <c r="K54" s="50"/>
    </row>
    <row r="55" spans="1:11" s="56" customFormat="1" x14ac:dyDescent="0.2">
      <c r="B55" s="27"/>
      <c r="C55" s="27"/>
      <c r="D55" s="27"/>
      <c r="E55" s="28"/>
      <c r="F55" s="28"/>
      <c r="G55" s="28"/>
      <c r="H55" s="28"/>
      <c r="I55" s="28"/>
      <c r="J55" s="28"/>
      <c r="K55" s="33"/>
    </row>
    <row r="56" spans="1:11" s="56" customFormat="1" x14ac:dyDescent="0.2">
      <c r="B56" s="23"/>
      <c r="C56" s="23"/>
      <c r="D56" s="23"/>
      <c r="E56" s="34"/>
      <c r="F56" s="38"/>
      <c r="G56" s="38"/>
      <c r="H56" s="23"/>
      <c r="I56" s="23"/>
      <c r="J56" s="23"/>
      <c r="K56" s="51"/>
    </row>
    <row r="57" spans="1:11" x14ac:dyDescent="0.2">
      <c r="B57" s="37"/>
      <c r="C57" s="37"/>
      <c r="D57" s="37"/>
      <c r="E57" s="37"/>
      <c r="F57" s="27"/>
      <c r="G57" s="37"/>
      <c r="H57" s="37"/>
      <c r="I57" s="37"/>
    </row>
    <row r="58" spans="1:11" x14ac:dyDescent="0.2">
      <c r="A58" s="18"/>
      <c r="B58" s="47"/>
      <c r="C58" s="27"/>
      <c r="D58" s="27"/>
      <c r="E58" s="27"/>
      <c r="F58" s="27"/>
      <c r="G58" s="27"/>
      <c r="H58" s="27"/>
      <c r="I58" s="27"/>
    </row>
    <row r="59" spans="1:11" x14ac:dyDescent="0.2">
      <c r="A59" s="18"/>
    </row>
    <row r="60" spans="1:11" x14ac:dyDescent="0.2">
      <c r="A60" s="18"/>
      <c r="B60" s="37"/>
    </row>
    <row r="61" spans="1:11" x14ac:dyDescent="0.2">
      <c r="A61" s="18"/>
    </row>
    <row r="62" spans="1:11" x14ac:dyDescent="0.2">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2.75" x14ac:dyDescent="0.2"/>
  <cols>
    <col min="1" max="1" width="31" customWidth="1"/>
    <col min="2" max="2" width="11.42578125" bestFit="1" customWidth="1"/>
    <col min="3" max="3" width="12.5703125" style="43" customWidth="1"/>
    <col min="4" max="4" width="11.140625" style="2" customWidth="1"/>
    <col min="5" max="5" width="21" style="2" customWidth="1"/>
    <col min="6" max="6" width="15.28515625" style="6" customWidth="1"/>
  </cols>
  <sheetData>
    <row r="3" spans="1:6" x14ac:dyDescent="0.2">
      <c r="D3" s="5"/>
      <c r="E3" s="5"/>
    </row>
    <row r="6" spans="1:6" s="1" customFormat="1" x14ac:dyDescent="0.2">
      <c r="C6" s="64"/>
      <c r="D6" s="5"/>
      <c r="E6" s="5"/>
      <c r="F6" s="7"/>
    </row>
    <row r="7" spans="1:6" s="1" customFormat="1" x14ac:dyDescent="0.2">
      <c r="A7" s="17"/>
      <c r="B7" s="17"/>
      <c r="C7" s="64"/>
      <c r="D7" s="5"/>
      <c r="E7" s="5"/>
      <c r="F7" s="7"/>
    </row>
    <row r="8" spans="1:6" s="1" customFormat="1" x14ac:dyDescent="0.2">
      <c r="A8" s="17"/>
      <c r="B8" s="17"/>
      <c r="C8" s="64"/>
      <c r="D8" s="5"/>
      <c r="E8" s="5"/>
      <c r="F8" s="7"/>
    </row>
    <row r="9" spans="1:6" s="1" customFormat="1" x14ac:dyDescent="0.2">
      <c r="A9" s="17"/>
      <c r="B9" s="17"/>
      <c r="C9" s="64"/>
      <c r="D9" s="5"/>
      <c r="E9" s="5"/>
      <c r="F9" s="7"/>
    </row>
    <row r="10" spans="1:6" s="1" customFormat="1" x14ac:dyDescent="0.2">
      <c r="A10" s="85"/>
      <c r="B10" s="85"/>
      <c r="C10" s="85"/>
      <c r="D10" s="86"/>
      <c r="E10" s="86"/>
      <c r="F10" s="87"/>
    </row>
    <row r="11" spans="1:6" x14ac:dyDescent="0.2">
      <c r="A11" s="10"/>
      <c r="B11" s="10"/>
      <c r="C11" s="2"/>
      <c r="F11" s="12"/>
    </row>
    <row r="12" spans="1:6" x14ac:dyDescent="0.2">
      <c r="A12" s="10"/>
      <c r="B12" s="10"/>
      <c r="C12" s="2"/>
      <c r="F12" s="12"/>
    </row>
    <row r="13" spans="1:6" x14ac:dyDescent="0.2">
      <c r="A13" s="10"/>
      <c r="B13" s="10"/>
      <c r="C13" s="2"/>
      <c r="F13" s="12"/>
    </row>
    <row r="14" spans="1:6" x14ac:dyDescent="0.2">
      <c r="A14" s="10"/>
      <c r="B14" s="10"/>
      <c r="C14" s="2"/>
      <c r="F14" s="12"/>
    </row>
    <row r="15" spans="1:6" x14ac:dyDescent="0.2">
      <c r="A15" s="10"/>
      <c r="B15" s="10"/>
      <c r="C15" s="2"/>
      <c r="F15" s="12"/>
    </row>
    <row r="16" spans="1:6" x14ac:dyDescent="0.2">
      <c r="A16" s="10"/>
      <c r="B16" s="10"/>
      <c r="C16" s="2"/>
      <c r="F16" s="12"/>
    </row>
    <row r="17" spans="1:6" x14ac:dyDescent="0.2">
      <c r="A17" s="10"/>
      <c r="B17" s="10"/>
      <c r="C17" s="2"/>
      <c r="F17" s="12"/>
    </row>
    <row r="18" spans="1:6" s="1" customFormat="1" x14ac:dyDescent="0.2">
      <c r="A18" s="26"/>
      <c r="B18" s="26"/>
      <c r="C18" s="2"/>
      <c r="D18" s="2"/>
      <c r="E18" s="2"/>
      <c r="F18" s="7"/>
    </row>
    <row r="19" spans="1:6" x14ac:dyDescent="0.2">
      <c r="A19" s="10"/>
      <c r="B19" s="10"/>
      <c r="C19" s="2"/>
      <c r="F19" s="12"/>
    </row>
    <row r="20" spans="1:6" x14ac:dyDescent="0.2">
      <c r="A20" s="10"/>
      <c r="B20" s="10"/>
      <c r="C20" s="2"/>
      <c r="F20" s="12"/>
    </row>
    <row r="21" spans="1:6" x14ac:dyDescent="0.2">
      <c r="A21" s="10"/>
      <c r="B21" s="10"/>
      <c r="C21" s="2"/>
      <c r="F21" s="12"/>
    </row>
    <row r="22" spans="1:6" x14ac:dyDescent="0.2">
      <c r="A22" s="10"/>
      <c r="B22" s="10"/>
      <c r="C22" s="2"/>
      <c r="F22" s="12"/>
    </row>
    <row r="23" spans="1:6" x14ac:dyDescent="0.2">
      <c r="A23" s="10"/>
      <c r="B23" s="10"/>
      <c r="C23" s="2"/>
      <c r="F23" s="12"/>
    </row>
    <row r="24" spans="1:6" x14ac:dyDescent="0.2">
      <c r="A24" s="10"/>
      <c r="B24" s="10"/>
      <c r="C24" s="2"/>
      <c r="F24" s="12"/>
    </row>
    <row r="25" spans="1:6" x14ac:dyDescent="0.2">
      <c r="A25" s="10"/>
      <c r="B25" s="10"/>
      <c r="C25" s="2"/>
      <c r="F25" s="12"/>
    </row>
    <row r="26" spans="1:6" x14ac:dyDescent="0.2">
      <c r="A26" s="10"/>
      <c r="B26" s="10"/>
      <c r="C26" s="2"/>
      <c r="F26" s="12"/>
    </row>
    <row r="27" spans="1:6" x14ac:dyDescent="0.2">
      <c r="A27" s="10"/>
      <c r="B27" s="10"/>
      <c r="C27" s="2"/>
      <c r="F27" s="12"/>
    </row>
    <row r="28" spans="1:6" s="1" customFormat="1" x14ac:dyDescent="0.2">
      <c r="A28" s="26"/>
      <c r="B28" s="26"/>
      <c r="C28" s="2"/>
      <c r="D28" s="2"/>
      <c r="E28" s="2"/>
      <c r="F28" s="7"/>
    </row>
    <row r="29" spans="1:6" x14ac:dyDescent="0.2">
      <c r="A29" s="10"/>
      <c r="B29" s="10"/>
      <c r="C29" s="2"/>
      <c r="F29" s="12"/>
    </row>
    <row r="30" spans="1:6" x14ac:dyDescent="0.2">
      <c r="A30" s="10"/>
      <c r="B30" s="10"/>
      <c r="C30" s="2"/>
      <c r="F30" s="12"/>
    </row>
    <row r="31" spans="1:6" x14ac:dyDescent="0.2">
      <c r="A31" s="10"/>
      <c r="B31" s="10"/>
      <c r="C31" s="2"/>
      <c r="F31" s="12"/>
    </row>
    <row r="32" spans="1:6" x14ac:dyDescent="0.2">
      <c r="A32" s="10"/>
      <c r="B32" s="10"/>
      <c r="C32" s="2"/>
      <c r="F32" s="12"/>
    </row>
    <row r="33" spans="1:6" x14ac:dyDescent="0.2">
      <c r="A33" s="10"/>
      <c r="B33" s="10"/>
      <c r="C33" s="2"/>
      <c r="F33" s="12"/>
    </row>
    <row r="34" spans="1:6" x14ac:dyDescent="0.2">
      <c r="A34" s="10"/>
      <c r="B34" s="10"/>
      <c r="C34" s="2"/>
      <c r="F34" s="12"/>
    </row>
    <row r="35" spans="1:6" x14ac:dyDescent="0.2">
      <c r="A35" s="10"/>
      <c r="B35" s="10"/>
      <c r="C35" s="2"/>
      <c r="F35" s="12"/>
    </row>
    <row r="36" spans="1:6" x14ac:dyDescent="0.2">
      <c r="A36" s="10"/>
      <c r="B36" s="10"/>
      <c r="C36" s="2"/>
      <c r="F36" s="12"/>
    </row>
    <row r="37" spans="1:6" x14ac:dyDescent="0.2">
      <c r="A37" s="10"/>
      <c r="B37" s="10"/>
      <c r="C37" s="2"/>
      <c r="F37" s="12"/>
    </row>
    <row r="38" spans="1:6" x14ac:dyDescent="0.2">
      <c r="A38" s="10"/>
      <c r="B38" s="10"/>
      <c r="C38" s="2"/>
      <c r="F38" s="12"/>
    </row>
    <row r="39" spans="1:6" s="1" customFormat="1" x14ac:dyDescent="0.2">
      <c r="A39" s="26"/>
      <c r="B39" s="26"/>
      <c r="C39" s="2"/>
      <c r="D39" s="2"/>
      <c r="E39" s="2"/>
      <c r="F39" s="7"/>
    </row>
    <row r="40" spans="1:6" x14ac:dyDescent="0.2">
      <c r="A40" s="10"/>
      <c r="B40" s="10"/>
      <c r="C40" s="2"/>
      <c r="F40" s="12"/>
    </row>
    <row r="41" spans="1:6" x14ac:dyDescent="0.2">
      <c r="A41" s="10"/>
      <c r="B41" s="10"/>
      <c r="C41" s="2"/>
      <c r="F41" s="12"/>
    </row>
    <row r="42" spans="1:6" x14ac:dyDescent="0.2">
      <c r="A42" s="10"/>
      <c r="B42" s="10"/>
      <c r="C42" s="2"/>
      <c r="F42" s="12"/>
    </row>
    <row r="43" spans="1:6" x14ac:dyDescent="0.2">
      <c r="A43" s="10"/>
      <c r="B43" s="10"/>
      <c r="C43" s="2"/>
      <c r="F43" s="12"/>
    </row>
    <row r="44" spans="1:6" x14ac:dyDescent="0.2">
      <c r="A44" s="10"/>
      <c r="B44" s="10"/>
      <c r="C44" s="2"/>
      <c r="F44" s="12"/>
    </row>
    <row r="45" spans="1:6" x14ac:dyDescent="0.2">
      <c r="A45" s="10"/>
      <c r="B45" s="10"/>
      <c r="C45" s="2"/>
      <c r="F45" s="12"/>
    </row>
    <row r="46" spans="1:6" x14ac:dyDescent="0.2">
      <c r="A46" s="10"/>
      <c r="B46" s="10"/>
      <c r="C46" s="2"/>
      <c r="F46" s="12"/>
    </row>
    <row r="47" spans="1:6" x14ac:dyDescent="0.2">
      <c r="A47" s="10"/>
      <c r="B47" s="10"/>
      <c r="C47" s="2"/>
      <c r="F47" s="12"/>
    </row>
    <row r="48" spans="1:6" x14ac:dyDescent="0.2">
      <c r="A48" s="10"/>
      <c r="B48" s="10"/>
      <c r="C48" s="2"/>
      <c r="F48" s="12"/>
    </row>
    <row r="49" spans="1:6" s="74" customFormat="1" x14ac:dyDescent="0.2">
      <c r="C49" s="5"/>
      <c r="D49" s="5"/>
      <c r="E49" s="5"/>
      <c r="F49" s="7"/>
    </row>
    <row r="50" spans="1:6" s="1" customFormat="1" x14ac:dyDescent="0.2">
      <c r="A50" s="10"/>
      <c r="B50" s="10"/>
      <c r="C50" s="2"/>
      <c r="D50" s="2"/>
      <c r="E50" s="2"/>
      <c r="F50" s="12"/>
    </row>
    <row r="51" spans="1:6" x14ac:dyDescent="0.2">
      <c r="A51" s="10"/>
      <c r="B51" s="10"/>
      <c r="C51" s="2"/>
      <c r="F51" s="12"/>
    </row>
    <row r="52" spans="1:6" x14ac:dyDescent="0.2">
      <c r="A52" s="10"/>
      <c r="B52" s="10"/>
      <c r="C52" s="2"/>
      <c r="F52" s="12"/>
    </row>
    <row r="53" spans="1:6" s="74" customFormat="1" x14ac:dyDescent="0.2">
      <c r="C53" s="5"/>
      <c r="D53" s="5"/>
      <c r="E53" s="5"/>
      <c r="F53" s="7"/>
    </row>
    <row r="54" spans="1:6" s="1" customFormat="1" x14ac:dyDescent="0.2">
      <c r="A54" s="10"/>
      <c r="B54" s="10"/>
      <c r="C54" s="2"/>
      <c r="D54" s="2"/>
      <c r="E54" s="2"/>
      <c r="F54" s="12"/>
    </row>
    <row r="55" spans="1:6" x14ac:dyDescent="0.2">
      <c r="A55" s="10"/>
      <c r="B55" s="10"/>
      <c r="C55" s="2"/>
      <c r="F55" s="12"/>
    </row>
    <row r="56" spans="1:6" x14ac:dyDescent="0.2">
      <c r="A56" s="10"/>
      <c r="B56" s="10"/>
      <c r="C56" s="2"/>
      <c r="F56" s="12"/>
    </row>
    <row r="57" spans="1:6" x14ac:dyDescent="0.2">
      <c r="A57" s="10"/>
      <c r="B57" s="10"/>
      <c r="C57" s="2"/>
      <c r="F57" s="12"/>
    </row>
    <row r="58" spans="1:6" x14ac:dyDescent="0.2">
      <c r="A58" s="10"/>
      <c r="B58" s="10"/>
      <c r="C58" s="10"/>
      <c r="F58" s="12"/>
    </row>
    <row r="59" spans="1:6" x14ac:dyDescent="0.2">
      <c r="A59" s="18"/>
      <c r="B59" s="10"/>
      <c r="C59" s="10"/>
      <c r="F59" s="12"/>
    </row>
    <row r="60" spans="1:6" x14ac:dyDescent="0.2">
      <c r="A60" s="18"/>
      <c r="B60" s="10"/>
      <c r="C60" s="10"/>
      <c r="F60" s="12"/>
    </row>
    <row r="61" spans="1:6" x14ac:dyDescent="0.2">
      <c r="A61" s="10"/>
      <c r="B61" s="10"/>
      <c r="C61" s="10"/>
      <c r="F61" s="12"/>
    </row>
    <row r="62" spans="1:6" x14ac:dyDescent="0.2">
      <c r="A62" s="10"/>
      <c r="B62" s="10"/>
      <c r="C62" s="10"/>
      <c r="F62" s="12"/>
    </row>
    <row r="63" spans="1:6" x14ac:dyDescent="0.2">
      <c r="A63" s="10"/>
      <c r="B63" s="10"/>
      <c r="C63" s="10"/>
      <c r="F63" s="12"/>
    </row>
    <row r="64" spans="1:6" x14ac:dyDescent="0.2">
      <c r="A64" s="10"/>
      <c r="B64" s="10"/>
      <c r="C64" s="10"/>
      <c r="F64" s="12"/>
    </row>
    <row r="65" spans="1:6" x14ac:dyDescent="0.2">
      <c r="A65" s="10"/>
      <c r="B65" s="10"/>
      <c r="C65" s="10"/>
      <c r="F65" s="12"/>
    </row>
    <row r="66" spans="1:6" x14ac:dyDescent="0.2">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40625" defaultRowHeight="12.75" x14ac:dyDescent="0.2"/>
  <cols>
    <col min="1" max="1" width="28.7109375" style="43" bestFit="1" customWidth="1"/>
    <col min="2" max="2" width="18.7109375" style="27" bestFit="1" customWidth="1"/>
    <col min="3" max="3" width="16" style="43" bestFit="1" customWidth="1"/>
    <col min="4" max="4" width="12.85546875" style="28" bestFit="1" customWidth="1"/>
    <col min="5" max="5" width="12.85546875" style="43" bestFit="1" customWidth="1"/>
    <col min="6" max="6" width="12.85546875" style="28" bestFit="1" customWidth="1"/>
    <col min="7" max="7" width="34" style="43" bestFit="1" customWidth="1"/>
    <col min="8" max="8" width="33" style="43" customWidth="1"/>
    <col min="9" max="9" width="30" style="43" bestFit="1" customWidth="1"/>
    <col min="10" max="10" width="19" style="43" bestFit="1" customWidth="1"/>
    <col min="11" max="11" width="18.42578125" style="43" bestFit="1" customWidth="1"/>
    <col min="12" max="12" width="18.42578125" style="43" customWidth="1"/>
    <col min="13" max="13" width="12.85546875" style="43" bestFit="1" customWidth="1"/>
    <col min="14" max="16384" width="9.140625" style="43"/>
  </cols>
  <sheetData>
    <row r="1" spans="1:16" ht="12.75" customHeight="1" x14ac:dyDescent="0.2"/>
    <row r="2" spans="1:16" ht="12.75" customHeight="1" x14ac:dyDescent="0.2"/>
    <row r="3" spans="1:16" s="65" customFormat="1" ht="12.75" customHeight="1" x14ac:dyDescent="0.2">
      <c r="B3" s="33"/>
      <c r="D3" s="39"/>
      <c r="F3" s="39"/>
      <c r="M3" s="20"/>
      <c r="N3" s="43"/>
      <c r="O3" s="43"/>
      <c r="P3" s="43"/>
    </row>
    <row r="4" spans="1:16" s="65" customFormat="1" ht="12.75" customHeight="1" x14ac:dyDescent="0.2">
      <c r="B4" s="33"/>
      <c r="D4" s="39"/>
      <c r="F4" s="24"/>
      <c r="H4" s="43"/>
      <c r="M4" s="20"/>
      <c r="N4" s="43"/>
      <c r="O4" s="43"/>
      <c r="P4" s="43"/>
    </row>
    <row r="5" spans="1:16" s="65" customFormat="1" ht="12.75" customHeight="1" x14ac:dyDescent="0.2">
      <c r="B5" s="66"/>
      <c r="C5" s="66"/>
      <c r="D5" s="39"/>
      <c r="E5" s="66"/>
      <c r="F5" s="24"/>
      <c r="H5" s="43"/>
      <c r="I5" s="43"/>
      <c r="J5" s="43"/>
      <c r="K5" s="43"/>
      <c r="L5" s="43"/>
      <c r="M5" s="20"/>
    </row>
    <row r="6" spans="1:16" s="65" customFormat="1" ht="12.75" customHeight="1" x14ac:dyDescent="0.2">
      <c r="B6" s="33"/>
      <c r="C6" s="33"/>
      <c r="D6" s="34"/>
      <c r="E6" s="33"/>
      <c r="F6" s="34"/>
      <c r="G6" s="62"/>
      <c r="H6" s="62"/>
      <c r="I6" s="62"/>
      <c r="J6" s="62"/>
      <c r="K6" s="43"/>
      <c r="L6" s="43"/>
      <c r="M6" s="20"/>
      <c r="N6" s="43"/>
      <c r="O6" s="43"/>
      <c r="P6" s="43"/>
    </row>
    <row r="7" spans="1:16" s="65" customFormat="1" ht="12.75" customHeight="1" x14ac:dyDescent="0.2">
      <c r="A7" s="10"/>
      <c r="B7" s="27"/>
      <c r="C7" s="27"/>
      <c r="D7" s="28"/>
      <c r="E7" s="27"/>
      <c r="F7" s="28"/>
      <c r="G7" s="62"/>
      <c r="H7" s="62"/>
      <c r="I7" s="62"/>
      <c r="J7" s="62"/>
      <c r="K7" s="43"/>
      <c r="L7" s="43"/>
      <c r="M7" s="20"/>
      <c r="N7" s="43"/>
      <c r="O7" s="43"/>
      <c r="P7" s="43"/>
    </row>
    <row r="8" spans="1:16" ht="12.75" customHeight="1" x14ac:dyDescent="0.2">
      <c r="A8" s="10"/>
      <c r="C8" s="27"/>
      <c r="E8" s="27"/>
      <c r="G8" s="62"/>
      <c r="H8" s="62"/>
      <c r="I8" s="62"/>
      <c r="J8" s="62"/>
      <c r="K8" s="65"/>
      <c r="L8" s="65"/>
      <c r="M8" s="65"/>
      <c r="N8" s="65"/>
      <c r="O8" s="65"/>
      <c r="P8" s="65"/>
    </row>
    <row r="9" spans="1:16" ht="12.75" customHeight="1" x14ac:dyDescent="0.2">
      <c r="A9" s="10"/>
      <c r="C9" s="27"/>
      <c r="E9" s="27"/>
      <c r="G9" s="62"/>
      <c r="H9" s="62"/>
      <c r="I9" s="62"/>
      <c r="J9" s="62"/>
    </row>
    <row r="10" spans="1:16" ht="12.75" customHeight="1" x14ac:dyDescent="0.2">
      <c r="A10" s="10"/>
      <c r="C10" s="27"/>
      <c r="E10" s="27"/>
      <c r="G10" s="62"/>
      <c r="H10" s="62"/>
      <c r="I10" s="62"/>
      <c r="J10" s="62"/>
    </row>
    <row r="11" spans="1:16" ht="12.75" customHeight="1" x14ac:dyDescent="0.2">
      <c r="A11" s="10"/>
      <c r="C11" s="27"/>
      <c r="E11" s="27"/>
      <c r="G11" s="62"/>
      <c r="H11" s="62"/>
      <c r="I11" s="62"/>
      <c r="J11" s="62"/>
    </row>
    <row r="12" spans="1:16" ht="12.75" customHeight="1" x14ac:dyDescent="0.2">
      <c r="A12" s="10"/>
      <c r="C12" s="27"/>
      <c r="E12" s="27"/>
      <c r="G12" s="62"/>
      <c r="H12" s="62"/>
      <c r="I12" s="62"/>
      <c r="J12" s="62"/>
    </row>
    <row r="13" spans="1:16" ht="12.75" customHeight="1" x14ac:dyDescent="0.2">
      <c r="A13" s="10"/>
      <c r="C13" s="27"/>
      <c r="E13" s="27"/>
      <c r="G13" s="62"/>
      <c r="H13" s="62"/>
      <c r="I13" s="62"/>
      <c r="J13" s="62"/>
      <c r="K13" s="65"/>
      <c r="L13" s="65"/>
      <c r="M13" s="20"/>
    </row>
    <row r="14" spans="1:16" ht="12.75" customHeight="1" x14ac:dyDescent="0.2">
      <c r="A14" s="10"/>
      <c r="C14" s="27"/>
      <c r="E14" s="27"/>
      <c r="G14" s="62"/>
      <c r="H14" s="62"/>
      <c r="I14" s="62"/>
      <c r="J14" s="62"/>
      <c r="K14" s="65"/>
      <c r="L14" s="65"/>
      <c r="M14" s="20"/>
    </row>
    <row r="15" spans="1:16" s="65" customFormat="1" ht="12.75" customHeight="1" x14ac:dyDescent="0.2">
      <c r="B15" s="33"/>
      <c r="C15" s="33"/>
      <c r="D15" s="34"/>
      <c r="E15" s="33"/>
      <c r="F15" s="34"/>
      <c r="G15" s="62"/>
      <c r="H15" s="62"/>
      <c r="I15" s="62"/>
      <c r="J15" s="62"/>
      <c r="K15" s="43"/>
      <c r="L15" s="43"/>
      <c r="M15" s="20"/>
    </row>
    <row r="16" spans="1:16" ht="12.75" customHeight="1" x14ac:dyDescent="0.2">
      <c r="A16" s="10"/>
      <c r="C16" s="27"/>
      <c r="E16" s="27"/>
      <c r="G16" s="62"/>
      <c r="H16" s="62"/>
      <c r="I16" s="62"/>
      <c r="J16" s="62"/>
      <c r="M16" s="20"/>
    </row>
    <row r="17" spans="1:15" s="65" customFormat="1" ht="12.75" customHeight="1" x14ac:dyDescent="0.25">
      <c r="B17" s="33"/>
      <c r="C17" s="33"/>
      <c r="D17" s="28"/>
      <c r="E17" s="33"/>
      <c r="F17" s="34"/>
      <c r="G17" s="67"/>
      <c r="H17" s="27"/>
      <c r="I17" s="67"/>
    </row>
    <row r="18" spans="1:15" ht="12.75" customHeight="1" x14ac:dyDescent="0.25">
      <c r="A18" s="10"/>
      <c r="B18" s="78"/>
      <c r="C18" s="80"/>
      <c r="E18" s="27"/>
      <c r="G18" s="67"/>
      <c r="H18" s="54"/>
      <c r="I18" s="67"/>
    </row>
    <row r="19" spans="1:15" ht="12.75" customHeight="1" x14ac:dyDescent="0.25">
      <c r="A19" s="10"/>
      <c r="B19" s="78"/>
      <c r="C19" s="80"/>
      <c r="E19" s="27"/>
      <c r="G19" s="67"/>
      <c r="H19" s="55"/>
      <c r="I19" s="67"/>
    </row>
    <row r="20" spans="1:15" ht="12.75" customHeight="1" x14ac:dyDescent="0.25">
      <c r="A20" s="10"/>
      <c r="B20" s="78"/>
      <c r="C20" s="80"/>
      <c r="E20" s="27"/>
      <c r="G20" s="67"/>
      <c r="H20" s="55"/>
      <c r="I20" s="67"/>
    </row>
    <row r="21" spans="1:15" ht="12.75" customHeight="1" x14ac:dyDescent="0.25">
      <c r="C21" s="27"/>
      <c r="E21" s="27"/>
      <c r="G21" s="67"/>
      <c r="H21" s="55"/>
      <c r="I21" s="67"/>
    </row>
    <row r="22" spans="1:15" s="65" customFormat="1" ht="12.75" customHeight="1" x14ac:dyDescent="0.25">
      <c r="B22" s="33"/>
      <c r="C22" s="33"/>
      <c r="D22" s="34"/>
      <c r="E22" s="33"/>
      <c r="F22" s="34"/>
      <c r="G22" s="67"/>
      <c r="H22" s="54"/>
      <c r="I22" s="67"/>
    </row>
    <row r="23" spans="1:15" ht="12.75" customHeight="1" x14ac:dyDescent="0.2">
      <c r="A23" s="10"/>
      <c r="C23" s="27"/>
      <c r="E23" s="27"/>
      <c r="H23" s="27"/>
      <c r="I23" s="27"/>
      <c r="J23" s="65"/>
      <c r="K23" s="65"/>
      <c r="L23" s="65"/>
      <c r="M23" s="65"/>
      <c r="N23" s="65"/>
      <c r="O23" s="41"/>
    </row>
    <row r="24" spans="1:15" s="65" customFormat="1" ht="12.75" customHeight="1" x14ac:dyDescent="0.2">
      <c r="B24" s="27"/>
      <c r="C24" s="27"/>
      <c r="D24" s="28"/>
      <c r="E24" s="27"/>
      <c r="F24" s="28"/>
      <c r="G24" s="52"/>
      <c r="H24" s="54"/>
      <c r="I24" s="55"/>
      <c r="J24" s="43"/>
      <c r="K24" s="43"/>
      <c r="L24" s="43"/>
      <c r="M24" s="43"/>
      <c r="N24" s="43"/>
      <c r="O24" s="22"/>
    </row>
    <row r="25" spans="1:15" s="10" customFormat="1" ht="12.75" customHeight="1" x14ac:dyDescent="0.2">
      <c r="B25" s="68"/>
      <c r="C25" s="68"/>
      <c r="D25" s="28"/>
      <c r="E25" s="68"/>
      <c r="F25" s="28"/>
      <c r="G25" s="69"/>
      <c r="H25" s="55"/>
      <c r="I25" s="55"/>
      <c r="O25" s="22"/>
    </row>
    <row r="26" spans="1:15" ht="12.75" customHeight="1" x14ac:dyDescent="0.25">
      <c r="A26" s="10"/>
      <c r="B26" s="68"/>
      <c r="C26" s="68"/>
      <c r="E26" s="68"/>
      <c r="G26" s="67"/>
      <c r="H26" s="55"/>
      <c r="I26" s="70"/>
      <c r="O26" s="22"/>
    </row>
    <row r="27" spans="1:15" ht="12.75" customHeight="1" x14ac:dyDescent="0.25">
      <c r="A27" s="10"/>
      <c r="B27" s="68"/>
      <c r="C27" s="68"/>
      <c r="E27" s="68"/>
      <c r="G27" s="67"/>
      <c r="H27" s="55"/>
      <c r="I27" s="70"/>
      <c r="O27" s="22"/>
    </row>
    <row r="28" spans="1:15" ht="12.75" customHeight="1" x14ac:dyDescent="0.25">
      <c r="A28" s="10"/>
      <c r="B28" s="68"/>
      <c r="C28" s="68"/>
      <c r="E28" s="68"/>
      <c r="G28" s="67"/>
      <c r="H28" s="55"/>
      <c r="I28" s="70"/>
      <c r="O28" s="22"/>
    </row>
    <row r="29" spans="1:15" ht="12.75" customHeight="1" x14ac:dyDescent="0.25">
      <c r="A29" s="10"/>
      <c r="B29" s="68"/>
      <c r="C29" s="68"/>
      <c r="E29" s="68"/>
      <c r="G29" s="67"/>
      <c r="H29" s="55"/>
      <c r="I29" s="70"/>
      <c r="J29" s="65"/>
      <c r="K29" s="65"/>
      <c r="L29" s="65"/>
      <c r="M29" s="65"/>
      <c r="N29" s="65"/>
      <c r="O29" s="13"/>
    </row>
    <row r="30" spans="1:15" ht="12.75" customHeight="1" x14ac:dyDescent="0.25">
      <c r="A30" s="10"/>
      <c r="B30" s="68"/>
      <c r="C30" s="68"/>
      <c r="E30" s="68"/>
      <c r="G30" s="67"/>
      <c r="H30" s="55"/>
      <c r="I30" s="70"/>
      <c r="J30" s="65"/>
      <c r="K30" s="65"/>
      <c r="L30" s="65"/>
      <c r="M30" s="65"/>
      <c r="N30" s="65"/>
      <c r="O30" s="41"/>
    </row>
    <row r="31" spans="1:15" ht="12.75" customHeight="1" x14ac:dyDescent="0.25">
      <c r="A31" s="10"/>
      <c r="B31" s="68"/>
      <c r="C31" s="68"/>
      <c r="E31" s="68"/>
      <c r="G31" s="67"/>
      <c r="H31" s="55"/>
      <c r="I31" s="70"/>
      <c r="O31" s="22"/>
    </row>
    <row r="32" spans="1:15" ht="12.75" customHeight="1" x14ac:dyDescent="0.25">
      <c r="A32" s="10"/>
      <c r="B32" s="68"/>
      <c r="C32" s="68"/>
      <c r="E32" s="68"/>
      <c r="G32" s="67"/>
      <c r="H32" s="55"/>
      <c r="I32" s="70"/>
      <c r="O32" s="22"/>
    </row>
    <row r="33" spans="1:15" s="65" customFormat="1" ht="12.75" customHeight="1" x14ac:dyDescent="0.25">
      <c r="B33" s="33"/>
      <c r="C33" s="33"/>
      <c r="D33" s="34"/>
      <c r="E33" s="33"/>
      <c r="F33" s="28"/>
      <c r="G33" s="67"/>
      <c r="H33" s="54"/>
      <c r="I33" s="70"/>
      <c r="J33" s="43"/>
      <c r="K33" s="43"/>
      <c r="L33" s="43"/>
      <c r="M33" s="43"/>
      <c r="N33" s="43"/>
      <c r="O33" s="22"/>
    </row>
    <row r="34" spans="1:15" ht="12.75" customHeight="1" x14ac:dyDescent="0.25">
      <c r="A34" s="10"/>
      <c r="C34" s="27"/>
      <c r="E34" s="27"/>
      <c r="G34" s="67"/>
      <c r="H34" s="27"/>
      <c r="I34" s="70"/>
    </row>
    <row r="35" spans="1:15" s="65" customFormat="1" ht="12.75" customHeight="1" x14ac:dyDescent="0.25">
      <c r="B35" s="33"/>
      <c r="C35" s="33"/>
      <c r="D35" s="28"/>
      <c r="E35" s="33"/>
      <c r="F35" s="28"/>
      <c r="G35" s="67"/>
      <c r="H35" s="54"/>
      <c r="I35" s="67"/>
    </row>
    <row r="36" spans="1:15" ht="12.75" customHeight="1" x14ac:dyDescent="0.25">
      <c r="A36" s="10"/>
      <c r="B36" s="79"/>
      <c r="C36" s="80"/>
      <c r="E36" s="27"/>
      <c r="G36" s="67"/>
      <c r="H36" s="55"/>
      <c r="I36" s="67"/>
    </row>
    <row r="37" spans="1:15" ht="12.75" customHeight="1" x14ac:dyDescent="0.25">
      <c r="A37" s="10"/>
      <c r="B37" s="79"/>
      <c r="C37" s="80"/>
      <c r="E37" s="27"/>
      <c r="G37" s="67"/>
      <c r="H37" s="55"/>
      <c r="I37" s="67"/>
    </row>
    <row r="38" spans="1:15" ht="12.75" customHeight="1" x14ac:dyDescent="0.25">
      <c r="A38" s="10"/>
      <c r="B38" s="79"/>
      <c r="C38" s="80"/>
      <c r="E38" s="27"/>
      <c r="G38" s="67"/>
      <c r="H38" s="55"/>
      <c r="I38" s="67"/>
    </row>
    <row r="39" spans="1:15" ht="12.75" customHeight="1" x14ac:dyDescent="0.25">
      <c r="C39" s="27"/>
      <c r="E39" s="27"/>
      <c r="G39" s="67"/>
      <c r="H39" s="54"/>
      <c r="I39" s="67"/>
    </row>
    <row r="40" spans="1:15" s="65" customFormat="1" ht="12.75" customHeight="1" x14ac:dyDescent="0.25">
      <c r="B40" s="33"/>
      <c r="C40" s="33"/>
      <c r="D40" s="34"/>
      <c r="E40" s="33"/>
      <c r="F40" s="34"/>
      <c r="G40" s="67"/>
      <c r="H40" s="55"/>
      <c r="I40" s="67"/>
    </row>
    <row r="41" spans="1:15" ht="12.75" customHeight="1" x14ac:dyDescent="0.2">
      <c r="A41" s="10"/>
      <c r="C41" s="27"/>
      <c r="E41" s="27"/>
      <c r="G41" s="52"/>
      <c r="H41" s="54"/>
      <c r="I41" s="55"/>
    </row>
    <row r="42" spans="1:15" s="65" customFormat="1" ht="12.75" customHeight="1" x14ac:dyDescent="0.25">
      <c r="B42" s="33"/>
      <c r="C42" s="33"/>
      <c r="D42" s="28"/>
      <c r="E42" s="33"/>
      <c r="F42" s="28"/>
      <c r="G42" s="67"/>
      <c r="H42" s="67"/>
      <c r="I42" s="67"/>
    </row>
    <row r="43" spans="1:15" s="10" customFormat="1" ht="12.75" customHeight="1" x14ac:dyDescent="0.25">
      <c r="B43" s="76"/>
      <c r="C43" s="80"/>
      <c r="D43" s="28"/>
      <c r="E43" s="68"/>
      <c r="F43" s="28"/>
      <c r="G43" s="67"/>
      <c r="H43" s="67"/>
      <c r="I43" s="67"/>
    </row>
    <row r="44" spans="1:15" ht="12.75" customHeight="1" x14ac:dyDescent="0.25">
      <c r="A44" s="10"/>
      <c r="B44" s="76"/>
      <c r="C44" s="80"/>
      <c r="E44" s="68"/>
      <c r="G44" s="67"/>
      <c r="H44" s="67"/>
      <c r="I44" s="67"/>
      <c r="J44" s="71"/>
      <c r="K44" s="71"/>
      <c r="L44" s="71"/>
    </row>
    <row r="45" spans="1:15" ht="12.75" customHeight="1" x14ac:dyDescent="0.25">
      <c r="A45" s="10"/>
      <c r="B45" s="76"/>
      <c r="C45" s="80"/>
      <c r="E45" s="68"/>
      <c r="G45" s="67"/>
      <c r="H45" s="67"/>
      <c r="I45" s="67"/>
      <c r="J45" s="71"/>
      <c r="K45" s="70"/>
      <c r="L45" s="70"/>
    </row>
    <row r="46" spans="1:15" ht="12.75" customHeight="1" x14ac:dyDescent="0.25">
      <c r="A46" s="10"/>
      <c r="B46" s="76"/>
      <c r="C46" s="80"/>
      <c r="E46" s="68"/>
      <c r="G46" s="67"/>
      <c r="H46" s="67"/>
      <c r="I46" s="67"/>
      <c r="J46" s="71"/>
      <c r="K46" s="70"/>
      <c r="L46" s="70"/>
    </row>
    <row r="47" spans="1:15" ht="12.75" customHeight="1" x14ac:dyDescent="0.25">
      <c r="A47" s="10"/>
      <c r="B47" s="76"/>
      <c r="C47" s="80"/>
      <c r="E47" s="68"/>
      <c r="G47" s="67"/>
      <c r="H47" s="67"/>
      <c r="I47" s="67"/>
      <c r="J47" s="71"/>
      <c r="K47" s="70"/>
      <c r="L47" s="70"/>
    </row>
    <row r="48" spans="1:15" ht="12.75" customHeight="1" x14ac:dyDescent="0.25">
      <c r="A48" s="10"/>
      <c r="B48" s="76"/>
      <c r="C48" s="80"/>
      <c r="E48" s="68"/>
      <c r="G48" s="67"/>
      <c r="H48" s="67"/>
      <c r="I48" s="67"/>
      <c r="J48" s="71"/>
      <c r="K48" s="70"/>
      <c r="L48" s="70"/>
    </row>
    <row r="49" spans="1:12" ht="12.75" customHeight="1" x14ac:dyDescent="0.25">
      <c r="A49" s="10"/>
      <c r="B49" s="76"/>
      <c r="C49" s="80"/>
      <c r="E49" s="68"/>
      <c r="G49" s="67"/>
      <c r="H49" s="67"/>
      <c r="I49" s="67"/>
      <c r="J49" s="71"/>
      <c r="K49" s="70"/>
      <c r="L49" s="70"/>
    </row>
    <row r="50" spans="1:12" ht="12.75" customHeight="1" x14ac:dyDescent="0.25">
      <c r="A50" s="10"/>
      <c r="B50" s="76"/>
      <c r="C50" s="80"/>
      <c r="E50" s="68"/>
      <c r="G50" s="67"/>
      <c r="H50" s="67"/>
      <c r="I50" s="67"/>
      <c r="J50" s="71"/>
      <c r="K50" s="70"/>
      <c r="L50" s="70"/>
    </row>
    <row r="51" spans="1:12" s="65" customFormat="1" ht="12.75" customHeight="1" x14ac:dyDescent="0.25">
      <c r="B51" s="33"/>
      <c r="C51" s="33"/>
      <c r="D51" s="34"/>
      <c r="E51" s="33"/>
      <c r="F51" s="34"/>
      <c r="G51" s="67"/>
      <c r="H51" s="67"/>
      <c r="I51" s="67"/>
      <c r="J51" s="71"/>
      <c r="K51" s="70"/>
      <c r="L51" s="70"/>
    </row>
    <row r="52" spans="1:12" ht="12.75" customHeight="1" x14ac:dyDescent="0.25">
      <c r="A52" s="10"/>
      <c r="C52" s="27"/>
      <c r="E52" s="27"/>
      <c r="G52" s="52"/>
      <c r="H52" s="54"/>
      <c r="I52" s="54"/>
      <c r="J52" s="71"/>
      <c r="K52" s="70"/>
      <c r="L52" s="70"/>
    </row>
    <row r="53" spans="1:12" s="65" customFormat="1" ht="12.75" customHeight="1" x14ac:dyDescent="0.25">
      <c r="B53" s="33"/>
      <c r="C53" s="33"/>
      <c r="D53" s="28"/>
      <c r="E53" s="33"/>
      <c r="F53" s="28"/>
      <c r="G53" s="67"/>
      <c r="H53" s="55"/>
      <c r="I53" s="67"/>
    </row>
    <row r="54" spans="1:12" ht="12.75" customHeight="1" x14ac:dyDescent="0.25">
      <c r="A54" s="10"/>
      <c r="B54" s="80"/>
      <c r="C54" s="80"/>
      <c r="E54" s="27"/>
      <c r="G54" s="67"/>
      <c r="H54" s="55"/>
      <c r="I54" s="67"/>
      <c r="J54" s="20"/>
    </row>
    <row r="55" spans="1:12" ht="12.75" customHeight="1" x14ac:dyDescent="0.25">
      <c r="A55" s="10"/>
      <c r="B55" s="80"/>
      <c r="C55" s="80"/>
      <c r="E55" s="27"/>
      <c r="G55" s="67"/>
      <c r="H55" s="55"/>
      <c r="I55" s="67"/>
      <c r="J55" s="20"/>
    </row>
    <row r="56" spans="1:12" ht="12.75" customHeight="1" x14ac:dyDescent="0.25">
      <c r="A56" s="10"/>
      <c r="B56" s="80"/>
      <c r="C56" s="80"/>
      <c r="E56" s="27"/>
      <c r="G56" s="67"/>
      <c r="H56" s="54"/>
      <c r="I56" s="67"/>
      <c r="J56" s="20"/>
    </row>
    <row r="57" spans="1:12" ht="12.75" customHeight="1" x14ac:dyDescent="0.25">
      <c r="C57" s="27"/>
      <c r="E57" s="27"/>
      <c r="G57" s="67"/>
      <c r="H57" s="27"/>
      <c r="I57" s="67"/>
      <c r="J57" s="20"/>
    </row>
    <row r="58" spans="1:12" s="65" customFormat="1" ht="12.75" customHeight="1" x14ac:dyDescent="0.25">
      <c r="B58" s="33"/>
      <c r="C58" s="33"/>
      <c r="D58" s="34"/>
      <c r="E58" s="33"/>
      <c r="F58" s="34"/>
      <c r="G58" s="67"/>
      <c r="H58" s="33"/>
      <c r="I58" s="67"/>
      <c r="J58" s="20"/>
    </row>
    <row r="59" spans="1:12" ht="12.75" customHeight="1" x14ac:dyDescent="0.2">
      <c r="A59" s="10"/>
      <c r="C59" s="27"/>
      <c r="E59" s="27"/>
      <c r="H59" s="27"/>
      <c r="I59" s="27"/>
    </row>
    <row r="60" spans="1:12" s="65" customFormat="1" ht="12.75" customHeight="1" x14ac:dyDescent="0.25">
      <c r="B60" s="33"/>
      <c r="C60" s="33"/>
      <c r="D60" s="28"/>
      <c r="E60" s="33"/>
      <c r="F60" s="28"/>
      <c r="G60" s="67"/>
      <c r="H60" s="67"/>
      <c r="I60" s="67"/>
    </row>
    <row r="61" spans="1:12" s="10" customFormat="1" ht="12.75" customHeight="1" x14ac:dyDescent="0.25">
      <c r="B61" s="77"/>
      <c r="C61" s="77"/>
      <c r="D61" s="28"/>
      <c r="E61" s="68"/>
      <c r="F61" s="28"/>
      <c r="G61" s="67"/>
      <c r="H61" s="67"/>
      <c r="I61" s="67"/>
    </row>
    <row r="62" spans="1:12" ht="12.75" customHeight="1" x14ac:dyDescent="0.25">
      <c r="A62" s="10"/>
      <c r="B62" s="77"/>
      <c r="C62" s="77"/>
      <c r="E62" s="68"/>
      <c r="G62" s="67"/>
      <c r="H62" s="67"/>
      <c r="I62" s="67"/>
      <c r="J62" s="70"/>
    </row>
    <row r="63" spans="1:12" ht="12.75" customHeight="1" x14ac:dyDescent="0.25">
      <c r="A63" s="10"/>
      <c r="B63" s="77"/>
      <c r="C63" s="77"/>
      <c r="E63" s="68"/>
      <c r="G63" s="67"/>
      <c r="H63" s="67"/>
      <c r="I63" s="67"/>
      <c r="J63" s="70"/>
    </row>
    <row r="64" spans="1:12" ht="12.75" customHeight="1" x14ac:dyDescent="0.25">
      <c r="A64" s="10"/>
      <c r="B64" s="77"/>
      <c r="C64" s="77"/>
      <c r="E64" s="68"/>
      <c r="G64" s="67"/>
      <c r="H64" s="67"/>
      <c r="I64" s="67"/>
      <c r="J64" s="70"/>
    </row>
    <row r="65" spans="1:10" ht="12.75" customHeight="1" x14ac:dyDescent="0.25">
      <c r="A65" s="10"/>
      <c r="B65" s="77"/>
      <c r="C65" s="77"/>
      <c r="E65" s="68"/>
      <c r="G65" s="67"/>
      <c r="H65" s="67"/>
      <c r="I65" s="67"/>
      <c r="J65" s="70"/>
    </row>
    <row r="66" spans="1:10" ht="12.75" customHeight="1" x14ac:dyDescent="0.25">
      <c r="A66" s="10"/>
      <c r="B66" s="77"/>
      <c r="C66" s="77"/>
      <c r="E66" s="68"/>
      <c r="G66" s="67"/>
      <c r="H66" s="67"/>
      <c r="I66" s="67"/>
      <c r="J66" s="70"/>
    </row>
    <row r="67" spans="1:10" ht="12.75" customHeight="1" x14ac:dyDescent="0.25">
      <c r="A67" s="10"/>
      <c r="B67" s="77"/>
      <c r="C67" s="77"/>
      <c r="E67" s="68"/>
      <c r="G67" s="67"/>
      <c r="H67" s="67"/>
      <c r="I67" s="67"/>
      <c r="J67" s="70"/>
    </row>
    <row r="68" spans="1:10" ht="12.75" customHeight="1" x14ac:dyDescent="0.25">
      <c r="A68" s="10"/>
      <c r="B68" s="77"/>
      <c r="C68" s="77"/>
      <c r="E68" s="68"/>
      <c r="G68" s="67"/>
      <c r="H68" s="67"/>
      <c r="I68" s="67"/>
      <c r="J68" s="70"/>
    </row>
    <row r="69" spans="1:10" ht="12.75" customHeight="1" x14ac:dyDescent="0.25">
      <c r="A69" s="10"/>
      <c r="B69" s="77"/>
      <c r="C69" s="77"/>
      <c r="E69" s="27"/>
      <c r="G69" s="67"/>
      <c r="H69" s="67"/>
      <c r="I69" s="67"/>
      <c r="J69" s="70"/>
    </row>
    <row r="70" spans="1:10" s="65" customFormat="1" ht="12.75" customHeight="1" x14ac:dyDescent="0.25">
      <c r="B70" s="27"/>
      <c r="C70" s="27"/>
      <c r="D70" s="28"/>
      <c r="E70" s="27"/>
      <c r="F70" s="28"/>
      <c r="G70" s="67"/>
      <c r="H70" s="27"/>
      <c r="I70" s="67"/>
      <c r="J70" s="70"/>
    </row>
    <row r="71" spans="1:10" ht="12.75" customHeight="1" x14ac:dyDescent="0.25">
      <c r="A71" s="10"/>
      <c r="B71" s="77"/>
      <c r="C71" s="77"/>
      <c r="E71" s="27"/>
      <c r="G71" s="67"/>
      <c r="H71" s="27"/>
      <c r="I71" s="67"/>
    </row>
    <row r="72" spans="1:10" ht="12.75" customHeight="1" x14ac:dyDescent="0.25">
      <c r="A72" s="10"/>
      <c r="B72" s="77"/>
      <c r="C72" s="77"/>
      <c r="E72" s="27"/>
      <c r="G72" s="67"/>
      <c r="H72" s="41"/>
      <c r="I72" s="67"/>
    </row>
    <row r="73" spans="1:10" ht="12.75" customHeight="1" x14ac:dyDescent="0.25">
      <c r="A73" s="10"/>
      <c r="B73" s="77"/>
      <c r="C73" s="77"/>
      <c r="E73" s="27"/>
      <c r="G73" s="67"/>
      <c r="I73" s="67"/>
    </row>
    <row r="74" spans="1:10" ht="15" x14ac:dyDescent="0.25">
      <c r="A74" s="21"/>
      <c r="C74" s="40"/>
      <c r="D74" s="42"/>
      <c r="E74" s="40"/>
      <c r="F74" s="42"/>
      <c r="G74" s="67"/>
      <c r="I74" s="67"/>
    </row>
    <row r="75" spans="1:10" ht="15" x14ac:dyDescent="0.25">
      <c r="C75" s="27"/>
      <c r="E75" s="27"/>
      <c r="G75" s="67"/>
      <c r="I75" s="67"/>
    </row>
    <row r="76" spans="1:10" x14ac:dyDescent="0.2">
      <c r="C76" s="27"/>
      <c r="E76" s="27"/>
    </row>
    <row r="77" spans="1:10" x14ac:dyDescent="0.2">
      <c r="C77" s="27"/>
      <c r="E77" s="27"/>
      <c r="G77" s="65"/>
      <c r="I77" s="33"/>
    </row>
    <row r="78" spans="1:10" x14ac:dyDescent="0.2">
      <c r="C78" s="27"/>
      <c r="E78" s="27"/>
      <c r="G78" s="65"/>
    </row>
    <row r="79" spans="1:10" x14ac:dyDescent="0.2">
      <c r="C79" s="27"/>
      <c r="E79" s="27"/>
      <c r="I79" s="27"/>
    </row>
    <row r="80" spans="1:10" x14ac:dyDescent="0.2">
      <c r="C80" s="27"/>
      <c r="E80" s="27"/>
      <c r="I80" s="27"/>
    </row>
    <row r="81" spans="2:9" x14ac:dyDescent="0.2">
      <c r="B81" s="43"/>
      <c r="C81" s="27"/>
      <c r="E81" s="27"/>
      <c r="I81" s="27"/>
    </row>
    <row r="82" spans="2:9" x14ac:dyDescent="0.2">
      <c r="B82" s="43"/>
      <c r="C82" s="27"/>
      <c r="E82" s="27"/>
      <c r="I82" s="27"/>
    </row>
    <row r="83" spans="2:9" x14ac:dyDescent="0.2">
      <c r="B83" s="43"/>
      <c r="C83" s="27"/>
      <c r="E83" s="27"/>
      <c r="I83" s="27"/>
    </row>
    <row r="84" spans="2:9" x14ac:dyDescent="0.2">
      <c r="B84" s="43"/>
      <c r="C84" s="27"/>
      <c r="E84" s="27"/>
      <c r="I84" s="27"/>
    </row>
    <row r="85" spans="2:9" x14ac:dyDescent="0.2">
      <c r="B85" s="43"/>
      <c r="C85" s="27"/>
      <c r="E85" s="27"/>
      <c r="I85" s="27"/>
    </row>
    <row r="86" spans="2:9" x14ac:dyDescent="0.2">
      <c r="B86" s="43"/>
      <c r="C86" s="27"/>
      <c r="E86" s="27"/>
      <c r="I86" s="27"/>
    </row>
    <row r="87" spans="2:9" x14ac:dyDescent="0.2">
      <c r="B87" s="43"/>
      <c r="C87" s="27"/>
      <c r="E87" s="27"/>
      <c r="I87" s="27"/>
    </row>
    <row r="88" spans="2:9" x14ac:dyDescent="0.2">
      <c r="B88" s="43"/>
      <c r="C88" s="27"/>
      <c r="E88" s="27"/>
    </row>
    <row r="89" spans="2:9" x14ac:dyDescent="0.2">
      <c r="B89" s="43"/>
      <c r="G89" s="65"/>
      <c r="I89" s="33"/>
    </row>
    <row r="90" spans="2:9" x14ac:dyDescent="0.2">
      <c r="B90" s="43"/>
      <c r="I90" s="27"/>
    </row>
    <row r="91" spans="2:9" x14ac:dyDescent="0.2">
      <c r="B91" s="43"/>
      <c r="I91" s="27"/>
    </row>
    <row r="92" spans="2:9" x14ac:dyDescent="0.2">
      <c r="B92" s="43"/>
      <c r="I92" s="27"/>
    </row>
    <row r="93" spans="2:9" x14ac:dyDescent="0.2">
      <c r="B93" s="43"/>
      <c r="I93" s="27"/>
    </row>
    <row r="94" spans="2:9" x14ac:dyDescent="0.2">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40625" defaultRowHeight="12.75" x14ac:dyDescent="0.2"/>
  <cols>
    <col min="1" max="1" width="47.28515625" style="43" bestFit="1" customWidth="1"/>
    <col min="2" max="3" width="16.85546875" style="43" bestFit="1" customWidth="1"/>
    <col min="4" max="4" width="10" style="43" customWidth="1"/>
    <col min="5" max="5" width="16.85546875" style="43" bestFit="1" customWidth="1"/>
    <col min="6" max="6" width="14.7109375" style="43" bestFit="1" customWidth="1"/>
    <col min="7" max="7" width="9.140625" style="43"/>
    <col min="8" max="8" width="10.5703125" style="43" bestFit="1" customWidth="1"/>
    <col min="9" max="16384" width="9.140625" style="43"/>
  </cols>
  <sheetData>
    <row r="1" spans="1:8" s="99" customFormat="1" ht="45" x14ac:dyDescent="0.25">
      <c r="B1" s="81">
        <v>42477</v>
      </c>
      <c r="C1" s="81">
        <v>42446</v>
      </c>
      <c r="D1" s="103" t="s">
        <v>184</v>
      </c>
      <c r="E1" s="82">
        <v>42111</v>
      </c>
      <c r="F1" s="104" t="s">
        <v>185</v>
      </c>
      <c r="H1" s="105"/>
    </row>
    <row r="2" spans="1:8" ht="15" x14ac:dyDescent="0.25">
      <c r="A2" s="100" t="s">
        <v>116</v>
      </c>
      <c r="B2" s="101"/>
      <c r="C2" s="101"/>
      <c r="D2" s="101"/>
      <c r="E2" s="101"/>
      <c r="F2" s="101"/>
    </row>
    <row r="3" spans="1:8" ht="15" x14ac:dyDescent="0.25">
      <c r="A3" s="89" t="s">
        <v>14</v>
      </c>
      <c r="D3" s="90"/>
      <c r="F3" s="90"/>
    </row>
    <row r="4" spans="1:8" x14ac:dyDescent="0.2">
      <c r="A4" s="43" t="s">
        <v>135</v>
      </c>
      <c r="B4" s="3">
        <v>775</v>
      </c>
      <c r="C4" s="3">
        <v>559</v>
      </c>
      <c r="D4" s="90">
        <v>38.640429338103758</v>
      </c>
      <c r="E4" s="43">
        <v>537</v>
      </c>
      <c r="F4" s="90">
        <v>44.320297951582866</v>
      </c>
    </row>
    <row r="5" spans="1:8" x14ac:dyDescent="0.2">
      <c r="A5" s="43" t="s">
        <v>175</v>
      </c>
      <c r="B5" s="3">
        <v>2424</v>
      </c>
      <c r="C5" s="3">
        <v>1494</v>
      </c>
      <c r="D5" s="90">
        <v>62.248995983935743</v>
      </c>
      <c r="E5" s="43">
        <v>2069</v>
      </c>
      <c r="F5" s="90">
        <v>17.158047365877234</v>
      </c>
    </row>
    <row r="6" spans="1:8" x14ac:dyDescent="0.2">
      <c r="A6" s="43" t="s">
        <v>132</v>
      </c>
      <c r="B6" s="3">
        <v>1979</v>
      </c>
      <c r="C6" s="3">
        <v>1679</v>
      </c>
      <c r="D6" s="90">
        <v>17.867778439547351</v>
      </c>
      <c r="E6" s="43">
        <v>1409</v>
      </c>
      <c r="F6" s="90">
        <v>40.454222853087295</v>
      </c>
    </row>
    <row r="7" spans="1:8" x14ac:dyDescent="0.2">
      <c r="A7" s="43" t="s">
        <v>133</v>
      </c>
      <c r="B7" s="3">
        <v>12246</v>
      </c>
      <c r="C7" s="3">
        <v>12026</v>
      </c>
      <c r="D7" s="90">
        <v>1.8293696989855315</v>
      </c>
      <c r="E7" s="43">
        <v>8208</v>
      </c>
      <c r="F7" s="90">
        <v>49.195906432748536</v>
      </c>
    </row>
    <row r="8" spans="1:8" x14ac:dyDescent="0.2">
      <c r="A8" s="43" t="s">
        <v>134</v>
      </c>
      <c r="B8" s="3">
        <v>4639</v>
      </c>
      <c r="C8" s="3">
        <v>4417</v>
      </c>
      <c r="D8" s="90">
        <v>5.0260357708852164</v>
      </c>
      <c r="E8" s="43">
        <v>3629</v>
      </c>
      <c r="F8" s="90">
        <v>27.831358500964456</v>
      </c>
    </row>
    <row r="9" spans="1:8" x14ac:dyDescent="0.2">
      <c r="A9" s="43" t="s">
        <v>138</v>
      </c>
      <c r="B9" s="3">
        <v>51</v>
      </c>
      <c r="C9" s="3">
        <v>67</v>
      </c>
      <c r="D9" s="90">
        <v>-23.880597014925371</v>
      </c>
      <c r="E9" s="43">
        <v>12</v>
      </c>
      <c r="F9" s="90">
        <v>325</v>
      </c>
    </row>
    <row r="10" spans="1:8" x14ac:dyDescent="0.2">
      <c r="A10" s="43" t="s">
        <v>177</v>
      </c>
      <c r="B10" s="3">
        <v>8</v>
      </c>
      <c r="C10" s="3">
        <v>24</v>
      </c>
      <c r="D10" s="90">
        <v>-66.666666666666657</v>
      </c>
      <c r="E10" s="43">
        <v>12</v>
      </c>
      <c r="F10" s="90">
        <v>-33.333333333333329</v>
      </c>
    </row>
    <row r="11" spans="1:8" x14ac:dyDescent="0.2">
      <c r="A11" s="43" t="s">
        <v>139</v>
      </c>
      <c r="B11" s="3">
        <v>46</v>
      </c>
      <c r="C11" s="3">
        <v>63</v>
      </c>
      <c r="D11" s="90">
        <v>-26.984126984126984</v>
      </c>
      <c r="E11" s="43">
        <v>52</v>
      </c>
      <c r="F11" s="90">
        <v>-11.538461538461538</v>
      </c>
    </row>
    <row r="12" spans="1:8" ht="15" x14ac:dyDescent="0.25">
      <c r="A12" s="91" t="s">
        <v>178</v>
      </c>
      <c r="B12" s="92">
        <f t="shared" ref="B12:C12" si="0">SUM(B4:B11)</f>
        <v>22168</v>
      </c>
      <c r="C12" s="92">
        <f t="shared" si="0"/>
        <v>20329</v>
      </c>
      <c r="D12" s="106">
        <f>((B12/C12)-1)*100</f>
        <v>9.0461901716759385</v>
      </c>
      <c r="E12" s="92">
        <f>SUM(E4:E11)</f>
        <v>15928</v>
      </c>
      <c r="F12" s="106">
        <f>((B12/E12)-1)*100</f>
        <v>39.176293319939724</v>
      </c>
    </row>
    <row r="13" spans="1:8" ht="15" x14ac:dyDescent="0.25">
      <c r="A13" s="89" t="s">
        <v>15</v>
      </c>
      <c r="D13" s="90"/>
      <c r="F13" s="90" t="s">
        <v>182</v>
      </c>
    </row>
    <row r="14" spans="1:8" x14ac:dyDescent="0.2">
      <c r="A14" s="43" t="s">
        <v>135</v>
      </c>
      <c r="B14" s="43">
        <v>5</v>
      </c>
      <c r="C14" s="43">
        <v>2</v>
      </c>
      <c r="D14" s="90">
        <v>150</v>
      </c>
      <c r="E14" s="43">
        <v>11</v>
      </c>
      <c r="F14" s="90">
        <v>-54.54545454545454</v>
      </c>
    </row>
    <row r="15" spans="1:8" x14ac:dyDescent="0.2">
      <c r="A15" s="43" t="s">
        <v>175</v>
      </c>
      <c r="B15" s="43">
        <v>192</v>
      </c>
      <c r="C15" s="43">
        <v>168</v>
      </c>
      <c r="D15" s="90">
        <v>14.285714285714285</v>
      </c>
      <c r="E15" s="43">
        <v>111</v>
      </c>
      <c r="F15" s="90">
        <v>72.972972972972968</v>
      </c>
    </row>
    <row r="16" spans="1:8" x14ac:dyDescent="0.2">
      <c r="A16" s="43" t="s">
        <v>132</v>
      </c>
      <c r="B16" s="43">
        <v>73</v>
      </c>
      <c r="C16" s="43">
        <v>84</v>
      </c>
      <c r="D16" s="90">
        <v>-13.095238095238097</v>
      </c>
      <c r="E16" s="43">
        <v>67</v>
      </c>
      <c r="F16" s="90">
        <v>8.9552238805970141</v>
      </c>
    </row>
    <row r="17" spans="1:6" x14ac:dyDescent="0.2">
      <c r="A17" s="43" t="s">
        <v>133</v>
      </c>
      <c r="B17" s="43">
        <v>2152</v>
      </c>
      <c r="C17" s="43">
        <v>1981</v>
      </c>
      <c r="D17" s="90">
        <v>8.6320040383644638</v>
      </c>
      <c r="E17" s="43">
        <v>1352</v>
      </c>
      <c r="F17" s="90">
        <v>59.171597633136095</v>
      </c>
    </row>
    <row r="18" spans="1:6" x14ac:dyDescent="0.2">
      <c r="A18" s="43" t="s">
        <v>134</v>
      </c>
      <c r="B18" s="43">
        <v>483</v>
      </c>
      <c r="C18" s="43">
        <v>364</v>
      </c>
      <c r="D18" s="90">
        <v>32.692307692307693</v>
      </c>
      <c r="E18" s="43">
        <v>229</v>
      </c>
      <c r="F18" s="90">
        <v>110.91703056768559</v>
      </c>
    </row>
    <row r="19" spans="1:6" x14ac:dyDescent="0.2">
      <c r="A19" s="43" t="s">
        <v>138</v>
      </c>
      <c r="B19" s="43">
        <v>0</v>
      </c>
      <c r="C19" s="43">
        <v>0</v>
      </c>
      <c r="D19" s="90" t="s">
        <v>182</v>
      </c>
      <c r="E19" s="43">
        <v>0</v>
      </c>
      <c r="F19" s="90" t="s">
        <v>182</v>
      </c>
    </row>
    <row r="20" spans="1:6" x14ac:dyDescent="0.2">
      <c r="A20" s="43" t="s">
        <v>177</v>
      </c>
      <c r="B20" s="43">
        <v>0</v>
      </c>
      <c r="C20" s="43">
        <v>1</v>
      </c>
      <c r="D20" s="90">
        <v>-100</v>
      </c>
      <c r="E20" s="43">
        <v>0</v>
      </c>
      <c r="F20" s="90" t="s">
        <v>182</v>
      </c>
    </row>
    <row r="21" spans="1:6" x14ac:dyDescent="0.2">
      <c r="A21" s="43" t="s">
        <v>139</v>
      </c>
      <c r="B21" s="43">
        <v>0</v>
      </c>
      <c r="C21" s="43">
        <v>0</v>
      </c>
      <c r="D21" s="90" t="s">
        <v>182</v>
      </c>
      <c r="E21" s="43">
        <v>1</v>
      </c>
      <c r="F21" s="90">
        <v>-100</v>
      </c>
    </row>
    <row r="22" spans="1:6" ht="15" x14ac:dyDescent="0.25">
      <c r="A22" s="91" t="s">
        <v>179</v>
      </c>
      <c r="B22" s="92">
        <f t="shared" ref="B22:C22" si="1">SUM(B14:B21)</f>
        <v>2905</v>
      </c>
      <c r="C22" s="92">
        <f t="shared" si="1"/>
        <v>2600</v>
      </c>
      <c r="D22" s="106">
        <f>((B22/C22)-1)*100</f>
        <v>11.730769230769234</v>
      </c>
      <c r="E22" s="92">
        <f>SUM(E14:E21)</f>
        <v>1771</v>
      </c>
      <c r="F22" s="106">
        <f>((B22/E22)-1)*100</f>
        <v>64.031620553359687</v>
      </c>
    </row>
    <row r="23" spans="1:6" ht="15" x14ac:dyDescent="0.25">
      <c r="A23" s="100" t="s">
        <v>131</v>
      </c>
      <c r="B23" s="101"/>
      <c r="C23" s="101"/>
      <c r="D23" s="102" t="s">
        <v>182</v>
      </c>
      <c r="E23" s="101"/>
      <c r="F23" s="102" t="s">
        <v>182</v>
      </c>
    </row>
    <row r="24" spans="1:6" ht="15" x14ac:dyDescent="0.25">
      <c r="A24" s="89" t="s">
        <v>14</v>
      </c>
      <c r="D24" s="90"/>
      <c r="F24" s="90"/>
    </row>
    <row r="25" spans="1:6" x14ac:dyDescent="0.2">
      <c r="A25" s="43" t="s">
        <v>135</v>
      </c>
      <c r="B25" s="3">
        <v>11554</v>
      </c>
      <c r="C25" s="3">
        <v>11727</v>
      </c>
      <c r="D25" s="90">
        <v>-1.4752281060799863</v>
      </c>
      <c r="E25" s="3">
        <v>6384</v>
      </c>
      <c r="F25" s="90">
        <v>80.983709273182953</v>
      </c>
    </row>
    <row r="26" spans="1:6" x14ac:dyDescent="0.2">
      <c r="A26" s="43" t="s">
        <v>175</v>
      </c>
      <c r="B26" s="3">
        <v>24826</v>
      </c>
      <c r="C26" s="3">
        <v>11234</v>
      </c>
      <c r="D26" s="90">
        <v>120.98985223428878</v>
      </c>
      <c r="E26" s="3">
        <v>22660</v>
      </c>
      <c r="F26" s="90">
        <v>9.5586937334510154</v>
      </c>
    </row>
    <row r="27" spans="1:6" x14ac:dyDescent="0.2">
      <c r="A27" s="43" t="s">
        <v>132</v>
      </c>
      <c r="B27" s="3">
        <v>14610</v>
      </c>
      <c r="C27" s="3">
        <v>10724</v>
      </c>
      <c r="D27" s="90">
        <v>36.236478925773966</v>
      </c>
      <c r="E27" s="3">
        <v>16420</v>
      </c>
      <c r="F27" s="90">
        <v>-11.0231425091352</v>
      </c>
    </row>
    <row r="28" spans="1:6" x14ac:dyDescent="0.2">
      <c r="A28" s="43" t="s">
        <v>133</v>
      </c>
      <c r="B28" s="3">
        <v>72981</v>
      </c>
      <c r="C28" s="3">
        <v>84510</v>
      </c>
      <c r="D28" s="90">
        <v>-13.642172523961662</v>
      </c>
      <c r="E28" s="3">
        <v>50994</v>
      </c>
      <c r="F28" s="90">
        <v>43.116837274973527</v>
      </c>
    </row>
    <row r="29" spans="1:6" x14ac:dyDescent="0.2">
      <c r="A29" s="43" t="s">
        <v>134</v>
      </c>
      <c r="B29" s="3">
        <v>32054</v>
      </c>
      <c r="C29" s="3">
        <v>32486</v>
      </c>
      <c r="D29" s="90">
        <v>-1.3298036077079358</v>
      </c>
      <c r="E29" s="3">
        <v>25702</v>
      </c>
      <c r="F29" s="90">
        <v>24.714030036573028</v>
      </c>
    </row>
    <row r="30" spans="1:6" x14ac:dyDescent="0.2">
      <c r="A30" s="43" t="s">
        <v>138</v>
      </c>
      <c r="B30" s="3">
        <v>1067</v>
      </c>
      <c r="C30" s="3">
        <v>532</v>
      </c>
      <c r="D30" s="90">
        <v>100.5639097744361</v>
      </c>
      <c r="E30" s="3">
        <v>155</v>
      </c>
      <c r="F30" s="90">
        <v>588.38709677419354</v>
      </c>
    </row>
    <row r="31" spans="1:6" x14ac:dyDescent="0.2">
      <c r="A31" s="43" t="s">
        <v>177</v>
      </c>
      <c r="B31" s="3">
        <v>647</v>
      </c>
      <c r="C31" s="3">
        <v>97</v>
      </c>
      <c r="D31" s="90">
        <v>567.01030927835052</v>
      </c>
      <c r="E31" s="3">
        <v>62</v>
      </c>
      <c r="F31" s="90">
        <v>943.54838709677415</v>
      </c>
    </row>
    <row r="32" spans="1:6" x14ac:dyDescent="0.2">
      <c r="A32" s="43" t="s">
        <v>139</v>
      </c>
      <c r="B32" s="3">
        <v>1117</v>
      </c>
      <c r="C32" s="3">
        <v>4890</v>
      </c>
      <c r="D32" s="90">
        <v>-77.157464212678946</v>
      </c>
      <c r="E32" s="3">
        <v>2615</v>
      </c>
      <c r="F32" s="90">
        <v>-57.284894837476095</v>
      </c>
    </row>
    <row r="33" spans="1:6" ht="15" x14ac:dyDescent="0.25">
      <c r="A33" s="91" t="s">
        <v>178</v>
      </c>
      <c r="B33" s="94">
        <f t="shared" ref="B33:C33" si="2">SUM(B25:B32)</f>
        <v>158856</v>
      </c>
      <c r="C33" s="94">
        <f t="shared" si="2"/>
        <v>156200</v>
      </c>
      <c r="D33" s="106">
        <f>((B33/C33)-1)*100</f>
        <v>1.7003841229193295</v>
      </c>
      <c r="E33" s="94">
        <f>SUM(E25:E32)</f>
        <v>124992</v>
      </c>
      <c r="F33" s="106">
        <f>((B33/E33)-1)*100</f>
        <v>27.092933947772657</v>
      </c>
    </row>
    <row r="34" spans="1:6" ht="15" x14ac:dyDescent="0.25">
      <c r="A34" s="89" t="s">
        <v>15</v>
      </c>
      <c r="D34" s="90"/>
      <c r="F34" s="90"/>
    </row>
    <row r="35" spans="1:6" x14ac:dyDescent="0.2">
      <c r="A35" s="43" t="s">
        <v>135</v>
      </c>
      <c r="B35" s="3">
        <v>53</v>
      </c>
      <c r="C35" s="3">
        <v>80</v>
      </c>
      <c r="D35" s="90">
        <v>-33.75</v>
      </c>
      <c r="E35" s="3">
        <v>55</v>
      </c>
      <c r="F35" s="90">
        <v>-3.6363636363636362</v>
      </c>
    </row>
    <row r="36" spans="1:6" x14ac:dyDescent="0.2">
      <c r="A36" s="43" t="s">
        <v>175</v>
      </c>
      <c r="B36" s="3">
        <v>2489</v>
      </c>
      <c r="C36" s="3">
        <v>1351</v>
      </c>
      <c r="D36" s="90">
        <v>84.233900814211694</v>
      </c>
      <c r="E36" s="3">
        <v>1372</v>
      </c>
      <c r="F36" s="90">
        <v>81.413994169096213</v>
      </c>
    </row>
    <row r="37" spans="1:6" x14ac:dyDescent="0.2">
      <c r="A37" s="43" t="s">
        <v>132</v>
      </c>
      <c r="B37" s="3">
        <v>797</v>
      </c>
      <c r="C37" s="3">
        <v>2774</v>
      </c>
      <c r="D37" s="90">
        <v>-71.268925739005056</v>
      </c>
      <c r="E37" s="3">
        <v>143</v>
      </c>
      <c r="F37" s="90">
        <v>457.34265734265733</v>
      </c>
    </row>
    <row r="38" spans="1:6" x14ac:dyDescent="0.2">
      <c r="A38" s="43" t="s">
        <v>133</v>
      </c>
      <c r="B38" s="3">
        <v>23354</v>
      </c>
      <c r="C38" s="3">
        <v>25332</v>
      </c>
      <c r="D38" s="90">
        <v>-7.8083057003000151</v>
      </c>
      <c r="E38" s="3">
        <v>18568</v>
      </c>
      <c r="F38" s="90">
        <v>25.775527789745801</v>
      </c>
    </row>
    <row r="39" spans="1:6" x14ac:dyDescent="0.2">
      <c r="A39" s="43" t="s">
        <v>134</v>
      </c>
      <c r="B39" s="3">
        <v>7141</v>
      </c>
      <c r="C39" s="3">
        <v>4596</v>
      </c>
      <c r="D39" s="90">
        <v>55.374238468233251</v>
      </c>
      <c r="E39" s="3">
        <v>3861</v>
      </c>
      <c r="F39" s="90">
        <v>84.952084952084945</v>
      </c>
    </row>
    <row r="40" spans="1:6" x14ac:dyDescent="0.2">
      <c r="A40" s="43" t="s">
        <v>138</v>
      </c>
      <c r="B40" s="3">
        <v>0</v>
      </c>
      <c r="C40" s="3">
        <v>0</v>
      </c>
      <c r="D40" s="90" t="s">
        <v>182</v>
      </c>
      <c r="E40" s="3">
        <v>0</v>
      </c>
      <c r="F40" s="90" t="s">
        <v>182</v>
      </c>
    </row>
    <row r="41" spans="1:6" x14ac:dyDescent="0.2">
      <c r="A41" s="43" t="s">
        <v>177</v>
      </c>
      <c r="B41" s="3">
        <v>0</v>
      </c>
      <c r="C41" s="3">
        <v>80</v>
      </c>
      <c r="D41" s="90">
        <v>-100</v>
      </c>
      <c r="E41" s="3">
        <v>0</v>
      </c>
      <c r="F41" s="90" t="s">
        <v>182</v>
      </c>
    </row>
    <row r="42" spans="1:6" x14ac:dyDescent="0.2">
      <c r="A42" s="43" t="s">
        <v>139</v>
      </c>
      <c r="B42" s="3">
        <v>0</v>
      </c>
      <c r="C42" s="3">
        <v>0</v>
      </c>
      <c r="D42" s="90" t="s">
        <v>182</v>
      </c>
      <c r="E42" s="3">
        <v>500</v>
      </c>
      <c r="F42" s="90">
        <v>-100</v>
      </c>
    </row>
    <row r="43" spans="1:6" ht="15" x14ac:dyDescent="0.25">
      <c r="A43" s="91" t="s">
        <v>179</v>
      </c>
      <c r="B43" s="95">
        <v>33834</v>
      </c>
      <c r="C43" s="95">
        <v>34213</v>
      </c>
      <c r="D43" s="106">
        <f>((B43/C43)-1)*100</f>
        <v>-1.1077660538391876</v>
      </c>
      <c r="E43" s="95">
        <f>SUM(E35:E42)</f>
        <v>24499</v>
      </c>
      <c r="F43" s="106">
        <f>((B43/E43)-1)*100</f>
        <v>38.10359606514551</v>
      </c>
    </row>
    <row r="44" spans="1:6" ht="15" x14ac:dyDescent="0.25">
      <c r="A44" s="100" t="s">
        <v>186</v>
      </c>
      <c r="B44" s="101"/>
      <c r="C44" s="101"/>
      <c r="D44" s="102" t="s">
        <v>182</v>
      </c>
      <c r="E44" s="101"/>
      <c r="F44" s="102" t="s">
        <v>182</v>
      </c>
    </row>
    <row r="45" spans="1:6" ht="15" x14ac:dyDescent="0.25">
      <c r="A45" s="89" t="s">
        <v>14</v>
      </c>
      <c r="D45" s="90"/>
      <c r="F45" s="90"/>
    </row>
    <row r="46" spans="1:6" x14ac:dyDescent="0.2">
      <c r="A46" s="43" t="s">
        <v>135</v>
      </c>
      <c r="B46" s="96">
        <v>2540441301.1700001</v>
      </c>
      <c r="C46" s="96">
        <v>2689823264.5700002</v>
      </c>
      <c r="D46" s="90">
        <v>-5.5535977165354975</v>
      </c>
      <c r="E46" s="96">
        <v>1171950702.4200001</v>
      </c>
      <c r="F46" s="90">
        <v>116.7703211341704</v>
      </c>
    </row>
    <row r="47" spans="1:6" x14ac:dyDescent="0.2">
      <c r="A47" s="43" t="s">
        <v>175</v>
      </c>
      <c r="B47" s="96">
        <v>7573540749.7399998</v>
      </c>
      <c r="C47" s="96">
        <v>3388926579.9250002</v>
      </c>
      <c r="D47" s="90">
        <v>123.47904479853349</v>
      </c>
      <c r="E47" s="96">
        <v>5391735407.2449999</v>
      </c>
      <c r="F47" s="90">
        <v>40.465734642008904</v>
      </c>
    </row>
    <row r="48" spans="1:6" x14ac:dyDescent="0.2">
      <c r="A48" s="43" t="s">
        <v>132</v>
      </c>
      <c r="B48" s="96">
        <v>4731044838.1400003</v>
      </c>
      <c r="C48" s="96">
        <v>3701883739.0100002</v>
      </c>
      <c r="D48" s="90">
        <v>27.801010828212291</v>
      </c>
      <c r="E48" s="96">
        <v>3986746927.7950001</v>
      </c>
      <c r="F48" s="90">
        <v>18.669304167662794</v>
      </c>
    </row>
    <row r="49" spans="1:6" x14ac:dyDescent="0.2">
      <c r="A49" s="43" t="s">
        <v>133</v>
      </c>
      <c r="B49" s="96">
        <v>33153690352.77</v>
      </c>
      <c r="C49" s="96">
        <v>41308138556.739998</v>
      </c>
      <c r="D49" s="90">
        <v>-19.74053658401774</v>
      </c>
      <c r="E49" s="96">
        <v>13267423647.540001</v>
      </c>
      <c r="F49" s="90">
        <v>149.88793026833994</v>
      </c>
    </row>
    <row r="50" spans="1:6" x14ac:dyDescent="0.2">
      <c r="A50" s="43" t="s">
        <v>134</v>
      </c>
      <c r="B50" s="96">
        <v>10175781581.469999</v>
      </c>
      <c r="C50" s="96">
        <v>10598629582.35</v>
      </c>
      <c r="D50" s="90">
        <v>-3.9896478841394161</v>
      </c>
      <c r="E50" s="96">
        <v>6096388762.2200003</v>
      </c>
      <c r="F50" s="90">
        <v>66.914906157731451</v>
      </c>
    </row>
    <row r="51" spans="1:6" x14ac:dyDescent="0.2">
      <c r="A51" s="43" t="s">
        <v>138</v>
      </c>
      <c r="B51" s="96">
        <v>195500254.493</v>
      </c>
      <c r="C51" s="96">
        <v>104542755.01800001</v>
      </c>
      <c r="D51" s="90">
        <v>87.005072192079751</v>
      </c>
      <c r="E51" s="96">
        <v>22533250.010000002</v>
      </c>
      <c r="F51" s="90">
        <v>767.60788792668257</v>
      </c>
    </row>
    <row r="52" spans="1:6" x14ac:dyDescent="0.2">
      <c r="A52" s="43" t="s">
        <v>177</v>
      </c>
      <c r="B52" s="96">
        <v>92346317.064999998</v>
      </c>
      <c r="C52" s="96">
        <v>15036409.99</v>
      </c>
      <c r="D52" s="90">
        <v>514.15136409831291</v>
      </c>
      <c r="E52" s="96">
        <v>8713469.9940000009</v>
      </c>
      <c r="F52" s="90">
        <v>959.81104116487063</v>
      </c>
    </row>
    <row r="53" spans="1:6" x14ac:dyDescent="0.2">
      <c r="A53" s="43" t="s">
        <v>139</v>
      </c>
      <c r="B53" s="96">
        <v>70674825.079999998</v>
      </c>
      <c r="C53" s="96">
        <v>299796761.60000002</v>
      </c>
      <c r="D53" s="90">
        <v>-76.42575433343174</v>
      </c>
      <c r="E53" s="96">
        <v>183746405.63</v>
      </c>
      <c r="F53" s="90">
        <v>-61.536757773475038</v>
      </c>
    </row>
    <row r="54" spans="1:6" ht="15" x14ac:dyDescent="0.25">
      <c r="A54" s="91" t="s">
        <v>178</v>
      </c>
      <c r="B54" s="97">
        <f>SUM(B46:B53)</f>
        <v>58533020219.928001</v>
      </c>
      <c r="C54" s="97">
        <f>SUM(C46:C53)</f>
        <v>62106777649.202988</v>
      </c>
      <c r="D54" s="106">
        <f>((B54/C54)-1)*100</f>
        <v>-5.7542148611550932</v>
      </c>
      <c r="E54" s="97">
        <f>SUM(E46:E53)</f>
        <v>30129238572.854</v>
      </c>
      <c r="F54" s="106">
        <f>((B54/E54)-1)*100</f>
        <v>94.2731479203905</v>
      </c>
    </row>
    <row r="55" spans="1:6" ht="15" x14ac:dyDescent="0.25">
      <c r="A55" s="89" t="s">
        <v>15</v>
      </c>
      <c r="B55" s="98"/>
      <c r="C55" s="98"/>
      <c r="D55" s="90" t="s">
        <v>182</v>
      </c>
      <c r="E55" s="98"/>
      <c r="F55" s="90"/>
    </row>
    <row r="56" spans="1:6" x14ac:dyDescent="0.2">
      <c r="A56" s="43" t="s">
        <v>135</v>
      </c>
      <c r="B56" s="96">
        <v>501372</v>
      </c>
      <c r="C56" s="96">
        <v>699773.6</v>
      </c>
      <c r="D56" s="90">
        <v>-28.352255643825369</v>
      </c>
      <c r="E56" s="96">
        <v>448020</v>
      </c>
      <c r="F56" s="90">
        <v>11.908396946564885</v>
      </c>
    </row>
    <row r="57" spans="1:6" x14ac:dyDescent="0.2">
      <c r="A57" s="43" t="s">
        <v>175</v>
      </c>
      <c r="B57" s="96">
        <v>17475613.100000001</v>
      </c>
      <c r="C57" s="96">
        <v>9029810.6199999992</v>
      </c>
      <c r="D57" s="90">
        <v>93.532443097904121</v>
      </c>
      <c r="E57" s="96">
        <v>10119526.539999999</v>
      </c>
      <c r="F57" s="90">
        <v>72.692003236744341</v>
      </c>
    </row>
    <row r="58" spans="1:6" x14ac:dyDescent="0.2">
      <c r="A58" s="43" t="s">
        <v>132</v>
      </c>
      <c r="B58" s="96">
        <v>12991581.050000001</v>
      </c>
      <c r="C58" s="96">
        <v>33888032.200000003</v>
      </c>
      <c r="D58" s="90">
        <v>-61.66321793686209</v>
      </c>
      <c r="E58" s="96">
        <v>532160.03</v>
      </c>
      <c r="F58" s="90">
        <v>2341.2921522873485</v>
      </c>
    </row>
    <row r="59" spans="1:6" x14ac:dyDescent="0.2">
      <c r="A59" s="43" t="s">
        <v>133</v>
      </c>
      <c r="B59" s="96">
        <v>486546800.80000001</v>
      </c>
      <c r="C59" s="96">
        <v>558992679.58000004</v>
      </c>
      <c r="D59" s="90">
        <v>-12.960076478001886</v>
      </c>
      <c r="E59" s="96">
        <v>155970466.88</v>
      </c>
      <c r="F59" s="90">
        <v>211.94803127334208</v>
      </c>
    </row>
    <row r="60" spans="1:6" x14ac:dyDescent="0.2">
      <c r="A60" s="43" t="s">
        <v>134</v>
      </c>
      <c r="B60" s="96">
        <v>63882831.740000002</v>
      </c>
      <c r="C60" s="96">
        <v>44850736.100000001</v>
      </c>
      <c r="D60" s="90">
        <v>42.434299400495235</v>
      </c>
      <c r="E60" s="96">
        <v>30103015.66</v>
      </c>
      <c r="F60" s="90">
        <v>112.2140600846367</v>
      </c>
    </row>
    <row r="61" spans="1:6" x14ac:dyDescent="0.2">
      <c r="A61" s="43" t="s">
        <v>138</v>
      </c>
      <c r="B61" s="96">
        <v>0</v>
      </c>
      <c r="C61" s="96">
        <v>0</v>
      </c>
      <c r="D61" s="90" t="s">
        <v>182</v>
      </c>
      <c r="E61" s="96">
        <v>0</v>
      </c>
      <c r="F61" s="90" t="s">
        <v>182</v>
      </c>
    </row>
    <row r="62" spans="1:6" x14ac:dyDescent="0.2">
      <c r="A62" s="43" t="s">
        <v>177</v>
      </c>
      <c r="B62" s="96">
        <v>0</v>
      </c>
      <c r="C62" s="96">
        <v>134421.6</v>
      </c>
      <c r="D62" s="90">
        <v>-100</v>
      </c>
      <c r="E62" s="96">
        <v>0</v>
      </c>
      <c r="F62" s="90" t="s">
        <v>182</v>
      </c>
    </row>
    <row r="63" spans="1:6" x14ac:dyDescent="0.2">
      <c r="A63" s="43" t="s">
        <v>139</v>
      </c>
      <c r="B63" s="96">
        <v>0</v>
      </c>
      <c r="C63" s="96">
        <v>0</v>
      </c>
      <c r="D63" s="90" t="s">
        <v>182</v>
      </c>
      <c r="E63" s="96">
        <v>785000</v>
      </c>
      <c r="F63" s="90">
        <v>-100</v>
      </c>
    </row>
    <row r="64" spans="1:6" ht="15" x14ac:dyDescent="0.25">
      <c r="A64" s="91" t="s">
        <v>179</v>
      </c>
      <c r="B64" s="97">
        <f>SUM(B56:B63)</f>
        <v>581398198.68999994</v>
      </c>
      <c r="C64" s="97">
        <f>SUM(C56:C63)</f>
        <v>647595453.70000005</v>
      </c>
      <c r="D64" s="106">
        <f>((B64/C64)-1)*100</f>
        <v>-10.222007370772268</v>
      </c>
      <c r="E64" s="97">
        <f>SUM(E56:E63)</f>
        <v>197958189.10999998</v>
      </c>
      <c r="F64" s="106">
        <f>((B64/E64)-1)*100</f>
        <v>193.69747283702051</v>
      </c>
    </row>
    <row r="65" spans="1:7" ht="15" x14ac:dyDescent="0.25">
      <c r="A65" s="100" t="s">
        <v>136</v>
      </c>
      <c r="B65" s="101"/>
      <c r="C65" s="101"/>
      <c r="D65" s="102" t="s">
        <v>182</v>
      </c>
      <c r="E65" s="101"/>
      <c r="F65" s="102" t="s">
        <v>182</v>
      </c>
    </row>
    <row r="66" spans="1:7" ht="15" x14ac:dyDescent="0.25">
      <c r="A66" s="89" t="s">
        <v>14</v>
      </c>
    </row>
    <row r="67" spans="1:7" x14ac:dyDescent="0.2">
      <c r="A67" s="43" t="s">
        <v>135</v>
      </c>
      <c r="B67" s="3">
        <v>2873</v>
      </c>
      <c r="C67" s="3">
        <v>4162</v>
      </c>
      <c r="D67" s="90">
        <v>-30.970687169629983</v>
      </c>
      <c r="E67" s="3">
        <v>3174</v>
      </c>
      <c r="F67" s="90">
        <v>-9.4833018273471961</v>
      </c>
    </row>
    <row r="68" spans="1:7" x14ac:dyDescent="0.2">
      <c r="A68" s="43" t="s">
        <v>175</v>
      </c>
      <c r="B68" s="3">
        <v>7514</v>
      </c>
      <c r="C68" s="3">
        <v>5173</v>
      </c>
      <c r="D68" s="90">
        <v>45.254204523487338</v>
      </c>
      <c r="E68" s="3">
        <v>6485</v>
      </c>
      <c r="F68" s="90">
        <v>15.867386276021589</v>
      </c>
    </row>
    <row r="69" spans="1:7" x14ac:dyDescent="0.2">
      <c r="A69" s="43" t="s">
        <v>132</v>
      </c>
      <c r="B69" s="3">
        <v>5086</v>
      </c>
      <c r="C69" s="3">
        <v>4456</v>
      </c>
      <c r="D69" s="90">
        <v>14.138240574506284</v>
      </c>
      <c r="E69" s="3">
        <v>3641</v>
      </c>
      <c r="F69" s="90">
        <v>39.686899203515516</v>
      </c>
    </row>
    <row r="70" spans="1:7" x14ac:dyDescent="0.2">
      <c r="A70" s="43" t="s">
        <v>133</v>
      </c>
      <c r="B70" s="3">
        <v>24502</v>
      </c>
      <c r="C70" s="3">
        <v>23341</v>
      </c>
      <c r="D70" s="90">
        <v>4.9740799451608764</v>
      </c>
      <c r="E70" s="3">
        <v>27863</v>
      </c>
      <c r="F70" s="90">
        <v>-12.062591967842659</v>
      </c>
    </row>
    <row r="71" spans="1:7" x14ac:dyDescent="0.2">
      <c r="A71" s="43" t="s">
        <v>134</v>
      </c>
      <c r="B71" s="3">
        <v>16409</v>
      </c>
      <c r="C71" s="3">
        <v>16682</v>
      </c>
      <c r="D71" s="90">
        <v>-1.6364944251288815</v>
      </c>
      <c r="E71" s="3">
        <v>16736</v>
      </c>
      <c r="F71" s="90">
        <v>-1.9538718929254302</v>
      </c>
    </row>
    <row r="72" spans="1:7" x14ac:dyDescent="0.2">
      <c r="A72" s="43" t="s">
        <v>138</v>
      </c>
      <c r="B72" s="3">
        <v>880</v>
      </c>
      <c r="C72" s="3">
        <v>1262</v>
      </c>
      <c r="D72" s="90">
        <v>-30.269413629160063</v>
      </c>
      <c r="E72" s="3">
        <v>296</v>
      </c>
      <c r="F72" s="90">
        <v>197.29729729729729</v>
      </c>
    </row>
    <row r="73" spans="1:7" x14ac:dyDescent="0.2">
      <c r="A73" s="43" t="s">
        <v>177</v>
      </c>
      <c r="B73" s="3">
        <v>188</v>
      </c>
      <c r="C73" s="3">
        <v>463</v>
      </c>
      <c r="D73" s="90">
        <v>-59.395248380129594</v>
      </c>
      <c r="E73" s="3">
        <v>237</v>
      </c>
      <c r="F73" s="90">
        <v>-20.675105485232066</v>
      </c>
    </row>
    <row r="74" spans="1:7" x14ac:dyDescent="0.2">
      <c r="A74" s="43" t="s">
        <v>139</v>
      </c>
      <c r="B74" s="3">
        <v>552</v>
      </c>
      <c r="C74" s="3">
        <v>230</v>
      </c>
      <c r="D74" s="90">
        <v>140</v>
      </c>
      <c r="E74" s="3">
        <v>850</v>
      </c>
      <c r="F74" s="90">
        <v>-35.058823529411768</v>
      </c>
    </row>
    <row r="75" spans="1:7" ht="15" x14ac:dyDescent="0.25">
      <c r="A75" s="89" t="s">
        <v>15</v>
      </c>
      <c r="B75" s="3"/>
      <c r="C75" s="3"/>
      <c r="E75" s="3"/>
      <c r="F75" s="90"/>
    </row>
    <row r="76" spans="1:7" x14ac:dyDescent="0.2">
      <c r="A76" s="43" t="s">
        <v>135</v>
      </c>
      <c r="B76" s="3">
        <v>115</v>
      </c>
      <c r="C76" s="3">
        <v>90</v>
      </c>
      <c r="D76" s="90">
        <v>27.777777777777779</v>
      </c>
      <c r="E76" s="3">
        <v>52</v>
      </c>
      <c r="F76" s="90">
        <v>121.15384615384615</v>
      </c>
    </row>
    <row r="77" spans="1:7" x14ac:dyDescent="0.2">
      <c r="A77" s="43" t="s">
        <v>175</v>
      </c>
      <c r="B77" s="3">
        <v>1598</v>
      </c>
      <c r="C77" s="3">
        <v>5965</v>
      </c>
      <c r="D77" s="90">
        <v>-73.210393964794633</v>
      </c>
      <c r="E77" s="3">
        <v>407</v>
      </c>
      <c r="F77" s="90">
        <v>292.62899262899265</v>
      </c>
      <c r="G77" s="99"/>
    </row>
    <row r="78" spans="1:7" x14ac:dyDescent="0.2">
      <c r="A78" s="43" t="s">
        <v>132</v>
      </c>
      <c r="B78" s="3">
        <v>2522</v>
      </c>
      <c r="C78" s="3">
        <v>4182</v>
      </c>
      <c r="D78" s="90">
        <v>-39.69392635102821</v>
      </c>
      <c r="E78" s="3">
        <v>1217</v>
      </c>
      <c r="F78" s="90">
        <v>107.23089564502877</v>
      </c>
      <c r="G78" s="99"/>
    </row>
    <row r="79" spans="1:7" x14ac:dyDescent="0.2">
      <c r="A79" s="43" t="s">
        <v>133</v>
      </c>
      <c r="B79" s="3">
        <v>67103</v>
      </c>
      <c r="C79" s="3">
        <v>65902</v>
      </c>
      <c r="D79" s="90">
        <v>1.8224029619738398</v>
      </c>
      <c r="E79" s="3">
        <v>46702</v>
      </c>
      <c r="F79" s="90">
        <v>43.683354031947239</v>
      </c>
      <c r="G79" s="99"/>
    </row>
    <row r="80" spans="1:7" x14ac:dyDescent="0.2">
      <c r="A80" s="43" t="s">
        <v>134</v>
      </c>
      <c r="B80" s="3">
        <v>21144</v>
      </c>
      <c r="C80" s="3">
        <v>18806</v>
      </c>
      <c r="D80" s="90">
        <v>12.432202488567478</v>
      </c>
      <c r="E80" s="3">
        <v>16179</v>
      </c>
      <c r="F80" s="90">
        <v>30.687928796588171</v>
      </c>
    </row>
    <row r="81" spans="1:6" x14ac:dyDescent="0.2">
      <c r="A81" s="43" t="s">
        <v>138</v>
      </c>
      <c r="B81" s="3">
        <v>0</v>
      </c>
      <c r="C81" s="3">
        <v>0</v>
      </c>
      <c r="D81" s="90" t="s">
        <v>182</v>
      </c>
      <c r="E81" s="3">
        <v>0</v>
      </c>
      <c r="F81" s="90" t="s">
        <v>182</v>
      </c>
    </row>
    <row r="82" spans="1:6" x14ac:dyDescent="0.2">
      <c r="A82" s="43" t="s">
        <v>177</v>
      </c>
      <c r="B82" s="3">
        <v>80</v>
      </c>
      <c r="C82" s="3">
        <v>80</v>
      </c>
      <c r="D82" s="90">
        <v>0</v>
      </c>
      <c r="E82" s="3">
        <v>130</v>
      </c>
      <c r="F82" s="90">
        <v>-38.461538461538467</v>
      </c>
    </row>
    <row r="83" spans="1:6" x14ac:dyDescent="0.2">
      <c r="A83" s="43" t="s">
        <v>139</v>
      </c>
      <c r="B83" s="3">
        <v>0</v>
      </c>
      <c r="C83" s="3">
        <v>0</v>
      </c>
      <c r="D83" s="90" t="s">
        <v>182</v>
      </c>
      <c r="E83" s="3">
        <v>500</v>
      </c>
      <c r="F83" s="90">
        <v>-100</v>
      </c>
    </row>
    <row r="84" spans="1:6" ht="15" x14ac:dyDescent="0.25">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2.75" x14ac:dyDescent="0.2"/>
  <sheetData>
    <row r="1" spans="1:9" x14ac:dyDescent="0.2">
      <c r="A1" s="35"/>
      <c r="B1" s="56"/>
      <c r="C1" s="56"/>
      <c r="D1" s="58"/>
      <c r="E1" s="56"/>
      <c r="F1" s="43"/>
      <c r="G1" s="27"/>
      <c r="H1" s="65"/>
      <c r="I1" s="65"/>
    </row>
    <row r="2" spans="1:9" x14ac:dyDescent="0.2">
      <c r="A2" s="56"/>
      <c r="B2" s="24"/>
      <c r="C2" s="24"/>
      <c r="D2" s="24"/>
      <c r="E2" s="24"/>
      <c r="F2" s="43"/>
      <c r="G2" s="27"/>
      <c r="H2" s="65"/>
      <c r="I2" s="65"/>
    </row>
    <row r="3" spans="1:9" x14ac:dyDescent="0.2">
      <c r="A3" s="56"/>
      <c r="B3" s="24"/>
      <c r="C3" s="24"/>
      <c r="D3" s="24"/>
      <c r="E3" s="24"/>
      <c r="F3" s="43"/>
      <c r="G3" s="27"/>
      <c r="H3" s="65"/>
      <c r="I3" s="65"/>
    </row>
    <row r="4" spans="1:9" x14ac:dyDescent="0.2">
      <c r="A4" s="56"/>
      <c r="B4" s="25"/>
      <c r="C4" s="25"/>
      <c r="D4" s="25"/>
      <c r="E4" s="24"/>
      <c r="F4" s="24"/>
      <c r="G4" s="65"/>
      <c r="H4" s="65"/>
      <c r="I4" s="65"/>
    </row>
    <row r="5" spans="1:9" ht="15" x14ac:dyDescent="0.25">
      <c r="A5" s="43"/>
      <c r="B5" s="3"/>
      <c r="C5" s="75"/>
      <c r="D5" s="27"/>
      <c r="E5" s="28"/>
      <c r="F5" s="27"/>
      <c r="G5" s="27"/>
      <c r="H5" s="27"/>
      <c r="I5" s="27"/>
    </row>
    <row r="6" spans="1:9" ht="15" x14ac:dyDescent="0.25">
      <c r="A6" s="43"/>
      <c r="B6" s="3"/>
      <c r="C6" s="75"/>
      <c r="D6" s="27"/>
      <c r="E6" s="28"/>
      <c r="F6" s="27"/>
      <c r="G6" s="27"/>
      <c r="H6" s="27"/>
      <c r="I6" s="27"/>
    </row>
    <row r="7" spans="1:9" ht="15" x14ac:dyDescent="0.25">
      <c r="A7" s="43"/>
      <c r="B7" s="3"/>
      <c r="C7" s="75"/>
      <c r="D7" s="27"/>
      <c r="E7" s="28"/>
      <c r="F7" s="27"/>
      <c r="G7" s="27"/>
      <c r="H7" s="27"/>
      <c r="I7" s="27"/>
    </row>
    <row r="8" spans="1:9" x14ac:dyDescent="0.2">
      <c r="A8" s="43"/>
      <c r="B8" s="3"/>
      <c r="C8" s="27"/>
      <c r="D8" s="27"/>
      <c r="E8" s="28"/>
      <c r="F8" s="27"/>
      <c r="G8" s="27"/>
      <c r="H8" s="27"/>
      <c r="I8" s="27"/>
    </row>
    <row r="9" spans="1:9" x14ac:dyDescent="0.2">
      <c r="A9" s="43"/>
      <c r="B9" s="3"/>
      <c r="C9" s="27"/>
      <c r="D9" s="27"/>
      <c r="E9" s="28"/>
      <c r="F9" s="27"/>
      <c r="G9" s="27"/>
      <c r="H9" s="27"/>
      <c r="I9" s="27"/>
    </row>
    <row r="10" spans="1:9" x14ac:dyDescent="0.2">
      <c r="A10" s="56"/>
      <c r="B10" s="3"/>
      <c r="C10" s="27"/>
      <c r="D10" s="27"/>
      <c r="E10" s="28"/>
      <c r="F10" s="27"/>
      <c r="G10" s="27"/>
      <c r="H10" s="27"/>
      <c r="I10" s="27"/>
    </row>
    <row r="11" spans="1:9" x14ac:dyDescent="0.2">
      <c r="A11" s="43"/>
      <c r="B11" s="3"/>
      <c r="C11" s="3"/>
      <c r="D11" s="3"/>
      <c r="E11" s="3"/>
      <c r="F11" s="3"/>
      <c r="G11" s="3"/>
      <c r="H11" s="3"/>
      <c r="I11" s="3"/>
    </row>
    <row r="12" spans="1:9" x14ac:dyDescent="0.2">
      <c r="A12" s="43"/>
      <c r="B12" s="3"/>
      <c r="C12" s="3"/>
      <c r="D12" s="3"/>
      <c r="E12" s="3"/>
      <c r="F12" s="3"/>
      <c r="G12" s="3"/>
      <c r="H12" s="3"/>
      <c r="I12" s="3"/>
    </row>
    <row r="13" spans="1:9" x14ac:dyDescent="0.2">
      <c r="A13" s="43"/>
      <c r="B13" s="3"/>
      <c r="C13" s="3"/>
      <c r="D13" s="3"/>
      <c r="E13" s="3"/>
      <c r="F13" s="3"/>
      <c r="G13" s="3"/>
      <c r="H13" s="3"/>
      <c r="I13" s="3"/>
    </row>
    <row r="14" spans="1:9" ht="13.5" thickBot="1" x14ac:dyDescent="0.25">
      <c r="A14" s="111"/>
      <c r="B14" s="114"/>
      <c r="C14" s="114"/>
      <c r="D14" s="114"/>
      <c r="E14" s="114"/>
      <c r="F14" s="114"/>
      <c r="G14" s="114"/>
      <c r="H14" s="114"/>
      <c r="I14" s="114"/>
    </row>
    <row r="15" spans="1:9" ht="13.5" thickTop="1" x14ac:dyDescent="0.2">
      <c r="A15" s="9"/>
      <c r="B15" s="3"/>
      <c r="C15" s="15"/>
      <c r="D15" s="15"/>
      <c r="E15" s="28"/>
      <c r="F15" s="24"/>
      <c r="G15" s="27"/>
      <c r="H15" s="27"/>
      <c r="I15" s="27"/>
    </row>
    <row r="16" spans="1:9" x14ac:dyDescent="0.2">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251"/>
  <sheetViews>
    <sheetView workbookViewId="0">
      <selection activeCell="P15" sqref="P15"/>
    </sheetView>
  </sheetViews>
  <sheetFormatPr defaultRowHeight="12.75" x14ac:dyDescent="0.2"/>
  <cols>
    <col min="1" max="1" width="9.7109375" bestFit="1" customWidth="1"/>
    <col min="2" max="2" width="11.7109375" bestFit="1" customWidth="1"/>
    <col min="3" max="3" width="12" bestFit="1" customWidth="1"/>
    <col min="4" max="4" width="2.5703125" bestFit="1" customWidth="1"/>
    <col min="9" max="9" width="9.7109375" style="150" bestFit="1" customWidth="1"/>
  </cols>
  <sheetData>
    <row r="1" spans="1:4" x14ac:dyDescent="0.2">
      <c r="A1" t="s">
        <v>213</v>
      </c>
      <c r="B1" t="s">
        <v>214</v>
      </c>
      <c r="C1" t="s">
        <v>215</v>
      </c>
      <c r="D1" t="s">
        <v>216</v>
      </c>
    </row>
    <row r="2" spans="1:4" x14ac:dyDescent="0.2">
      <c r="A2" t="s">
        <v>217</v>
      </c>
      <c r="B2" s="149">
        <v>38713</v>
      </c>
      <c r="C2">
        <v>17296.830000000002</v>
      </c>
      <c r="D2">
        <v>1</v>
      </c>
    </row>
    <row r="3" spans="1:4" x14ac:dyDescent="0.2">
      <c r="A3" t="s">
        <v>218</v>
      </c>
      <c r="B3" s="149">
        <v>38713</v>
      </c>
      <c r="C3">
        <v>20229.37</v>
      </c>
      <c r="D3">
        <v>1</v>
      </c>
    </row>
    <row r="4" spans="1:4" x14ac:dyDescent="0.2">
      <c r="A4" t="s">
        <v>219</v>
      </c>
      <c r="B4" s="149">
        <v>38628</v>
      </c>
      <c r="C4">
        <v>10207.67</v>
      </c>
      <c r="D4">
        <v>1</v>
      </c>
    </row>
    <row r="5" spans="1:4" x14ac:dyDescent="0.2">
      <c r="A5" t="s">
        <v>220</v>
      </c>
      <c r="B5" s="149">
        <v>38713</v>
      </c>
      <c r="C5">
        <v>17257.37</v>
      </c>
      <c r="D5">
        <v>1</v>
      </c>
    </row>
    <row r="6" spans="1:4" x14ac:dyDescent="0.2">
      <c r="A6" t="s">
        <v>221</v>
      </c>
      <c r="B6" s="149">
        <v>38716</v>
      </c>
      <c r="C6">
        <v>10070.700000000001</v>
      </c>
      <c r="D6">
        <v>1</v>
      </c>
    </row>
    <row r="7" spans="1:4" x14ac:dyDescent="0.2">
      <c r="A7" t="s">
        <v>222</v>
      </c>
      <c r="B7" s="149">
        <v>38677</v>
      </c>
      <c r="C7">
        <v>28766.959999999999</v>
      </c>
      <c r="D7">
        <v>1</v>
      </c>
    </row>
    <row r="8" spans="1:4" x14ac:dyDescent="0.2">
      <c r="A8" t="s">
        <v>223</v>
      </c>
      <c r="B8" s="149">
        <v>37432</v>
      </c>
      <c r="C8">
        <v>30613.119999999999</v>
      </c>
      <c r="D8">
        <v>1</v>
      </c>
    </row>
    <row r="9" spans="1:4" x14ac:dyDescent="0.2">
      <c r="A9" t="s">
        <v>224</v>
      </c>
      <c r="B9" s="149">
        <v>38425</v>
      </c>
      <c r="C9">
        <v>14581.36</v>
      </c>
      <c r="D9">
        <v>1</v>
      </c>
    </row>
    <row r="10" spans="1:4" x14ac:dyDescent="0.2">
      <c r="A10" t="s">
        <v>225</v>
      </c>
      <c r="B10" s="149">
        <v>38715</v>
      </c>
      <c r="C10">
        <v>17673.63</v>
      </c>
      <c r="D10">
        <v>1</v>
      </c>
    </row>
    <row r="11" spans="1:4" x14ac:dyDescent="0.2">
      <c r="A11" t="s">
        <v>226</v>
      </c>
      <c r="B11" s="149">
        <v>38715</v>
      </c>
      <c r="C11">
        <v>34075.21</v>
      </c>
      <c r="D11">
        <v>1</v>
      </c>
    </row>
    <row r="12" spans="1:4" x14ac:dyDescent="0.2">
      <c r="A12" t="s">
        <v>227</v>
      </c>
      <c r="B12" s="149">
        <v>38680</v>
      </c>
      <c r="C12">
        <v>18105.080000000002</v>
      </c>
      <c r="D12">
        <v>1</v>
      </c>
    </row>
    <row r="13" spans="1:4" x14ac:dyDescent="0.2">
      <c r="A13" t="s">
        <v>228</v>
      </c>
      <c r="B13" s="149">
        <v>38604</v>
      </c>
      <c r="C13">
        <v>28742.13</v>
      </c>
      <c r="D13">
        <v>1</v>
      </c>
    </row>
    <row r="14" spans="1:4" x14ac:dyDescent="0.2">
      <c r="A14" t="s">
        <v>229</v>
      </c>
      <c r="B14" s="149">
        <v>38709</v>
      </c>
      <c r="C14">
        <v>10955.45</v>
      </c>
      <c r="D14">
        <v>1</v>
      </c>
    </row>
    <row r="15" spans="1:4" x14ac:dyDescent="0.2">
      <c r="A15" t="s">
        <v>230</v>
      </c>
      <c r="B15" s="149">
        <v>38580</v>
      </c>
      <c r="C15">
        <v>2321.6</v>
      </c>
      <c r="D15">
        <v>1</v>
      </c>
    </row>
    <row r="16" spans="1:4" x14ac:dyDescent="0.2">
      <c r="A16" t="s">
        <v>231</v>
      </c>
      <c r="B16" s="149">
        <v>38709</v>
      </c>
      <c r="C16">
        <v>2183.41</v>
      </c>
      <c r="D16">
        <v>1</v>
      </c>
    </row>
    <row r="17" spans="1:4" x14ac:dyDescent="0.2">
      <c r="A17" t="s">
        <v>232</v>
      </c>
      <c r="B17" s="149">
        <v>38663</v>
      </c>
      <c r="C17">
        <v>14154.09</v>
      </c>
      <c r="D17">
        <v>1</v>
      </c>
    </row>
    <row r="18" spans="1:4" x14ac:dyDescent="0.2">
      <c r="A18" t="s">
        <v>233</v>
      </c>
      <c r="B18" s="149">
        <v>38663</v>
      </c>
      <c r="C18">
        <v>43569.17</v>
      </c>
      <c r="D18">
        <v>1</v>
      </c>
    </row>
    <row r="19" spans="1:4" x14ac:dyDescent="0.2">
      <c r="A19" t="s">
        <v>234</v>
      </c>
      <c r="B19" s="149">
        <v>38715</v>
      </c>
      <c r="C19">
        <v>25723.24</v>
      </c>
      <c r="D19">
        <v>1</v>
      </c>
    </row>
    <row r="20" spans="1:4" x14ac:dyDescent="0.2">
      <c r="A20" t="s">
        <v>235</v>
      </c>
      <c r="B20" s="149">
        <v>38716</v>
      </c>
      <c r="C20">
        <v>18207.32</v>
      </c>
      <c r="D20">
        <v>1</v>
      </c>
    </row>
    <row r="21" spans="1:4" x14ac:dyDescent="0.2">
      <c r="A21" t="s">
        <v>236</v>
      </c>
      <c r="B21" s="149">
        <v>38615</v>
      </c>
      <c r="C21">
        <v>4728.4799999999996</v>
      </c>
      <c r="D21">
        <v>1</v>
      </c>
    </row>
    <row r="22" spans="1:4" x14ac:dyDescent="0.2">
      <c r="A22" t="s">
        <v>237</v>
      </c>
      <c r="B22" s="149">
        <v>38716</v>
      </c>
      <c r="C22">
        <v>23744.76</v>
      </c>
      <c r="D22">
        <v>1</v>
      </c>
    </row>
    <row r="23" spans="1:4" x14ac:dyDescent="0.2">
      <c r="A23" t="s">
        <v>238</v>
      </c>
      <c r="B23" s="149">
        <v>38715</v>
      </c>
      <c r="C23">
        <v>24993.42</v>
      </c>
      <c r="D23">
        <v>1</v>
      </c>
    </row>
    <row r="24" spans="1:4" x14ac:dyDescent="0.2">
      <c r="A24" t="s">
        <v>239</v>
      </c>
      <c r="B24" s="149">
        <v>38716</v>
      </c>
      <c r="C24">
        <v>2895.12</v>
      </c>
      <c r="D24">
        <v>1</v>
      </c>
    </row>
    <row r="25" spans="1:4" x14ac:dyDescent="0.2">
      <c r="A25" t="s">
        <v>240</v>
      </c>
      <c r="B25" s="149">
        <v>38699</v>
      </c>
      <c r="C25">
        <v>28328.49</v>
      </c>
      <c r="D25">
        <v>1</v>
      </c>
    </row>
    <row r="26" spans="1:4" x14ac:dyDescent="0.2">
      <c r="A26" t="s">
        <v>241</v>
      </c>
      <c r="B26" s="149">
        <v>42195</v>
      </c>
      <c r="C26">
        <v>67821.078360950007</v>
      </c>
      <c r="D26">
        <v>1</v>
      </c>
    </row>
    <row r="27" spans="1:4" x14ac:dyDescent="0.2">
      <c r="A27" t="s">
        <v>242</v>
      </c>
      <c r="B27" s="149">
        <v>38709</v>
      </c>
      <c r="C27">
        <v>1445.21</v>
      </c>
      <c r="D27">
        <v>1</v>
      </c>
    </row>
    <row r="28" spans="1:4" x14ac:dyDescent="0.2">
      <c r="A28" t="s">
        <v>243</v>
      </c>
      <c r="B28" s="149">
        <v>38673</v>
      </c>
      <c r="C28">
        <v>110.01</v>
      </c>
      <c r="D28">
        <v>1</v>
      </c>
    </row>
    <row r="29" spans="1:4" x14ac:dyDescent="0.2">
      <c r="A29" t="s">
        <v>244</v>
      </c>
      <c r="B29" s="149">
        <v>38709</v>
      </c>
      <c r="C29">
        <v>34691.21</v>
      </c>
      <c r="D29">
        <v>1</v>
      </c>
    </row>
    <row r="30" spans="1:4" x14ac:dyDescent="0.2">
      <c r="A30" t="s">
        <v>245</v>
      </c>
      <c r="B30" s="149">
        <v>38716</v>
      </c>
      <c r="C30">
        <v>14859.1</v>
      </c>
      <c r="D30">
        <v>1</v>
      </c>
    </row>
    <row r="31" spans="1:4" x14ac:dyDescent="0.2">
      <c r="A31" t="s">
        <v>246</v>
      </c>
      <c r="B31" s="149">
        <v>38708</v>
      </c>
      <c r="C31">
        <v>1357.01</v>
      </c>
      <c r="D31">
        <v>1</v>
      </c>
    </row>
    <row r="32" spans="1:4" x14ac:dyDescent="0.2">
      <c r="A32" t="s">
        <v>247</v>
      </c>
      <c r="B32" s="149">
        <v>38713</v>
      </c>
      <c r="C32">
        <v>17869.22</v>
      </c>
      <c r="D32">
        <v>1</v>
      </c>
    </row>
    <row r="33" spans="1:4" x14ac:dyDescent="0.2">
      <c r="A33" t="s">
        <v>248</v>
      </c>
      <c r="B33" s="149">
        <v>38713</v>
      </c>
      <c r="C33">
        <v>30401.200000000001</v>
      </c>
      <c r="D33">
        <v>1</v>
      </c>
    </row>
    <row r="34" spans="1:4" x14ac:dyDescent="0.2">
      <c r="A34" t="s">
        <v>249</v>
      </c>
      <c r="B34" s="149">
        <v>38709</v>
      </c>
      <c r="C34">
        <v>16626.419999999998</v>
      </c>
      <c r="D34">
        <v>1</v>
      </c>
    </row>
    <row r="35" spans="1:4" x14ac:dyDescent="0.2">
      <c r="A35" t="s">
        <v>250</v>
      </c>
      <c r="B35" s="149">
        <v>38713</v>
      </c>
      <c r="C35">
        <v>14630.23</v>
      </c>
      <c r="D35">
        <v>1</v>
      </c>
    </row>
    <row r="36" spans="1:4" x14ac:dyDescent="0.2">
      <c r="A36" t="s">
        <v>251</v>
      </c>
      <c r="B36" s="149">
        <v>38713</v>
      </c>
      <c r="C36">
        <v>1547.81</v>
      </c>
      <c r="D36">
        <v>1</v>
      </c>
    </row>
    <row r="37" spans="1:4" x14ac:dyDescent="0.2">
      <c r="A37" t="s">
        <v>252</v>
      </c>
      <c r="B37" s="149">
        <v>38713</v>
      </c>
      <c r="C37">
        <v>590.19000000000005</v>
      </c>
      <c r="D37">
        <v>1</v>
      </c>
    </row>
    <row r="38" spans="1:4" x14ac:dyDescent="0.2">
      <c r="A38" t="s">
        <v>253</v>
      </c>
      <c r="B38" s="149">
        <v>38713</v>
      </c>
      <c r="C38">
        <v>1846.94</v>
      </c>
      <c r="D38">
        <v>1</v>
      </c>
    </row>
    <row r="39" spans="1:4" x14ac:dyDescent="0.2">
      <c r="A39" t="s">
        <v>254</v>
      </c>
      <c r="B39" s="149">
        <v>38709</v>
      </c>
      <c r="C39">
        <v>9758.19</v>
      </c>
      <c r="D39">
        <v>1</v>
      </c>
    </row>
    <row r="40" spans="1:4" x14ac:dyDescent="0.2">
      <c r="A40" t="s">
        <v>255</v>
      </c>
      <c r="B40" s="149">
        <v>38580</v>
      </c>
      <c r="C40">
        <v>673.25</v>
      </c>
      <c r="D40">
        <v>1</v>
      </c>
    </row>
    <row r="41" spans="1:4" x14ac:dyDescent="0.2">
      <c r="A41" t="s">
        <v>256</v>
      </c>
      <c r="B41" s="149">
        <v>38709</v>
      </c>
      <c r="C41">
        <v>196.52</v>
      </c>
      <c r="D41">
        <v>1</v>
      </c>
    </row>
    <row r="42" spans="1:4" x14ac:dyDescent="0.2">
      <c r="A42" t="s">
        <v>90</v>
      </c>
      <c r="B42" s="149">
        <v>41849</v>
      </c>
      <c r="C42">
        <v>22461.45680964</v>
      </c>
      <c r="D42">
        <v>1</v>
      </c>
    </row>
    <row r="43" spans="1:4" x14ac:dyDescent="0.2">
      <c r="A43" t="s">
        <v>257</v>
      </c>
      <c r="B43" s="149">
        <v>42122</v>
      </c>
      <c r="C43">
        <v>9390.5427286199993</v>
      </c>
      <c r="D43">
        <v>1</v>
      </c>
    </row>
    <row r="44" spans="1:4" x14ac:dyDescent="0.2">
      <c r="A44" t="s">
        <v>258</v>
      </c>
      <c r="B44" s="149">
        <v>42480</v>
      </c>
      <c r="C44">
        <v>10466.885065210001</v>
      </c>
      <c r="D44">
        <v>1</v>
      </c>
    </row>
    <row r="45" spans="1:4" x14ac:dyDescent="0.2">
      <c r="A45" t="s">
        <v>259</v>
      </c>
      <c r="B45" s="149">
        <v>42524</v>
      </c>
      <c r="C45">
        <v>10562.33998273</v>
      </c>
      <c r="D45">
        <v>1</v>
      </c>
    </row>
    <row r="46" spans="1:4" x14ac:dyDescent="0.2">
      <c r="A46" t="s">
        <v>260</v>
      </c>
      <c r="B46" s="149">
        <v>41967</v>
      </c>
      <c r="C46">
        <v>25297.640064309999</v>
      </c>
      <c r="D46">
        <v>1</v>
      </c>
    </row>
    <row r="47" spans="1:4" x14ac:dyDescent="0.2">
      <c r="A47" t="s">
        <v>261</v>
      </c>
      <c r="B47" s="149">
        <v>41849</v>
      </c>
      <c r="C47">
        <v>4482.8823280400002</v>
      </c>
      <c r="D47">
        <v>1</v>
      </c>
    </row>
    <row r="48" spans="1:4" x14ac:dyDescent="0.2">
      <c r="A48" t="s">
        <v>262</v>
      </c>
      <c r="B48" s="149">
        <v>41849</v>
      </c>
      <c r="C48">
        <v>4264.0820106800002</v>
      </c>
      <c r="D48">
        <v>1</v>
      </c>
    </row>
    <row r="49" spans="1:4" x14ac:dyDescent="0.2">
      <c r="A49" t="s">
        <v>92</v>
      </c>
      <c r="B49" s="149">
        <v>41849</v>
      </c>
      <c r="C49">
        <v>4599.9677435399999</v>
      </c>
      <c r="D49">
        <v>1</v>
      </c>
    </row>
    <row r="50" spans="1:4" x14ac:dyDescent="0.2">
      <c r="A50" t="s">
        <v>62</v>
      </c>
      <c r="B50" s="149">
        <v>37515</v>
      </c>
      <c r="C50">
        <v>3456.48</v>
      </c>
      <c r="D50">
        <v>1</v>
      </c>
    </row>
    <row r="51" spans="1:4" x14ac:dyDescent="0.2">
      <c r="A51" t="s">
        <v>263</v>
      </c>
      <c r="B51" s="149">
        <v>39629</v>
      </c>
      <c r="C51">
        <v>51541.23</v>
      </c>
      <c r="D51">
        <v>1</v>
      </c>
    </row>
    <row r="52" spans="1:4" x14ac:dyDescent="0.2">
      <c r="A52" t="s">
        <v>264</v>
      </c>
      <c r="B52" s="149">
        <v>37970</v>
      </c>
      <c r="C52">
        <v>1201.19</v>
      </c>
      <c r="D52">
        <v>1</v>
      </c>
    </row>
    <row r="53" spans="1:4" x14ac:dyDescent="0.2">
      <c r="A53" t="s">
        <v>105</v>
      </c>
      <c r="B53" s="149">
        <v>39587</v>
      </c>
      <c r="C53">
        <v>146.47999999999999</v>
      </c>
      <c r="D53">
        <v>1</v>
      </c>
    </row>
    <row r="54" spans="1:4" x14ac:dyDescent="0.2">
      <c r="A54" t="s">
        <v>107</v>
      </c>
      <c r="B54" s="149">
        <v>39590</v>
      </c>
      <c r="C54">
        <v>12608.67</v>
      </c>
      <c r="D54">
        <v>1</v>
      </c>
    </row>
    <row r="55" spans="1:4" x14ac:dyDescent="0.2">
      <c r="A55" t="s">
        <v>265</v>
      </c>
      <c r="B55" s="149">
        <v>38009</v>
      </c>
      <c r="C55">
        <v>999.63</v>
      </c>
      <c r="D55">
        <v>1</v>
      </c>
    </row>
    <row r="56" spans="1:4" x14ac:dyDescent="0.2">
      <c r="A56" t="s">
        <v>266</v>
      </c>
      <c r="B56" s="149">
        <v>42339</v>
      </c>
      <c r="C56">
        <v>56242.231982290003</v>
      </c>
      <c r="D56">
        <v>1</v>
      </c>
    </row>
    <row r="57" spans="1:4" x14ac:dyDescent="0.2">
      <c r="A57" t="s">
        <v>267</v>
      </c>
      <c r="B57" s="149">
        <v>39604</v>
      </c>
      <c r="C57">
        <v>61121.71</v>
      </c>
      <c r="D57">
        <v>1</v>
      </c>
    </row>
    <row r="58" spans="1:4" x14ac:dyDescent="0.2">
      <c r="A58" t="s">
        <v>268</v>
      </c>
      <c r="B58" s="149">
        <v>39590</v>
      </c>
      <c r="C58">
        <v>50553.22</v>
      </c>
      <c r="D58">
        <v>1</v>
      </c>
    </row>
    <row r="59" spans="1:4" x14ac:dyDescent="0.2">
      <c r="A59" t="s">
        <v>55</v>
      </c>
      <c r="B59" s="149">
        <v>42312</v>
      </c>
      <c r="C59">
        <v>49081.0138716</v>
      </c>
      <c r="D59">
        <v>1</v>
      </c>
    </row>
    <row r="60" spans="1:4" x14ac:dyDescent="0.2">
      <c r="A60" t="s">
        <v>44</v>
      </c>
      <c r="B60" s="149">
        <v>42480</v>
      </c>
      <c r="C60">
        <v>77790.256752989997</v>
      </c>
      <c r="D60">
        <v>1</v>
      </c>
    </row>
    <row r="61" spans="1:4" x14ac:dyDescent="0.2">
      <c r="A61" t="s">
        <v>46</v>
      </c>
      <c r="B61" s="149">
        <v>42144</v>
      </c>
      <c r="C61">
        <v>62435.682638099999</v>
      </c>
      <c r="D61">
        <v>1</v>
      </c>
    </row>
    <row r="62" spans="1:4" x14ac:dyDescent="0.2">
      <c r="A62" t="s">
        <v>42</v>
      </c>
      <c r="B62" s="149">
        <v>42118</v>
      </c>
      <c r="C62">
        <v>55188.336977819999</v>
      </c>
      <c r="D62">
        <v>1</v>
      </c>
    </row>
    <row r="63" spans="1:4" x14ac:dyDescent="0.2">
      <c r="A63" t="s">
        <v>48</v>
      </c>
      <c r="B63" s="149">
        <v>42506</v>
      </c>
      <c r="C63">
        <v>7167.2950861700001</v>
      </c>
      <c r="D63">
        <v>1</v>
      </c>
    </row>
    <row r="64" spans="1:4" x14ac:dyDescent="0.2">
      <c r="A64" t="s">
        <v>269</v>
      </c>
      <c r="B64" s="149">
        <v>40662</v>
      </c>
      <c r="C64">
        <v>4825.42</v>
      </c>
      <c r="D64">
        <v>1</v>
      </c>
    </row>
    <row r="65" spans="1:4" x14ac:dyDescent="0.2">
      <c r="A65" t="s">
        <v>60</v>
      </c>
      <c r="B65" s="149">
        <v>39590</v>
      </c>
      <c r="C65">
        <v>77308.45</v>
      </c>
      <c r="D65">
        <v>1</v>
      </c>
    </row>
    <row r="66" spans="1:4" x14ac:dyDescent="0.2">
      <c r="A66" t="s">
        <v>64</v>
      </c>
      <c r="B66" s="149">
        <v>42520</v>
      </c>
      <c r="C66">
        <v>74332.170788069998</v>
      </c>
      <c r="D66">
        <v>1</v>
      </c>
    </row>
    <row r="67" spans="1:4" x14ac:dyDescent="0.2">
      <c r="A67" t="s">
        <v>66</v>
      </c>
      <c r="B67" s="149">
        <v>42118</v>
      </c>
      <c r="C67">
        <v>17911.36431723</v>
      </c>
      <c r="D67">
        <v>1</v>
      </c>
    </row>
    <row r="68" spans="1:4" x14ac:dyDescent="0.2">
      <c r="A68" t="s">
        <v>68</v>
      </c>
      <c r="B68" s="149">
        <v>42312</v>
      </c>
      <c r="C68">
        <v>77813.852225080002</v>
      </c>
      <c r="D68">
        <v>1</v>
      </c>
    </row>
    <row r="69" spans="1:4" x14ac:dyDescent="0.2">
      <c r="A69" t="s">
        <v>110</v>
      </c>
      <c r="B69" s="149">
        <v>42346</v>
      </c>
      <c r="C69">
        <v>1703.8449540300001</v>
      </c>
      <c r="D69">
        <v>1</v>
      </c>
    </row>
    <row r="70" spans="1:4" x14ac:dyDescent="0.2">
      <c r="A70" t="s">
        <v>112</v>
      </c>
      <c r="B70" s="149">
        <v>38723</v>
      </c>
      <c r="C70">
        <v>641.64</v>
      </c>
      <c r="D70">
        <v>1</v>
      </c>
    </row>
    <row r="71" spans="1:4" x14ac:dyDescent="0.2">
      <c r="A71" t="s">
        <v>114</v>
      </c>
      <c r="B71" s="149">
        <v>39400</v>
      </c>
      <c r="C71">
        <v>5041.9399999999996</v>
      </c>
      <c r="D71">
        <v>1</v>
      </c>
    </row>
    <row r="72" spans="1:4" x14ac:dyDescent="0.2">
      <c r="A72" t="s">
        <v>270</v>
      </c>
      <c r="B72" s="149">
        <v>39400</v>
      </c>
      <c r="C72">
        <v>2186.16</v>
      </c>
      <c r="D72">
        <v>1</v>
      </c>
    </row>
    <row r="73" spans="1:4" x14ac:dyDescent="0.2">
      <c r="A73" t="s">
        <v>271</v>
      </c>
      <c r="B73" s="149">
        <v>39384</v>
      </c>
      <c r="C73">
        <v>92.671239999999997</v>
      </c>
      <c r="D73">
        <v>1</v>
      </c>
    </row>
    <row r="74" spans="1:4" x14ac:dyDescent="0.2">
      <c r="A74" t="s">
        <v>272</v>
      </c>
      <c r="B74" s="149">
        <v>42520</v>
      </c>
      <c r="C74">
        <v>335.62757864000002</v>
      </c>
      <c r="D74">
        <v>1</v>
      </c>
    </row>
    <row r="75" spans="1:4" x14ac:dyDescent="0.2">
      <c r="A75" t="s">
        <v>273</v>
      </c>
      <c r="B75" s="149">
        <v>41824</v>
      </c>
      <c r="C75">
        <v>253.72994224000001</v>
      </c>
      <c r="D75">
        <v>1</v>
      </c>
    </row>
    <row r="76" spans="1:4" x14ac:dyDescent="0.2">
      <c r="A76" t="s">
        <v>274</v>
      </c>
      <c r="B76" s="149">
        <v>42349</v>
      </c>
      <c r="C76">
        <v>193.77286846000001</v>
      </c>
      <c r="D76">
        <v>1</v>
      </c>
    </row>
    <row r="77" spans="1:4" x14ac:dyDescent="0.2">
      <c r="A77" t="s">
        <v>275</v>
      </c>
      <c r="B77" s="149">
        <v>42520</v>
      </c>
      <c r="C77">
        <v>435.48899929999999</v>
      </c>
      <c r="D77">
        <v>1</v>
      </c>
    </row>
    <row r="78" spans="1:4" x14ac:dyDescent="0.2">
      <c r="A78" t="s">
        <v>276</v>
      </c>
      <c r="B78" s="149">
        <v>42312</v>
      </c>
      <c r="C78">
        <v>8236.4463907900008</v>
      </c>
      <c r="D78">
        <v>1</v>
      </c>
    </row>
    <row r="79" spans="1:4" x14ac:dyDescent="0.2">
      <c r="A79" t="s">
        <v>277</v>
      </c>
      <c r="B79" s="149">
        <v>40926</v>
      </c>
      <c r="C79">
        <v>1131.78</v>
      </c>
      <c r="D79">
        <v>1</v>
      </c>
    </row>
    <row r="80" spans="1:4" x14ac:dyDescent="0.2">
      <c r="A80" t="s">
        <v>94</v>
      </c>
      <c r="B80" s="149">
        <v>42107</v>
      </c>
      <c r="C80">
        <v>672.08047084999998</v>
      </c>
      <c r="D80">
        <v>1</v>
      </c>
    </row>
    <row r="81" spans="1:4" x14ac:dyDescent="0.2">
      <c r="A81" t="s">
        <v>96</v>
      </c>
      <c r="B81" s="149">
        <v>42305</v>
      </c>
      <c r="C81">
        <v>597.8558587</v>
      </c>
      <c r="D81">
        <v>1</v>
      </c>
    </row>
    <row r="82" spans="1:4" x14ac:dyDescent="0.2">
      <c r="A82" t="s">
        <v>278</v>
      </c>
      <c r="B82" s="149">
        <v>42032</v>
      </c>
      <c r="C82">
        <v>695.5143372</v>
      </c>
      <c r="D82">
        <v>1</v>
      </c>
    </row>
    <row r="83" spans="1:4" x14ac:dyDescent="0.2">
      <c r="A83" t="s">
        <v>279</v>
      </c>
      <c r="B83" s="149">
        <v>41411</v>
      </c>
      <c r="C83">
        <v>2240.63</v>
      </c>
      <c r="D83">
        <v>1</v>
      </c>
    </row>
    <row r="84" spans="1:4" x14ac:dyDescent="0.2">
      <c r="A84" t="s">
        <v>280</v>
      </c>
      <c r="B84" s="149">
        <v>42520</v>
      </c>
      <c r="C84">
        <v>82077.662416840001</v>
      </c>
      <c r="D84">
        <v>1</v>
      </c>
    </row>
    <row r="85" spans="1:4" x14ac:dyDescent="0.2">
      <c r="A85" t="s">
        <v>98</v>
      </c>
      <c r="B85" s="149">
        <v>39590</v>
      </c>
      <c r="C85">
        <v>42495.61</v>
      </c>
      <c r="D85">
        <v>1</v>
      </c>
    </row>
    <row r="86" spans="1:4" x14ac:dyDescent="0.2">
      <c r="A86" t="s">
        <v>281</v>
      </c>
      <c r="B86" s="149">
        <v>42048</v>
      </c>
      <c r="C86">
        <v>246.82307969999999</v>
      </c>
      <c r="D86">
        <v>1</v>
      </c>
    </row>
    <row r="87" spans="1:4" x14ac:dyDescent="0.2">
      <c r="A87" t="s">
        <v>282</v>
      </c>
      <c r="B87" s="149">
        <v>42122</v>
      </c>
      <c r="C87">
        <v>10462.682748179999</v>
      </c>
      <c r="D87">
        <v>1</v>
      </c>
    </row>
    <row r="88" spans="1:4" x14ac:dyDescent="0.2">
      <c r="A88" t="s">
        <v>283</v>
      </c>
      <c r="B88" s="149">
        <v>42122</v>
      </c>
      <c r="C88">
        <v>9914.4898120199996</v>
      </c>
      <c r="D88">
        <v>1</v>
      </c>
    </row>
    <row r="89" spans="1:4" x14ac:dyDescent="0.2">
      <c r="A89" t="s">
        <v>284</v>
      </c>
      <c r="B89" s="149">
        <v>42544</v>
      </c>
      <c r="C89">
        <v>177.14090324</v>
      </c>
      <c r="D89">
        <v>1</v>
      </c>
    </row>
    <row r="90" spans="1:4" x14ac:dyDescent="0.2">
      <c r="A90" t="s">
        <v>285</v>
      </c>
      <c r="B90" s="149">
        <v>39226</v>
      </c>
      <c r="C90">
        <v>30904.43</v>
      </c>
      <c r="D90">
        <v>1</v>
      </c>
    </row>
    <row r="91" spans="1:4" x14ac:dyDescent="0.2">
      <c r="A91" t="s">
        <v>286</v>
      </c>
      <c r="B91" s="149">
        <v>41655</v>
      </c>
      <c r="C91">
        <v>9348.2787054399996</v>
      </c>
      <c r="D91">
        <v>1</v>
      </c>
    </row>
    <row r="92" spans="1:4" x14ac:dyDescent="0.2">
      <c r="A92" t="s">
        <v>287</v>
      </c>
      <c r="B92" s="149">
        <v>41800</v>
      </c>
      <c r="C92">
        <v>210.35973263</v>
      </c>
      <c r="D92">
        <v>1</v>
      </c>
    </row>
    <row r="93" spans="1:4" x14ac:dyDescent="0.2">
      <c r="A93" t="s">
        <v>288</v>
      </c>
      <c r="B93" s="149">
        <v>42193</v>
      </c>
      <c r="C93">
        <v>3470.8482101700001</v>
      </c>
      <c r="D93">
        <v>1</v>
      </c>
    </row>
    <row r="94" spans="1:4" x14ac:dyDescent="0.2">
      <c r="A94" t="s">
        <v>289</v>
      </c>
      <c r="B94" s="149">
        <v>42122</v>
      </c>
      <c r="C94">
        <v>10348.20134439</v>
      </c>
      <c r="D94">
        <v>1</v>
      </c>
    </row>
    <row r="95" spans="1:4" x14ac:dyDescent="0.2">
      <c r="A95" t="s">
        <v>290</v>
      </c>
      <c r="B95" s="149">
        <v>42548</v>
      </c>
      <c r="C95">
        <v>10305.865100000001</v>
      </c>
      <c r="D95">
        <v>1</v>
      </c>
    </row>
    <row r="96" spans="1:4" x14ac:dyDescent="0.2">
      <c r="A96" t="s">
        <v>291</v>
      </c>
      <c r="B96" s="149">
        <v>42122</v>
      </c>
      <c r="C96">
        <v>26558.425318059999</v>
      </c>
      <c r="D96">
        <v>1</v>
      </c>
    </row>
    <row r="97" spans="1:4" x14ac:dyDescent="0.2">
      <c r="A97" t="s">
        <v>57</v>
      </c>
      <c r="B97" s="149">
        <v>42118</v>
      </c>
      <c r="C97">
        <v>26143.228642859998</v>
      </c>
      <c r="D97">
        <v>1</v>
      </c>
    </row>
    <row r="98" spans="1:4" x14ac:dyDescent="0.2">
      <c r="A98" t="s">
        <v>50</v>
      </c>
      <c r="B98" s="149">
        <v>42118</v>
      </c>
      <c r="C98">
        <v>27992.528654580001</v>
      </c>
      <c r="D98">
        <v>1</v>
      </c>
    </row>
    <row r="99" spans="1:4" x14ac:dyDescent="0.2">
      <c r="A99" t="s">
        <v>292</v>
      </c>
      <c r="B99" s="149">
        <v>40588</v>
      </c>
      <c r="C99">
        <v>24209.279999999999</v>
      </c>
      <c r="D99">
        <v>1</v>
      </c>
    </row>
    <row r="100" spans="1:4" x14ac:dyDescent="0.2">
      <c r="A100" t="s">
        <v>100</v>
      </c>
      <c r="B100" s="149">
        <v>42129</v>
      </c>
      <c r="C100">
        <v>431.46959335999998</v>
      </c>
      <c r="D100">
        <v>1</v>
      </c>
    </row>
    <row r="101" spans="1:4" x14ac:dyDescent="0.2">
      <c r="A101" t="s">
        <v>102</v>
      </c>
      <c r="B101" s="149">
        <v>42520</v>
      </c>
      <c r="C101">
        <v>635.35784243000001</v>
      </c>
      <c r="D101">
        <v>1</v>
      </c>
    </row>
    <row r="102" spans="1:4" x14ac:dyDescent="0.2">
      <c r="A102" t="s">
        <v>293</v>
      </c>
      <c r="B102" s="149">
        <v>41689</v>
      </c>
      <c r="C102">
        <v>10314.608568510001</v>
      </c>
      <c r="D102">
        <v>1</v>
      </c>
    </row>
    <row r="103" spans="1:4" x14ac:dyDescent="0.2">
      <c r="A103" t="s">
        <v>294</v>
      </c>
      <c r="B103" s="149">
        <v>42520</v>
      </c>
      <c r="C103">
        <v>335.45749834999998</v>
      </c>
      <c r="D103">
        <v>1</v>
      </c>
    </row>
    <row r="104" spans="1:4" x14ac:dyDescent="0.2">
      <c r="A104" t="s">
        <v>295</v>
      </c>
      <c r="B104" s="149">
        <v>41893</v>
      </c>
      <c r="C104">
        <v>83071.234493240001</v>
      </c>
      <c r="D104">
        <v>1</v>
      </c>
    </row>
    <row r="105" spans="1:4" x14ac:dyDescent="0.2">
      <c r="A105" t="s">
        <v>296</v>
      </c>
      <c r="B105" s="149">
        <v>42460</v>
      </c>
      <c r="C105">
        <v>664.66121383999996</v>
      </c>
      <c r="D105">
        <v>1</v>
      </c>
    </row>
    <row r="106" spans="1:4" x14ac:dyDescent="0.2">
      <c r="A106" t="s">
        <v>297</v>
      </c>
      <c r="B106" s="149">
        <v>38840</v>
      </c>
      <c r="C106">
        <v>2905.13</v>
      </c>
      <c r="D106">
        <v>1</v>
      </c>
    </row>
    <row r="107" spans="1:4" x14ac:dyDescent="0.2">
      <c r="A107" t="s">
        <v>298</v>
      </c>
      <c r="B107" s="149">
        <v>42312</v>
      </c>
      <c r="C107">
        <v>1204.3085317499999</v>
      </c>
      <c r="D107">
        <v>1</v>
      </c>
    </row>
    <row r="108" spans="1:4" x14ac:dyDescent="0.2">
      <c r="A108" t="s">
        <v>299</v>
      </c>
      <c r="B108" s="149">
        <v>42521</v>
      </c>
      <c r="C108">
        <v>12393.618495070001</v>
      </c>
      <c r="D108">
        <v>1</v>
      </c>
    </row>
    <row r="109" spans="1:4" x14ac:dyDescent="0.2">
      <c r="A109" t="s">
        <v>300</v>
      </c>
      <c r="B109" s="149">
        <v>40934</v>
      </c>
      <c r="C109">
        <v>2257.3200000000002</v>
      </c>
      <c r="D109">
        <v>1</v>
      </c>
    </row>
    <row r="110" spans="1:4" x14ac:dyDescent="0.2">
      <c r="A110" t="s">
        <v>59</v>
      </c>
      <c r="B110" s="149">
        <v>42118</v>
      </c>
      <c r="C110">
        <v>11199.97726648</v>
      </c>
      <c r="D110">
        <v>1</v>
      </c>
    </row>
    <row r="111" spans="1:4" x14ac:dyDescent="0.2">
      <c r="A111" t="s">
        <v>52</v>
      </c>
      <c r="B111" s="149">
        <v>42118</v>
      </c>
      <c r="C111">
        <v>12381.899096659999</v>
      </c>
      <c r="D111">
        <v>1</v>
      </c>
    </row>
    <row r="112" spans="1:4" x14ac:dyDescent="0.2">
      <c r="A112" t="s">
        <v>301</v>
      </c>
      <c r="B112" s="149">
        <v>42117</v>
      </c>
      <c r="C112">
        <v>12915.166717239999</v>
      </c>
      <c r="D112">
        <v>1</v>
      </c>
    </row>
    <row r="113" spans="1:4" x14ac:dyDescent="0.2">
      <c r="A113" t="s">
        <v>302</v>
      </c>
      <c r="B113" s="149">
        <v>42030</v>
      </c>
      <c r="C113">
        <v>42581.471937620001</v>
      </c>
      <c r="D113">
        <v>1</v>
      </c>
    </row>
    <row r="114" spans="1:4" x14ac:dyDescent="0.2">
      <c r="A114" t="s">
        <v>303</v>
      </c>
      <c r="B114" s="149">
        <v>42221</v>
      </c>
      <c r="C114">
        <v>5959.86148727</v>
      </c>
      <c r="D114">
        <v>1</v>
      </c>
    </row>
    <row r="115" spans="1:4" x14ac:dyDescent="0.2">
      <c r="A115" t="s">
        <v>71</v>
      </c>
      <c r="B115" s="149">
        <v>42195</v>
      </c>
      <c r="C115">
        <v>12613.61476217</v>
      </c>
      <c r="D115">
        <v>1</v>
      </c>
    </row>
    <row r="116" spans="1:4" x14ac:dyDescent="0.2">
      <c r="A116" t="s">
        <v>73</v>
      </c>
      <c r="B116" s="149">
        <v>39590</v>
      </c>
      <c r="C116">
        <v>42763.39</v>
      </c>
      <c r="D116">
        <v>1</v>
      </c>
    </row>
    <row r="117" spans="1:4" x14ac:dyDescent="0.2">
      <c r="A117" t="s">
        <v>75</v>
      </c>
      <c r="B117" s="149">
        <v>42054</v>
      </c>
      <c r="C117">
        <v>48680.69822084</v>
      </c>
      <c r="D117">
        <v>1</v>
      </c>
    </row>
    <row r="118" spans="1:4" x14ac:dyDescent="0.2">
      <c r="A118" t="s">
        <v>77</v>
      </c>
      <c r="B118" s="149">
        <v>42520</v>
      </c>
      <c r="C118">
        <v>82900.72771716</v>
      </c>
      <c r="D118">
        <v>1</v>
      </c>
    </row>
    <row r="119" spans="1:4" x14ac:dyDescent="0.2">
      <c r="A119" t="s">
        <v>304</v>
      </c>
      <c r="B119" s="149">
        <v>42464</v>
      </c>
      <c r="C119">
        <v>10970.434713459999</v>
      </c>
      <c r="D119">
        <v>1</v>
      </c>
    </row>
    <row r="120" spans="1:4" x14ac:dyDescent="0.2">
      <c r="A120" t="s">
        <v>305</v>
      </c>
      <c r="B120" s="149">
        <v>42104</v>
      </c>
      <c r="C120">
        <v>8893.6030994499997</v>
      </c>
      <c r="D120">
        <v>1</v>
      </c>
    </row>
    <row r="121" spans="1:4" x14ac:dyDescent="0.2">
      <c r="A121" t="s">
        <v>87</v>
      </c>
      <c r="B121" s="149">
        <v>41893</v>
      </c>
      <c r="C121">
        <v>95446.135778840006</v>
      </c>
      <c r="D121">
        <v>1</v>
      </c>
    </row>
    <row r="122" spans="1:4" x14ac:dyDescent="0.2">
      <c r="A122" t="s">
        <v>79</v>
      </c>
      <c r="B122" s="149">
        <v>42528</v>
      </c>
      <c r="C122">
        <v>19012.164133769998</v>
      </c>
      <c r="D122">
        <v>1</v>
      </c>
    </row>
    <row r="123" spans="1:4" x14ac:dyDescent="0.2">
      <c r="A123" t="s">
        <v>306</v>
      </c>
      <c r="B123" s="149">
        <v>42521</v>
      </c>
      <c r="C123">
        <v>502.95199658000001</v>
      </c>
      <c r="D123">
        <v>1</v>
      </c>
    </row>
    <row r="124" spans="1:4" x14ac:dyDescent="0.2">
      <c r="A124" t="s">
        <v>85</v>
      </c>
      <c r="B124" s="149">
        <v>41887</v>
      </c>
      <c r="C124">
        <v>12367.595227940001</v>
      </c>
      <c r="D124">
        <v>1</v>
      </c>
    </row>
    <row r="125" spans="1:4" x14ac:dyDescent="0.2">
      <c r="A125" t="s">
        <v>307</v>
      </c>
      <c r="B125" s="149">
        <v>42129</v>
      </c>
      <c r="C125">
        <v>6745.1506683999996</v>
      </c>
      <c r="D125">
        <v>1</v>
      </c>
    </row>
    <row r="126" spans="1:4" x14ac:dyDescent="0.2">
      <c r="A126" t="s">
        <v>81</v>
      </c>
      <c r="B126" s="149">
        <v>42117</v>
      </c>
      <c r="C126">
        <v>46982.462386940002</v>
      </c>
      <c r="D126">
        <v>1</v>
      </c>
    </row>
    <row r="127" spans="1:4" x14ac:dyDescent="0.2">
      <c r="A127" t="s">
        <v>83</v>
      </c>
      <c r="B127" s="149">
        <v>42222</v>
      </c>
      <c r="C127">
        <v>71088.506129760004</v>
      </c>
      <c r="D127">
        <v>1</v>
      </c>
    </row>
    <row r="128" spans="1:4" x14ac:dyDescent="0.2">
      <c r="A128" t="s">
        <v>308</v>
      </c>
      <c r="B128" s="149">
        <v>42118</v>
      </c>
      <c r="C128">
        <v>9587.6273460499997</v>
      </c>
      <c r="D128">
        <v>1</v>
      </c>
    </row>
    <row r="129" spans="1:4" x14ac:dyDescent="0.2">
      <c r="A129" t="s">
        <v>309</v>
      </c>
      <c r="B129" s="149">
        <v>42066</v>
      </c>
      <c r="C129">
        <v>2714.9080461899998</v>
      </c>
      <c r="D129">
        <v>1</v>
      </c>
    </row>
    <row r="130" spans="1:4" x14ac:dyDescent="0.2">
      <c r="A130" t="s">
        <v>310</v>
      </c>
      <c r="B130" s="149">
        <v>41887</v>
      </c>
      <c r="C130">
        <v>417.67220522999997</v>
      </c>
      <c r="D130">
        <v>1</v>
      </c>
    </row>
    <row r="131" spans="1:4" x14ac:dyDescent="0.2">
      <c r="A131" t="s">
        <v>311</v>
      </c>
      <c r="B131" s="149">
        <v>42117</v>
      </c>
      <c r="C131">
        <v>8514.8808759999993</v>
      </c>
      <c r="D131">
        <v>1</v>
      </c>
    </row>
    <row r="132" spans="1:4" x14ac:dyDescent="0.2">
      <c r="A132" t="s">
        <v>312</v>
      </c>
      <c r="B132" s="149">
        <v>42479</v>
      </c>
      <c r="C132">
        <v>63458.417149059998</v>
      </c>
      <c r="D132">
        <v>1</v>
      </c>
    </row>
    <row r="133" spans="1:4" x14ac:dyDescent="0.2">
      <c r="A133" t="s">
        <v>313</v>
      </c>
      <c r="B133" s="149">
        <v>42110</v>
      </c>
      <c r="C133">
        <v>45023.057854029998</v>
      </c>
      <c r="D133">
        <v>1</v>
      </c>
    </row>
    <row r="134" spans="1:4" x14ac:dyDescent="0.2">
      <c r="A134" t="s">
        <v>314</v>
      </c>
      <c r="B134" s="149">
        <v>42374</v>
      </c>
      <c r="C134">
        <v>1792.3439825099999</v>
      </c>
      <c r="D134">
        <v>1</v>
      </c>
    </row>
    <row r="135" spans="1:4" x14ac:dyDescent="0.2">
      <c r="A135" t="s">
        <v>181</v>
      </c>
      <c r="B135" s="149">
        <v>42303</v>
      </c>
      <c r="C135">
        <v>1035.8389392900001</v>
      </c>
      <c r="D135">
        <v>1</v>
      </c>
    </row>
    <row r="136" spans="1:4" x14ac:dyDescent="0.2">
      <c r="A136" t="s">
        <v>315</v>
      </c>
      <c r="B136" s="149">
        <v>39209</v>
      </c>
      <c r="C136">
        <v>910.48</v>
      </c>
      <c r="D136">
        <v>1</v>
      </c>
    </row>
    <row r="137" spans="1:4" x14ac:dyDescent="0.2">
      <c r="A137" t="s">
        <v>316</v>
      </c>
      <c r="B137" s="149">
        <v>42334</v>
      </c>
      <c r="C137">
        <v>5012.4318484900004</v>
      </c>
      <c r="D137">
        <v>1</v>
      </c>
    </row>
    <row r="138" spans="1:4" x14ac:dyDescent="0.2">
      <c r="A138" t="s">
        <v>317</v>
      </c>
      <c r="B138" s="149">
        <v>42520</v>
      </c>
      <c r="C138">
        <v>5225.9532321799998</v>
      </c>
      <c r="D138">
        <v>1</v>
      </c>
    </row>
    <row r="139" spans="1:4" x14ac:dyDescent="0.2">
      <c r="A139" t="s">
        <v>318</v>
      </c>
      <c r="B139" s="149">
        <v>42222</v>
      </c>
      <c r="C139">
        <v>1524.0086971600001</v>
      </c>
      <c r="D139">
        <v>1</v>
      </c>
    </row>
    <row r="140" spans="1:4" x14ac:dyDescent="0.2">
      <c r="A140" t="s">
        <v>319</v>
      </c>
      <c r="B140" s="149">
        <v>41492</v>
      </c>
      <c r="C140">
        <v>4293.55</v>
      </c>
      <c r="D140">
        <v>1</v>
      </c>
    </row>
    <row r="141" spans="1:4" x14ac:dyDescent="0.2">
      <c r="A141" t="s">
        <v>320</v>
      </c>
      <c r="B141" s="149">
        <v>41849</v>
      </c>
      <c r="C141">
        <v>92.959638409999997</v>
      </c>
      <c r="D141">
        <v>1</v>
      </c>
    </row>
    <row r="142" spans="1:4" x14ac:dyDescent="0.2">
      <c r="A142" t="s">
        <v>321</v>
      </c>
      <c r="B142" s="149">
        <v>41901</v>
      </c>
      <c r="C142">
        <v>131.8028965</v>
      </c>
      <c r="D142">
        <v>1</v>
      </c>
    </row>
    <row r="143" spans="1:4" x14ac:dyDescent="0.2">
      <c r="A143" t="s">
        <v>322</v>
      </c>
      <c r="B143" s="149">
        <v>41901</v>
      </c>
      <c r="C143">
        <v>76.32416241</v>
      </c>
      <c r="D143">
        <v>1</v>
      </c>
    </row>
    <row r="144" spans="1:4" x14ac:dyDescent="0.2">
      <c r="A144" t="s">
        <v>323</v>
      </c>
      <c r="B144" s="149">
        <v>41912</v>
      </c>
      <c r="C144">
        <v>106.4349371</v>
      </c>
      <c r="D144">
        <v>1</v>
      </c>
    </row>
    <row r="145" spans="1:4" x14ac:dyDescent="0.2">
      <c r="A145" t="s">
        <v>324</v>
      </c>
      <c r="B145" s="149">
        <v>42312</v>
      </c>
      <c r="C145">
        <v>49081.0138716</v>
      </c>
      <c r="D145">
        <v>1</v>
      </c>
    </row>
    <row r="146" spans="1:4" x14ac:dyDescent="0.2">
      <c r="A146" t="s">
        <v>325</v>
      </c>
      <c r="B146" s="149">
        <v>41849</v>
      </c>
      <c r="C146">
        <v>4781.8624027899996</v>
      </c>
      <c r="D146">
        <v>1</v>
      </c>
    </row>
    <row r="147" spans="1:4" x14ac:dyDescent="0.2">
      <c r="A147" t="s">
        <v>326</v>
      </c>
      <c r="B147" s="149">
        <v>42118</v>
      </c>
      <c r="C147">
        <v>55188.336977819999</v>
      </c>
      <c r="D147">
        <v>1</v>
      </c>
    </row>
    <row r="148" spans="1:4" x14ac:dyDescent="0.2">
      <c r="A148" t="s">
        <v>327</v>
      </c>
      <c r="B148" s="149">
        <v>42118</v>
      </c>
      <c r="C148">
        <v>12381.899096659999</v>
      </c>
      <c r="D148">
        <v>1</v>
      </c>
    </row>
    <row r="149" spans="1:4" x14ac:dyDescent="0.2">
      <c r="A149" t="s">
        <v>328</v>
      </c>
      <c r="B149" s="149">
        <v>41065</v>
      </c>
      <c r="C149">
        <v>1120.92</v>
      </c>
      <c r="D149">
        <v>1</v>
      </c>
    </row>
    <row r="150" spans="1:4" x14ac:dyDescent="0.2">
      <c r="A150" t="s">
        <v>329</v>
      </c>
      <c r="B150" s="149">
        <v>42122</v>
      </c>
      <c r="C150">
        <v>10462.682748179999</v>
      </c>
      <c r="D150">
        <v>1</v>
      </c>
    </row>
    <row r="151" spans="1:4" x14ac:dyDescent="0.2">
      <c r="A151" t="s">
        <v>330</v>
      </c>
      <c r="B151" s="149">
        <v>41849</v>
      </c>
      <c r="C151">
        <v>4482.8823280400002</v>
      </c>
      <c r="D151">
        <v>1</v>
      </c>
    </row>
    <row r="152" spans="1:4" x14ac:dyDescent="0.2">
      <c r="A152" t="s">
        <v>331</v>
      </c>
      <c r="B152" s="149">
        <v>42118</v>
      </c>
      <c r="C152">
        <v>11199.97726648</v>
      </c>
      <c r="D152">
        <v>1</v>
      </c>
    </row>
    <row r="153" spans="1:4" x14ac:dyDescent="0.2">
      <c r="A153" t="s">
        <v>332</v>
      </c>
      <c r="B153" s="149">
        <v>42195</v>
      </c>
      <c r="C153">
        <v>28365.040000000001</v>
      </c>
      <c r="D153">
        <v>1</v>
      </c>
    </row>
    <row r="154" spans="1:4" x14ac:dyDescent="0.2">
      <c r="A154" t="s">
        <v>333</v>
      </c>
      <c r="B154" s="149">
        <v>41967</v>
      </c>
      <c r="C154">
        <v>9721.7199999999993</v>
      </c>
      <c r="D154">
        <v>1</v>
      </c>
    </row>
    <row r="155" spans="1:4" x14ac:dyDescent="0.2">
      <c r="A155" t="s">
        <v>334</v>
      </c>
      <c r="B155" s="149">
        <v>42520</v>
      </c>
      <c r="C155">
        <v>13679.58</v>
      </c>
      <c r="D155">
        <v>1</v>
      </c>
    </row>
    <row r="156" spans="1:4" x14ac:dyDescent="0.2">
      <c r="A156" t="s">
        <v>335</v>
      </c>
      <c r="B156" s="149">
        <v>41929</v>
      </c>
      <c r="C156">
        <v>4841.3999999999996</v>
      </c>
      <c r="D156">
        <v>1</v>
      </c>
    </row>
    <row r="157" spans="1:4" x14ac:dyDescent="0.2">
      <c r="A157" t="s">
        <v>336</v>
      </c>
      <c r="B157" s="149">
        <v>41904</v>
      </c>
      <c r="C157">
        <v>4959.92</v>
      </c>
      <c r="D157">
        <v>1</v>
      </c>
    </row>
    <row r="158" spans="1:4" x14ac:dyDescent="0.2">
      <c r="A158" t="s">
        <v>337</v>
      </c>
      <c r="B158" s="149">
        <v>41904</v>
      </c>
      <c r="C158">
        <v>5684.71</v>
      </c>
      <c r="D158">
        <v>1</v>
      </c>
    </row>
    <row r="159" spans="1:4" x14ac:dyDescent="0.2">
      <c r="A159" t="s">
        <v>338</v>
      </c>
      <c r="B159" s="149">
        <v>42544</v>
      </c>
      <c r="C159">
        <v>20622.150000000001</v>
      </c>
      <c r="D159">
        <v>1</v>
      </c>
    </row>
    <row r="160" spans="1:4" x14ac:dyDescent="0.2">
      <c r="A160" t="s">
        <v>339</v>
      </c>
      <c r="B160" s="149">
        <v>41904</v>
      </c>
      <c r="C160">
        <v>4598.12</v>
      </c>
      <c r="D160">
        <v>1</v>
      </c>
    </row>
    <row r="161" spans="1:4" x14ac:dyDescent="0.2">
      <c r="A161" t="s">
        <v>340</v>
      </c>
      <c r="B161" s="149">
        <v>42146</v>
      </c>
      <c r="C161">
        <v>12996.36</v>
      </c>
      <c r="D161">
        <v>1</v>
      </c>
    </row>
    <row r="162" spans="1:4" x14ac:dyDescent="0.2">
      <c r="A162" t="s">
        <v>341</v>
      </c>
      <c r="B162" s="149">
        <v>41964</v>
      </c>
      <c r="C162">
        <v>7319.54</v>
      </c>
      <c r="D162">
        <v>1</v>
      </c>
    </row>
    <row r="163" spans="1:4" x14ac:dyDescent="0.2">
      <c r="A163" t="s">
        <v>342</v>
      </c>
      <c r="B163" s="149">
        <v>42193</v>
      </c>
      <c r="C163">
        <v>9363.98</v>
      </c>
      <c r="D163">
        <v>1</v>
      </c>
    </row>
    <row r="164" spans="1:4" x14ac:dyDescent="0.2">
      <c r="A164" t="s">
        <v>343</v>
      </c>
      <c r="B164" s="149">
        <v>41948</v>
      </c>
      <c r="C164">
        <v>15682.48</v>
      </c>
      <c r="D164">
        <v>1</v>
      </c>
    </row>
    <row r="165" spans="1:4" x14ac:dyDescent="0.2">
      <c r="A165" t="s">
        <v>344</v>
      </c>
      <c r="B165" s="149">
        <v>42520</v>
      </c>
      <c r="C165">
        <v>31469.57</v>
      </c>
      <c r="D165">
        <v>1</v>
      </c>
    </row>
    <row r="166" spans="1:4" x14ac:dyDescent="0.2">
      <c r="A166" t="s">
        <v>345</v>
      </c>
      <c r="B166" s="149">
        <v>42038</v>
      </c>
      <c r="C166">
        <v>14969.07</v>
      </c>
      <c r="D166">
        <v>1</v>
      </c>
    </row>
    <row r="167" spans="1:4" x14ac:dyDescent="0.2">
      <c r="A167" t="s">
        <v>346</v>
      </c>
      <c r="B167" s="149">
        <v>42460</v>
      </c>
      <c r="C167">
        <v>25683.33</v>
      </c>
      <c r="D167">
        <v>1</v>
      </c>
    </row>
    <row r="168" spans="1:4" x14ac:dyDescent="0.2">
      <c r="A168" t="s">
        <v>347</v>
      </c>
      <c r="B168" s="149">
        <v>42312</v>
      </c>
      <c r="C168">
        <v>46535.96</v>
      </c>
      <c r="D168">
        <v>1</v>
      </c>
    </row>
    <row r="169" spans="1:4" x14ac:dyDescent="0.2">
      <c r="A169" t="s">
        <v>348</v>
      </c>
      <c r="B169" s="149">
        <v>42521</v>
      </c>
      <c r="C169">
        <v>12168.93</v>
      </c>
      <c r="D169">
        <v>1</v>
      </c>
    </row>
    <row r="170" spans="1:4" x14ac:dyDescent="0.2">
      <c r="A170" t="s">
        <v>349</v>
      </c>
      <c r="B170" s="149">
        <v>42117</v>
      </c>
      <c r="C170">
        <v>27409.74</v>
      </c>
      <c r="D170">
        <v>1</v>
      </c>
    </row>
    <row r="171" spans="1:4" x14ac:dyDescent="0.2">
      <c r="A171" t="s">
        <v>350</v>
      </c>
      <c r="B171" s="149">
        <v>42030</v>
      </c>
      <c r="C171">
        <v>36618.99</v>
      </c>
      <c r="D171">
        <v>1</v>
      </c>
    </row>
    <row r="172" spans="1:4" x14ac:dyDescent="0.2">
      <c r="A172" t="s">
        <v>351</v>
      </c>
      <c r="B172" s="149">
        <v>42464</v>
      </c>
      <c r="C172">
        <v>28528.71</v>
      </c>
      <c r="D172">
        <v>1</v>
      </c>
    </row>
    <row r="173" spans="1:4" x14ac:dyDescent="0.2">
      <c r="A173" t="s">
        <v>352</v>
      </c>
      <c r="B173" s="149">
        <v>42104</v>
      </c>
      <c r="C173">
        <v>15204.51</v>
      </c>
      <c r="D173">
        <v>1</v>
      </c>
    </row>
    <row r="174" spans="1:4" x14ac:dyDescent="0.2">
      <c r="A174" t="s">
        <v>353</v>
      </c>
      <c r="B174" s="149">
        <v>42521</v>
      </c>
      <c r="C174">
        <v>69210.02</v>
      </c>
      <c r="D174">
        <v>1</v>
      </c>
    </row>
    <row r="175" spans="1:4" x14ac:dyDescent="0.2">
      <c r="A175" t="s">
        <v>354</v>
      </c>
      <c r="B175" s="149">
        <v>42129</v>
      </c>
      <c r="C175">
        <v>9003.7099999999991</v>
      </c>
      <c r="D175">
        <v>1</v>
      </c>
    </row>
    <row r="176" spans="1:4" x14ac:dyDescent="0.2">
      <c r="A176" t="s">
        <v>355</v>
      </c>
      <c r="B176" s="149">
        <v>42066</v>
      </c>
      <c r="C176">
        <v>7949.83</v>
      </c>
      <c r="D176">
        <v>1</v>
      </c>
    </row>
    <row r="177" spans="1:4" x14ac:dyDescent="0.2">
      <c r="A177" t="s">
        <v>356</v>
      </c>
      <c r="B177" s="149">
        <v>42122</v>
      </c>
      <c r="C177">
        <v>15553.66</v>
      </c>
      <c r="D177">
        <v>1</v>
      </c>
    </row>
    <row r="178" spans="1:4" x14ac:dyDescent="0.2">
      <c r="A178" t="s">
        <v>357</v>
      </c>
      <c r="B178" s="149">
        <v>42117</v>
      </c>
      <c r="C178">
        <v>11507.83</v>
      </c>
      <c r="D178">
        <v>1</v>
      </c>
    </row>
    <row r="179" spans="1:4" x14ac:dyDescent="0.2">
      <c r="A179" t="s">
        <v>358</v>
      </c>
      <c r="B179" s="149">
        <v>42479</v>
      </c>
      <c r="C179">
        <v>14993.59</v>
      </c>
      <c r="D179">
        <v>1</v>
      </c>
    </row>
    <row r="180" spans="1:4" x14ac:dyDescent="0.2">
      <c r="A180" t="s">
        <v>359</v>
      </c>
      <c r="B180" s="149">
        <v>42104</v>
      </c>
      <c r="C180">
        <v>14152.32</v>
      </c>
      <c r="D180">
        <v>1</v>
      </c>
    </row>
    <row r="181" spans="1:4" x14ac:dyDescent="0.2">
      <c r="A181" t="s">
        <v>360</v>
      </c>
      <c r="B181" s="149">
        <v>42374</v>
      </c>
      <c r="C181">
        <v>13453.03</v>
      </c>
      <c r="D181">
        <v>1</v>
      </c>
    </row>
    <row r="182" spans="1:4" x14ac:dyDescent="0.2">
      <c r="A182" t="s">
        <v>361</v>
      </c>
      <c r="B182" s="149">
        <v>42303</v>
      </c>
      <c r="C182">
        <v>7915.02</v>
      </c>
      <c r="D182">
        <v>1</v>
      </c>
    </row>
    <row r="183" spans="1:4" x14ac:dyDescent="0.2">
      <c r="A183" t="s">
        <v>362</v>
      </c>
      <c r="B183" s="149">
        <v>42310</v>
      </c>
      <c r="C183">
        <v>11222.21</v>
      </c>
      <c r="D183">
        <v>1</v>
      </c>
    </row>
    <row r="184" spans="1:4" x14ac:dyDescent="0.2">
      <c r="A184" t="s">
        <v>363</v>
      </c>
      <c r="B184" s="149">
        <v>42520</v>
      </c>
      <c r="C184">
        <v>11861.15</v>
      </c>
      <c r="D184">
        <v>1</v>
      </c>
    </row>
    <row r="185" spans="1:4" x14ac:dyDescent="0.2">
      <c r="A185" t="s">
        <v>364</v>
      </c>
      <c r="B185" s="149">
        <v>42222</v>
      </c>
      <c r="C185">
        <v>28083.96</v>
      </c>
      <c r="D185">
        <v>1</v>
      </c>
    </row>
    <row r="186" spans="1:4" x14ac:dyDescent="0.2">
      <c r="A186" t="s">
        <v>365</v>
      </c>
      <c r="B186" s="149">
        <v>41947</v>
      </c>
      <c r="C186">
        <v>7127.6</v>
      </c>
      <c r="D186">
        <v>1</v>
      </c>
    </row>
    <row r="187" spans="1:4" x14ac:dyDescent="0.2">
      <c r="A187" t="s">
        <v>366</v>
      </c>
      <c r="B187" s="149">
        <v>42195</v>
      </c>
      <c r="C187">
        <v>28365.040000000001</v>
      </c>
      <c r="D187">
        <v>1</v>
      </c>
    </row>
    <row r="188" spans="1:4" x14ac:dyDescent="0.2">
      <c r="A188" t="s">
        <v>367</v>
      </c>
      <c r="B188" s="149">
        <v>41904</v>
      </c>
      <c r="C188">
        <v>5480.24</v>
      </c>
      <c r="D188">
        <v>1</v>
      </c>
    </row>
    <row r="189" spans="1:4" x14ac:dyDescent="0.2">
      <c r="A189" t="s">
        <v>368</v>
      </c>
      <c r="B189" s="149">
        <v>42054</v>
      </c>
      <c r="C189">
        <v>10874.67</v>
      </c>
      <c r="D189">
        <v>1</v>
      </c>
    </row>
    <row r="190" spans="1:4" x14ac:dyDescent="0.2">
      <c r="A190" t="s">
        <v>369</v>
      </c>
      <c r="B190" s="149">
        <v>42520</v>
      </c>
      <c r="C190">
        <v>26408.99</v>
      </c>
      <c r="D190">
        <v>1</v>
      </c>
    </row>
    <row r="191" spans="1:4" x14ac:dyDescent="0.2">
      <c r="A191" t="s">
        <v>370</v>
      </c>
      <c r="B191" s="149">
        <v>42069</v>
      </c>
      <c r="C191">
        <v>31823.85</v>
      </c>
      <c r="D191">
        <v>1</v>
      </c>
    </row>
    <row r="192" spans="1:4" x14ac:dyDescent="0.2">
      <c r="A192" t="s">
        <v>371</v>
      </c>
      <c r="B192" s="149">
        <v>42528</v>
      </c>
      <c r="C192">
        <v>32092.58</v>
      </c>
      <c r="D192">
        <v>1</v>
      </c>
    </row>
    <row r="193" spans="1:4" x14ac:dyDescent="0.2">
      <c r="A193" t="s">
        <v>372</v>
      </c>
      <c r="B193" s="149">
        <v>42122</v>
      </c>
      <c r="C193">
        <v>13908.83</v>
      </c>
      <c r="D193">
        <v>1</v>
      </c>
    </row>
    <row r="194" spans="1:4" x14ac:dyDescent="0.2">
      <c r="A194" t="s">
        <v>373</v>
      </c>
      <c r="B194" s="149">
        <v>42117</v>
      </c>
      <c r="C194">
        <v>11227.41</v>
      </c>
      <c r="D194">
        <v>1</v>
      </c>
    </row>
    <row r="195" spans="1:4" x14ac:dyDescent="0.2">
      <c r="A195" t="s">
        <v>374</v>
      </c>
      <c r="B195" s="149">
        <v>42222</v>
      </c>
      <c r="C195">
        <v>26117.47</v>
      </c>
      <c r="D195">
        <v>1</v>
      </c>
    </row>
    <row r="196" spans="1:4" x14ac:dyDescent="0.2">
      <c r="A196" t="s">
        <v>375</v>
      </c>
      <c r="B196" s="149">
        <v>41904</v>
      </c>
      <c r="C196">
        <v>6904.09</v>
      </c>
      <c r="D196">
        <v>1</v>
      </c>
    </row>
    <row r="197" spans="1:4" x14ac:dyDescent="0.2">
      <c r="A197" t="s">
        <v>376</v>
      </c>
      <c r="B197" s="149">
        <v>42528</v>
      </c>
      <c r="C197">
        <v>20097.04</v>
      </c>
      <c r="D197">
        <v>1</v>
      </c>
    </row>
    <row r="198" spans="1:4" x14ac:dyDescent="0.2">
      <c r="A198" t="s">
        <v>377</v>
      </c>
      <c r="B198" s="149">
        <v>42118</v>
      </c>
      <c r="C198">
        <v>14632.12</v>
      </c>
      <c r="D198">
        <v>1</v>
      </c>
    </row>
    <row r="199" spans="1:4" x14ac:dyDescent="0.2">
      <c r="A199" t="s">
        <v>378</v>
      </c>
      <c r="B199" s="149">
        <v>42118</v>
      </c>
      <c r="C199">
        <v>17815.8</v>
      </c>
      <c r="D199">
        <v>1</v>
      </c>
    </row>
    <row r="200" spans="1:4" x14ac:dyDescent="0.2">
      <c r="A200" t="s">
        <v>379</v>
      </c>
      <c r="B200" s="149">
        <v>41904</v>
      </c>
      <c r="C200">
        <v>6817.36</v>
      </c>
      <c r="D200">
        <v>1</v>
      </c>
    </row>
    <row r="201" spans="1:4" x14ac:dyDescent="0.2">
      <c r="A201" t="s">
        <v>380</v>
      </c>
      <c r="B201" s="149">
        <v>42528</v>
      </c>
      <c r="C201">
        <v>18335.7</v>
      </c>
      <c r="D201">
        <v>1</v>
      </c>
    </row>
    <row r="202" spans="1:4" x14ac:dyDescent="0.2">
      <c r="A202" t="s">
        <v>381</v>
      </c>
      <c r="B202" s="149">
        <v>42117</v>
      </c>
      <c r="C202">
        <v>14678.45</v>
      </c>
      <c r="D202">
        <v>1</v>
      </c>
    </row>
    <row r="203" spans="1:4" x14ac:dyDescent="0.2">
      <c r="A203" t="s">
        <v>382</v>
      </c>
      <c r="B203" s="149">
        <v>42118</v>
      </c>
      <c r="C203">
        <v>16848.27</v>
      </c>
      <c r="D203">
        <v>1</v>
      </c>
    </row>
    <row r="204" spans="1:4" x14ac:dyDescent="0.2">
      <c r="A204" t="s">
        <v>383</v>
      </c>
      <c r="B204" s="149">
        <v>42328</v>
      </c>
      <c r="C204">
        <v>35615.594782250002</v>
      </c>
      <c r="D204">
        <v>1</v>
      </c>
    </row>
    <row r="205" spans="1:4" x14ac:dyDescent="0.2">
      <c r="A205" t="s">
        <v>384</v>
      </c>
      <c r="B205" s="149">
        <v>37469</v>
      </c>
      <c r="C205">
        <v>394.88</v>
      </c>
      <c r="D205">
        <v>1</v>
      </c>
    </row>
    <row r="206" spans="1:4" x14ac:dyDescent="0.2">
      <c r="A206" t="s">
        <v>385</v>
      </c>
      <c r="B206" s="149">
        <v>37469</v>
      </c>
      <c r="C206">
        <v>394.88</v>
      </c>
      <c r="D206">
        <v>1</v>
      </c>
    </row>
    <row r="207" spans="1:4" x14ac:dyDescent="0.2">
      <c r="A207" t="s">
        <v>386</v>
      </c>
      <c r="B207" s="149">
        <v>38665</v>
      </c>
      <c r="C207">
        <v>225.62</v>
      </c>
      <c r="D207">
        <v>1</v>
      </c>
    </row>
    <row r="208" spans="1:4" x14ac:dyDescent="0.2">
      <c r="A208" t="s">
        <v>387</v>
      </c>
      <c r="B208" s="149">
        <v>38665</v>
      </c>
      <c r="C208">
        <v>225.62</v>
      </c>
      <c r="D208">
        <v>1</v>
      </c>
    </row>
    <row r="209" spans="1:4" x14ac:dyDescent="0.2">
      <c r="A209" t="s">
        <v>388</v>
      </c>
      <c r="B209" s="149">
        <v>38624</v>
      </c>
      <c r="C209">
        <v>173.45</v>
      </c>
      <c r="D209">
        <v>1</v>
      </c>
    </row>
    <row r="210" spans="1:4" x14ac:dyDescent="0.2">
      <c r="A210" t="s">
        <v>389</v>
      </c>
      <c r="B210" s="149">
        <v>38624</v>
      </c>
      <c r="C210">
        <v>173.45</v>
      </c>
      <c r="D210">
        <v>1</v>
      </c>
    </row>
    <row r="211" spans="1:4" x14ac:dyDescent="0.2">
      <c r="A211" t="s">
        <v>390</v>
      </c>
      <c r="B211" s="149">
        <v>38027</v>
      </c>
      <c r="C211">
        <v>108.65</v>
      </c>
      <c r="D211">
        <v>1</v>
      </c>
    </row>
    <row r="212" spans="1:4" x14ac:dyDescent="0.2">
      <c r="A212" t="s">
        <v>391</v>
      </c>
      <c r="B212" s="149">
        <v>37757</v>
      </c>
      <c r="C212">
        <v>125</v>
      </c>
      <c r="D212">
        <v>1</v>
      </c>
    </row>
    <row r="213" spans="1:4" x14ac:dyDescent="0.2">
      <c r="A213" t="s">
        <v>392</v>
      </c>
      <c r="B213" s="149">
        <v>38006</v>
      </c>
      <c r="C213">
        <v>106.83</v>
      </c>
      <c r="D213">
        <v>1</v>
      </c>
    </row>
    <row r="214" spans="1:4" x14ac:dyDescent="0.2">
      <c r="A214" t="s">
        <v>393</v>
      </c>
      <c r="B214" s="149">
        <v>38715</v>
      </c>
      <c r="C214">
        <v>508.88</v>
      </c>
      <c r="D214">
        <v>1</v>
      </c>
    </row>
    <row r="215" spans="1:4" x14ac:dyDescent="0.2">
      <c r="A215" t="s">
        <v>394</v>
      </c>
      <c r="B215" s="149">
        <v>38715</v>
      </c>
      <c r="C215">
        <v>510.55</v>
      </c>
      <c r="D215">
        <v>1</v>
      </c>
    </row>
    <row r="216" spans="1:4" x14ac:dyDescent="0.2">
      <c r="A216" t="s">
        <v>395</v>
      </c>
      <c r="B216" s="149">
        <v>38260</v>
      </c>
      <c r="C216">
        <v>730.16</v>
      </c>
      <c r="D216">
        <v>1</v>
      </c>
    </row>
    <row r="217" spans="1:4" x14ac:dyDescent="0.2">
      <c r="A217" t="s">
        <v>396</v>
      </c>
      <c r="B217" s="149">
        <v>38716</v>
      </c>
      <c r="C217">
        <v>250.34</v>
      </c>
      <c r="D217">
        <v>1</v>
      </c>
    </row>
    <row r="218" spans="1:4" x14ac:dyDescent="0.2">
      <c r="A218" t="s">
        <v>397</v>
      </c>
      <c r="B218" s="149">
        <v>38716</v>
      </c>
      <c r="C218">
        <v>250.34</v>
      </c>
      <c r="D218">
        <v>1</v>
      </c>
    </row>
    <row r="219" spans="1:4" x14ac:dyDescent="0.2">
      <c r="A219" t="s">
        <v>398</v>
      </c>
      <c r="B219" s="149">
        <v>38713</v>
      </c>
      <c r="C219">
        <v>185.77</v>
      </c>
      <c r="D219">
        <v>1</v>
      </c>
    </row>
    <row r="220" spans="1:4" x14ac:dyDescent="0.2">
      <c r="A220" t="s">
        <v>399</v>
      </c>
      <c r="B220" s="149">
        <v>38713</v>
      </c>
      <c r="C220">
        <v>232.72</v>
      </c>
      <c r="D220">
        <v>1</v>
      </c>
    </row>
    <row r="221" spans="1:4" x14ac:dyDescent="0.2">
      <c r="A221" t="s">
        <v>400</v>
      </c>
      <c r="B221" s="149">
        <v>38713</v>
      </c>
      <c r="C221">
        <v>137.76</v>
      </c>
      <c r="D221">
        <v>1</v>
      </c>
    </row>
    <row r="222" spans="1:4" x14ac:dyDescent="0.2">
      <c r="A222" t="s">
        <v>401</v>
      </c>
      <c r="B222" s="149">
        <v>38713</v>
      </c>
      <c r="C222">
        <v>141.75</v>
      </c>
      <c r="D222">
        <v>1</v>
      </c>
    </row>
    <row r="223" spans="1:4" x14ac:dyDescent="0.2">
      <c r="A223" t="s">
        <v>402</v>
      </c>
      <c r="B223" s="149">
        <v>38370</v>
      </c>
      <c r="C223">
        <v>242.71</v>
      </c>
      <c r="D223">
        <v>1</v>
      </c>
    </row>
    <row r="224" spans="1:4" x14ac:dyDescent="0.2">
      <c r="A224" t="s">
        <v>403</v>
      </c>
      <c r="B224" s="149">
        <v>38706</v>
      </c>
      <c r="C224">
        <v>128.63</v>
      </c>
      <c r="D224">
        <v>1</v>
      </c>
    </row>
    <row r="225" spans="1:4" x14ac:dyDescent="0.2">
      <c r="A225" t="s">
        <v>404</v>
      </c>
      <c r="B225" s="149">
        <v>38705</v>
      </c>
      <c r="C225">
        <v>217.85</v>
      </c>
      <c r="D225">
        <v>1</v>
      </c>
    </row>
    <row r="226" spans="1:4" x14ac:dyDescent="0.2">
      <c r="A226" t="s">
        <v>405</v>
      </c>
      <c r="B226" s="149">
        <v>42129</v>
      </c>
      <c r="C226">
        <v>1211.2244297899999</v>
      </c>
      <c r="D226">
        <v>1</v>
      </c>
    </row>
    <row r="227" spans="1:4" x14ac:dyDescent="0.2">
      <c r="A227" t="s">
        <v>406</v>
      </c>
      <c r="B227" s="149">
        <v>42522</v>
      </c>
      <c r="C227">
        <v>529.22225323999999</v>
      </c>
      <c r="D227">
        <v>1</v>
      </c>
    </row>
    <row r="228" spans="1:4" x14ac:dyDescent="0.2">
      <c r="A228" t="s">
        <v>407</v>
      </c>
      <c r="B228" s="149">
        <v>39329</v>
      </c>
      <c r="C228">
        <v>321.83999999999997</v>
      </c>
      <c r="D228">
        <v>1</v>
      </c>
    </row>
    <row r="229" spans="1:4" x14ac:dyDescent="0.2">
      <c r="A229" t="s">
        <v>408</v>
      </c>
      <c r="B229" s="149">
        <v>40577</v>
      </c>
      <c r="C229">
        <v>493.46</v>
      </c>
      <c r="D229">
        <v>1</v>
      </c>
    </row>
    <row r="230" spans="1:4" x14ac:dyDescent="0.2">
      <c r="A230" t="s">
        <v>409</v>
      </c>
      <c r="B230" s="149">
        <v>39618</v>
      </c>
      <c r="C230">
        <v>303</v>
      </c>
      <c r="D230">
        <v>1</v>
      </c>
    </row>
    <row r="231" spans="1:4" x14ac:dyDescent="0.2">
      <c r="A231" t="s">
        <v>410</v>
      </c>
      <c r="B231" s="149">
        <v>39394</v>
      </c>
      <c r="C231">
        <v>363.69</v>
      </c>
      <c r="D231">
        <v>1</v>
      </c>
    </row>
    <row r="232" spans="1:4" x14ac:dyDescent="0.2">
      <c r="A232" t="s">
        <v>411</v>
      </c>
      <c r="B232" s="149">
        <v>40478</v>
      </c>
      <c r="C232">
        <v>148.34</v>
      </c>
      <c r="D232">
        <v>1</v>
      </c>
    </row>
    <row r="233" spans="1:4" x14ac:dyDescent="0.2">
      <c r="A233" t="s">
        <v>412</v>
      </c>
      <c r="B233" s="149">
        <v>42541</v>
      </c>
      <c r="C233">
        <v>1042.5</v>
      </c>
      <c r="D233">
        <v>1</v>
      </c>
    </row>
    <row r="234" spans="1:4" x14ac:dyDescent="0.2">
      <c r="A234" t="s">
        <v>413</v>
      </c>
      <c r="B234" s="149">
        <v>42227</v>
      </c>
      <c r="C234">
        <v>4757.8587041199999</v>
      </c>
      <c r="D234">
        <v>1</v>
      </c>
    </row>
    <row r="235" spans="1:4" x14ac:dyDescent="0.2">
      <c r="A235" t="s">
        <v>414</v>
      </c>
      <c r="B235" s="149">
        <v>42117</v>
      </c>
      <c r="C235">
        <v>143.21094002000001</v>
      </c>
      <c r="D235">
        <v>1</v>
      </c>
    </row>
    <row r="236" spans="1:4" x14ac:dyDescent="0.2">
      <c r="A236" t="s">
        <v>415</v>
      </c>
      <c r="B236" s="149">
        <v>39618</v>
      </c>
      <c r="C236">
        <v>562.29</v>
      </c>
      <c r="D236">
        <v>1</v>
      </c>
    </row>
    <row r="237" spans="1:4" x14ac:dyDescent="0.2">
      <c r="A237" t="s">
        <v>416</v>
      </c>
      <c r="B237" s="149">
        <v>39394</v>
      </c>
      <c r="C237">
        <v>363.69</v>
      </c>
      <c r="D237">
        <v>1</v>
      </c>
    </row>
    <row r="238" spans="1:4" x14ac:dyDescent="0.2">
      <c r="A238" t="s">
        <v>417</v>
      </c>
      <c r="B238" s="149">
        <v>42227</v>
      </c>
      <c r="C238">
        <v>4215.8333879900001</v>
      </c>
      <c r="D238">
        <v>1</v>
      </c>
    </row>
    <row r="239" spans="1:4" x14ac:dyDescent="0.2">
      <c r="A239" t="s">
        <v>418</v>
      </c>
      <c r="B239" s="149">
        <v>41277</v>
      </c>
      <c r="C239">
        <v>2807.39</v>
      </c>
      <c r="D239">
        <v>1</v>
      </c>
    </row>
    <row r="240" spans="1:4" x14ac:dyDescent="0.2">
      <c r="A240" t="s">
        <v>419</v>
      </c>
      <c r="B240" s="149">
        <v>41283</v>
      </c>
      <c r="C240">
        <v>2316.58</v>
      </c>
      <c r="D240">
        <v>1</v>
      </c>
    </row>
    <row r="241" spans="1:4" x14ac:dyDescent="0.2">
      <c r="A241" t="s">
        <v>420</v>
      </c>
      <c r="B241" s="149">
        <v>42117</v>
      </c>
      <c r="C241">
        <v>126.70832993</v>
      </c>
      <c r="D241">
        <v>1</v>
      </c>
    </row>
    <row r="242" spans="1:4" x14ac:dyDescent="0.2">
      <c r="A242" t="s">
        <v>421</v>
      </c>
      <c r="B242" s="149">
        <v>41281</v>
      </c>
      <c r="C242">
        <v>3365.22</v>
      </c>
      <c r="D242">
        <v>1</v>
      </c>
    </row>
    <row r="243" spans="1:4" x14ac:dyDescent="0.2">
      <c r="A243" t="s">
        <v>422</v>
      </c>
      <c r="B243" s="149">
        <v>42110</v>
      </c>
      <c r="C243">
        <v>522.89537319999999</v>
      </c>
      <c r="D243">
        <v>1</v>
      </c>
    </row>
    <row r="244" spans="1:4" x14ac:dyDescent="0.2">
      <c r="A244" t="s">
        <v>423</v>
      </c>
      <c r="B244" s="149">
        <v>42117</v>
      </c>
      <c r="C244">
        <v>650.14363865999997</v>
      </c>
      <c r="D244">
        <v>1</v>
      </c>
    </row>
    <row r="245" spans="1:4" x14ac:dyDescent="0.2">
      <c r="A245" t="s">
        <v>424</v>
      </c>
      <c r="B245" s="149">
        <v>42479</v>
      </c>
      <c r="C245">
        <v>517.55154836999998</v>
      </c>
      <c r="D245">
        <v>1</v>
      </c>
    </row>
    <row r="246" spans="1:4" x14ac:dyDescent="0.2">
      <c r="A246" t="s">
        <v>425</v>
      </c>
      <c r="B246" s="149">
        <v>42110</v>
      </c>
      <c r="C246">
        <v>419.85620591000003</v>
      </c>
      <c r="D246">
        <v>1</v>
      </c>
    </row>
    <row r="247" spans="1:4" x14ac:dyDescent="0.2">
      <c r="A247" t="s">
        <v>426</v>
      </c>
      <c r="B247" s="149">
        <v>41444</v>
      </c>
      <c r="C247">
        <v>1386.8</v>
      </c>
      <c r="D247">
        <v>1</v>
      </c>
    </row>
    <row r="248" spans="1:4" x14ac:dyDescent="0.2">
      <c r="A248" t="s">
        <v>427</v>
      </c>
      <c r="B248" s="149">
        <v>42030</v>
      </c>
      <c r="C248">
        <v>227.86509369000001</v>
      </c>
      <c r="D248">
        <v>1</v>
      </c>
    </row>
    <row r="249" spans="1:4" x14ac:dyDescent="0.2">
      <c r="A249" t="s">
        <v>428</v>
      </c>
      <c r="B249" s="149">
        <v>39604</v>
      </c>
      <c r="C249">
        <v>233.37</v>
      </c>
      <c r="D249">
        <v>1</v>
      </c>
    </row>
    <row r="250" spans="1:4" x14ac:dyDescent="0.2">
      <c r="A250" t="s">
        <v>429</v>
      </c>
      <c r="B250" s="149">
        <v>42339</v>
      </c>
      <c r="C250">
        <v>487.53221783999999</v>
      </c>
      <c r="D250">
        <v>1</v>
      </c>
    </row>
    <row r="251" spans="1:4" x14ac:dyDescent="0.2">
      <c r="A251" t="s">
        <v>430</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JSE Markets' Profile 20190531</JSEDescription>
    <JSEDate xmlns="a5d7cc70-31c1-4b2e-9a12-faea9898ee50">2019-06-14T07:00:00+00:00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2.xml><?xml version="1.0" encoding="utf-8"?>
<ds:datastoreItem xmlns:ds="http://schemas.openxmlformats.org/officeDocument/2006/customXml" ds:itemID="{89E190DB-2C55-4BBD-8265-5A040B5082DE}"/>
</file>

<file path=customXml/itemProps3.xml><?xml version="1.0" encoding="utf-8"?>
<ds:datastoreItem xmlns:ds="http://schemas.openxmlformats.org/officeDocument/2006/customXml" ds:itemID="{660C54F4-B7C9-4F19-972C-E732F0124192}">
  <ds:schemaRefs>
    <ds:schemaRef ds:uri="http://schemas.microsoft.com/office/2006/documentManagement/types"/>
    <ds:schemaRef ds:uri="http://purl.org/dc/terms/"/>
    <ds:schemaRef ds:uri="a5d7cc70-31c1-4b2e-9a12-faea9898ee50"/>
    <ds:schemaRef ds:uri="http://schemas.microsoft.com/office/infopath/2007/PartnerControls"/>
    <ds:schemaRef ds:uri="http://www.w3.org/XML/1998/namespace"/>
    <ds:schemaRef ds:uri="http://schemas.microsoft.com/office/2006/metadata/properties"/>
    <ds:schemaRef ds:uri="http://purl.org/dc/elements/1.1/"/>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20190531</dc:title>
  <dc:creator>rapelangm</dc:creator>
  <cp:lastModifiedBy>Julia Maluleka</cp:lastModifiedBy>
  <cp:lastPrinted>2019-06-13T13:56:37Z</cp:lastPrinted>
  <dcterms:created xsi:type="dcterms:W3CDTF">2009-10-22T12:59:48Z</dcterms:created>
  <dcterms:modified xsi:type="dcterms:W3CDTF">2019-06-14T10:44:36Z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