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uliaM\Desktop\"/>
    </mc:Choice>
  </mc:AlternateContent>
  <bookViews>
    <workbookView xWindow="-4296" yWindow="2028" windowWidth="21636" windowHeight="4956"/>
  </bookViews>
  <sheets>
    <sheet name="MarketProfile" sheetId="1" r:id="rId1"/>
    <sheet name="Data" sheetId="7" state="hidden" r:id="rId2"/>
    <sheet name="Sheet3" sheetId="2" state="hidden" r:id="rId3"/>
    <sheet name="Sheet4" sheetId="3" state="hidden" r:id="rId4"/>
    <sheet name="Sheet5" sheetId="5" state="hidden" r:id="rId5"/>
    <sheet name="Sheet6" sheetId="6" state="hidden" r:id="rId6"/>
    <sheet name="IRD" sheetId="8" state="hidden" r:id="rId7"/>
    <sheet name="Sheet7" sheetId="9" state="hidden" r:id="rId8"/>
  </sheets>
  <definedNames>
    <definedName name="_xlnm._FilterDatabase" localSheetId="1" hidden="1">Data!$B$23:$E$273</definedName>
    <definedName name="_xlnm._FilterDatabase" localSheetId="3" hidden="1">Sheet4!$A$11:$F$56</definedName>
  </definedNames>
  <calcPr calcId="162913"/>
</workbook>
</file>

<file path=xl/calcChain.xml><?xml version="1.0" encoding="utf-8"?>
<calcChain xmlns="http://schemas.openxmlformats.org/spreadsheetml/2006/main">
  <c r="A115" i="1" l="1"/>
  <c r="H119" i="1" l="1"/>
  <c r="E164" i="1" l="1"/>
  <c r="D166" i="1"/>
  <c r="D165" i="1"/>
  <c r="D163" i="1"/>
  <c r="D162" i="1"/>
  <c r="C166" i="1"/>
  <c r="E166" i="1" s="1"/>
  <c r="C165" i="1"/>
  <c r="C163" i="1"/>
  <c r="B163" i="1"/>
  <c r="C162" i="1"/>
  <c r="B166" i="1"/>
  <c r="B165" i="1"/>
  <c r="B162" i="1"/>
  <c r="B175" i="1"/>
  <c r="E163" i="1" l="1"/>
  <c r="D167" i="1"/>
  <c r="E165" i="1"/>
  <c r="C167" i="1"/>
  <c r="E162" i="1"/>
  <c r="B167" i="1"/>
  <c r="A147" i="1"/>
  <c r="E167" i="1" l="1"/>
  <c r="D58" i="1" l="1"/>
  <c r="D57" i="1"/>
  <c r="B58" i="1"/>
  <c r="B57" i="1"/>
  <c r="C58" i="1"/>
  <c r="C57" i="1"/>
  <c r="D50" i="1"/>
  <c r="C50" i="1"/>
  <c r="B50" i="1"/>
  <c r="D49" i="1"/>
  <c r="C49" i="1"/>
  <c r="B49" i="1"/>
  <c r="B45" i="1"/>
  <c r="C45" i="1"/>
  <c r="D45" i="1"/>
  <c r="D44" i="1"/>
  <c r="C44" i="1"/>
  <c r="B44" i="1"/>
  <c r="B40" i="1"/>
  <c r="C40" i="1"/>
  <c r="D40" i="1"/>
  <c r="D39" i="1"/>
  <c r="C39" i="1"/>
  <c r="B39" i="1"/>
  <c r="E58" i="1" l="1"/>
  <c r="E57" i="1"/>
  <c r="D186" i="1"/>
  <c r="D199" i="1"/>
  <c r="D198" i="1"/>
  <c r="D193" i="1"/>
  <c r="D192" i="1"/>
  <c r="D191" i="1"/>
  <c r="E49" i="1"/>
  <c r="D48" i="1"/>
  <c r="C48" i="1"/>
  <c r="B48" i="1"/>
  <c r="E45" i="1"/>
  <c r="D43" i="1"/>
  <c r="C43" i="1"/>
  <c r="B43" i="1"/>
  <c r="D38" i="1"/>
  <c r="C38" i="1"/>
  <c r="B38" i="1"/>
  <c r="E59" i="1" l="1"/>
  <c r="E38" i="1"/>
  <c r="E39" i="1"/>
  <c r="E43" i="1"/>
  <c r="E44" i="1"/>
  <c r="E48" i="1"/>
  <c r="E40" i="1"/>
  <c r="E50" i="1"/>
  <c r="E175" i="1" l="1"/>
  <c r="E176" i="1"/>
  <c r="D204" i="1"/>
  <c r="B204" i="1"/>
  <c r="D202" i="1"/>
  <c r="C202" i="1"/>
  <c r="B202" i="1"/>
  <c r="D188" i="1"/>
  <c r="D187" i="1"/>
  <c r="D196" i="1" s="1"/>
  <c r="D200" i="1"/>
  <c r="C199" i="1"/>
  <c r="E199" i="1" s="1"/>
  <c r="C198" i="1"/>
  <c r="E198" i="1" s="1"/>
  <c r="B198" i="1"/>
  <c r="B199" i="1"/>
  <c r="C193" i="1"/>
  <c r="C192" i="1"/>
  <c r="E192" i="1" s="1"/>
  <c r="C191" i="1"/>
  <c r="E191" i="1" s="1"/>
  <c r="C188" i="1"/>
  <c r="C187" i="1"/>
  <c r="C186" i="1"/>
  <c r="B193" i="1"/>
  <c r="B192" i="1"/>
  <c r="B191" i="1"/>
  <c r="B188" i="1"/>
  <c r="B187" i="1"/>
  <c r="B186" i="1"/>
  <c r="C200" i="1" l="1"/>
  <c r="E200" i="1" s="1"/>
  <c r="E188" i="1"/>
  <c r="D197" i="1"/>
  <c r="E186" i="1"/>
  <c r="E204" i="1"/>
  <c r="E187" i="1"/>
  <c r="C197" i="1"/>
  <c r="C196" i="1"/>
  <c r="E196" i="1" s="1"/>
  <c r="E193" i="1"/>
  <c r="B200" i="1"/>
  <c r="B196" i="1"/>
  <c r="B197" i="1"/>
  <c r="E197" i="1" l="1"/>
  <c r="G419" i="1"/>
  <c r="G420" i="1"/>
  <c r="G421" i="1"/>
  <c r="G422" i="1"/>
  <c r="G423" i="1"/>
  <c r="G424" i="1"/>
  <c r="G425" i="1"/>
  <c r="G418" i="1"/>
  <c r="G410" i="1"/>
  <c r="G411" i="1"/>
  <c r="G412" i="1"/>
  <c r="G413" i="1"/>
  <c r="G414" i="1"/>
  <c r="G415" i="1"/>
  <c r="G416" i="1"/>
  <c r="G409" i="1"/>
  <c r="C378" i="1" l="1"/>
  <c r="C377" i="1"/>
  <c r="D94" i="1" l="1"/>
  <c r="D88" i="1"/>
  <c r="B94" i="1"/>
  <c r="C94" i="1" s="1"/>
  <c r="B88" i="1"/>
  <c r="C88" i="1" s="1"/>
  <c r="C65" i="1"/>
  <c r="D65" i="1"/>
  <c r="D102" i="1"/>
  <c r="B111" i="1"/>
  <c r="C111" i="1" s="1"/>
  <c r="B110" i="1"/>
  <c r="B109" i="1"/>
  <c r="B108" i="1"/>
  <c r="B105" i="1"/>
  <c r="C105" i="1" s="1"/>
  <c r="B104" i="1"/>
  <c r="B103" i="1"/>
  <c r="B102" i="1"/>
  <c r="D111" i="1"/>
  <c r="D110" i="1"/>
  <c r="D109" i="1"/>
  <c r="D108" i="1"/>
  <c r="D105" i="1"/>
  <c r="D104" i="1"/>
  <c r="D103" i="1"/>
  <c r="C110" i="1"/>
  <c r="C109" i="1"/>
  <c r="C108" i="1"/>
  <c r="C104" i="1"/>
  <c r="C103" i="1"/>
  <c r="C102" i="1"/>
  <c r="D93" i="1"/>
  <c r="D92" i="1"/>
  <c r="D91" i="1"/>
  <c r="D87" i="1"/>
  <c r="D86" i="1"/>
  <c r="D85" i="1"/>
  <c r="C93" i="1"/>
  <c r="C92" i="1"/>
  <c r="C91" i="1"/>
  <c r="C87" i="1"/>
  <c r="C86" i="1"/>
  <c r="C85" i="1"/>
  <c r="B93" i="1"/>
  <c r="B92" i="1"/>
  <c r="B91" i="1"/>
  <c r="B87" i="1"/>
  <c r="B86" i="1"/>
  <c r="B85" i="1"/>
  <c r="D76" i="1"/>
  <c r="D75" i="1"/>
  <c r="D74" i="1"/>
  <c r="D73" i="1"/>
  <c r="D70" i="1"/>
  <c r="D69" i="1"/>
  <c r="D68" i="1"/>
  <c r="D67" i="1"/>
  <c r="C75" i="1"/>
  <c r="C74" i="1"/>
  <c r="C73" i="1"/>
  <c r="B76" i="1"/>
  <c r="C76" i="1" s="1"/>
  <c r="B70" i="1"/>
  <c r="C70" i="1" s="1"/>
  <c r="B75" i="1"/>
  <c r="B74" i="1"/>
  <c r="B73" i="1"/>
  <c r="B69" i="1"/>
  <c r="B68" i="1"/>
  <c r="B67" i="1"/>
  <c r="C68" i="1"/>
  <c r="C69" i="1"/>
  <c r="C67" i="1"/>
  <c r="H343" i="1"/>
  <c r="F232" i="1"/>
  <c r="C343" i="1"/>
  <c r="E343" i="1"/>
  <c r="D149" i="1"/>
  <c r="B149" i="1"/>
  <c r="C119" i="1"/>
  <c r="G119" i="1"/>
  <c r="B119" i="1"/>
  <c r="B31" i="1"/>
  <c r="G378" i="1"/>
  <c r="I378" i="1" s="1"/>
  <c r="G379" i="1"/>
  <c r="G380" i="1"/>
  <c r="G381" i="1"/>
  <c r="G382" i="1"/>
  <c r="G383" i="1"/>
  <c r="G384" i="1"/>
  <c r="G377" i="1"/>
  <c r="I377" i="1" s="1"/>
  <c r="G399" i="1"/>
  <c r="G400" i="1"/>
  <c r="G401" i="1"/>
  <c r="G402" i="1"/>
  <c r="G403" i="1"/>
  <c r="G404" i="1"/>
  <c r="G405" i="1"/>
  <c r="G398" i="1"/>
  <c r="G389" i="1"/>
  <c r="G390" i="1"/>
  <c r="G391" i="1"/>
  <c r="G392" i="1"/>
  <c r="G393" i="1"/>
  <c r="G394" i="1"/>
  <c r="G395" i="1"/>
  <c r="G388" i="1"/>
  <c r="G368" i="1"/>
  <c r="G369" i="1"/>
  <c r="G370" i="1"/>
  <c r="G371" i="1"/>
  <c r="G372" i="1"/>
  <c r="G373" i="1"/>
  <c r="G374" i="1"/>
  <c r="G367" i="1"/>
  <c r="G357" i="1"/>
  <c r="G358" i="1"/>
  <c r="G359" i="1"/>
  <c r="G360" i="1"/>
  <c r="G361" i="1"/>
  <c r="G362" i="1"/>
  <c r="G363" i="1"/>
  <c r="G356" i="1"/>
  <c r="G347" i="1"/>
  <c r="G348" i="1"/>
  <c r="G349" i="1"/>
  <c r="G350" i="1"/>
  <c r="G351" i="1"/>
  <c r="G352" i="1"/>
  <c r="G353" i="1"/>
  <c r="G346" i="1"/>
  <c r="E67" i="1" l="1"/>
  <c r="E73" i="1"/>
  <c r="E74" i="1"/>
  <c r="E76" i="1"/>
  <c r="E68" i="1"/>
  <c r="E70" i="1"/>
  <c r="E69" i="1"/>
  <c r="E75" i="1"/>
  <c r="E88" i="1"/>
  <c r="E94" i="1"/>
  <c r="E105" i="1"/>
  <c r="E93" i="1"/>
  <c r="E91" i="1"/>
  <c r="E85" i="1"/>
  <c r="E86" i="1"/>
  <c r="E92" i="1"/>
  <c r="E108" i="1"/>
  <c r="E102" i="1"/>
  <c r="E87" i="1"/>
  <c r="E103" i="1"/>
  <c r="E109" i="1"/>
  <c r="E111" i="1"/>
  <c r="E104" i="1"/>
  <c r="E110" i="1"/>
  <c r="G385" i="1"/>
  <c r="G364" i="1"/>
  <c r="G354" i="1"/>
  <c r="C399" i="1"/>
  <c r="I399" i="1" s="1"/>
  <c r="C400" i="1"/>
  <c r="I400" i="1" s="1"/>
  <c r="C401" i="1"/>
  <c r="I401" i="1" s="1"/>
  <c r="C402" i="1"/>
  <c r="I402" i="1" s="1"/>
  <c r="C403" i="1"/>
  <c r="I403" i="1" s="1"/>
  <c r="C404" i="1"/>
  <c r="I404" i="1" s="1"/>
  <c r="C405" i="1"/>
  <c r="I405" i="1" s="1"/>
  <c r="C398" i="1"/>
  <c r="I398" i="1" s="1"/>
  <c r="D346" i="1"/>
  <c r="G406" i="1"/>
  <c r="G396" i="1"/>
  <c r="G375" i="1"/>
  <c r="D419" i="1"/>
  <c r="D420" i="1"/>
  <c r="D421" i="1"/>
  <c r="D422" i="1"/>
  <c r="D423" i="1"/>
  <c r="D424" i="1"/>
  <c r="D425" i="1"/>
  <c r="D418" i="1"/>
  <c r="D410" i="1"/>
  <c r="D411" i="1"/>
  <c r="D412" i="1"/>
  <c r="D413" i="1"/>
  <c r="D414" i="1"/>
  <c r="D415" i="1"/>
  <c r="D416" i="1"/>
  <c r="D409" i="1"/>
  <c r="C419" i="1"/>
  <c r="I419" i="1" s="1"/>
  <c r="C420" i="1"/>
  <c r="I420" i="1" s="1"/>
  <c r="C421" i="1"/>
  <c r="I421" i="1" s="1"/>
  <c r="C422" i="1"/>
  <c r="I422" i="1" s="1"/>
  <c r="C423" i="1"/>
  <c r="I423" i="1" s="1"/>
  <c r="C424" i="1"/>
  <c r="I424" i="1" s="1"/>
  <c r="C425" i="1"/>
  <c r="I425" i="1" s="1"/>
  <c r="C418" i="1"/>
  <c r="I418" i="1" s="1"/>
  <c r="C410" i="1"/>
  <c r="I410" i="1" s="1"/>
  <c r="C411" i="1"/>
  <c r="I411" i="1" s="1"/>
  <c r="C412" i="1"/>
  <c r="I412" i="1" s="1"/>
  <c r="C413" i="1"/>
  <c r="I413" i="1" s="1"/>
  <c r="C414" i="1"/>
  <c r="I414" i="1" s="1"/>
  <c r="C415" i="1"/>
  <c r="I415" i="1" s="1"/>
  <c r="C416" i="1"/>
  <c r="I416" i="1" s="1"/>
  <c r="C409" i="1"/>
  <c r="I409" i="1" s="1"/>
  <c r="D399" i="1"/>
  <c r="F399" i="1" s="1"/>
  <c r="D400" i="1"/>
  <c r="D401" i="1"/>
  <c r="D402" i="1"/>
  <c r="D403" i="1"/>
  <c r="F403" i="1" s="1"/>
  <c r="D404" i="1"/>
  <c r="D405" i="1"/>
  <c r="D398" i="1"/>
  <c r="D389" i="1"/>
  <c r="D390" i="1"/>
  <c r="D391" i="1"/>
  <c r="D392" i="1"/>
  <c r="D393" i="1"/>
  <c r="D394" i="1"/>
  <c r="D395" i="1"/>
  <c r="D388" i="1"/>
  <c r="D378" i="1"/>
  <c r="F378" i="1" s="1"/>
  <c r="D379" i="1"/>
  <c r="D380" i="1"/>
  <c r="D381" i="1"/>
  <c r="D382" i="1"/>
  <c r="D383" i="1"/>
  <c r="D384" i="1"/>
  <c r="D368" i="1"/>
  <c r="D369" i="1"/>
  <c r="D370" i="1"/>
  <c r="D371" i="1"/>
  <c r="D372" i="1"/>
  <c r="D373" i="1"/>
  <c r="D374" i="1"/>
  <c r="D367" i="1"/>
  <c r="D377" i="1"/>
  <c r="D357" i="1"/>
  <c r="D358" i="1"/>
  <c r="D359" i="1"/>
  <c r="D360" i="1"/>
  <c r="D361" i="1"/>
  <c r="D362" i="1"/>
  <c r="D363" i="1"/>
  <c r="D356" i="1"/>
  <c r="D347" i="1"/>
  <c r="D348" i="1"/>
  <c r="D349" i="1"/>
  <c r="D350" i="1"/>
  <c r="D351" i="1"/>
  <c r="D352" i="1"/>
  <c r="D353" i="1"/>
  <c r="C389" i="1"/>
  <c r="I389" i="1" s="1"/>
  <c r="C390" i="1"/>
  <c r="I390" i="1" s="1"/>
  <c r="C391" i="1"/>
  <c r="I391" i="1" s="1"/>
  <c r="C392" i="1"/>
  <c r="I392" i="1" s="1"/>
  <c r="C393" i="1"/>
  <c r="I393" i="1" s="1"/>
  <c r="C394" i="1"/>
  <c r="I394" i="1" s="1"/>
  <c r="C395" i="1"/>
  <c r="I395" i="1" s="1"/>
  <c r="C388" i="1"/>
  <c r="I388" i="1" s="1"/>
  <c r="C380" i="1"/>
  <c r="I380" i="1" s="1"/>
  <c r="C381" i="1"/>
  <c r="I381" i="1" s="1"/>
  <c r="C382" i="1"/>
  <c r="I382" i="1" s="1"/>
  <c r="C383" i="1"/>
  <c r="I383" i="1" s="1"/>
  <c r="C384" i="1"/>
  <c r="I384" i="1" s="1"/>
  <c r="C379" i="1"/>
  <c r="C368" i="1"/>
  <c r="I368" i="1" s="1"/>
  <c r="C369" i="1"/>
  <c r="I369" i="1" s="1"/>
  <c r="C370" i="1"/>
  <c r="I370" i="1" s="1"/>
  <c r="C371" i="1"/>
  <c r="I371" i="1" s="1"/>
  <c r="C372" i="1"/>
  <c r="I372" i="1" s="1"/>
  <c r="C373" i="1"/>
  <c r="I373" i="1" s="1"/>
  <c r="C374" i="1"/>
  <c r="I374" i="1" s="1"/>
  <c r="C367" i="1"/>
  <c r="I367" i="1" s="1"/>
  <c r="C357" i="1"/>
  <c r="I357" i="1" s="1"/>
  <c r="C358" i="1"/>
  <c r="I358" i="1" s="1"/>
  <c r="C359" i="1"/>
  <c r="I359" i="1" s="1"/>
  <c r="C360" i="1"/>
  <c r="I360" i="1" s="1"/>
  <c r="C361" i="1"/>
  <c r="I361" i="1" s="1"/>
  <c r="C362" i="1"/>
  <c r="I362" i="1" s="1"/>
  <c r="C363" i="1"/>
  <c r="I363" i="1" s="1"/>
  <c r="C356" i="1"/>
  <c r="I356" i="1" s="1"/>
  <c r="C347" i="1"/>
  <c r="I347" i="1" s="1"/>
  <c r="C348" i="1"/>
  <c r="I348" i="1" s="1"/>
  <c r="C349" i="1"/>
  <c r="I349" i="1" s="1"/>
  <c r="C350" i="1"/>
  <c r="I350" i="1" s="1"/>
  <c r="C351" i="1"/>
  <c r="I351" i="1" s="1"/>
  <c r="C352" i="1"/>
  <c r="I352" i="1" s="1"/>
  <c r="C353" i="1"/>
  <c r="I353" i="1" s="1"/>
  <c r="C346" i="1"/>
  <c r="G264" i="1"/>
  <c r="G253" i="1"/>
  <c r="F279" i="1"/>
  <c r="G279" i="1" s="1"/>
  <c r="F280" i="1"/>
  <c r="G280" i="1" s="1"/>
  <c r="F278" i="1"/>
  <c r="G278" i="1" s="1"/>
  <c r="F275" i="1"/>
  <c r="G275" i="1" s="1"/>
  <c r="F274" i="1"/>
  <c r="G274" i="1" s="1"/>
  <c r="F265" i="1"/>
  <c r="G265" i="1" s="1"/>
  <c r="F266" i="1"/>
  <c r="G266" i="1" s="1"/>
  <c r="F267" i="1"/>
  <c r="G267" i="1" s="1"/>
  <c r="F268" i="1"/>
  <c r="G268" i="1" s="1"/>
  <c r="F269" i="1"/>
  <c r="G269" i="1" s="1"/>
  <c r="F270" i="1"/>
  <c r="G270" i="1" s="1"/>
  <c r="F271" i="1"/>
  <c r="G271" i="1" s="1"/>
  <c r="F264" i="1"/>
  <c r="F254" i="1"/>
  <c r="G254" i="1" s="1"/>
  <c r="F255" i="1"/>
  <c r="G255" i="1" s="1"/>
  <c r="F256" i="1"/>
  <c r="G256" i="1" s="1"/>
  <c r="F257" i="1"/>
  <c r="G257" i="1" s="1"/>
  <c r="F258" i="1"/>
  <c r="G258" i="1" s="1"/>
  <c r="F259" i="1"/>
  <c r="G259" i="1" s="1"/>
  <c r="F260" i="1"/>
  <c r="G260" i="1" s="1"/>
  <c r="F261" i="1"/>
  <c r="G261" i="1" s="1"/>
  <c r="F253" i="1"/>
  <c r="F244" i="1"/>
  <c r="G244" i="1" s="1"/>
  <c r="F245" i="1"/>
  <c r="G245" i="1" s="1"/>
  <c r="F246" i="1"/>
  <c r="G246" i="1" s="1"/>
  <c r="F247" i="1"/>
  <c r="G247" i="1" s="1"/>
  <c r="F248" i="1"/>
  <c r="G248" i="1" s="1"/>
  <c r="F249" i="1"/>
  <c r="G249" i="1" s="1"/>
  <c r="F250" i="1"/>
  <c r="G250" i="1" s="1"/>
  <c r="F243" i="1"/>
  <c r="G243" i="1" s="1"/>
  <c r="F236" i="1"/>
  <c r="G236" i="1" s="1"/>
  <c r="F237" i="1"/>
  <c r="G237" i="1" s="1"/>
  <c r="F238" i="1"/>
  <c r="G238" i="1" s="1"/>
  <c r="F239" i="1"/>
  <c r="G239" i="1" s="1"/>
  <c r="F240" i="1"/>
  <c r="G240" i="1" s="1"/>
  <c r="F235" i="1"/>
  <c r="G235" i="1" s="1"/>
  <c r="H279" i="1"/>
  <c r="I279" i="1"/>
  <c r="H280" i="1"/>
  <c r="I280" i="1"/>
  <c r="I278" i="1"/>
  <c r="H278" i="1"/>
  <c r="H275" i="1"/>
  <c r="I275" i="1"/>
  <c r="I274" i="1"/>
  <c r="H274" i="1"/>
  <c r="H265" i="1"/>
  <c r="I265" i="1"/>
  <c r="H266" i="1"/>
  <c r="I266" i="1"/>
  <c r="H267" i="1"/>
  <c r="I267" i="1"/>
  <c r="H268" i="1"/>
  <c r="I268" i="1"/>
  <c r="H269" i="1"/>
  <c r="I269" i="1"/>
  <c r="H270" i="1"/>
  <c r="I270" i="1"/>
  <c r="H271" i="1"/>
  <c r="I271" i="1"/>
  <c r="I264" i="1"/>
  <c r="H264" i="1"/>
  <c r="H254" i="1"/>
  <c r="I254" i="1"/>
  <c r="H255" i="1"/>
  <c r="I255" i="1"/>
  <c r="H256" i="1"/>
  <c r="I256" i="1"/>
  <c r="H257" i="1"/>
  <c r="I257" i="1"/>
  <c r="H258" i="1"/>
  <c r="I258" i="1"/>
  <c r="H259" i="1"/>
  <c r="I259" i="1"/>
  <c r="H260" i="1"/>
  <c r="I260" i="1"/>
  <c r="H261" i="1"/>
  <c r="I261" i="1"/>
  <c r="I253" i="1"/>
  <c r="H253" i="1"/>
  <c r="H244" i="1"/>
  <c r="I244" i="1"/>
  <c r="H245" i="1"/>
  <c r="I245" i="1"/>
  <c r="H246" i="1"/>
  <c r="I246" i="1"/>
  <c r="H247" i="1"/>
  <c r="I247" i="1"/>
  <c r="H248" i="1"/>
  <c r="I248" i="1"/>
  <c r="H249" i="1"/>
  <c r="I249" i="1"/>
  <c r="H250" i="1"/>
  <c r="I250" i="1"/>
  <c r="I243" i="1"/>
  <c r="H243" i="1"/>
  <c r="I236" i="1"/>
  <c r="I237" i="1"/>
  <c r="I238" i="1"/>
  <c r="I239" i="1"/>
  <c r="I240" i="1"/>
  <c r="I235" i="1"/>
  <c r="H236" i="1"/>
  <c r="H237" i="1"/>
  <c r="H238" i="1"/>
  <c r="H239" i="1"/>
  <c r="H240" i="1"/>
  <c r="H235" i="1"/>
  <c r="D31" i="1"/>
  <c r="D30" i="1"/>
  <c r="D29" i="1"/>
  <c r="C31" i="1"/>
  <c r="C30" i="1"/>
  <c r="C29" i="1"/>
  <c r="B30" i="1"/>
  <c r="B29" i="1"/>
  <c r="C18" i="1"/>
  <c r="D18" i="1"/>
  <c r="D17" i="1"/>
  <c r="D16" i="1"/>
  <c r="C17" i="1"/>
  <c r="B18" i="1"/>
  <c r="B17" i="1"/>
  <c r="C16" i="1"/>
  <c r="B16" i="1"/>
  <c r="E31" i="1" l="1"/>
  <c r="I379" i="1"/>
  <c r="C385" i="1"/>
  <c r="I385" i="1" s="1"/>
  <c r="F346" i="1"/>
  <c r="F373" i="1"/>
  <c r="F369" i="1"/>
  <c r="F393" i="1"/>
  <c r="F389" i="1"/>
  <c r="F425" i="1"/>
  <c r="F351" i="1"/>
  <c r="F361" i="1"/>
  <c r="F382" i="1"/>
  <c r="F372" i="1"/>
  <c r="F368" i="1"/>
  <c r="C354" i="1"/>
  <c r="I354" i="1" s="1"/>
  <c r="F347" i="1"/>
  <c r="F357" i="1"/>
  <c r="F353" i="1"/>
  <c r="F349" i="1"/>
  <c r="F363" i="1"/>
  <c r="F359" i="1"/>
  <c r="F384" i="1"/>
  <c r="F380" i="1"/>
  <c r="F395" i="1"/>
  <c r="F391" i="1"/>
  <c r="F405" i="1"/>
  <c r="F401" i="1"/>
  <c r="F367" i="1"/>
  <c r="F371" i="1"/>
  <c r="F416" i="1"/>
  <c r="F412" i="1"/>
  <c r="F421" i="1"/>
  <c r="F352" i="1"/>
  <c r="F348" i="1"/>
  <c r="F362" i="1"/>
  <c r="F358" i="1"/>
  <c r="F374" i="1"/>
  <c r="F370" i="1"/>
  <c r="F383" i="1"/>
  <c r="F379" i="1"/>
  <c r="F394" i="1"/>
  <c r="F390" i="1"/>
  <c r="F404" i="1"/>
  <c r="F400" i="1"/>
  <c r="F415" i="1"/>
  <c r="F411" i="1"/>
  <c r="F424" i="1"/>
  <c r="F420" i="1"/>
  <c r="F414" i="1"/>
  <c r="F410" i="1"/>
  <c r="F423" i="1"/>
  <c r="F419" i="1"/>
  <c r="F350" i="1"/>
  <c r="D364" i="1"/>
  <c r="F356" i="1"/>
  <c r="F360" i="1"/>
  <c r="D385" i="1"/>
  <c r="F377" i="1"/>
  <c r="F381" i="1"/>
  <c r="D396" i="1"/>
  <c r="F388" i="1"/>
  <c r="F392" i="1"/>
  <c r="D406" i="1"/>
  <c r="F398" i="1"/>
  <c r="F402" i="1"/>
  <c r="F409" i="1"/>
  <c r="F413" i="1"/>
  <c r="F418" i="1"/>
  <c r="F422" i="1"/>
  <c r="D354" i="1"/>
  <c r="I346" i="1"/>
  <c r="D375" i="1"/>
  <c r="C364" i="1"/>
  <c r="I364" i="1" s="1"/>
  <c r="C375" i="1"/>
  <c r="I375" i="1" s="1"/>
  <c r="C406" i="1"/>
  <c r="I406" i="1" s="1"/>
  <c r="C396" i="1"/>
  <c r="I396" i="1" s="1"/>
  <c r="E29" i="1"/>
  <c r="E30" i="1"/>
  <c r="J23" i="7"/>
  <c r="J22" i="7"/>
  <c r="J21" i="7"/>
  <c r="J20" i="7"/>
  <c r="J17" i="7"/>
  <c r="J16" i="7"/>
  <c r="J15" i="7"/>
  <c r="J14" i="7"/>
  <c r="J11" i="7"/>
  <c r="J10" i="7"/>
  <c r="J9" i="7"/>
  <c r="J8" i="7"/>
  <c r="J3" i="7"/>
  <c r="J4" i="7"/>
  <c r="J5" i="7"/>
  <c r="J2" i="7"/>
  <c r="B22" i="1"/>
  <c r="B23" i="1"/>
  <c r="D23" i="1"/>
  <c r="D22" i="1"/>
  <c r="C23" i="1"/>
  <c r="C22" i="1"/>
  <c r="D21" i="1"/>
  <c r="C21" i="1"/>
  <c r="B21" i="1"/>
  <c r="F385" i="1" l="1"/>
  <c r="B120" i="1"/>
  <c r="E21" i="1"/>
  <c r="F354" i="1"/>
  <c r="F406" i="1"/>
  <c r="F396" i="1"/>
  <c r="F375" i="1"/>
  <c r="F364" i="1"/>
  <c r="E23" i="1"/>
  <c r="C123" i="1"/>
  <c r="G123" i="1"/>
  <c r="H123" i="1"/>
  <c r="G122" i="1"/>
  <c r="B121" i="1"/>
  <c r="C122" i="1"/>
  <c r="H122" i="1"/>
  <c r="B122" i="1"/>
  <c r="C120" i="1"/>
  <c r="G120" i="1"/>
  <c r="H120" i="1"/>
  <c r="B123" i="1"/>
  <c r="C121" i="1"/>
  <c r="G121" i="1"/>
  <c r="H121" i="1"/>
  <c r="E22" i="1"/>
  <c r="D120" i="1" l="1"/>
  <c r="D122" i="1"/>
  <c r="I121" i="1"/>
  <c r="I120" i="1"/>
  <c r="I123" i="1"/>
  <c r="D121" i="1"/>
  <c r="D123" i="1"/>
  <c r="I122" i="1"/>
  <c r="E18" i="1"/>
  <c r="E17" i="1"/>
  <c r="E16" i="1"/>
  <c r="D59" i="1"/>
  <c r="B59" i="1"/>
  <c r="H406" i="1" l="1"/>
  <c r="H396" i="1"/>
  <c r="H385" i="1"/>
  <c r="H375" i="1"/>
  <c r="H364" i="1"/>
  <c r="H354" i="1"/>
  <c r="E406" i="1"/>
  <c r="E396" i="1"/>
  <c r="E375" i="1"/>
  <c r="E364" i="1"/>
  <c r="E354" i="1"/>
  <c r="A341" i="1"/>
  <c r="A229" i="1"/>
  <c r="I184" i="1"/>
  <c r="H184" i="1"/>
  <c r="G184" i="1"/>
  <c r="F184" i="1"/>
  <c r="D184" i="1"/>
  <c r="C184" i="1"/>
  <c r="B184" i="1"/>
  <c r="I174" i="1"/>
  <c r="H174" i="1"/>
  <c r="G174" i="1"/>
  <c r="F174" i="1"/>
  <c r="D174" i="1"/>
  <c r="C174" i="1"/>
  <c r="B174" i="1"/>
  <c r="E202" i="1"/>
  <c r="I161" i="1"/>
  <c r="H161" i="1"/>
  <c r="G161" i="1"/>
  <c r="F161" i="1"/>
  <c r="D161" i="1"/>
  <c r="C161" i="1"/>
  <c r="B161" i="1"/>
  <c r="I149" i="1"/>
  <c r="H149" i="1"/>
  <c r="G149" i="1"/>
  <c r="F149" i="1"/>
  <c r="A143" i="1"/>
  <c r="D129" i="1"/>
  <c r="B65" i="1"/>
  <c r="I100" i="1"/>
  <c r="H100" i="1"/>
  <c r="G100" i="1"/>
  <c r="F100" i="1"/>
  <c r="D100" i="1"/>
  <c r="C100" i="1"/>
  <c r="B100" i="1"/>
  <c r="I83" i="1"/>
  <c r="H83" i="1"/>
  <c r="G83" i="1"/>
  <c r="F83" i="1"/>
  <c r="D83" i="1"/>
  <c r="C83" i="1"/>
  <c r="B83" i="1"/>
  <c r="B56" i="1"/>
  <c r="B36" i="1"/>
  <c r="B28" i="1"/>
  <c r="B15" i="1"/>
  <c r="A7" i="1"/>
  <c r="C15" i="1"/>
  <c r="D15" i="1"/>
  <c r="F15" i="1"/>
  <c r="G15" i="1"/>
  <c r="H15" i="1"/>
  <c r="I15" i="1"/>
  <c r="D56" i="1" l="1"/>
  <c r="G65" i="1"/>
  <c r="F65" i="1"/>
  <c r="I65" i="1"/>
  <c r="H65" i="1"/>
  <c r="F36" i="1"/>
  <c r="G36" i="1"/>
  <c r="G28" i="1"/>
  <c r="G56" i="1"/>
  <c r="F28" i="1"/>
  <c r="F56" i="1"/>
  <c r="D36" i="1"/>
  <c r="I28" i="1"/>
  <c r="I36" i="1"/>
  <c r="I56" i="1"/>
  <c r="D28" i="1"/>
  <c r="H28" i="1"/>
  <c r="H36" i="1"/>
  <c r="H56" i="1"/>
  <c r="C28" i="1"/>
  <c r="C56" i="1"/>
  <c r="C36" i="1"/>
  <c r="C12" i="6"/>
  <c r="B12" i="6"/>
  <c r="D12" i="6" s="1"/>
  <c r="C22" i="6"/>
  <c r="B22" i="6"/>
  <c r="D22" i="6" s="1"/>
  <c r="C33" i="6"/>
  <c r="B33" i="6"/>
  <c r="D33" i="6" s="1"/>
  <c r="C54" i="6"/>
  <c r="B54" i="6"/>
  <c r="C64" i="6"/>
  <c r="B64" i="6"/>
  <c r="E64" i="6"/>
  <c r="E54" i="6"/>
  <c r="E43" i="6"/>
  <c r="F43" i="6" s="1"/>
  <c r="E33" i="6"/>
  <c r="E22" i="6"/>
  <c r="D43" i="6"/>
  <c r="F22" i="6"/>
  <c r="E12" i="6"/>
  <c r="F64" i="6" l="1"/>
  <c r="D64" i="6"/>
  <c r="F12" i="6"/>
  <c r="F33" i="6"/>
  <c r="D54" i="6"/>
  <c r="F54" i="6"/>
  <c r="C59" i="1" l="1"/>
</calcChain>
</file>

<file path=xl/sharedStrings.xml><?xml version="1.0" encoding="utf-8"?>
<sst xmlns="http://schemas.openxmlformats.org/spreadsheetml/2006/main" count="2341" uniqueCount="663">
  <si>
    <t>Turnover on the JSE Equities Market</t>
  </si>
  <si>
    <t xml:space="preserve">Month </t>
  </si>
  <si>
    <t>% Change</t>
  </si>
  <si>
    <t>Ended</t>
  </si>
  <si>
    <t>Date</t>
  </si>
  <si>
    <t xml:space="preserve">Year on </t>
  </si>
  <si>
    <t>Year</t>
  </si>
  <si>
    <t>Foreign Trading on the JSE Equities Market (R Million)</t>
  </si>
  <si>
    <t>Difference</t>
  </si>
  <si>
    <t>Year on</t>
  </si>
  <si>
    <t>Purchases</t>
  </si>
  <si>
    <t>Sales</t>
  </si>
  <si>
    <t>Net (Sales) / Purchases</t>
  </si>
  <si>
    <t>%Change</t>
  </si>
  <si>
    <t>Futures</t>
  </si>
  <si>
    <t>Options</t>
  </si>
  <si>
    <t>Ranking</t>
  </si>
  <si>
    <t>Market Capitalisation (US$ million)</t>
  </si>
  <si>
    <t>Market Turnover (US$ million)</t>
  </si>
  <si>
    <t>Note:The liquidity figure has been adjusted for Off Order Book Principal Trades</t>
  </si>
  <si>
    <t>WFE = World Federation of Exchanges</t>
  </si>
  <si>
    <t>Acquisition of Assets</t>
  </si>
  <si>
    <t>Rights Issue</t>
  </si>
  <si>
    <t>Share Incentive</t>
  </si>
  <si>
    <t>Waiver of Pre-emptive rights</t>
  </si>
  <si>
    <t>TOTAL</t>
  </si>
  <si>
    <t>Annualised JSE liquidity</t>
  </si>
  <si>
    <t xml:space="preserve">% Change </t>
  </si>
  <si>
    <t>Month</t>
  </si>
  <si>
    <t xml:space="preserve">Companies Listed </t>
  </si>
  <si>
    <t>No of New Listings</t>
  </si>
  <si>
    <t>No of Delistings</t>
  </si>
  <si>
    <t>Overall JSE</t>
  </si>
  <si>
    <t>Foreign Listings</t>
  </si>
  <si>
    <t>Domestic Listings</t>
  </si>
  <si>
    <t>Companies Listed</t>
  </si>
  <si>
    <t>No of Securities Listed</t>
  </si>
  <si>
    <t>Market Capitalisation (Rbn at period)</t>
  </si>
  <si>
    <t>Headline Indices</t>
  </si>
  <si>
    <t>Index Code</t>
  </si>
  <si>
    <t>Highest Date</t>
  </si>
  <si>
    <t>All Share</t>
  </si>
  <si>
    <t>J203</t>
  </si>
  <si>
    <t>Mid Cap</t>
  </si>
  <si>
    <t>J201</t>
  </si>
  <si>
    <t>Small Cap</t>
  </si>
  <si>
    <t>J202</t>
  </si>
  <si>
    <t>Fledgling</t>
  </si>
  <si>
    <t>J204</t>
  </si>
  <si>
    <t xml:space="preserve">Capped All Share </t>
  </si>
  <si>
    <t>J303</t>
  </si>
  <si>
    <t>Shareholder Weighted All Share</t>
  </si>
  <si>
    <t>J403</t>
  </si>
  <si>
    <t>Tradeable Indices</t>
  </si>
  <si>
    <t>Top 40</t>
  </si>
  <si>
    <t>J200</t>
  </si>
  <si>
    <t xml:space="preserve">Capped Top 40 </t>
  </si>
  <si>
    <t>J300</t>
  </si>
  <si>
    <t>Shareholder Weighted Top 40</t>
  </si>
  <si>
    <t>J400</t>
  </si>
  <si>
    <t>J210</t>
  </si>
  <si>
    <t>Gold Mining</t>
  </si>
  <si>
    <t>J150</t>
  </si>
  <si>
    <t>Industrial 25</t>
  </si>
  <si>
    <t>J211</t>
  </si>
  <si>
    <t>Financial 15</t>
  </si>
  <si>
    <t>J212</t>
  </si>
  <si>
    <t>Financial and Industrial 30</t>
  </si>
  <si>
    <t>J213</t>
  </si>
  <si>
    <t>All Share Economic Group</t>
  </si>
  <si>
    <t>Oil &amp; Gas</t>
  </si>
  <si>
    <t>J500</t>
  </si>
  <si>
    <t>Basic Materials</t>
  </si>
  <si>
    <t>J510</t>
  </si>
  <si>
    <t>Industrials</t>
  </si>
  <si>
    <t>J520</t>
  </si>
  <si>
    <t>Consumer Goods</t>
  </si>
  <si>
    <t>J530</t>
  </si>
  <si>
    <t>Consumer Services</t>
  </si>
  <si>
    <t>J550</t>
  </si>
  <si>
    <t>Financials</t>
  </si>
  <si>
    <t>J580</t>
  </si>
  <si>
    <t>Technology</t>
  </si>
  <si>
    <t>J590</t>
  </si>
  <si>
    <t>Telecommunications</t>
  </si>
  <si>
    <t>J560</t>
  </si>
  <si>
    <t>Health Care</t>
  </si>
  <si>
    <t>J540</t>
  </si>
  <si>
    <t>Specialist Indices</t>
  </si>
  <si>
    <t>JSE SRI Index</t>
  </si>
  <si>
    <t>J100</t>
  </si>
  <si>
    <t xml:space="preserve"> FTSE/JSE Shariah All Share</t>
  </si>
  <si>
    <t>J143</t>
  </si>
  <si>
    <t>SA Listed Property Index</t>
  </si>
  <si>
    <t>J253</t>
  </si>
  <si>
    <t>Capped Property Index</t>
  </si>
  <si>
    <t>J254</t>
  </si>
  <si>
    <t>SA Resources</t>
  </si>
  <si>
    <t>J258</t>
  </si>
  <si>
    <t>Value Index</t>
  </si>
  <si>
    <t>J330</t>
  </si>
  <si>
    <t>Growth Index</t>
  </si>
  <si>
    <t>J331</t>
  </si>
  <si>
    <t>Sub-sector Indices</t>
  </si>
  <si>
    <t>Platinum &amp; Precious Metals</t>
  </si>
  <si>
    <t>J153</t>
  </si>
  <si>
    <t>General Mining</t>
  </si>
  <si>
    <t>J154</t>
  </si>
  <si>
    <t>Secondary Market</t>
  </si>
  <si>
    <t>Development Capital</t>
  </si>
  <si>
    <t>J230</t>
  </si>
  <si>
    <t>Venture Capital</t>
  </si>
  <si>
    <t>J231</t>
  </si>
  <si>
    <t>Alt-X</t>
  </si>
  <si>
    <t>J232</t>
  </si>
  <si>
    <t>Platinum &amp; Precious Metal Index was rebased in March 2007</t>
  </si>
  <si>
    <t>Trades</t>
  </si>
  <si>
    <t>Volume (Mil)</t>
  </si>
  <si>
    <t>Value (R Mil)</t>
  </si>
  <si>
    <t>Agency and Principal (R Million)</t>
  </si>
  <si>
    <t>% change</t>
  </si>
  <si>
    <t>Agency Buy</t>
  </si>
  <si>
    <t>Agency Sell</t>
  </si>
  <si>
    <t>Principal Buy</t>
  </si>
  <si>
    <t>Principal Sell</t>
  </si>
  <si>
    <t>All Time High Figures</t>
  </si>
  <si>
    <t>Daily High</t>
  </si>
  <si>
    <t>Weekly High</t>
  </si>
  <si>
    <t>Week Ended</t>
  </si>
  <si>
    <t>Monthly High</t>
  </si>
  <si>
    <t>10/2008</t>
  </si>
  <si>
    <t>Volume</t>
  </si>
  <si>
    <t>Suns</t>
  </si>
  <si>
    <t>White Maize</t>
  </si>
  <si>
    <t>Yellow Maize</t>
  </si>
  <si>
    <t>Corn</t>
  </si>
  <si>
    <t xml:space="preserve">Open Interest </t>
  </si>
  <si>
    <t>AltX</t>
  </si>
  <si>
    <t>Gold</t>
  </si>
  <si>
    <t>Crude Oil</t>
  </si>
  <si>
    <t>Volume (000)</t>
  </si>
  <si>
    <t>Open Interest</t>
  </si>
  <si>
    <t xml:space="preserve">Volume </t>
  </si>
  <si>
    <t xml:space="preserve"> </t>
  </si>
  <si>
    <t xml:space="preserve">Number of Companies / Securities Listed and Market Capitalisation  </t>
  </si>
  <si>
    <t>Standard Trades</t>
  </si>
  <si>
    <t>Nominal (R Mil)</t>
  </si>
  <si>
    <t>Consideration (R Mil)</t>
  </si>
  <si>
    <t>Repo Trades</t>
  </si>
  <si>
    <t>Nominal (Mil)</t>
  </si>
  <si>
    <t>*Other Trades include FOV, SD and OX</t>
  </si>
  <si>
    <t>Foreign Trading on the JSE Interest Rate Market (R Million)</t>
  </si>
  <si>
    <t>Purchases**</t>
  </si>
  <si>
    <t>Sales**</t>
  </si>
  <si>
    <t xml:space="preserve">Turnover on the JSE Interest Rate Derivatives Market </t>
  </si>
  <si>
    <t>Other Trades*</t>
  </si>
  <si>
    <t>Turnover on the Interest Rate Market</t>
  </si>
  <si>
    <t xml:space="preserve">Turnover on the Commodity Derivatives Market </t>
  </si>
  <si>
    <t>Monthly Liquidity %</t>
  </si>
  <si>
    <t>Equity capital raised on the JSE (R Million)</t>
  </si>
  <si>
    <t xml:space="preserve">Central Order Book and  Reported  Trades </t>
  </si>
  <si>
    <t xml:space="preserve">Reported Trades </t>
  </si>
  <si>
    <t>Including Reported Trades</t>
  </si>
  <si>
    <t>Central Order Book Trades</t>
  </si>
  <si>
    <t xml:space="preserve">Turnover on the JSE Currency Derivatives Market </t>
  </si>
  <si>
    <t>Overall JSE Liquidity %</t>
  </si>
  <si>
    <t>Central Order Book Trades Liquidity %</t>
  </si>
  <si>
    <t>NB:The totals may vary monthly</t>
  </si>
  <si>
    <t>Note: AltX and Mainboard include companies that changed boards</t>
  </si>
  <si>
    <t>Via Prospetus (IPOs)</t>
  </si>
  <si>
    <t>Value (R Mil)***</t>
  </si>
  <si>
    <t>***Effective January 2013 options value calculation is based on nominal and not premium</t>
  </si>
  <si>
    <t>Year to</t>
  </si>
  <si>
    <t xml:space="preserve"> Date</t>
  </si>
  <si>
    <t xml:space="preserve">Year to </t>
  </si>
  <si>
    <t>Exchange Traded CFD</t>
  </si>
  <si>
    <t>**Nominal of Standards Trades</t>
  </si>
  <si>
    <t>Soya Future</t>
  </si>
  <si>
    <t>Resource 10</t>
  </si>
  <si>
    <t>Plat</t>
  </si>
  <si>
    <t>Total Futures</t>
  </si>
  <si>
    <t>Total Options</t>
  </si>
  <si>
    <t>REITS Index</t>
  </si>
  <si>
    <t>J867</t>
  </si>
  <si>
    <t/>
  </si>
  <si>
    <t>Mainboard, Venture,Development Capital and BEE</t>
  </si>
  <si>
    <t>%Change Month on Month</t>
  </si>
  <si>
    <t>%Change Year on Year</t>
  </si>
  <si>
    <t>Value(ZAR000)</t>
  </si>
  <si>
    <t>Value (R Mil)*</t>
  </si>
  <si>
    <t xml:space="preserve">**Nominal Value traded, note the value in the previous  </t>
  </si>
  <si>
    <t>publications is premium</t>
  </si>
  <si>
    <t>Market Highlights</t>
  </si>
  <si>
    <t>Equity Market</t>
  </si>
  <si>
    <t>FTSE/JSE Africa Index Series</t>
  </si>
  <si>
    <t>Highest Index Close</t>
  </si>
  <si>
    <t>% Change Month On Month</t>
  </si>
  <si>
    <t>Commodity Derivatives Market</t>
  </si>
  <si>
    <t>Ranking At Year End</t>
  </si>
  <si>
    <t>MTD</t>
  </si>
  <si>
    <t>YTD</t>
  </si>
  <si>
    <t>YTDPrevYear</t>
  </si>
  <si>
    <t>Year-1</t>
  </si>
  <si>
    <t>Year-2</t>
  </si>
  <si>
    <t>Year-3</t>
  </si>
  <si>
    <t>Year-4</t>
  </si>
  <si>
    <t>Reported Trades</t>
  </si>
  <si>
    <t>Principal Agency Trades MTD</t>
  </si>
  <si>
    <t>Principal Agency Trades 2 Months Prev</t>
  </si>
  <si>
    <t>Key</t>
  </si>
  <si>
    <t>Principal Agency COB Trades</t>
  </si>
  <si>
    <t>Principal Agency COD Trades 2 Months Prev</t>
  </si>
  <si>
    <t xml:space="preserve">Non Res Flows MTD </t>
  </si>
  <si>
    <t>Non Res Flows YTD</t>
  </si>
  <si>
    <t>Non Res Flows YTDPrevYear</t>
  </si>
  <si>
    <t>IndexCode</t>
  </si>
  <si>
    <t>StatisticDate</t>
  </si>
  <si>
    <t>CapitalIndex</t>
  </si>
  <si>
    <t>rn</t>
  </si>
  <si>
    <t>J000</t>
  </si>
  <si>
    <t>J004</t>
  </si>
  <si>
    <t>J007</t>
  </si>
  <si>
    <t>J010</t>
  </si>
  <si>
    <t>J011</t>
  </si>
  <si>
    <t>J013</t>
  </si>
  <si>
    <t>J015</t>
  </si>
  <si>
    <t>J018</t>
  </si>
  <si>
    <t>J020</t>
  </si>
  <si>
    <t>J024</t>
  </si>
  <si>
    <t>J025</t>
  </si>
  <si>
    <t>J026</t>
  </si>
  <si>
    <t>J030</t>
  </si>
  <si>
    <t>J031</t>
  </si>
  <si>
    <t>J034</t>
  </si>
  <si>
    <t>J040</t>
  </si>
  <si>
    <t>J041</t>
  </si>
  <si>
    <t>J043</t>
  </si>
  <si>
    <t>J044</t>
  </si>
  <si>
    <t>J048</t>
  </si>
  <si>
    <t>J050</t>
  </si>
  <si>
    <t>J052</t>
  </si>
  <si>
    <t>J053</t>
  </si>
  <si>
    <t>J054</t>
  </si>
  <si>
    <t>J055</t>
  </si>
  <si>
    <t>J058</t>
  </si>
  <si>
    <t>J059</t>
  </si>
  <si>
    <t>J060</t>
  </si>
  <si>
    <t>J063</t>
  </si>
  <si>
    <t>J067</t>
  </si>
  <si>
    <t>J080</t>
  </si>
  <si>
    <t>J081</t>
  </si>
  <si>
    <t>J083</t>
  </si>
  <si>
    <t>J084</t>
  </si>
  <si>
    <t>J085</t>
  </si>
  <si>
    <t>J086</t>
  </si>
  <si>
    <t>J087</t>
  </si>
  <si>
    <t>J090</t>
  </si>
  <si>
    <t>J093</t>
  </si>
  <si>
    <t>J097</t>
  </si>
  <si>
    <t>J101</t>
  </si>
  <si>
    <t>J110</t>
  </si>
  <si>
    <t>J113</t>
  </si>
  <si>
    <t>J135</t>
  </si>
  <si>
    <t>J140</t>
  </si>
  <si>
    <t>J141</t>
  </si>
  <si>
    <t>J151</t>
  </si>
  <si>
    <t>J152</t>
  </si>
  <si>
    <t>J155</t>
  </si>
  <si>
    <t>J173</t>
  </si>
  <si>
    <t>J175</t>
  </si>
  <si>
    <t>J177</t>
  </si>
  <si>
    <t>J20U</t>
  </si>
  <si>
    <t>J233</t>
  </si>
  <si>
    <t>J235</t>
  </si>
  <si>
    <t>J240</t>
  </si>
  <si>
    <t>J241</t>
  </si>
  <si>
    <t>J242</t>
  </si>
  <si>
    <t>J243</t>
  </si>
  <si>
    <t>J250</t>
  </si>
  <si>
    <t>J251</t>
  </si>
  <si>
    <t>J255</t>
  </si>
  <si>
    <t>J256</t>
  </si>
  <si>
    <t>J257</t>
  </si>
  <si>
    <t>J259</t>
  </si>
  <si>
    <t>J260</t>
  </si>
  <si>
    <t>J263</t>
  </si>
  <si>
    <t>J272</t>
  </si>
  <si>
    <t>J273</t>
  </si>
  <si>
    <t>J275</t>
  </si>
  <si>
    <t>J277</t>
  </si>
  <si>
    <t>J279</t>
  </si>
  <si>
    <t>J283</t>
  </si>
  <si>
    <t>J2DV</t>
  </si>
  <si>
    <t>J2EQ</t>
  </si>
  <si>
    <t>J310</t>
  </si>
  <si>
    <t>J335</t>
  </si>
  <si>
    <t>J353</t>
  </si>
  <si>
    <t>J357</t>
  </si>
  <si>
    <t>J372</t>
  </si>
  <si>
    <t>J374</t>
  </si>
  <si>
    <t>J376</t>
  </si>
  <si>
    <t>J378</t>
  </si>
  <si>
    <t>J3EQ</t>
  </si>
  <si>
    <t>J453</t>
  </si>
  <si>
    <t>J457</t>
  </si>
  <si>
    <t>J4EQ</t>
  </si>
  <si>
    <t>J533</t>
  </si>
  <si>
    <t>J537</t>
  </si>
  <si>
    <t>J555</t>
  </si>
  <si>
    <t>J575</t>
  </si>
  <si>
    <t>J5EQ</t>
  </si>
  <si>
    <t>J653</t>
  </si>
  <si>
    <t>J657</t>
  </si>
  <si>
    <t>J835</t>
  </si>
  <si>
    <t>J853</t>
  </si>
  <si>
    <t>J857</t>
  </si>
  <si>
    <t>J863</t>
  </si>
  <si>
    <t>J873</t>
  </si>
  <si>
    <t>J877</t>
  </si>
  <si>
    <t>J898</t>
  </si>
  <si>
    <t>J953</t>
  </si>
  <si>
    <t>J957</t>
  </si>
  <si>
    <t>JA00</t>
  </si>
  <si>
    <t>JA0R</t>
  </si>
  <si>
    <t>JA30</t>
  </si>
  <si>
    <t>JA3R</t>
  </si>
  <si>
    <t>JN00</t>
  </si>
  <si>
    <t>JN0U</t>
  </si>
  <si>
    <t>JN23</t>
  </si>
  <si>
    <t>JN43</t>
  </si>
  <si>
    <t>JN51</t>
  </si>
  <si>
    <t>JNR4</t>
  </si>
  <si>
    <t>JNS4</t>
  </si>
  <si>
    <t>JNX4</t>
  </si>
  <si>
    <t>JS01</t>
  </si>
  <si>
    <t>JS11</t>
  </si>
  <si>
    <t>JS12</t>
  </si>
  <si>
    <t>JS13</t>
  </si>
  <si>
    <t>JS14</t>
  </si>
  <si>
    <t>JS21</t>
  </si>
  <si>
    <t>JS23</t>
  </si>
  <si>
    <t>JS24</t>
  </si>
  <si>
    <t>JS25</t>
  </si>
  <si>
    <t>JS26</t>
  </si>
  <si>
    <t>JS27</t>
  </si>
  <si>
    <t>JS31</t>
  </si>
  <si>
    <t>JS32</t>
  </si>
  <si>
    <t>JS33</t>
  </si>
  <si>
    <t>JS34</t>
  </si>
  <si>
    <t>JS36</t>
  </si>
  <si>
    <t>JS37</t>
  </si>
  <si>
    <t>JS41</t>
  </si>
  <si>
    <t>JS42</t>
  </si>
  <si>
    <t>JS52</t>
  </si>
  <si>
    <t>JS53</t>
  </si>
  <si>
    <t>JS54</t>
  </si>
  <si>
    <t>JS55</t>
  </si>
  <si>
    <t>JS61</t>
  </si>
  <si>
    <t>JS62</t>
  </si>
  <si>
    <t>JS81</t>
  </si>
  <si>
    <t>JS82</t>
  </si>
  <si>
    <t>JS83</t>
  </si>
  <si>
    <t>JS84</t>
  </si>
  <si>
    <t>JS85</t>
  </si>
  <si>
    <t>JS86</t>
  </si>
  <si>
    <t>JS87</t>
  </si>
  <si>
    <t>JS91</t>
  </si>
  <si>
    <t>JS92</t>
  </si>
  <si>
    <t>JSI0</t>
  </si>
  <si>
    <t>JSI1</t>
  </si>
  <si>
    <t>JSI2</t>
  </si>
  <si>
    <t>JSI3</t>
  </si>
  <si>
    <t>JSI4</t>
  </si>
  <si>
    <t>JSI5</t>
  </si>
  <si>
    <t>JSI6</t>
  </si>
  <si>
    <t>JSI8</t>
  </si>
  <si>
    <t>JSI9</t>
  </si>
  <si>
    <t>JSZ0</t>
  </si>
  <si>
    <t>JSZ1</t>
  </si>
  <si>
    <t>JSZ2</t>
  </si>
  <si>
    <t>JSZ3</t>
  </si>
  <si>
    <t>JSZ4</t>
  </si>
  <si>
    <t>JSZ5</t>
  </si>
  <si>
    <t>JSZ6</t>
  </si>
  <si>
    <t>JSZ7</t>
  </si>
  <si>
    <t>MV1X</t>
  </si>
  <si>
    <t>N000</t>
  </si>
  <si>
    <t>N004</t>
  </si>
  <si>
    <t>N010</t>
  </si>
  <si>
    <t>N011</t>
  </si>
  <si>
    <t>N020</t>
  </si>
  <si>
    <t>N024</t>
  </si>
  <si>
    <t>N040</t>
  </si>
  <si>
    <t>N041</t>
  </si>
  <si>
    <t>N043</t>
  </si>
  <si>
    <t>N050</t>
  </si>
  <si>
    <t>N052</t>
  </si>
  <si>
    <t>N059</t>
  </si>
  <si>
    <t>N060</t>
  </si>
  <si>
    <t>N063</t>
  </si>
  <si>
    <t>N080</t>
  </si>
  <si>
    <t>N081</t>
  </si>
  <si>
    <t>N083</t>
  </si>
  <si>
    <t>N084</t>
  </si>
  <si>
    <t>N085</t>
  </si>
  <si>
    <t>N086</t>
  </si>
  <si>
    <t>N087</t>
  </si>
  <si>
    <t>N098</t>
  </si>
  <si>
    <t>N099</t>
  </si>
  <si>
    <t>N135</t>
  </si>
  <si>
    <t>N175</t>
  </si>
  <si>
    <t>N177</t>
  </si>
  <si>
    <t>N272</t>
  </si>
  <si>
    <t>N279</t>
  </si>
  <si>
    <t>N353</t>
  </si>
  <si>
    <t>N357</t>
  </si>
  <si>
    <t>N453</t>
  </si>
  <si>
    <t>N510</t>
  </si>
  <si>
    <t>N520</t>
  </si>
  <si>
    <t>N530</t>
  </si>
  <si>
    <t>N533</t>
  </si>
  <si>
    <t>N537</t>
  </si>
  <si>
    <t>N540</t>
  </si>
  <si>
    <t>N550</t>
  </si>
  <si>
    <t>N580</t>
  </si>
  <si>
    <t>N835</t>
  </si>
  <si>
    <t>N853</t>
  </si>
  <si>
    <t>N857</t>
  </si>
  <si>
    <t>N863</t>
  </si>
  <si>
    <t>N867</t>
  </si>
  <si>
    <t>N873</t>
  </si>
  <si>
    <t>N877</t>
  </si>
  <si>
    <t>N898</t>
  </si>
  <si>
    <t>Index Close ToDay</t>
  </si>
  <si>
    <t>Index Close Prev Month</t>
  </si>
  <si>
    <t>Index</t>
  </si>
  <si>
    <t>Single Stock</t>
  </si>
  <si>
    <t>Dividend</t>
  </si>
  <si>
    <t>International Derivatives</t>
  </si>
  <si>
    <t>International Derivatives Dividends</t>
  </si>
  <si>
    <t>Can-Do</t>
  </si>
  <si>
    <t>EDM MTD</t>
  </si>
  <si>
    <t>EDM Open Interest MTD</t>
  </si>
  <si>
    <t>EDM MTD 2MNTH AGO</t>
  </si>
  <si>
    <t>EDM Open Interest MTD 2MNTH AGO</t>
  </si>
  <si>
    <t>EDM MTD Prev Year</t>
  </si>
  <si>
    <t>EDM Open Interest MTD Prev Year</t>
  </si>
  <si>
    <t>Commodities Page MTD</t>
  </si>
  <si>
    <t>Commodities Page MTD Prev Year</t>
  </si>
  <si>
    <t>Commodities Page MTD 2MAGO</t>
  </si>
  <si>
    <t>Corn Contract</t>
  </si>
  <si>
    <t>Yellow Maize Future</t>
  </si>
  <si>
    <t>Sunflower Seeds Future</t>
  </si>
  <si>
    <t>White Maize Future</t>
  </si>
  <si>
    <t>Platinum</t>
  </si>
  <si>
    <t>Commodities Page Open Interest MTD</t>
  </si>
  <si>
    <t>Commodities Page Ope Interest MTD 2MAGO</t>
  </si>
  <si>
    <t>EDM YTD TurnOver Futures</t>
  </si>
  <si>
    <t>EDM YTD TurnOver Options</t>
  </si>
  <si>
    <t xml:space="preserve">IRD YTD TurnOver Futures </t>
  </si>
  <si>
    <t>EDM YTD TurnOver Futures PrevYear</t>
  </si>
  <si>
    <t>EDM YTD TurnOver Options PrevYear</t>
  </si>
  <si>
    <t>IRD YTD TurnOver Futures PrevYear</t>
  </si>
  <si>
    <t>IRD YTD TurnOver Options PrevYear</t>
  </si>
  <si>
    <t xml:space="preserve">Currency YTD TurnOver Futures </t>
  </si>
  <si>
    <t>Currency YTD TurnOver Futures PrevYear</t>
  </si>
  <si>
    <t>Currency YTD TurnOver Options PrevYear</t>
  </si>
  <si>
    <t xml:space="preserve">Commodity YTD TurnOver Futures </t>
  </si>
  <si>
    <t>Commodity YTD TurnOver Futures PrevYear</t>
  </si>
  <si>
    <t>Commodity YTD TurnOver Options PrevYear</t>
  </si>
  <si>
    <t xml:space="preserve">IRD YTD TurnOver Options </t>
  </si>
  <si>
    <t xml:space="preserve">IRD MTD TurnOver Futures </t>
  </si>
  <si>
    <t xml:space="preserve">IRD MTD TurnOver Options </t>
  </si>
  <si>
    <t>EDM TurnOver Futures OpenInterest PrevYear</t>
  </si>
  <si>
    <t>EDM TurnOver Options OpenInterest PrevYear</t>
  </si>
  <si>
    <t xml:space="preserve">IRD MTD TurnOver OpenInterest Futures </t>
  </si>
  <si>
    <t xml:space="preserve">IRD MTD TurnOver OpenInterest Options </t>
  </si>
  <si>
    <t>IRD TurnOver Futures OpenInterest PrevYear</t>
  </si>
  <si>
    <t>IRD TurnOver Options OpenInterest PrevYear</t>
  </si>
  <si>
    <t xml:space="preserve">Currency YTD TurnOver Options </t>
  </si>
  <si>
    <t xml:space="preserve">Currency MTD TurnOver Futures </t>
  </si>
  <si>
    <t xml:space="preserve">Currency MTD TurnOver Options </t>
  </si>
  <si>
    <t xml:space="preserve">Currency MTD TurnOver OpenInterest Futures </t>
  </si>
  <si>
    <t>Currency YTD TurnOver OpenInterest Futures Prev Year</t>
  </si>
  <si>
    <t xml:space="preserve">Commodity MTD TurnOver OpenInterest Futures Prev Year </t>
  </si>
  <si>
    <t>Commodity MTD TurnOver OpenInterest Options Prev Year</t>
  </si>
  <si>
    <t xml:space="preserve">Commodity YTD TurnOver Options </t>
  </si>
  <si>
    <t>Market Capitalisation (R Trn)</t>
  </si>
  <si>
    <t>Listed Companies Matrix YTD</t>
  </si>
  <si>
    <t>Listed Companies Matrix YTD PrevYear</t>
  </si>
  <si>
    <t>Listed Companies Matrix MTD</t>
  </si>
  <si>
    <t>Listed Securities and Market Cap MTD</t>
  </si>
  <si>
    <t>Listed Securities and Market Cap YTD PrevYear</t>
  </si>
  <si>
    <t>Liquidity MTD</t>
  </si>
  <si>
    <t>Liquidity YTD</t>
  </si>
  <si>
    <t>Liquidity YTD PrevYear</t>
  </si>
  <si>
    <t>Number Trading Days MTD</t>
  </si>
  <si>
    <t>Number Trading Days YTD</t>
  </si>
  <si>
    <t>Bonds ST MTD</t>
  </si>
  <si>
    <t>Bonds ST YTD</t>
  </si>
  <si>
    <t>Bonds ST YTD PrevYear</t>
  </si>
  <si>
    <t>Bonds Repo MTD</t>
  </si>
  <si>
    <t>Bonds Repo YTD</t>
  </si>
  <si>
    <t>Bonds Repo YTD PrevYear</t>
  </si>
  <si>
    <t>Bonds Other MTD</t>
  </si>
  <si>
    <t>Bonds Other YTD</t>
  </si>
  <si>
    <t>Bonds Other YTD PrevYear</t>
  </si>
  <si>
    <t>Bonds Non Res Flows YTD</t>
  </si>
  <si>
    <t>Bonds Non Res Flows MTD</t>
  </si>
  <si>
    <t>Bonds Non Res Flows YTD PrevYear</t>
  </si>
  <si>
    <t>InstrumentDescription</t>
  </si>
  <si>
    <t>Value (R m)</t>
  </si>
  <si>
    <t>Volume (R 000)</t>
  </si>
  <si>
    <t>SUM_PurchaseValue</t>
  </si>
  <si>
    <t>SUM_SalesValue</t>
  </si>
  <si>
    <t>SUM_NetSalesPurchasesValue</t>
  </si>
  <si>
    <t>Market Cap YTD Prev Year</t>
  </si>
  <si>
    <t>Market Cap MTD</t>
  </si>
  <si>
    <t xml:space="preserve">Capital Raised MTD </t>
  </si>
  <si>
    <t>Capital Raised YTD</t>
  </si>
  <si>
    <t>Capital Raised YTD Prev Year</t>
  </si>
  <si>
    <t xml:space="preserve">Note: The monthly "local liquidity"  using the value traded and Strate market capitalisation is </t>
  </si>
  <si>
    <t>NOTE:FTSE/JSE Indices were reintroduced in June 2002 and all values are reflective since.</t>
  </si>
  <si>
    <t>09/2016</t>
  </si>
  <si>
    <t xml:space="preserve">                      -  </t>
  </si>
  <si>
    <t xml:space="preserve">                         -   </t>
  </si>
  <si>
    <t xml:space="preserve">                        -    </t>
  </si>
  <si>
    <t xml:space="preserve">                         -    </t>
  </si>
  <si>
    <t>SUM_Volume</t>
  </si>
  <si>
    <t>SUM_Value</t>
  </si>
  <si>
    <t>SUM_Deals</t>
  </si>
  <si>
    <t>Capacity</t>
  </si>
  <si>
    <t>Party</t>
  </si>
  <si>
    <t>A</t>
  </si>
  <si>
    <t>Buy</t>
  </si>
  <si>
    <t>P</t>
  </si>
  <si>
    <t>Sell</t>
  </si>
  <si>
    <t>Index Close</t>
  </si>
  <si>
    <t>J205</t>
  </si>
  <si>
    <t>J206</t>
  </si>
  <si>
    <t>J311</t>
  </si>
  <si>
    <t>J430</t>
  </si>
  <si>
    <t>J433</t>
  </si>
  <si>
    <t>J800</t>
  </si>
  <si>
    <t>J803</t>
  </si>
  <si>
    <t>J805</t>
  </si>
  <si>
    <t>JN430</t>
  </si>
  <si>
    <t>JN433</t>
  </si>
  <si>
    <t>IndexRank</t>
  </si>
  <si>
    <t>J203CF</t>
  </si>
  <si>
    <t>J203DF</t>
  </si>
  <si>
    <t>J203LF</t>
  </si>
  <si>
    <t>J203MF</t>
  </si>
  <si>
    <t>J203QF</t>
  </si>
  <si>
    <t>J203SF</t>
  </si>
  <si>
    <t>J203VF</t>
  </si>
  <si>
    <t>J203VOF</t>
  </si>
  <si>
    <t>InstrumentTypeName</t>
  </si>
  <si>
    <t>SUM_DaysValue</t>
  </si>
  <si>
    <t>SUM_DaysVolume</t>
  </si>
  <si>
    <t>SUM_DaysDeal</t>
  </si>
  <si>
    <t>SUM_OpenInterest</t>
  </si>
  <si>
    <t>FuturesContract</t>
  </si>
  <si>
    <t>African Derivatives</t>
  </si>
  <si>
    <t>BEEF CARCASS</t>
  </si>
  <si>
    <t>BREAD MILLING WHEAT</t>
  </si>
  <si>
    <t>BRENT CRUDE OIL FUTURE</t>
  </si>
  <si>
    <t>BRENT CRUDE OIL QUANTO</t>
  </si>
  <si>
    <t>COCOA QUANTO</t>
  </si>
  <si>
    <t>COFFEE QUANTO</t>
  </si>
  <si>
    <t>COPPER</t>
  </si>
  <si>
    <t>COPPER QUANTO</t>
  </si>
  <si>
    <t>CORN CONTRACT</t>
  </si>
  <si>
    <t>CORN QUANTO</t>
  </si>
  <si>
    <t>COTTON QUANTO</t>
  </si>
  <si>
    <t>CRUDE OIL</t>
  </si>
  <si>
    <t xml:space="preserve">DIESEL EUROPEAN GASOIL </t>
  </si>
  <si>
    <t>GASOLINE QUANTO</t>
  </si>
  <si>
    <t>GOLD</t>
  </si>
  <si>
    <t>GOLD QUANTO</t>
  </si>
  <si>
    <t>HARD RED WINTER WHEAT FUTURES</t>
  </si>
  <si>
    <t>HEATING OIL QUANTO</t>
  </si>
  <si>
    <t>LAMB CARCASS</t>
  </si>
  <si>
    <t>MERINO WOOL</t>
  </si>
  <si>
    <t>MINI BITTER SORGHUM FUTURES</t>
  </si>
  <si>
    <t>MINI SWEET SORGUM FUTURES</t>
  </si>
  <si>
    <t>NATURAL GAS QUANTO</t>
  </si>
  <si>
    <t>PALLADIUM</t>
  </si>
  <si>
    <t>PALLADIUM QUANTO</t>
  </si>
  <si>
    <t>PLATINUM</t>
  </si>
  <si>
    <t xml:space="preserve">PLATINUM QUANTO </t>
  </si>
  <si>
    <t>SILVER</t>
  </si>
  <si>
    <t>SILVER QUANTO</t>
  </si>
  <si>
    <t xml:space="preserve">SOFT RED WHEAT FUTURES </t>
  </si>
  <si>
    <t>SORGHUM  BITTER - GH1 FUTURE</t>
  </si>
  <si>
    <t>SORGHUM FUTURES</t>
  </si>
  <si>
    <t>SOYA FUTURE</t>
  </si>
  <si>
    <t>SOYABEAN CRUSH FUTURE</t>
  </si>
  <si>
    <t>SOYBEAN CONTRACT</t>
  </si>
  <si>
    <t>SOYBEAN MEAL CONTRACT</t>
  </si>
  <si>
    <t>SOYBEAN OIL CONTRACT</t>
  </si>
  <si>
    <t>SOYBEAN QUANTO</t>
  </si>
  <si>
    <t>SUGAR #11 QUANTO</t>
  </si>
  <si>
    <t>SUNFLOWER SEEDS FUTURE</t>
  </si>
  <si>
    <t>WHITE MAIZE FUTURE</t>
  </si>
  <si>
    <t>WHITE MAIZE GRADE 2 FUTURE</t>
  </si>
  <si>
    <t>YELLOW MAIZE FUTURE</t>
  </si>
  <si>
    <t>YELLOW MAIZE GRADE 2 FUTURE</t>
  </si>
  <si>
    <t>BRENT CRUDE OIL COMMODITY CAN-DO</t>
  </si>
  <si>
    <t>isFuture</t>
  </si>
  <si>
    <t>Option</t>
  </si>
  <si>
    <t>Future</t>
  </si>
  <si>
    <t>MainBoardCode</t>
  </si>
  <si>
    <t>TotalCompaniesListed</t>
  </si>
  <si>
    <t>NewListings</t>
  </si>
  <si>
    <t>DeListings</t>
  </si>
  <si>
    <t>LeftBoard</t>
  </si>
  <si>
    <t>JoinedBoard</t>
  </si>
  <si>
    <t>NetListed</t>
  </si>
  <si>
    <t>DomesticLisitings</t>
  </si>
  <si>
    <t>ForeignLisitings</t>
  </si>
  <si>
    <t>BEE</t>
  </si>
  <si>
    <t>DCM</t>
  </si>
  <si>
    <t>Main</t>
  </si>
  <si>
    <t>VCM</t>
  </si>
  <si>
    <t>COUNT_InstAlpha</t>
  </si>
  <si>
    <t>SUM_MarketCap</t>
  </si>
  <si>
    <t>TradingDays</t>
  </si>
  <si>
    <t>SUM_TradeValue</t>
  </si>
  <si>
    <t>Nominal</t>
  </si>
  <si>
    <t>Consideration</t>
  </si>
  <si>
    <t>TradeYear</t>
  </si>
  <si>
    <t>NumberOfInstruments</t>
  </si>
  <si>
    <t>TradeType</t>
  </si>
  <si>
    <t>ForeignNetConsideration</t>
  </si>
  <si>
    <t>ForeignNetNominal</t>
  </si>
  <si>
    <t>ForeignNetNrTrades</t>
  </si>
  <si>
    <t>ForeignPurchasesConsideration</t>
  </si>
  <si>
    <t>ForeignPurchasesNominal</t>
  </si>
  <si>
    <t>ForeignPurchasesNrTrades</t>
  </si>
  <si>
    <t>ForeignSalesConsideration</t>
  </si>
  <si>
    <t>ForeignSalesNominal</t>
  </si>
  <si>
    <t>ForeignSalesNrTrades</t>
  </si>
  <si>
    <t>Free of Value</t>
  </si>
  <si>
    <t>Repo 1</t>
  </si>
  <si>
    <t>Repo 2</t>
  </si>
  <si>
    <t>Standard Trade</t>
  </si>
  <si>
    <t>Standard Trade (Spot)</t>
  </si>
  <si>
    <t>Structured Deal</t>
  </si>
  <si>
    <t>TradeMonth</t>
  </si>
  <si>
    <t>2019/08</t>
  </si>
  <si>
    <t>CorporateActionTypeCode</t>
  </si>
  <si>
    <t>SUM_TotalValue</t>
  </si>
  <si>
    <t>GI</t>
  </si>
  <si>
    <t>SI</t>
  </si>
  <si>
    <t>SO</t>
  </si>
  <si>
    <t>SS</t>
  </si>
  <si>
    <t>AS</t>
  </si>
  <si>
    <t>TU</t>
  </si>
  <si>
    <t xml:space="preserve">Equity Derivatives Market &amp; Currency Derivatives Market </t>
  </si>
  <si>
    <t>Equity Derivatives Reports</t>
  </si>
  <si>
    <t>Currency Derivatives Reports</t>
  </si>
  <si>
    <t>NOTE: Due to the ITaC project this data is no longer available in this format. The new PDF format reports are be available on the new website section via the above links: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</si>
</sst>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 #,##0.00_ ;_ * \-#,##0.00_ ;_ * &quot;-&quot;??_ ;_ @_ "/>
    <numFmt numFmtId="165" formatCode="&quot;R&quot;#,##0.00_);\(&quot;R&quot;#,##0.00\)"/>
    <numFmt numFmtId="166" formatCode="_(* #,##0.00_);_(* \(#,##0.00\);_(* &quot;-&quot;??_);_(@_)"/>
    <numFmt numFmtId="167" formatCode="_ * #,##0_ ;_ * \-#,##0_ ;_ * &quot;-&quot;??_ ;_ @_ "/>
    <numFmt numFmtId="168" formatCode="_ * #,##0.0_ ;_ * \-#,##0.0_ ;_ * &quot;-&quot;??_ ;_ @_ "/>
    <numFmt numFmtId="169" formatCode="_(* #,##0_);_(* \(#,##0\);_(* &quot;-&quot;??_);_(@_)"/>
    <numFmt numFmtId="170" formatCode="mmm\-yyyy"/>
    <numFmt numFmtId="171" formatCode="#,###,###,"/>
    <numFmt numFmtId="172" formatCode="0.0"/>
  </numFmts>
  <fonts count="67" x14ac:knownFonts="1">
    <font>
      <sz val="10"/>
      <color theme="1"/>
      <name val="Arial"/>
      <family val="2"/>
    </font>
    <font>
      <sz val="8"/>
      <color theme="1"/>
      <name val="Arial"/>
      <family val="2"/>
    </font>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name val="Arial"/>
      <family val="2"/>
    </font>
    <font>
      <sz val="10"/>
      <color indexed="8"/>
      <name val="Arial"/>
      <family val="2"/>
    </font>
    <font>
      <sz val="10"/>
      <color theme="1"/>
      <name val="Arial"/>
      <family val="2"/>
    </font>
    <font>
      <b/>
      <sz val="10"/>
      <color theme="1"/>
      <name val="Arial"/>
      <family val="2"/>
    </font>
    <font>
      <b/>
      <sz val="10"/>
      <color indexed="8"/>
      <name val="Arial"/>
      <family val="2"/>
    </font>
    <font>
      <i/>
      <sz val="8"/>
      <color theme="1"/>
      <name val="Arial"/>
      <family val="2"/>
    </font>
    <font>
      <b/>
      <sz val="10"/>
      <name val="Arial"/>
      <family val="2"/>
    </font>
    <font>
      <i/>
      <sz val="8"/>
      <color indexed="8"/>
      <name val="Arial"/>
      <family val="2"/>
    </font>
    <font>
      <sz val="11"/>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sz val="10"/>
      <color theme="0"/>
      <name val="Arial"/>
      <family val="2"/>
    </font>
    <font>
      <i/>
      <sz val="10"/>
      <color theme="1"/>
      <name val="Arial"/>
      <family val="2"/>
    </font>
    <font>
      <b/>
      <sz val="11"/>
      <color theme="1"/>
      <name val="Calibri"/>
      <family val="2"/>
      <scheme val="minor"/>
    </font>
    <font>
      <sz val="10"/>
      <color theme="1"/>
      <name val="Calibri"/>
      <family val="2"/>
      <scheme val="minor"/>
    </font>
    <font>
      <sz val="10"/>
      <color rgb="FF00B050"/>
      <name val="Arial"/>
      <family val="2"/>
    </font>
    <font>
      <b/>
      <sz val="10"/>
      <color rgb="FF00B050"/>
      <name val="Arial"/>
      <family val="2"/>
    </font>
    <font>
      <b/>
      <i/>
      <sz val="10"/>
      <color rgb="FFFF0000"/>
      <name val="Arial"/>
      <family val="2"/>
    </font>
    <font>
      <b/>
      <i/>
      <sz val="11"/>
      <color theme="1"/>
      <name val="Calibri"/>
      <family val="2"/>
      <scheme val="minor"/>
    </font>
    <font>
      <b/>
      <sz val="11"/>
      <color theme="1"/>
      <name val="Arial"/>
      <family val="2"/>
    </font>
    <font>
      <b/>
      <sz val="18"/>
      <color theme="1"/>
      <name val="Arial"/>
      <family val="2"/>
    </font>
    <font>
      <b/>
      <sz val="9"/>
      <color theme="1"/>
      <name val="Arial"/>
      <family val="2"/>
    </font>
    <font>
      <b/>
      <i/>
      <sz val="10"/>
      <color theme="1"/>
      <name val="Arial"/>
      <family val="2"/>
    </font>
    <font>
      <b/>
      <sz val="8"/>
      <color theme="1"/>
      <name val="Arial"/>
      <family val="2"/>
    </font>
    <font>
      <b/>
      <sz val="8"/>
      <name val="Arial"/>
      <family val="2"/>
    </font>
    <font>
      <sz val="11"/>
      <name val="Arial"/>
      <family val="2"/>
    </font>
    <font>
      <b/>
      <sz val="11"/>
      <color indexed="8"/>
      <name val="Arial"/>
      <family val="2"/>
    </font>
    <font>
      <b/>
      <sz val="11"/>
      <color rgb="FFFF0000"/>
      <name val="Arial"/>
      <family val="2"/>
    </font>
    <font>
      <sz val="11"/>
      <color indexed="8"/>
      <name val="Arial"/>
      <family val="2"/>
    </font>
    <font>
      <b/>
      <sz val="11"/>
      <name val="Arial"/>
      <family val="2"/>
    </font>
    <font>
      <sz val="11"/>
      <color rgb="FFFF0000"/>
      <name val="Arial"/>
      <family val="2"/>
    </font>
    <font>
      <u/>
      <sz val="10"/>
      <color theme="10"/>
      <name val="Arial"/>
      <family val="2"/>
    </font>
    <font>
      <sz val="20"/>
      <color theme="1"/>
      <name val="Arial"/>
      <family val="2"/>
    </font>
    <font>
      <u/>
      <sz val="28"/>
      <color theme="10"/>
      <name val="Arial"/>
      <family val="2"/>
    </font>
    <font>
      <sz val="28"/>
      <color theme="1"/>
      <name val="Arial"/>
      <family val="2"/>
    </font>
    <font>
      <b/>
      <sz val="20"/>
      <name val="Arial"/>
      <family val="2"/>
    </font>
    <font>
      <sz val="2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0" tint="-0.14999847407452621"/>
        <bgColor indexed="64"/>
      </patternFill>
    </fill>
    <fill>
      <patternFill patternType="solid">
        <fgColor rgb="FFFFFF0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thick">
        <color rgb="FF92D050"/>
      </bottom>
      <diagonal/>
    </border>
    <border>
      <left/>
      <right/>
      <top/>
      <bottom style="medium">
        <color rgb="FF92D050"/>
      </bottom>
      <diagonal/>
    </border>
    <border>
      <left/>
      <right/>
      <top style="medium">
        <color rgb="FF92D050"/>
      </top>
      <bottom style="medium">
        <color rgb="FF92D050"/>
      </bottom>
      <diagonal/>
    </border>
    <border>
      <left/>
      <right/>
      <top style="medium">
        <color rgb="FF92D050"/>
      </top>
      <bottom/>
      <diagonal/>
    </border>
    <border>
      <left/>
      <right style="medium">
        <color rgb="FF92D050"/>
      </right>
      <top style="medium">
        <color rgb="FF92D050"/>
      </top>
      <bottom/>
      <diagonal/>
    </border>
    <border>
      <left/>
      <right style="medium">
        <color rgb="FF92D050"/>
      </right>
      <top/>
      <bottom style="medium">
        <color rgb="FF92D050"/>
      </bottom>
      <diagonal/>
    </border>
    <border>
      <left style="medium">
        <color rgb="FF92D050"/>
      </left>
      <right/>
      <top style="medium">
        <color rgb="FF92D050"/>
      </top>
      <bottom style="medium">
        <color rgb="FF92D050"/>
      </bottom>
      <diagonal/>
    </border>
    <border>
      <left/>
      <right style="medium">
        <color rgb="FF92D050"/>
      </right>
      <top style="medium">
        <color rgb="FF92D050"/>
      </top>
      <bottom style="medium">
        <color rgb="FF92D050"/>
      </bottom>
      <diagonal/>
    </border>
  </borders>
  <cellStyleXfs count="8400">
    <xf numFmtId="0" fontId="0" fillId="0" borderId="0"/>
    <xf numFmtId="166" fontId="19" fillId="0" borderId="0" applyFont="0" applyFill="0" applyBorder="0" applyAlignment="0" applyProtection="0"/>
    <xf numFmtId="0" fontId="27" fillId="0" borderId="0" applyNumberFormat="0" applyFill="0" applyBorder="0" applyAlignment="0" applyProtection="0"/>
    <xf numFmtId="0" fontId="28" fillId="0" borderId="1" applyNumberFormat="0" applyFill="0" applyAlignment="0" applyProtection="0"/>
    <xf numFmtId="0" fontId="29" fillId="0" borderId="2" applyNumberFormat="0" applyFill="0" applyAlignment="0" applyProtection="0"/>
    <xf numFmtId="0" fontId="30" fillId="0" borderId="3" applyNumberFormat="0" applyFill="0" applyAlignment="0" applyProtection="0"/>
    <xf numFmtId="0" fontId="30" fillId="0" borderId="0" applyNumberFormat="0" applyFill="0" applyBorder="0" applyAlignment="0" applyProtection="0"/>
    <xf numFmtId="0" fontId="31" fillId="2" borderId="0" applyNumberFormat="0" applyBorder="0" applyAlignment="0" applyProtection="0"/>
    <xf numFmtId="0" fontId="32" fillId="3" borderId="0" applyNumberFormat="0" applyBorder="0" applyAlignment="0" applyProtection="0"/>
    <xf numFmtId="0" fontId="33" fillId="4" borderId="0" applyNumberFormat="0" applyBorder="0" applyAlignment="0" applyProtection="0"/>
    <xf numFmtId="0" fontId="34" fillId="5" borderId="4" applyNumberFormat="0" applyAlignment="0" applyProtection="0"/>
    <xf numFmtId="0" fontId="35" fillId="6" borderId="5" applyNumberFormat="0" applyAlignment="0" applyProtection="0"/>
    <xf numFmtId="0" fontId="36" fillId="6" borderId="4" applyNumberFormat="0" applyAlignment="0" applyProtection="0"/>
    <xf numFmtId="0" fontId="37" fillId="0" borderId="6" applyNumberFormat="0" applyFill="0" applyAlignment="0" applyProtection="0"/>
    <xf numFmtId="0" fontId="38" fillId="7" borderId="7" applyNumberFormat="0" applyAlignment="0" applyProtection="0"/>
    <xf numFmtId="0" fontId="39" fillId="0" borderId="0" applyNumberFormat="0" applyFill="0" applyBorder="0" applyAlignment="0" applyProtection="0"/>
    <xf numFmtId="0" fontId="20" fillId="8" borderId="8" applyNumberFormat="0" applyFont="0" applyAlignment="0" applyProtection="0"/>
    <xf numFmtId="0" fontId="40" fillId="0" borderId="0" applyNumberFormat="0" applyFill="0" applyBorder="0" applyAlignment="0" applyProtection="0"/>
    <xf numFmtId="0" fontId="21" fillId="0" borderId="9" applyNumberFormat="0" applyFill="0" applyAlignment="0" applyProtection="0"/>
    <xf numFmtId="0" fontId="41"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41" fillId="28" borderId="0" applyNumberFormat="0" applyBorder="0" applyAlignment="0" applyProtection="0"/>
    <xf numFmtId="0" fontId="41"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41" fillId="32" borderId="0" applyNumberFormat="0" applyBorder="0" applyAlignment="0" applyProtection="0"/>
    <xf numFmtId="9" fontId="20" fillId="0" borderId="0" applyFont="0" applyFill="0" applyBorder="0" applyAlignment="0" applyProtection="0"/>
    <xf numFmtId="0" fontId="12" fillId="0" borderId="0"/>
    <xf numFmtId="166" fontId="12" fillId="0" borderId="0" applyFont="0" applyFill="0" applyBorder="0" applyAlignment="0" applyProtection="0"/>
    <xf numFmtId="166" fontId="17" fillId="0" borderId="0" applyFont="0" applyFill="0" applyBorder="0" applyAlignment="0" applyProtection="0"/>
    <xf numFmtId="0" fontId="11" fillId="0" borderId="0"/>
    <xf numFmtId="166" fontId="11" fillId="0" borderId="0" applyFont="0" applyFill="0" applyBorder="0" applyAlignment="0" applyProtection="0"/>
    <xf numFmtId="0" fontId="10" fillId="0" borderId="0"/>
    <xf numFmtId="0" fontId="9" fillId="0" borderId="0"/>
    <xf numFmtId="166" fontId="9" fillId="0" borderId="0" applyFont="0" applyFill="0" applyBorder="0" applyAlignment="0" applyProtection="0"/>
    <xf numFmtId="0" fontId="9" fillId="0" borderId="0"/>
    <xf numFmtId="166" fontId="9" fillId="0" borderId="0" applyFont="0" applyFill="0" applyBorder="0" applyAlignment="0" applyProtection="0"/>
    <xf numFmtId="0" fontId="9" fillId="0" borderId="0"/>
    <xf numFmtId="0" fontId="8" fillId="0" borderId="0"/>
    <xf numFmtId="0" fontId="7" fillId="0" borderId="0"/>
    <xf numFmtId="166" fontId="7" fillId="0" borderId="0" applyFont="0" applyFill="0" applyBorder="0" applyAlignment="0" applyProtection="0"/>
    <xf numFmtId="0" fontId="7" fillId="0" borderId="0"/>
    <xf numFmtId="166" fontId="7" fillId="0" borderId="0" applyFont="0" applyFill="0" applyBorder="0" applyAlignment="0" applyProtection="0"/>
    <xf numFmtId="0" fontId="7" fillId="0" borderId="0"/>
    <xf numFmtId="166" fontId="7" fillId="0" borderId="0" applyFont="0" applyFill="0" applyBorder="0" applyAlignment="0" applyProtection="0"/>
    <xf numFmtId="0" fontId="7" fillId="0" borderId="0"/>
    <xf numFmtId="0" fontId="7" fillId="0" borderId="0"/>
    <xf numFmtId="166" fontId="7" fillId="0" borderId="0" applyFont="0" applyFill="0" applyBorder="0" applyAlignment="0" applyProtection="0"/>
    <xf numFmtId="0" fontId="7" fillId="0" borderId="0"/>
    <xf numFmtId="166" fontId="7" fillId="0" borderId="0" applyFont="0" applyFill="0" applyBorder="0" applyAlignment="0" applyProtection="0"/>
    <xf numFmtId="0" fontId="7" fillId="0" borderId="0"/>
    <xf numFmtId="0" fontId="7" fillId="0" borderId="0"/>
    <xf numFmtId="0" fontId="6" fillId="0" borderId="0"/>
    <xf numFmtId="166" fontId="6" fillId="0" borderId="0" applyFont="0" applyFill="0" applyBorder="0" applyAlignment="0" applyProtection="0"/>
    <xf numFmtId="9"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3" fillId="0" borderId="0"/>
    <xf numFmtId="166" fontId="13" fillId="0" borderId="0" applyFont="0" applyFill="0" applyBorder="0" applyAlignment="0" applyProtection="0"/>
    <xf numFmtId="9" fontId="13" fillId="0" borderId="0" applyFont="0" applyFill="0" applyBorder="0" applyAlignment="0" applyProtection="0"/>
    <xf numFmtId="0" fontId="6" fillId="0" borderId="0"/>
    <xf numFmtId="166" fontId="6" fillId="0" borderId="0" applyFont="0" applyFill="0" applyBorder="0" applyAlignment="0" applyProtection="0"/>
    <xf numFmtId="9"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2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2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2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2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2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2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166"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0" fontId="5" fillId="0" borderId="0"/>
    <xf numFmtId="166"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0" fontId="5" fillId="0" borderId="0"/>
    <xf numFmtId="0" fontId="5" fillId="0" borderId="0"/>
    <xf numFmtId="166"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0" fontId="5" fillId="0" borderId="0"/>
    <xf numFmtId="166"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166"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166"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6" fontId="17" fillId="0" borderId="0" applyFont="0" applyFill="0" applyBorder="0" applyAlignment="0" applyProtection="0"/>
    <xf numFmtId="0" fontId="3" fillId="0" borderId="0"/>
    <xf numFmtId="166" fontId="3" fillId="0" borderId="0" applyFont="0" applyFill="0" applyBorder="0" applyAlignment="0" applyProtection="0"/>
    <xf numFmtId="166" fontId="17"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2" fillId="0" borderId="0"/>
    <xf numFmtId="166" fontId="2" fillId="0" borderId="0" applyFont="0" applyFill="0" applyBorder="0" applyAlignment="0" applyProtection="0"/>
    <xf numFmtId="9" fontId="2"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1" fillId="0" borderId="0" applyNumberFormat="0" applyFill="0" applyBorder="0" applyAlignment="0" applyProtection="0"/>
  </cellStyleXfs>
  <cellXfs count="398">
    <xf numFmtId="0" fontId="0" fillId="0" borderId="0" xfId="0"/>
    <xf numFmtId="0" fontId="21" fillId="0" borderId="0" xfId="0" applyFont="1"/>
    <xf numFmtId="166" fontId="0" fillId="0" borderId="0" xfId="1" applyFont="1"/>
    <xf numFmtId="167" fontId="0" fillId="0" borderId="0" xfId="1" applyNumberFormat="1" applyFont="1"/>
    <xf numFmtId="167" fontId="21" fillId="0" borderId="0" xfId="1" applyNumberFormat="1" applyFont="1"/>
    <xf numFmtId="166" fontId="21" fillId="0" borderId="0" xfId="1" applyFont="1"/>
    <xf numFmtId="14" fontId="0" fillId="0" borderId="0" xfId="0" applyNumberFormat="1" applyAlignment="1">
      <alignment horizontal="right"/>
    </xf>
    <xf numFmtId="14" fontId="21" fillId="0" borderId="0" xfId="0" applyNumberFormat="1" applyFont="1" applyAlignment="1">
      <alignment horizontal="right"/>
    </xf>
    <xf numFmtId="0" fontId="23" fillId="0" borderId="0" xfId="0" applyFont="1" applyFill="1"/>
    <xf numFmtId="0" fontId="25" fillId="0" borderId="0" xfId="0" applyFont="1" applyFill="1"/>
    <xf numFmtId="0" fontId="0" fillId="0" borderId="0" xfId="0" applyFont="1"/>
    <xf numFmtId="17" fontId="21" fillId="0" borderId="0" xfId="0" quotePrefix="1" applyNumberFormat="1" applyFont="1" applyAlignment="1">
      <alignment horizontal="right"/>
    </xf>
    <xf numFmtId="14" fontId="0" fillId="0" borderId="0" xfId="0" applyNumberFormat="1" applyFont="1" applyAlignment="1">
      <alignment horizontal="right"/>
    </xf>
    <xf numFmtId="169" fontId="24" fillId="0" borderId="0" xfId="0" applyNumberFormat="1" applyFont="1"/>
    <xf numFmtId="0" fontId="22" fillId="0" borderId="0" xfId="0" applyFont="1"/>
    <xf numFmtId="167" fontId="0" fillId="0" borderId="0" xfId="0" applyNumberFormat="1" applyFont="1"/>
    <xf numFmtId="3" fontId="21" fillId="0" borderId="0" xfId="0" applyNumberFormat="1" applyFont="1"/>
    <xf numFmtId="0" fontId="21" fillId="0" borderId="0" xfId="0" applyFont="1"/>
    <xf numFmtId="0" fontId="42" fillId="0" borderId="0" xfId="0" applyFont="1"/>
    <xf numFmtId="3" fontId="0" fillId="0" borderId="0" xfId="0" applyNumberFormat="1" applyFont="1"/>
    <xf numFmtId="166" fontId="0" fillId="0" borderId="0" xfId="0" applyNumberFormat="1"/>
    <xf numFmtId="0" fontId="26" fillId="0" borderId="0" xfId="0" applyFont="1"/>
    <xf numFmtId="169" fontId="18" fillId="0" borderId="0" xfId="0" applyNumberFormat="1" applyFont="1"/>
    <xf numFmtId="168" fontId="21" fillId="0" borderId="0" xfId="0" applyNumberFormat="1" applyFont="1"/>
    <xf numFmtId="0" fontId="21" fillId="0" borderId="0" xfId="0" applyFont="1" applyAlignment="1">
      <alignment horizontal="right"/>
    </xf>
    <xf numFmtId="0" fontId="21" fillId="0" borderId="0" xfId="0" quotePrefix="1" applyFont="1" applyAlignment="1">
      <alignment horizontal="right"/>
    </xf>
    <xf numFmtId="0" fontId="21" fillId="0" borderId="0" xfId="0" applyFont="1"/>
    <xf numFmtId="167" fontId="0" fillId="0" borderId="0" xfId="0" applyNumberFormat="1" applyFont="1"/>
    <xf numFmtId="0" fontId="0" fillId="0" borderId="0" xfId="0" applyFont="1"/>
    <xf numFmtId="167" fontId="17" fillId="0" borderId="0" xfId="0" applyNumberFormat="1" applyFont="1" applyFill="1"/>
    <xf numFmtId="3" fontId="18" fillId="0" borderId="0" xfId="0" applyNumberFormat="1" applyFont="1"/>
    <xf numFmtId="167" fontId="22" fillId="0" borderId="0" xfId="0" applyNumberFormat="1" applyFont="1" applyFill="1"/>
    <xf numFmtId="167" fontId="0" fillId="0" borderId="0" xfId="0" applyNumberFormat="1" applyFont="1" applyFill="1"/>
    <xf numFmtId="167" fontId="21" fillId="0" borderId="0" xfId="0" applyNumberFormat="1" applyFont="1"/>
    <xf numFmtId="0" fontId="21" fillId="0" borderId="0" xfId="0" applyFont="1"/>
    <xf numFmtId="0" fontId="24" fillId="0" borderId="0" xfId="0" applyFont="1"/>
    <xf numFmtId="167" fontId="18" fillId="0" borderId="0" xfId="0" applyNumberFormat="1" applyFont="1"/>
    <xf numFmtId="168" fontId="0" fillId="0" borderId="0" xfId="0" applyNumberFormat="1" applyFont="1"/>
    <xf numFmtId="168" fontId="21" fillId="0" borderId="0" xfId="0" applyNumberFormat="1" applyFont="1"/>
    <xf numFmtId="0" fontId="21" fillId="0" borderId="0" xfId="0" applyFont="1" applyAlignment="1">
      <alignment horizontal="right"/>
    </xf>
    <xf numFmtId="167" fontId="26" fillId="0" borderId="0" xfId="0" applyNumberFormat="1" applyFont="1"/>
    <xf numFmtId="0" fontId="0" fillId="0" borderId="0" xfId="0"/>
    <xf numFmtId="0" fontId="26" fillId="0" borderId="0" xfId="0" applyFont="1"/>
    <xf numFmtId="0" fontId="0" fillId="0" borderId="0" xfId="0"/>
    <xf numFmtId="167" fontId="0" fillId="0" borderId="0" xfId="0" applyNumberFormat="1" applyFont="1" applyFill="1" applyBorder="1"/>
    <xf numFmtId="167" fontId="0" fillId="0" borderId="0" xfId="0" applyNumberFormat="1" applyFont="1" applyAlignment="1">
      <alignment horizontal="right"/>
    </xf>
    <xf numFmtId="0" fontId="0" fillId="0" borderId="0" xfId="0" applyFont="1" applyAlignment="1">
      <alignment horizontal="right"/>
    </xf>
    <xf numFmtId="0" fontId="44" fillId="0" borderId="0" xfId="0" applyFont="1"/>
    <xf numFmtId="167" fontId="0" fillId="0" borderId="0" xfId="0" applyNumberFormat="1" applyFont="1" applyFill="1" applyBorder="1" applyAlignment="1">
      <alignment horizontal="right"/>
    </xf>
    <xf numFmtId="167" fontId="17" fillId="0" borderId="0" xfId="0" applyNumberFormat="1" applyFont="1"/>
    <xf numFmtId="167" fontId="22" fillId="0" borderId="0" xfId="0" applyNumberFormat="1" applyFont="1"/>
    <xf numFmtId="168" fontId="22" fillId="0" borderId="0" xfId="0" applyNumberFormat="1" applyFont="1"/>
    <xf numFmtId="0" fontId="46" fillId="0" borderId="0" xfId="0" applyFont="1"/>
    <xf numFmtId="168" fontId="0" fillId="0" borderId="0" xfId="0" applyNumberFormat="1" applyFont="1" applyAlignment="1">
      <alignment horizontal="right"/>
    </xf>
    <xf numFmtId="167" fontId="46" fillId="0" borderId="0" xfId="0" applyNumberFormat="1" applyFont="1"/>
    <xf numFmtId="167" fontId="45" fillId="0" borderId="0" xfId="0" applyNumberFormat="1" applyFont="1"/>
    <xf numFmtId="0" fontId="21" fillId="0" borderId="0" xfId="0" applyFont="1"/>
    <xf numFmtId="168" fontId="0" fillId="0" borderId="0" xfId="1" applyNumberFormat="1" applyFont="1"/>
    <xf numFmtId="0" fontId="21" fillId="0" borderId="0" xfId="0" applyFont="1"/>
    <xf numFmtId="0" fontId="23" fillId="0" borderId="0" xfId="0" applyFont="1"/>
    <xf numFmtId="0" fontId="21" fillId="0" borderId="0" xfId="0" applyFont="1"/>
    <xf numFmtId="0" fontId="21" fillId="0" borderId="0" xfId="0" applyFont="1"/>
    <xf numFmtId="167" fontId="0" fillId="0" borderId="0" xfId="0" applyNumberFormat="1" applyFont="1"/>
    <xf numFmtId="167" fontId="17" fillId="0" borderId="0" xfId="1" applyNumberFormat="1" applyFont="1"/>
    <xf numFmtId="0" fontId="21" fillId="0" borderId="0" xfId="0" applyFont="1"/>
    <xf numFmtId="0" fontId="21" fillId="0" borderId="0" xfId="0" applyFont="1"/>
    <xf numFmtId="167" fontId="24" fillId="0" borderId="0" xfId="0" quotePrefix="1" applyNumberFormat="1" applyFont="1" applyAlignment="1">
      <alignment horizontal="right"/>
    </xf>
    <xf numFmtId="167" fontId="16" fillId="0" borderId="0" xfId="0" applyNumberFormat="1" applyFont="1"/>
    <xf numFmtId="167" fontId="20" fillId="0" borderId="0" xfId="0" applyNumberFormat="1" applyFont="1"/>
    <xf numFmtId="0" fontId="45" fillId="0" borderId="0" xfId="0" applyFont="1"/>
    <xf numFmtId="167" fontId="16" fillId="0" borderId="0" xfId="0" applyNumberFormat="1" applyFont="1"/>
    <xf numFmtId="0" fontId="16" fillId="0" borderId="0" xfId="0" applyFont="1"/>
    <xf numFmtId="167" fontId="15" fillId="0" borderId="0" xfId="0" applyNumberFormat="1" applyFont="1"/>
    <xf numFmtId="167" fontId="0" fillId="0" borderId="0" xfId="0" applyNumberFormat="1"/>
    <xf numFmtId="0" fontId="21" fillId="0" borderId="0" xfId="0" applyFont="1"/>
    <xf numFmtId="167" fontId="14" fillId="0" borderId="0" xfId="0" applyNumberFormat="1" applyFont="1"/>
    <xf numFmtId="167" fontId="13" fillId="0" borderId="0" xfId="0" applyNumberFormat="1" applyFont="1"/>
    <xf numFmtId="167" fontId="13" fillId="0" borderId="0" xfId="1" applyNumberFormat="1" applyFont="1"/>
    <xf numFmtId="167" fontId="13" fillId="0" borderId="0" xfId="0" applyNumberFormat="1" applyFont="1"/>
    <xf numFmtId="167" fontId="13" fillId="0" borderId="0" xfId="0" applyNumberFormat="1" applyFont="1"/>
    <xf numFmtId="167" fontId="13" fillId="0" borderId="0" xfId="0" applyNumberFormat="1" applyFont="1"/>
    <xf numFmtId="170" fontId="43" fillId="0" borderId="0" xfId="0" applyNumberFormat="1" applyFont="1" applyFill="1" applyBorder="1" applyAlignment="1">
      <alignment horizontal="right"/>
    </xf>
    <xf numFmtId="170" fontId="43" fillId="0" borderId="0" xfId="0" applyNumberFormat="1" applyFont="1" applyFill="1" applyBorder="1" applyAlignment="1">
      <alignment wrapText="1"/>
    </xf>
    <xf numFmtId="0" fontId="22" fillId="0" borderId="0" xfId="0" quotePrefix="1" applyFont="1"/>
    <xf numFmtId="0" fontId="21" fillId="0" borderId="0" xfId="0" applyFont="1"/>
    <xf numFmtId="0" fontId="21" fillId="0" borderId="0" xfId="0" applyFont="1" applyAlignment="1">
      <alignment horizontal="left"/>
    </xf>
    <xf numFmtId="166" fontId="21" fillId="0" borderId="0" xfId="1" applyFont="1" applyAlignment="1">
      <alignment horizontal="left"/>
    </xf>
    <xf numFmtId="14" fontId="21" fillId="0" borderId="0" xfId="0" applyNumberFormat="1" applyFont="1" applyAlignment="1">
      <alignment horizontal="left"/>
    </xf>
    <xf numFmtId="167" fontId="15" fillId="0" borderId="0" xfId="1" applyNumberFormat="1" applyFont="1"/>
    <xf numFmtId="0" fontId="48" fillId="0" borderId="0" xfId="0" applyFont="1"/>
    <xf numFmtId="172" fontId="0" fillId="0" borderId="0" xfId="0" applyNumberFormat="1"/>
    <xf numFmtId="0" fontId="43" fillId="0" borderId="0" xfId="0" applyFont="1"/>
    <xf numFmtId="3" fontId="43" fillId="0" borderId="0" xfId="0" applyNumberFormat="1" applyFont="1"/>
    <xf numFmtId="172" fontId="43" fillId="0" borderId="0" xfId="0" applyNumberFormat="1" applyFont="1"/>
    <xf numFmtId="167" fontId="43" fillId="0" borderId="0" xfId="1" applyNumberFormat="1" applyFont="1"/>
    <xf numFmtId="167" fontId="43" fillId="0" borderId="0" xfId="0" applyNumberFormat="1" applyFont="1"/>
    <xf numFmtId="171" fontId="0" fillId="0" borderId="0" xfId="1" applyNumberFormat="1" applyFont="1"/>
    <xf numFmtId="171" fontId="43" fillId="0" borderId="0" xfId="0" applyNumberFormat="1" applyFont="1"/>
    <xf numFmtId="171" fontId="0" fillId="0" borderId="0" xfId="0" applyNumberFormat="1"/>
    <xf numFmtId="0" fontId="0" fillId="0" borderId="0" xfId="0" applyBorder="1"/>
    <xf numFmtId="0" fontId="43" fillId="33" borderId="0" xfId="0" applyFont="1" applyFill="1"/>
    <xf numFmtId="0" fontId="0" fillId="33" borderId="0" xfId="0" applyFill="1"/>
    <xf numFmtId="172" fontId="0" fillId="33" borderId="0" xfId="0" applyNumberFormat="1" applyFill="1"/>
    <xf numFmtId="0" fontId="43" fillId="0" borderId="0" xfId="0" applyFont="1" applyFill="1" applyBorder="1" applyAlignment="1">
      <alignment horizontal="right" wrapText="1"/>
    </xf>
    <xf numFmtId="170" fontId="43" fillId="0" borderId="0" xfId="0" applyNumberFormat="1" applyFont="1" applyFill="1" applyBorder="1" applyAlignment="1">
      <alignment horizontal="right" wrapText="1"/>
    </xf>
    <xf numFmtId="14" fontId="0" fillId="0" borderId="0" xfId="0" applyNumberFormat="1" applyBorder="1"/>
    <xf numFmtId="172" fontId="21" fillId="0" borderId="0" xfId="0" applyNumberFormat="1" applyFont="1"/>
    <xf numFmtId="0" fontId="21" fillId="0" borderId="0" xfId="0" applyFont="1"/>
    <xf numFmtId="0" fontId="0" fillId="0" borderId="11" xfId="0" applyFont="1" applyBorder="1"/>
    <xf numFmtId="0" fontId="21" fillId="0" borderId="11" xfId="0" applyFont="1" applyBorder="1"/>
    <xf numFmtId="167" fontId="0" fillId="0" borderId="11" xfId="0" applyNumberFormat="1" applyFont="1" applyBorder="1"/>
    <xf numFmtId="0" fontId="0" fillId="0" borderId="11" xfId="0" applyBorder="1"/>
    <xf numFmtId="0" fontId="0" fillId="0" borderId="11" xfId="0" applyFont="1" applyBorder="1"/>
    <xf numFmtId="167" fontId="21" fillId="0" borderId="11" xfId="0" applyNumberFormat="1" applyFont="1" applyBorder="1"/>
    <xf numFmtId="167" fontId="0" fillId="0" borderId="11" xfId="1" applyNumberFormat="1" applyFont="1" applyBorder="1"/>
    <xf numFmtId="0" fontId="21" fillId="0" borderId="12" xfId="0" applyFont="1" applyBorder="1" applyAlignment="1">
      <alignment horizontal="right"/>
    </xf>
    <xf numFmtId="0" fontId="0" fillId="0" borderId="12" xfId="0" applyFont="1" applyBorder="1"/>
    <xf numFmtId="0" fontId="21" fillId="0" borderId="12" xfId="0" applyFont="1" applyBorder="1"/>
    <xf numFmtId="167" fontId="0" fillId="0" borderId="12" xfId="0" applyNumberFormat="1" applyFont="1" applyBorder="1"/>
    <xf numFmtId="0" fontId="22" fillId="0" borderId="12" xfId="0" applyFont="1" applyFill="1" applyBorder="1"/>
    <xf numFmtId="0" fontId="47" fillId="0" borderId="12" xfId="0" applyFont="1" applyFill="1" applyBorder="1"/>
    <xf numFmtId="0" fontId="24" fillId="0" borderId="12" xfId="0" applyFont="1" applyBorder="1"/>
    <xf numFmtId="0" fontId="18" fillId="0" borderId="12" xfId="0" applyFont="1" applyBorder="1"/>
    <xf numFmtId="0" fontId="18" fillId="0" borderId="12" xfId="0" applyFont="1" applyFill="1" applyBorder="1"/>
    <xf numFmtId="0" fontId="18" fillId="0" borderId="0" xfId="0" applyFont="1"/>
    <xf numFmtId="0" fontId="50" fillId="0" borderId="0" xfId="0" applyFont="1" applyAlignment="1">
      <alignment vertical="center"/>
    </xf>
    <xf numFmtId="14" fontId="0" fillId="0" borderId="0" xfId="0" applyNumberFormat="1" applyFont="1"/>
    <xf numFmtId="167" fontId="26" fillId="0" borderId="0" xfId="1" applyNumberFormat="1" applyFont="1"/>
    <xf numFmtId="167" fontId="26" fillId="0" borderId="11" xfId="1" applyNumberFormat="1" applyFont="1" applyBorder="1"/>
    <xf numFmtId="167" fontId="0" fillId="0" borderId="0" xfId="0" applyNumberFormat="1" applyFont="1"/>
    <xf numFmtId="0" fontId="0" fillId="0" borderId="0" xfId="0" applyFont="1" applyFill="1"/>
    <xf numFmtId="167" fontId="0" fillId="0" borderId="0" xfId="0" applyNumberFormat="1" applyFont="1" applyFill="1"/>
    <xf numFmtId="167" fontId="26" fillId="0" borderId="0" xfId="0" applyNumberFormat="1" applyFont="1"/>
    <xf numFmtId="0" fontId="26" fillId="0" borderId="0" xfId="0" applyFont="1"/>
    <xf numFmtId="3" fontId="0" fillId="0" borderId="12" xfId="0" applyNumberFormat="1" applyFont="1" applyBorder="1"/>
    <xf numFmtId="167" fontId="49" fillId="0" borderId="0" xfId="0" applyNumberFormat="1" applyFont="1"/>
    <xf numFmtId="0" fontId="0" fillId="0" borderId="0" xfId="0" applyFont="1"/>
    <xf numFmtId="0" fontId="21" fillId="33" borderId="0" xfId="0" applyFont="1" applyFill="1"/>
    <xf numFmtId="0" fontId="0" fillId="33" borderId="0" xfId="0" applyFont="1" applyFill="1"/>
    <xf numFmtId="0" fontId="52" fillId="0" borderId="0" xfId="0" applyFont="1"/>
    <xf numFmtId="172" fontId="0" fillId="0" borderId="0" xfId="0" applyNumberFormat="1" applyFont="1"/>
    <xf numFmtId="171" fontId="0" fillId="0" borderId="0" xfId="0" applyNumberFormat="1" applyFont="1"/>
    <xf numFmtId="168" fontId="0" fillId="0" borderId="11" xfId="0" applyNumberFormat="1" applyFont="1" applyBorder="1"/>
    <xf numFmtId="168" fontId="0" fillId="0" borderId="11" xfId="1" applyNumberFormat="1" applyFont="1" applyBorder="1"/>
    <xf numFmtId="167" fontId="0" fillId="0" borderId="11" xfId="0" applyNumberFormat="1" applyFont="1" applyFill="1" applyBorder="1" applyAlignment="1">
      <alignment horizontal="right"/>
    </xf>
    <xf numFmtId="0" fontId="21" fillId="0" borderId="11" xfId="0" applyFont="1" applyBorder="1"/>
    <xf numFmtId="168" fontId="0" fillId="0" borderId="11" xfId="0" applyNumberFormat="1" applyFont="1" applyBorder="1" applyAlignment="1">
      <alignment horizontal="right"/>
    </xf>
    <xf numFmtId="0" fontId="21" fillId="0" borderId="0" xfId="0" applyFont="1"/>
    <xf numFmtId="0" fontId="21" fillId="35" borderId="0" xfId="0" applyFont="1" applyFill="1"/>
    <xf numFmtId="0" fontId="21" fillId="0" borderId="0" xfId="0" quotePrefix="1" applyFont="1"/>
    <xf numFmtId="16" fontId="22" fillId="0" borderId="0" xfId="0" quotePrefix="1" applyNumberFormat="1" applyFont="1"/>
    <xf numFmtId="16" fontId="21" fillId="0" borderId="0" xfId="0" quotePrefix="1" applyNumberFormat="1" applyFont="1" applyAlignment="1">
      <alignment horizontal="left"/>
    </xf>
    <xf numFmtId="0" fontId="0" fillId="35" borderId="0" xfId="0" applyFont="1" applyFill="1"/>
    <xf numFmtId="0" fontId="53" fillId="35" borderId="0" xfId="44" applyFont="1" applyFill="1" applyAlignment="1"/>
    <xf numFmtId="14" fontId="0" fillId="0" borderId="0" xfId="0" applyNumberFormat="1"/>
    <xf numFmtId="0" fontId="0" fillId="0" borderId="0" xfId="0"/>
    <xf numFmtId="0" fontId="21" fillId="0" borderId="0" xfId="0" applyFont="1"/>
    <xf numFmtId="0" fontId="0" fillId="0" borderId="0" xfId="0" applyFont="1"/>
    <xf numFmtId="167" fontId="0" fillId="0" borderId="0" xfId="0" applyNumberFormat="1" applyFont="1"/>
    <xf numFmtId="3" fontId="0" fillId="0" borderId="0" xfId="0" applyNumberFormat="1" applyFont="1"/>
    <xf numFmtId="0" fontId="0" fillId="0" borderId="0" xfId="0" applyFont="1" applyFill="1"/>
    <xf numFmtId="0" fontId="21" fillId="35" borderId="0" xfId="0" applyFont="1" applyFill="1"/>
    <xf numFmtId="0" fontId="53" fillId="35" borderId="0" xfId="0" applyFont="1" applyFill="1"/>
    <xf numFmtId="0" fontId="11" fillId="0" borderId="0" xfId="47" applyFill="1"/>
    <xf numFmtId="0" fontId="53" fillId="0" borderId="0" xfId="47" applyFont="1" applyFill="1" applyAlignment="1"/>
    <xf numFmtId="10" fontId="21" fillId="0" borderId="0" xfId="43" applyNumberFormat="1" applyFont="1"/>
    <xf numFmtId="10" fontId="21" fillId="33" borderId="0" xfId="43" applyNumberFormat="1" applyFont="1" applyFill="1"/>
    <xf numFmtId="167" fontId="21" fillId="33" borderId="0" xfId="1" applyNumberFormat="1" applyFont="1" applyFill="1"/>
    <xf numFmtId="10" fontId="0" fillId="33" borderId="0" xfId="43" applyNumberFormat="1" applyFont="1" applyFill="1"/>
    <xf numFmtId="0" fontId="49" fillId="0" borderId="0" xfId="0" applyNumberFormat="1" applyFont="1"/>
    <xf numFmtId="0" fontId="0" fillId="0" borderId="0" xfId="1" applyNumberFormat="1" applyFont="1"/>
    <xf numFmtId="0" fontId="21" fillId="0" borderId="0" xfId="0" applyNumberFormat="1" applyFont="1"/>
    <xf numFmtId="0" fontId="21" fillId="0" borderId="0" xfId="1" applyNumberFormat="1" applyFont="1"/>
    <xf numFmtId="0" fontId="0" fillId="0" borderId="0" xfId="0" applyNumberFormat="1"/>
    <xf numFmtId="0" fontId="0" fillId="0" borderId="0" xfId="0" applyNumberFormat="1" applyFont="1" applyFill="1"/>
    <xf numFmtId="0" fontId="18" fillId="0" borderId="0" xfId="0" applyNumberFormat="1" applyFont="1"/>
    <xf numFmtId="0" fontId="26" fillId="0" borderId="0" xfId="0" applyNumberFormat="1" applyFont="1"/>
    <xf numFmtId="0" fontId="0" fillId="0" borderId="0" xfId="0" applyNumberFormat="1" applyFont="1"/>
    <xf numFmtId="10" fontId="0" fillId="0" borderId="0" xfId="43" applyNumberFormat="1" applyFont="1"/>
    <xf numFmtId="0" fontId="21" fillId="34" borderId="12" xfId="0" applyFont="1" applyFill="1" applyBorder="1" applyAlignment="1">
      <alignment horizontal="right" wrapText="1"/>
    </xf>
    <xf numFmtId="166" fontId="49" fillId="34" borderId="0" xfId="1" applyFont="1" applyFill="1"/>
    <xf numFmtId="166" fontId="26" fillId="0" borderId="11" xfId="1" applyFont="1" applyBorder="1"/>
    <xf numFmtId="166" fontId="26" fillId="0" borderId="0" xfId="1" applyFont="1"/>
    <xf numFmtId="166" fontId="26" fillId="0" borderId="0" xfId="1" applyFont="1" applyFill="1"/>
    <xf numFmtId="10" fontId="55" fillId="0" borderId="14" xfId="43" applyNumberFormat="1" applyFont="1" applyBorder="1"/>
    <xf numFmtId="0" fontId="0" fillId="0" borderId="0" xfId="0"/>
    <xf numFmtId="0" fontId="0" fillId="0" borderId="0" xfId="0" applyFont="1"/>
    <xf numFmtId="0" fontId="0" fillId="35" borderId="0" xfId="0" applyFont="1" applyFill="1"/>
    <xf numFmtId="0" fontId="5" fillId="0" borderId="0" xfId="334" applyFill="1"/>
    <xf numFmtId="0" fontId="53" fillId="0" borderId="0" xfId="334" applyFont="1" applyFill="1" applyAlignment="1"/>
    <xf numFmtId="14" fontId="53" fillId="0" borderId="0" xfId="334" applyNumberFormat="1" applyFont="1" applyFill="1" applyAlignment="1"/>
    <xf numFmtId="14" fontId="5" fillId="0" borderId="0" xfId="334" applyNumberFormat="1" applyFill="1"/>
    <xf numFmtId="11" fontId="0" fillId="0" borderId="0" xfId="0" applyNumberFormat="1" applyFont="1"/>
    <xf numFmtId="167" fontId="26" fillId="0" borderId="0" xfId="1" applyNumberFormat="1" applyFont="1" applyFill="1"/>
    <xf numFmtId="0" fontId="49" fillId="34" borderId="14" xfId="0" applyFont="1" applyFill="1" applyBorder="1"/>
    <xf numFmtId="166" fontId="49" fillId="34" borderId="12" xfId="1" applyFont="1" applyFill="1" applyBorder="1" applyAlignment="1">
      <alignment horizontal="left"/>
    </xf>
    <xf numFmtId="17" fontId="26" fillId="0" borderId="0" xfId="0" applyNumberFormat="1" applyFont="1" applyFill="1" applyAlignment="1">
      <alignment horizontal="right"/>
    </xf>
    <xf numFmtId="166" fontId="26" fillId="0" borderId="0" xfId="0" applyNumberFormat="1" applyFont="1" applyFill="1" applyAlignment="1">
      <alignment horizontal="right"/>
    </xf>
    <xf numFmtId="10" fontId="55" fillId="0" borderId="0" xfId="43" applyNumberFormat="1" applyFont="1" applyBorder="1"/>
    <xf numFmtId="167" fontId="49" fillId="0" borderId="0" xfId="1" applyNumberFormat="1" applyFont="1"/>
    <xf numFmtId="0" fontId="49" fillId="34" borderId="0" xfId="0" applyFont="1" applyFill="1" applyAlignment="1"/>
    <xf numFmtId="166" fontId="26" fillId="0" borderId="0" xfId="1" applyNumberFormat="1" applyFont="1"/>
    <xf numFmtId="0" fontId="26" fillId="0" borderId="0" xfId="0" applyFont="1" applyFill="1" applyAlignment="1">
      <alignment horizontal="right"/>
    </xf>
    <xf numFmtId="167" fontId="26" fillId="0" borderId="0" xfId="0" applyNumberFormat="1" applyFont="1" applyFill="1" applyAlignment="1">
      <alignment horizontal="right"/>
    </xf>
    <xf numFmtId="166" fontId="49" fillId="34" borderId="0" xfId="1" applyFont="1" applyFill="1" applyBorder="1"/>
    <xf numFmtId="0" fontId="0" fillId="0" borderId="0" xfId="0"/>
    <xf numFmtId="0" fontId="21" fillId="0" borderId="0" xfId="0" applyFont="1"/>
    <xf numFmtId="0" fontId="0" fillId="0" borderId="0" xfId="0" applyFont="1"/>
    <xf numFmtId="0" fontId="22" fillId="0" borderId="0" xfId="0" applyFont="1"/>
    <xf numFmtId="0" fontId="17" fillId="0" borderId="0" xfId="0" applyFont="1"/>
    <xf numFmtId="167" fontId="0" fillId="0" borderId="0" xfId="0" applyNumberFormat="1" applyFont="1"/>
    <xf numFmtId="0" fontId="21" fillId="0" borderId="0" xfId="0" applyFont="1" applyAlignment="1">
      <alignment horizontal="right"/>
    </xf>
    <xf numFmtId="0" fontId="21" fillId="0" borderId="0" xfId="0" quotePrefix="1" applyFont="1" applyAlignment="1">
      <alignment horizontal="right"/>
    </xf>
    <xf numFmtId="167" fontId="18" fillId="0" borderId="0" xfId="0" applyNumberFormat="1" applyFont="1"/>
    <xf numFmtId="167" fontId="0" fillId="0" borderId="0" xfId="0" applyNumberFormat="1" applyFont="1" applyAlignment="1">
      <alignment horizontal="right"/>
    </xf>
    <xf numFmtId="0" fontId="17" fillId="0" borderId="0" xfId="0" applyFont="1" applyAlignment="1">
      <alignment horizontal="right"/>
    </xf>
    <xf numFmtId="2" fontId="17" fillId="0" borderId="0" xfId="0" applyNumberFormat="1" applyFont="1"/>
    <xf numFmtId="0" fontId="0" fillId="35" borderId="0" xfId="0" applyFont="1" applyFill="1"/>
    <xf numFmtId="167" fontId="0" fillId="35" borderId="0" xfId="0" applyNumberFormat="1" applyFont="1" applyFill="1"/>
    <xf numFmtId="0" fontId="5" fillId="0" borderId="0" xfId="586" applyFill="1"/>
    <xf numFmtId="0" fontId="53" fillId="0" borderId="0" xfId="586" applyFont="1" applyFill="1" applyAlignment="1"/>
    <xf numFmtId="11" fontId="0" fillId="0" borderId="0" xfId="0" applyNumberFormat="1" applyFont="1"/>
    <xf numFmtId="0" fontId="21" fillId="0" borderId="0" xfId="0" applyFont="1" applyAlignment="1"/>
    <xf numFmtId="0" fontId="53" fillId="35" borderId="0" xfId="0" applyFont="1" applyFill="1"/>
    <xf numFmtId="0" fontId="0" fillId="0" borderId="0" xfId="0"/>
    <xf numFmtId="0" fontId="0" fillId="0" borderId="0" xfId="0" applyFont="1"/>
    <xf numFmtId="167" fontId="0" fillId="0" borderId="0" xfId="0" applyNumberFormat="1" applyFont="1"/>
    <xf numFmtId="167" fontId="20" fillId="0" borderId="0" xfId="0" applyNumberFormat="1" applyFont="1"/>
    <xf numFmtId="167" fontId="21" fillId="0" borderId="0" xfId="0" applyNumberFormat="1" applyFont="1"/>
    <xf numFmtId="167" fontId="13" fillId="0" borderId="0" xfId="0" applyNumberFormat="1" applyFont="1"/>
    <xf numFmtId="0" fontId="5" fillId="0" borderId="0" xfId="586" applyFill="1"/>
    <xf numFmtId="0" fontId="53" fillId="0" borderId="0" xfId="586" applyFont="1" applyFill="1" applyAlignment="1"/>
    <xf numFmtId="166" fontId="13" fillId="0" borderId="0" xfId="46" applyFont="1"/>
    <xf numFmtId="166" fontId="53" fillId="0" borderId="0" xfId="46" applyFont="1" applyFill="1" applyAlignment="1"/>
    <xf numFmtId="166" fontId="5" fillId="0" borderId="0" xfId="46" applyFont="1" applyFill="1"/>
    <xf numFmtId="0" fontId="0" fillId="0" borderId="0" xfId="0"/>
    <xf numFmtId="0" fontId="0" fillId="35" borderId="0" xfId="0" applyFont="1" applyFill="1"/>
    <xf numFmtId="0" fontId="5" fillId="0" borderId="0" xfId="586" applyFill="1"/>
    <xf numFmtId="0" fontId="53" fillId="0" borderId="0" xfId="586" applyFont="1" applyFill="1" applyAlignment="1"/>
    <xf numFmtId="0" fontId="53" fillId="35" borderId="0" xfId="586" applyFont="1" applyFill="1" applyAlignment="1"/>
    <xf numFmtId="11" fontId="5" fillId="0" borderId="0" xfId="586" applyNumberFormat="1" applyFill="1"/>
    <xf numFmtId="0" fontId="0" fillId="0" borderId="0" xfId="0"/>
    <xf numFmtId="0" fontId="21" fillId="0" borderId="0" xfId="0" applyFont="1"/>
    <xf numFmtId="0" fontId="0" fillId="0" borderId="0" xfId="0" applyFont="1"/>
    <xf numFmtId="0" fontId="26" fillId="0" borderId="0" xfId="0" applyFont="1"/>
    <xf numFmtId="167" fontId="26" fillId="0" borderId="0" xfId="0" applyNumberFormat="1" applyFont="1"/>
    <xf numFmtId="167" fontId="49" fillId="0" borderId="0" xfId="0" applyNumberFormat="1" applyFont="1"/>
    <xf numFmtId="0" fontId="5" fillId="0" borderId="0" xfId="0" applyFont="1"/>
    <xf numFmtId="0" fontId="53" fillId="35" borderId="0" xfId="586" applyFont="1" applyFill="1" applyAlignment="1"/>
    <xf numFmtId="0" fontId="5" fillId="0" borderId="0" xfId="586" applyFill="1"/>
    <xf numFmtId="0" fontId="53" fillId="0" borderId="0" xfId="586" applyFont="1" applyFill="1" applyAlignment="1"/>
    <xf numFmtId="0" fontId="0" fillId="0" borderId="0" xfId="0" applyFont="1" applyFill="1"/>
    <xf numFmtId="0" fontId="53" fillId="35" borderId="0" xfId="0" applyFont="1" applyFill="1"/>
    <xf numFmtId="167" fontId="53" fillId="0" borderId="0" xfId="335" applyNumberFormat="1" applyFont="1" applyFill="1" applyAlignment="1"/>
    <xf numFmtId="167" fontId="5" fillId="0" borderId="0" xfId="335" applyNumberFormat="1" applyFont="1" applyFill="1"/>
    <xf numFmtId="0" fontId="54" fillId="35" borderId="0" xfId="0" applyFont="1" applyFill="1"/>
    <xf numFmtId="0" fontId="54" fillId="35" borderId="0" xfId="586" applyFont="1" applyFill="1" applyAlignment="1"/>
    <xf numFmtId="0" fontId="53" fillId="35" borderId="0" xfId="587" applyFont="1" applyFill="1" applyAlignment="1"/>
    <xf numFmtId="0" fontId="0" fillId="0" borderId="0" xfId="0" applyNumberFormat="1" applyFont="1"/>
    <xf numFmtId="0" fontId="5" fillId="0" borderId="0" xfId="587" applyFill="1"/>
    <xf numFmtId="0" fontId="53" fillId="0" borderId="0" xfId="587" applyFont="1" applyFill="1" applyAlignment="1"/>
    <xf numFmtId="0" fontId="5" fillId="0" borderId="0" xfId="581" applyFill="1"/>
    <xf numFmtId="0" fontId="53" fillId="0" borderId="0" xfId="581" applyFont="1" applyFill="1" applyAlignment="1"/>
    <xf numFmtId="0" fontId="53" fillId="35" borderId="0" xfId="581" applyFont="1" applyFill="1" applyAlignment="1"/>
    <xf numFmtId="167" fontId="53" fillId="0" borderId="0" xfId="573" applyNumberFormat="1" applyFont="1" applyFill="1" applyAlignment="1"/>
    <xf numFmtId="167" fontId="5" fillId="0" borderId="0" xfId="573" applyNumberFormat="1" applyFont="1" applyFill="1"/>
    <xf numFmtId="167" fontId="53" fillId="0" borderId="0" xfId="46" applyNumberFormat="1" applyFont="1" applyFill="1" applyAlignment="1"/>
    <xf numFmtId="167" fontId="5" fillId="0" borderId="0" xfId="46" applyNumberFormat="1" applyFont="1" applyFill="1"/>
    <xf numFmtId="166" fontId="5" fillId="0" borderId="0" xfId="573" applyNumberFormat="1" applyFont="1" applyFill="1"/>
    <xf numFmtId="166" fontId="53" fillId="0" borderId="0" xfId="573" applyFont="1" applyFill="1" applyAlignment="1"/>
    <xf numFmtId="166" fontId="5" fillId="0" borderId="0" xfId="573" applyFont="1" applyFill="1"/>
    <xf numFmtId="166" fontId="0" fillId="0" borderId="0" xfId="46" applyFont="1"/>
    <xf numFmtId="167" fontId="0" fillId="0" borderId="0" xfId="46" applyNumberFormat="1" applyFont="1"/>
    <xf numFmtId="0" fontId="0" fillId="0" borderId="0" xfId="46" applyNumberFormat="1" applyFont="1"/>
    <xf numFmtId="0" fontId="26" fillId="0" borderId="12" xfId="0" applyFont="1" applyBorder="1"/>
    <xf numFmtId="0" fontId="49" fillId="0" borderId="12" xfId="0" applyFont="1" applyBorder="1"/>
    <xf numFmtId="0" fontId="49" fillId="34" borderId="0" xfId="0" applyFont="1" applyFill="1" applyAlignment="1">
      <alignment horizontal="right"/>
    </xf>
    <xf numFmtId="0" fontId="49" fillId="34" borderId="0" xfId="0" applyFont="1" applyFill="1"/>
    <xf numFmtId="0" fontId="49" fillId="34" borderId="12" xfId="0" quotePrefix="1" applyFont="1" applyFill="1" applyBorder="1" applyAlignment="1">
      <alignment horizontal="right"/>
    </xf>
    <xf numFmtId="0" fontId="49" fillId="34" borderId="12" xfId="0" quotePrefix="1" applyNumberFormat="1" applyFont="1" applyFill="1" applyBorder="1" applyAlignment="1">
      <alignment horizontal="right"/>
    </xf>
    <xf numFmtId="0" fontId="49" fillId="34" borderId="12" xfId="0" applyFont="1" applyFill="1" applyBorder="1" applyAlignment="1">
      <alignment horizontal="right"/>
    </xf>
    <xf numFmtId="0" fontId="49" fillId="34" borderId="12" xfId="0" applyNumberFormat="1" applyFont="1" applyFill="1" applyBorder="1" applyAlignment="1">
      <alignment horizontal="right"/>
    </xf>
    <xf numFmtId="10" fontId="26" fillId="0" borderId="0" xfId="43" applyNumberFormat="1" applyFont="1"/>
    <xf numFmtId="167" fontId="26" fillId="0" borderId="0" xfId="0" applyNumberFormat="1" applyFont="1" applyFill="1"/>
    <xf numFmtId="0" fontId="49" fillId="0" borderId="0" xfId="0" applyFont="1"/>
    <xf numFmtId="0" fontId="26" fillId="0" borderId="11" xfId="0" applyFont="1" applyBorder="1"/>
    <xf numFmtId="167" fontId="26" fillId="0" borderId="11" xfId="0" applyNumberFormat="1" applyFont="1" applyBorder="1"/>
    <xf numFmtId="10" fontId="26" fillId="0" borderId="11" xfId="43" applyNumberFormat="1" applyFont="1" applyBorder="1"/>
    <xf numFmtId="167" fontId="26" fillId="34" borderId="0" xfId="0" applyNumberFormat="1" applyFont="1" applyFill="1"/>
    <xf numFmtId="0" fontId="49" fillId="34" borderId="0" xfId="0" applyFont="1" applyFill="1" applyBorder="1" applyAlignment="1">
      <alignment horizontal="center" vertical="center"/>
    </xf>
    <xf numFmtId="0" fontId="49" fillId="34" borderId="12" xfId="0" applyFont="1" applyFill="1" applyBorder="1"/>
    <xf numFmtId="167" fontId="26" fillId="0" borderId="0" xfId="0" applyNumberFormat="1" applyFont="1" applyAlignment="1">
      <alignment horizontal="right"/>
    </xf>
    <xf numFmtId="0" fontId="49" fillId="0" borderId="11" xfId="0" applyFont="1" applyBorder="1"/>
    <xf numFmtId="167" fontId="49" fillId="0" borderId="11" xfId="0" applyNumberFormat="1" applyFont="1" applyBorder="1"/>
    <xf numFmtId="167" fontId="49" fillId="0" borderId="11" xfId="0" applyNumberFormat="1" applyFont="1" applyFill="1" applyBorder="1"/>
    <xf numFmtId="0" fontId="56" fillId="34" borderId="0" xfId="0" applyFont="1" applyFill="1"/>
    <xf numFmtId="0" fontId="56" fillId="34" borderId="0" xfId="0" applyFont="1" applyFill="1" applyAlignment="1">
      <alignment horizontal="right"/>
    </xf>
    <xf numFmtId="0" fontId="56" fillId="34" borderId="12" xfId="0" applyFont="1" applyFill="1" applyBorder="1"/>
    <xf numFmtId="0" fontId="56" fillId="0" borderId="0" xfId="0" applyFont="1" applyFill="1"/>
    <xf numFmtId="0" fontId="57" fillId="0" borderId="0" xfId="0" applyFont="1" applyFill="1"/>
    <xf numFmtId="0" fontId="26" fillId="0" borderId="0" xfId="0" applyFont="1" applyFill="1"/>
    <xf numFmtId="167" fontId="58" fillId="0" borderId="0" xfId="0" applyNumberFormat="1" applyFont="1" applyFill="1"/>
    <xf numFmtId="167" fontId="56" fillId="0" borderId="0" xfId="0" applyNumberFormat="1" applyFont="1" applyFill="1"/>
    <xf numFmtId="0" fontId="49" fillId="0" borderId="0" xfId="0" applyFont="1" applyFill="1"/>
    <xf numFmtId="0" fontId="26" fillId="0" borderId="11" xfId="0" applyFont="1" applyFill="1" applyBorder="1"/>
    <xf numFmtId="0" fontId="26" fillId="34" borderId="0" xfId="0" applyFont="1" applyFill="1"/>
    <xf numFmtId="0" fontId="56" fillId="0" borderId="11" xfId="0" applyFont="1" applyFill="1" applyBorder="1"/>
    <xf numFmtId="0" fontId="49" fillId="0" borderId="0" xfId="0" applyFont="1" applyAlignment="1">
      <alignment horizontal="right"/>
    </xf>
    <xf numFmtId="0" fontId="59" fillId="0" borderId="0" xfId="0" applyFont="1"/>
    <xf numFmtId="167" fontId="60" fillId="0" borderId="0" xfId="0" applyNumberFormat="1" applyFont="1"/>
    <xf numFmtId="167" fontId="57" fillId="0" borderId="0" xfId="0" applyNumberFormat="1" applyFont="1"/>
    <xf numFmtId="0" fontId="49" fillId="0" borderId="0" xfId="0" quotePrefix="1" applyFont="1" applyAlignment="1">
      <alignment horizontal="right"/>
    </xf>
    <xf numFmtId="0" fontId="56" fillId="0" borderId="0" xfId="0" applyFont="1" applyAlignment="1">
      <alignment horizontal="right"/>
    </xf>
    <xf numFmtId="0" fontId="49" fillId="34" borderId="15" xfId="0" applyFont="1" applyFill="1" applyBorder="1"/>
    <xf numFmtId="17" fontId="49" fillId="34" borderId="12" xfId="0" quotePrefix="1" applyNumberFormat="1" applyFont="1" applyFill="1" applyBorder="1" applyAlignment="1">
      <alignment horizontal="right"/>
    </xf>
    <xf numFmtId="0" fontId="49" fillId="34" borderId="16" xfId="0" applyFont="1" applyFill="1" applyBorder="1" applyAlignment="1">
      <alignment horizontal="right"/>
    </xf>
    <xf numFmtId="167" fontId="55" fillId="0" borderId="0" xfId="0" applyNumberFormat="1" applyFont="1"/>
    <xf numFmtId="3" fontId="49" fillId="34" borderId="0" xfId="0" applyNumberFormat="1" applyFont="1" applyFill="1"/>
    <xf numFmtId="9" fontId="26" fillId="0" borderId="0" xfId="0" applyNumberFormat="1" applyFont="1"/>
    <xf numFmtId="10" fontId="49" fillId="0" borderId="0" xfId="43" applyNumberFormat="1" applyFont="1"/>
    <xf numFmtId="168" fontId="49" fillId="0" borderId="0" xfId="0" applyNumberFormat="1" applyFont="1"/>
    <xf numFmtId="0" fontId="49" fillId="34" borderId="0" xfId="0" applyFont="1" applyFill="1" applyBorder="1"/>
    <xf numFmtId="0" fontId="26" fillId="34" borderId="0" xfId="0" applyFont="1" applyFill="1" applyBorder="1"/>
    <xf numFmtId="0" fontId="26" fillId="34" borderId="12" xfId="0" applyFont="1" applyFill="1" applyBorder="1"/>
    <xf numFmtId="0" fontId="49" fillId="34" borderId="12" xfId="0" applyFont="1" applyFill="1" applyBorder="1" applyAlignment="1">
      <alignment horizontal="left"/>
    </xf>
    <xf numFmtId="0" fontId="49" fillId="33" borderId="0" xfId="0" applyFont="1" applyFill="1"/>
    <xf numFmtId="14" fontId="26" fillId="0" borderId="0" xfId="0" applyNumberFormat="1" applyFont="1" applyAlignment="1">
      <alignment horizontal="right"/>
    </xf>
    <xf numFmtId="10" fontId="26" fillId="0" borderId="0" xfId="43" applyNumberFormat="1" applyFont="1" applyFill="1"/>
    <xf numFmtId="14" fontId="26" fillId="0" borderId="0" xfId="0" applyNumberFormat="1" applyFont="1" applyFill="1" applyAlignment="1">
      <alignment horizontal="right"/>
    </xf>
    <xf numFmtId="14" fontId="26" fillId="0" borderId="11" xfId="0" applyNumberFormat="1" applyFont="1" applyBorder="1" applyAlignment="1">
      <alignment horizontal="right"/>
    </xf>
    <xf numFmtId="170" fontId="49" fillId="34" borderId="12" xfId="0" applyNumberFormat="1" applyFont="1" applyFill="1" applyBorder="1" applyAlignment="1">
      <alignment horizontal="right"/>
    </xf>
    <xf numFmtId="170" fontId="49" fillId="34" borderId="12" xfId="0" applyNumberFormat="1" applyFont="1" applyFill="1" applyBorder="1" applyAlignment="1">
      <alignment horizontal="right" wrapText="1"/>
    </xf>
    <xf numFmtId="0" fontId="26" fillId="33" borderId="0" xfId="0" applyFont="1" applyFill="1"/>
    <xf numFmtId="3" fontId="5" fillId="35" borderId="0" xfId="586" applyNumberFormat="1" applyFill="1"/>
    <xf numFmtId="167" fontId="26" fillId="0" borderId="0" xfId="0" applyNumberFormat="1" applyFont="1" applyFill="1" applyBorder="1" applyAlignment="1">
      <alignment horizontal="right"/>
    </xf>
    <xf numFmtId="167" fontId="4" fillId="0" borderId="0" xfId="982" applyNumberFormat="1" applyFont="1" applyFill="1"/>
    <xf numFmtId="0" fontId="53" fillId="0" borderId="0" xfId="1100" applyFont="1" applyFill="1" applyAlignment="1"/>
    <xf numFmtId="0" fontId="4" fillId="0" borderId="0" xfId="1100" applyFill="1"/>
    <xf numFmtId="0" fontId="53" fillId="0" borderId="0" xfId="1100" applyFont="1" applyFill="1" applyAlignment="1"/>
    <xf numFmtId="167" fontId="4" fillId="0" borderId="0" xfId="982" applyNumberFormat="1" applyFont="1" applyFill="1"/>
    <xf numFmtId="0" fontId="4" fillId="0" borderId="0" xfId="1100" applyFill="1"/>
    <xf numFmtId="0" fontId="4" fillId="0" borderId="0" xfId="1100" applyFill="1"/>
    <xf numFmtId="167" fontId="4" fillId="0" borderId="0" xfId="982" applyNumberFormat="1" applyFont="1" applyFill="1"/>
    <xf numFmtId="0" fontId="53" fillId="0" borderId="0" xfId="1100" applyFont="1" applyFill="1" applyAlignment="1"/>
    <xf numFmtId="0" fontId="0" fillId="0" borderId="0" xfId="0"/>
    <xf numFmtId="0" fontId="21" fillId="35" borderId="0" xfId="0" applyFont="1" applyFill="1"/>
    <xf numFmtId="0" fontId="53" fillId="0" borderId="0" xfId="1095" applyFont="1" applyFill="1" applyAlignment="1"/>
    <xf numFmtId="0" fontId="53" fillId="35" borderId="0" xfId="1095" applyFont="1" applyFill="1" applyAlignment="1"/>
    <xf numFmtId="167" fontId="4" fillId="0" borderId="0" xfId="1087" applyNumberFormat="1" applyFont="1" applyFill="1"/>
    <xf numFmtId="166" fontId="4" fillId="0" borderId="0" xfId="1087" applyNumberFormat="1" applyFont="1" applyFill="1"/>
    <xf numFmtId="167" fontId="26" fillId="0" borderId="0" xfId="0" applyNumberFormat="1" applyFont="1" applyFill="1"/>
    <xf numFmtId="167" fontId="49" fillId="0" borderId="0" xfId="0" applyNumberFormat="1" applyFont="1" applyFill="1"/>
    <xf numFmtId="10" fontId="26" fillId="0" borderId="0" xfId="43" applyNumberFormat="1" applyFont="1" applyFill="1"/>
    <xf numFmtId="10" fontId="49" fillId="0" borderId="0" xfId="43" applyNumberFormat="1" applyFont="1" applyFill="1"/>
    <xf numFmtId="0" fontId="3" fillId="0" borderId="0" xfId="0" applyFont="1"/>
    <xf numFmtId="167" fontId="26" fillId="0" borderId="0" xfId="0" applyNumberFormat="1" applyFont="1"/>
    <xf numFmtId="167" fontId="49" fillId="0" borderId="0" xfId="0" applyNumberFormat="1" applyFont="1"/>
    <xf numFmtId="167" fontId="26" fillId="0" borderId="0" xfId="0" applyNumberFormat="1" applyFont="1" applyFill="1" applyAlignment="1">
      <alignment horizontal="right"/>
    </xf>
    <xf numFmtId="167" fontId="26" fillId="0" borderId="0" xfId="0" applyNumberFormat="1" applyFont="1" applyFill="1"/>
    <xf numFmtId="167" fontId="26" fillId="0" borderId="11" xfId="0" applyNumberFormat="1" applyFont="1" applyFill="1" applyBorder="1"/>
    <xf numFmtId="167" fontId="49" fillId="0" borderId="11" xfId="0" applyNumberFormat="1" applyFont="1" applyBorder="1"/>
    <xf numFmtId="168" fontId="26" fillId="0" borderId="0" xfId="0" applyNumberFormat="1" applyFont="1" applyAlignment="1">
      <alignment horizontal="right"/>
    </xf>
    <xf numFmtId="168" fontId="49" fillId="0" borderId="0" xfId="0" applyNumberFormat="1" applyFont="1"/>
    <xf numFmtId="14" fontId="26" fillId="0" borderId="0" xfId="0" applyNumberFormat="1" applyFont="1" applyFill="1" applyAlignment="1">
      <alignment horizontal="right"/>
    </xf>
    <xf numFmtId="167" fontId="49" fillId="0" borderId="0" xfId="0" applyNumberFormat="1" applyFont="1" applyFill="1"/>
    <xf numFmtId="165" fontId="0" fillId="0" borderId="0" xfId="0" applyNumberFormat="1" applyFont="1"/>
    <xf numFmtId="0" fontId="0" fillId="0" borderId="0" xfId="0"/>
    <xf numFmtId="0" fontId="0" fillId="0" borderId="0" xfId="0" applyFont="1"/>
    <xf numFmtId="0" fontId="64" fillId="0" borderId="0" xfId="0" applyFont="1"/>
    <xf numFmtId="0" fontId="63" fillId="0" borderId="0" xfId="8399" applyFont="1" applyAlignment="1">
      <alignment horizontal="left" vertical="center" indent="1"/>
    </xf>
    <xf numFmtId="0" fontId="23" fillId="0" borderId="0" xfId="0" applyFont="1" applyAlignment="1">
      <alignment horizontal="center" vertical="center" wrapText="1"/>
    </xf>
    <xf numFmtId="0" fontId="62" fillId="0" borderId="13" xfId="0" applyFont="1" applyBorder="1"/>
    <xf numFmtId="0" fontId="62" fillId="0" borderId="18" xfId="0" applyFont="1" applyBorder="1"/>
    <xf numFmtId="0" fontId="65" fillId="0" borderId="17" xfId="0" applyFont="1" applyBorder="1"/>
    <xf numFmtId="0" fontId="65" fillId="0" borderId="13" xfId="0" applyFont="1" applyBorder="1"/>
    <xf numFmtId="0" fontId="66" fillId="0" borderId="13" xfId="0" applyFont="1" applyBorder="1" applyAlignment="1"/>
    <xf numFmtId="0" fontId="23" fillId="0" borderId="0" xfId="0" applyFont="1" applyAlignment="1">
      <alignment horizontal="center" vertical="center" wrapText="1"/>
    </xf>
    <xf numFmtId="0" fontId="50" fillId="0" borderId="0" xfId="0" applyFont="1" applyAlignment="1">
      <alignment horizontal="center" vertical="center"/>
    </xf>
    <xf numFmtId="0" fontId="50" fillId="0" borderId="12" xfId="0" applyFont="1" applyBorder="1" applyAlignment="1">
      <alignment horizontal="center" vertical="center"/>
    </xf>
    <xf numFmtId="0" fontId="21" fillId="0" borderId="0" xfId="0" applyFont="1" applyAlignment="1">
      <alignment horizontal="left" vertical="center"/>
    </xf>
    <xf numFmtId="0" fontId="21" fillId="0" borderId="12" xfId="0" applyFont="1" applyBorder="1" applyAlignment="1">
      <alignment horizontal="left" vertical="center"/>
    </xf>
    <xf numFmtId="166" fontId="49" fillId="34" borderId="0" xfId="1" applyFont="1" applyFill="1" applyBorder="1" applyAlignment="1">
      <alignment horizontal="right" wrapText="1"/>
    </xf>
    <xf numFmtId="166" fontId="49" fillId="34" borderId="12" xfId="1" applyFont="1" applyFill="1" applyBorder="1" applyAlignment="1">
      <alignment horizontal="right" wrapText="1"/>
    </xf>
    <xf numFmtId="0" fontId="49" fillId="0" borderId="0" xfId="0" applyFont="1" applyBorder="1" applyAlignment="1">
      <alignment horizontal="center" vertical="center"/>
    </xf>
    <xf numFmtId="0" fontId="49" fillId="0" borderId="12" xfId="0" applyFont="1" applyBorder="1" applyAlignment="1">
      <alignment horizontal="center" vertical="center"/>
    </xf>
    <xf numFmtId="0" fontId="49" fillId="34" borderId="14" xfId="0" applyFont="1" applyFill="1" applyBorder="1" applyAlignment="1">
      <alignment horizontal="center"/>
    </xf>
    <xf numFmtId="0" fontId="49" fillId="34" borderId="0" xfId="0" applyFont="1" applyFill="1" applyBorder="1" applyAlignment="1">
      <alignment horizontal="right" wrapText="1"/>
    </xf>
    <xf numFmtId="0" fontId="49" fillId="34" borderId="12" xfId="0" applyFont="1" applyFill="1" applyBorder="1" applyAlignment="1">
      <alignment horizontal="right" wrapText="1"/>
    </xf>
    <xf numFmtId="14" fontId="49" fillId="34" borderId="0" xfId="0" applyNumberFormat="1" applyFont="1" applyFill="1" applyBorder="1" applyAlignment="1">
      <alignment horizontal="right" wrapText="1"/>
    </xf>
    <xf numFmtId="14" fontId="49" fillId="34" borderId="12" xfId="0" applyNumberFormat="1" applyFont="1" applyFill="1" applyBorder="1" applyAlignment="1">
      <alignment horizontal="right" wrapText="1"/>
    </xf>
    <xf numFmtId="0" fontId="49" fillId="34" borderId="13" xfId="0" applyFont="1" applyFill="1" applyBorder="1" applyAlignment="1">
      <alignment horizontal="right"/>
    </xf>
    <xf numFmtId="0" fontId="51" fillId="34" borderId="0" xfId="0" applyFont="1" applyFill="1" applyBorder="1" applyAlignment="1">
      <alignment horizontal="center" vertical="center"/>
    </xf>
    <xf numFmtId="0" fontId="51" fillId="34" borderId="12" xfId="0" applyFont="1" applyFill="1" applyBorder="1" applyAlignment="1">
      <alignment horizontal="center" vertical="center"/>
    </xf>
    <xf numFmtId="167" fontId="26" fillId="0" borderId="0" xfId="0" applyNumberFormat="1" applyFont="1" applyFill="1" applyAlignment="1">
      <alignment horizontal="center"/>
    </xf>
    <xf numFmtId="0" fontId="49" fillId="34" borderId="13" xfId="0" applyFont="1" applyFill="1" applyBorder="1" applyAlignment="1">
      <alignment horizontal="center"/>
    </xf>
    <xf numFmtId="167" fontId="0" fillId="0" borderId="0" xfId="1" applyNumberFormat="1" applyFont="1" applyAlignment="1">
      <alignment horizontal="center"/>
    </xf>
    <xf numFmtId="167" fontId="21" fillId="0" borderId="0" xfId="1" applyNumberFormat="1" applyFont="1" applyAlignment="1">
      <alignment horizontal="center"/>
    </xf>
    <xf numFmtId="0" fontId="21" fillId="0" borderId="10" xfId="0" applyFont="1" applyBorder="1" applyAlignment="1">
      <alignment horizontal="center"/>
    </xf>
  </cellXfs>
  <cellStyles count="8400">
    <cellStyle name="20% - Accent1" xfId="20" builtinId="30" hidden="1"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Comma 10" xfId="197"/>
    <cellStyle name="Comma 10 2" xfId="468"/>
    <cellStyle name="Comma 10 2 2" xfId="982"/>
    <cellStyle name="Comma 10 2 2 2" xfId="2026"/>
    <cellStyle name="Comma 10 2 2 2 2" xfId="8278"/>
    <cellStyle name="Comma 10 2 2 2 3" xfId="6194"/>
    <cellStyle name="Comma 10 2 2 2 4" xfId="4110"/>
    <cellStyle name="Comma 10 2 2 3" xfId="7236"/>
    <cellStyle name="Comma 10 2 2 4" xfId="5152"/>
    <cellStyle name="Comma 10 2 2 5" xfId="3068"/>
    <cellStyle name="Comma 10 2 3" xfId="1512"/>
    <cellStyle name="Comma 10 2 3 2" xfId="7764"/>
    <cellStyle name="Comma 10 2 3 3" xfId="5680"/>
    <cellStyle name="Comma 10 2 3 4" xfId="3596"/>
    <cellStyle name="Comma 10 2 4" xfId="6722"/>
    <cellStyle name="Comma 10 2 5" xfId="4638"/>
    <cellStyle name="Comma 10 2 6" xfId="2554"/>
    <cellStyle name="Comma 10 3" xfId="725"/>
    <cellStyle name="Comma 10 3 2" xfId="1769"/>
    <cellStyle name="Comma 10 3 2 2" xfId="8021"/>
    <cellStyle name="Comma 10 3 2 3" xfId="5937"/>
    <cellStyle name="Comma 10 3 2 4" xfId="3853"/>
    <cellStyle name="Comma 10 3 3" xfId="6979"/>
    <cellStyle name="Comma 10 3 4" xfId="4895"/>
    <cellStyle name="Comma 10 3 5" xfId="2811"/>
    <cellStyle name="Comma 10 4" xfId="1249"/>
    <cellStyle name="Comma 10 4 2" xfId="7501"/>
    <cellStyle name="Comma 10 4 3" xfId="5417"/>
    <cellStyle name="Comma 10 4 4" xfId="3333"/>
    <cellStyle name="Comma 10 5" xfId="6459"/>
    <cellStyle name="Comma 10 6" xfId="4375"/>
    <cellStyle name="Comma 10 7" xfId="2291"/>
    <cellStyle name="Comma 11" xfId="70"/>
    <cellStyle name="Comma 11 2" xfId="357"/>
    <cellStyle name="Comma 11 2 2" xfId="871"/>
    <cellStyle name="Comma 11 2 2 2" xfId="1915"/>
    <cellStyle name="Comma 11 2 2 2 2" xfId="8167"/>
    <cellStyle name="Comma 11 2 2 2 3" xfId="6083"/>
    <cellStyle name="Comma 11 2 2 2 4" xfId="3999"/>
    <cellStyle name="Comma 11 2 2 3" xfId="7125"/>
    <cellStyle name="Comma 11 2 2 4" xfId="5041"/>
    <cellStyle name="Comma 11 2 2 5" xfId="2957"/>
    <cellStyle name="Comma 11 2 3" xfId="1401"/>
    <cellStyle name="Comma 11 2 3 2" xfId="7653"/>
    <cellStyle name="Comma 11 2 3 3" xfId="5569"/>
    <cellStyle name="Comma 11 2 3 4" xfId="3485"/>
    <cellStyle name="Comma 11 2 4" xfId="6611"/>
    <cellStyle name="Comma 11 2 5" xfId="4527"/>
    <cellStyle name="Comma 11 2 6" xfId="2443"/>
    <cellStyle name="Comma 11 3" xfId="614"/>
    <cellStyle name="Comma 11 3 2" xfId="1658"/>
    <cellStyle name="Comma 11 3 2 2" xfId="7910"/>
    <cellStyle name="Comma 11 3 2 3" xfId="5826"/>
    <cellStyle name="Comma 11 3 2 4" xfId="3742"/>
    <cellStyle name="Comma 11 3 3" xfId="6868"/>
    <cellStyle name="Comma 11 3 4" xfId="4784"/>
    <cellStyle name="Comma 11 3 5" xfId="2700"/>
    <cellStyle name="Comma 11 4" xfId="1130"/>
    <cellStyle name="Comma 11 4 2" xfId="7384"/>
    <cellStyle name="Comma 11 4 3" xfId="5300"/>
    <cellStyle name="Comma 11 4 4" xfId="3216"/>
    <cellStyle name="Comma 11 5" xfId="6342"/>
    <cellStyle name="Comma 11 6" xfId="4258"/>
    <cellStyle name="Comma 11 7" xfId="2174"/>
    <cellStyle name="Comma 12" xfId="1103"/>
    <cellStyle name="Comma 12 2" xfId="7357"/>
    <cellStyle name="Comma 12 3" xfId="5273"/>
    <cellStyle name="Comma 12 4" xfId="3189"/>
    <cellStyle name="Comma 13" xfId="6315"/>
    <cellStyle name="Comma 14" xfId="4231"/>
    <cellStyle name="Comma 15" xfId="2147"/>
    <cellStyle name="Comma 2" xfId="45"/>
    <cellStyle name="Comma 2 10" xfId="72"/>
    <cellStyle name="Comma 2 10 2" xfId="359"/>
    <cellStyle name="Comma 2 10 2 2" xfId="873"/>
    <cellStyle name="Comma 2 10 2 2 2" xfId="1917"/>
    <cellStyle name="Comma 2 10 2 2 2 2" xfId="8169"/>
    <cellStyle name="Comma 2 10 2 2 2 3" xfId="6085"/>
    <cellStyle name="Comma 2 10 2 2 2 4" xfId="4001"/>
    <cellStyle name="Comma 2 10 2 2 3" xfId="7127"/>
    <cellStyle name="Comma 2 10 2 2 4" xfId="5043"/>
    <cellStyle name="Comma 2 10 2 2 5" xfId="2959"/>
    <cellStyle name="Comma 2 10 2 3" xfId="1403"/>
    <cellStyle name="Comma 2 10 2 3 2" xfId="7655"/>
    <cellStyle name="Comma 2 10 2 3 3" xfId="5571"/>
    <cellStyle name="Comma 2 10 2 3 4" xfId="3487"/>
    <cellStyle name="Comma 2 10 2 4" xfId="6613"/>
    <cellStyle name="Comma 2 10 2 5" xfId="4529"/>
    <cellStyle name="Comma 2 10 2 6" xfId="2445"/>
    <cellStyle name="Comma 2 10 3" xfId="616"/>
    <cellStyle name="Comma 2 10 3 2" xfId="1660"/>
    <cellStyle name="Comma 2 10 3 2 2" xfId="7912"/>
    <cellStyle name="Comma 2 10 3 2 3" xfId="5828"/>
    <cellStyle name="Comma 2 10 3 2 4" xfId="3744"/>
    <cellStyle name="Comma 2 10 3 3" xfId="6870"/>
    <cellStyle name="Comma 2 10 3 4" xfId="4786"/>
    <cellStyle name="Comma 2 10 3 5" xfId="2702"/>
    <cellStyle name="Comma 2 10 4" xfId="1132"/>
    <cellStyle name="Comma 2 10 4 2" xfId="7386"/>
    <cellStyle name="Comma 2 10 4 3" xfId="5302"/>
    <cellStyle name="Comma 2 10 4 4" xfId="3218"/>
    <cellStyle name="Comma 2 10 5" xfId="6344"/>
    <cellStyle name="Comma 2 10 6" xfId="4260"/>
    <cellStyle name="Comma 2 10 7" xfId="2176"/>
    <cellStyle name="Comma 2 11" xfId="333"/>
    <cellStyle name="Comma 2 11 2" xfId="847"/>
    <cellStyle name="Comma 2 11 2 2" xfId="1891"/>
    <cellStyle name="Comma 2 11 2 2 2" xfId="8143"/>
    <cellStyle name="Comma 2 11 2 2 3" xfId="6059"/>
    <cellStyle name="Comma 2 11 2 2 4" xfId="3975"/>
    <cellStyle name="Comma 2 11 2 3" xfId="7101"/>
    <cellStyle name="Comma 2 11 2 4" xfId="5017"/>
    <cellStyle name="Comma 2 11 2 5" xfId="2933"/>
    <cellStyle name="Comma 2 11 3" xfId="1377"/>
    <cellStyle name="Comma 2 11 3 2" xfId="7629"/>
    <cellStyle name="Comma 2 11 3 3" xfId="5545"/>
    <cellStyle name="Comma 2 11 3 4" xfId="3461"/>
    <cellStyle name="Comma 2 11 4" xfId="6587"/>
    <cellStyle name="Comma 2 11 5" xfId="4503"/>
    <cellStyle name="Comma 2 11 6" xfId="2419"/>
    <cellStyle name="Comma 2 12" xfId="590"/>
    <cellStyle name="Comma 2 12 2" xfId="1634"/>
    <cellStyle name="Comma 2 12 2 2" xfId="7886"/>
    <cellStyle name="Comma 2 12 2 3" xfId="5802"/>
    <cellStyle name="Comma 2 12 2 4" xfId="3718"/>
    <cellStyle name="Comma 2 12 3" xfId="6844"/>
    <cellStyle name="Comma 2 12 4" xfId="4760"/>
    <cellStyle name="Comma 2 12 5" xfId="2676"/>
    <cellStyle name="Comma 2 13" xfId="1105"/>
    <cellStyle name="Comma 2 13 2" xfId="7359"/>
    <cellStyle name="Comma 2 13 3" xfId="5275"/>
    <cellStyle name="Comma 2 13 4" xfId="3191"/>
    <cellStyle name="Comma 2 14" xfId="6317"/>
    <cellStyle name="Comma 2 15" xfId="4233"/>
    <cellStyle name="Comma 2 16" xfId="2149"/>
    <cellStyle name="Comma 2 2" xfId="48"/>
    <cellStyle name="Comma 2 2 10" xfId="335"/>
    <cellStyle name="Comma 2 2 10 2" xfId="849"/>
    <cellStyle name="Comma 2 2 10 2 2" xfId="1893"/>
    <cellStyle name="Comma 2 2 10 2 2 2" xfId="8145"/>
    <cellStyle name="Comma 2 2 10 2 2 3" xfId="6061"/>
    <cellStyle name="Comma 2 2 10 2 2 4" xfId="3977"/>
    <cellStyle name="Comma 2 2 10 2 3" xfId="7103"/>
    <cellStyle name="Comma 2 2 10 2 4" xfId="5019"/>
    <cellStyle name="Comma 2 2 10 2 5" xfId="2935"/>
    <cellStyle name="Comma 2 2 10 3" xfId="1379"/>
    <cellStyle name="Comma 2 2 10 3 2" xfId="7631"/>
    <cellStyle name="Comma 2 2 10 3 3" xfId="5547"/>
    <cellStyle name="Comma 2 2 10 3 4" xfId="3463"/>
    <cellStyle name="Comma 2 2 10 4" xfId="6589"/>
    <cellStyle name="Comma 2 2 10 5" xfId="4505"/>
    <cellStyle name="Comma 2 2 10 6" xfId="2421"/>
    <cellStyle name="Comma 2 2 11" xfId="592"/>
    <cellStyle name="Comma 2 2 11 2" xfId="1636"/>
    <cellStyle name="Comma 2 2 11 2 2" xfId="7888"/>
    <cellStyle name="Comma 2 2 11 2 3" xfId="5804"/>
    <cellStyle name="Comma 2 2 11 2 4" xfId="3720"/>
    <cellStyle name="Comma 2 2 11 3" xfId="6846"/>
    <cellStyle name="Comma 2 2 11 4" xfId="4762"/>
    <cellStyle name="Comma 2 2 11 5" xfId="2678"/>
    <cellStyle name="Comma 2 2 12" xfId="1108"/>
    <cellStyle name="Comma 2 2 12 2" xfId="7362"/>
    <cellStyle name="Comma 2 2 12 3" xfId="5278"/>
    <cellStyle name="Comma 2 2 12 4" xfId="3194"/>
    <cellStyle name="Comma 2 2 13" xfId="6320"/>
    <cellStyle name="Comma 2 2 14" xfId="4236"/>
    <cellStyle name="Comma 2 2 15" xfId="2152"/>
    <cellStyle name="Comma 2 2 2" xfId="53"/>
    <cellStyle name="Comma 2 2 2 10" xfId="1113"/>
    <cellStyle name="Comma 2 2 2 10 2" xfId="7367"/>
    <cellStyle name="Comma 2 2 2 10 3" xfId="5283"/>
    <cellStyle name="Comma 2 2 2 10 4" xfId="3199"/>
    <cellStyle name="Comma 2 2 2 11" xfId="6325"/>
    <cellStyle name="Comma 2 2 2 12" xfId="4241"/>
    <cellStyle name="Comma 2 2 2 13" xfId="2157"/>
    <cellStyle name="Comma 2 2 2 2" xfId="66"/>
    <cellStyle name="Comma 2 2 2 2 10" xfId="6338"/>
    <cellStyle name="Comma 2 2 2 2 11" xfId="4254"/>
    <cellStyle name="Comma 2 2 2 2 12" xfId="2170"/>
    <cellStyle name="Comma 2 2 2 2 2" xfId="110"/>
    <cellStyle name="Comma 2 2 2 2 2 10" xfId="2211"/>
    <cellStyle name="Comma 2 2 2 2 2 2" xfId="188"/>
    <cellStyle name="Comma 2 2 2 2 2 2 2" xfId="310"/>
    <cellStyle name="Comma 2 2 2 2 2 2 2 2" xfId="572"/>
    <cellStyle name="Comma 2 2 2 2 2 2 2 2 2" xfId="1086"/>
    <cellStyle name="Comma 2 2 2 2 2 2 2 2 2 2" xfId="2130"/>
    <cellStyle name="Comma 2 2 2 2 2 2 2 2 2 2 2" xfId="8382"/>
    <cellStyle name="Comma 2 2 2 2 2 2 2 2 2 2 3" xfId="6298"/>
    <cellStyle name="Comma 2 2 2 2 2 2 2 2 2 2 4" xfId="4214"/>
    <cellStyle name="Comma 2 2 2 2 2 2 2 2 2 3" xfId="7340"/>
    <cellStyle name="Comma 2 2 2 2 2 2 2 2 2 4" xfId="5256"/>
    <cellStyle name="Comma 2 2 2 2 2 2 2 2 2 5" xfId="3172"/>
    <cellStyle name="Comma 2 2 2 2 2 2 2 2 3" xfId="1616"/>
    <cellStyle name="Comma 2 2 2 2 2 2 2 2 3 2" xfId="7868"/>
    <cellStyle name="Comma 2 2 2 2 2 2 2 2 3 3" xfId="5784"/>
    <cellStyle name="Comma 2 2 2 2 2 2 2 2 3 4" xfId="3700"/>
    <cellStyle name="Comma 2 2 2 2 2 2 2 2 4" xfId="6826"/>
    <cellStyle name="Comma 2 2 2 2 2 2 2 2 5" xfId="4742"/>
    <cellStyle name="Comma 2 2 2 2 2 2 2 2 6" xfId="2658"/>
    <cellStyle name="Comma 2 2 2 2 2 2 2 3" xfId="829"/>
    <cellStyle name="Comma 2 2 2 2 2 2 2 3 2" xfId="1873"/>
    <cellStyle name="Comma 2 2 2 2 2 2 2 3 2 2" xfId="8125"/>
    <cellStyle name="Comma 2 2 2 2 2 2 2 3 2 3" xfId="6041"/>
    <cellStyle name="Comma 2 2 2 2 2 2 2 3 2 4" xfId="3957"/>
    <cellStyle name="Comma 2 2 2 2 2 2 2 3 3" xfId="7083"/>
    <cellStyle name="Comma 2 2 2 2 2 2 2 3 4" xfId="4999"/>
    <cellStyle name="Comma 2 2 2 2 2 2 2 3 5" xfId="2915"/>
    <cellStyle name="Comma 2 2 2 2 2 2 2 4" xfId="1359"/>
    <cellStyle name="Comma 2 2 2 2 2 2 2 4 2" xfId="7611"/>
    <cellStyle name="Comma 2 2 2 2 2 2 2 4 3" xfId="5527"/>
    <cellStyle name="Comma 2 2 2 2 2 2 2 4 4" xfId="3443"/>
    <cellStyle name="Comma 2 2 2 2 2 2 2 5" xfId="6569"/>
    <cellStyle name="Comma 2 2 2 2 2 2 2 6" xfId="4485"/>
    <cellStyle name="Comma 2 2 2 2 2 2 2 7" xfId="2401"/>
    <cellStyle name="Comma 2 2 2 2 2 2 3" xfId="464"/>
    <cellStyle name="Comma 2 2 2 2 2 2 3 2" xfId="978"/>
    <cellStyle name="Comma 2 2 2 2 2 2 3 2 2" xfId="2022"/>
    <cellStyle name="Comma 2 2 2 2 2 2 3 2 2 2" xfId="8274"/>
    <cellStyle name="Comma 2 2 2 2 2 2 3 2 2 3" xfId="6190"/>
    <cellStyle name="Comma 2 2 2 2 2 2 3 2 2 4" xfId="4106"/>
    <cellStyle name="Comma 2 2 2 2 2 2 3 2 3" xfId="7232"/>
    <cellStyle name="Comma 2 2 2 2 2 2 3 2 4" xfId="5148"/>
    <cellStyle name="Comma 2 2 2 2 2 2 3 2 5" xfId="3064"/>
    <cellStyle name="Comma 2 2 2 2 2 2 3 3" xfId="1508"/>
    <cellStyle name="Comma 2 2 2 2 2 2 3 3 2" xfId="7760"/>
    <cellStyle name="Comma 2 2 2 2 2 2 3 3 3" xfId="5676"/>
    <cellStyle name="Comma 2 2 2 2 2 2 3 3 4" xfId="3592"/>
    <cellStyle name="Comma 2 2 2 2 2 2 3 4" xfId="6718"/>
    <cellStyle name="Comma 2 2 2 2 2 2 3 5" xfId="4634"/>
    <cellStyle name="Comma 2 2 2 2 2 2 3 6" xfId="2550"/>
    <cellStyle name="Comma 2 2 2 2 2 2 4" xfId="721"/>
    <cellStyle name="Comma 2 2 2 2 2 2 4 2" xfId="1765"/>
    <cellStyle name="Comma 2 2 2 2 2 2 4 2 2" xfId="8017"/>
    <cellStyle name="Comma 2 2 2 2 2 2 4 2 3" xfId="5933"/>
    <cellStyle name="Comma 2 2 2 2 2 2 4 2 4" xfId="3849"/>
    <cellStyle name="Comma 2 2 2 2 2 2 4 3" xfId="6975"/>
    <cellStyle name="Comma 2 2 2 2 2 2 4 4" xfId="4891"/>
    <cellStyle name="Comma 2 2 2 2 2 2 4 5" xfId="2807"/>
    <cellStyle name="Comma 2 2 2 2 2 2 5" xfId="1245"/>
    <cellStyle name="Comma 2 2 2 2 2 2 5 2" xfId="7497"/>
    <cellStyle name="Comma 2 2 2 2 2 2 5 3" xfId="5413"/>
    <cellStyle name="Comma 2 2 2 2 2 2 5 4" xfId="3329"/>
    <cellStyle name="Comma 2 2 2 2 2 2 6" xfId="6455"/>
    <cellStyle name="Comma 2 2 2 2 2 2 7" xfId="4371"/>
    <cellStyle name="Comma 2 2 2 2 2 2 8" xfId="2287"/>
    <cellStyle name="Comma 2 2 2 2 2 3" xfId="149"/>
    <cellStyle name="Comma 2 2 2 2 2 3 2" xfId="271"/>
    <cellStyle name="Comma 2 2 2 2 2 3 2 2" xfId="536"/>
    <cellStyle name="Comma 2 2 2 2 2 3 2 2 2" xfId="1050"/>
    <cellStyle name="Comma 2 2 2 2 2 3 2 2 2 2" xfId="2094"/>
    <cellStyle name="Comma 2 2 2 2 2 3 2 2 2 2 2" xfId="8346"/>
    <cellStyle name="Comma 2 2 2 2 2 3 2 2 2 2 3" xfId="6262"/>
    <cellStyle name="Comma 2 2 2 2 2 3 2 2 2 2 4" xfId="4178"/>
    <cellStyle name="Comma 2 2 2 2 2 3 2 2 2 3" xfId="7304"/>
    <cellStyle name="Comma 2 2 2 2 2 3 2 2 2 4" xfId="5220"/>
    <cellStyle name="Comma 2 2 2 2 2 3 2 2 2 5" xfId="3136"/>
    <cellStyle name="Comma 2 2 2 2 2 3 2 2 3" xfId="1580"/>
    <cellStyle name="Comma 2 2 2 2 2 3 2 2 3 2" xfId="7832"/>
    <cellStyle name="Comma 2 2 2 2 2 3 2 2 3 3" xfId="5748"/>
    <cellStyle name="Comma 2 2 2 2 2 3 2 2 3 4" xfId="3664"/>
    <cellStyle name="Comma 2 2 2 2 2 3 2 2 4" xfId="6790"/>
    <cellStyle name="Comma 2 2 2 2 2 3 2 2 5" xfId="4706"/>
    <cellStyle name="Comma 2 2 2 2 2 3 2 2 6" xfId="2622"/>
    <cellStyle name="Comma 2 2 2 2 2 3 2 3" xfId="793"/>
    <cellStyle name="Comma 2 2 2 2 2 3 2 3 2" xfId="1837"/>
    <cellStyle name="Comma 2 2 2 2 2 3 2 3 2 2" xfId="8089"/>
    <cellStyle name="Comma 2 2 2 2 2 3 2 3 2 3" xfId="6005"/>
    <cellStyle name="Comma 2 2 2 2 2 3 2 3 2 4" xfId="3921"/>
    <cellStyle name="Comma 2 2 2 2 2 3 2 3 3" xfId="7047"/>
    <cellStyle name="Comma 2 2 2 2 2 3 2 3 4" xfId="4963"/>
    <cellStyle name="Comma 2 2 2 2 2 3 2 3 5" xfId="2879"/>
    <cellStyle name="Comma 2 2 2 2 2 3 2 4" xfId="1321"/>
    <cellStyle name="Comma 2 2 2 2 2 3 2 4 2" xfId="7573"/>
    <cellStyle name="Comma 2 2 2 2 2 3 2 4 3" xfId="5489"/>
    <cellStyle name="Comma 2 2 2 2 2 3 2 4 4" xfId="3405"/>
    <cellStyle name="Comma 2 2 2 2 2 3 2 5" xfId="6531"/>
    <cellStyle name="Comma 2 2 2 2 2 3 2 6" xfId="4447"/>
    <cellStyle name="Comma 2 2 2 2 2 3 2 7" xfId="2363"/>
    <cellStyle name="Comma 2 2 2 2 2 3 3" xfId="428"/>
    <cellStyle name="Comma 2 2 2 2 2 3 3 2" xfId="942"/>
    <cellStyle name="Comma 2 2 2 2 2 3 3 2 2" xfId="1986"/>
    <cellStyle name="Comma 2 2 2 2 2 3 3 2 2 2" xfId="8238"/>
    <cellStyle name="Comma 2 2 2 2 2 3 3 2 2 3" xfId="6154"/>
    <cellStyle name="Comma 2 2 2 2 2 3 3 2 2 4" xfId="4070"/>
    <cellStyle name="Comma 2 2 2 2 2 3 3 2 3" xfId="7196"/>
    <cellStyle name="Comma 2 2 2 2 2 3 3 2 4" xfId="5112"/>
    <cellStyle name="Comma 2 2 2 2 2 3 3 2 5" xfId="3028"/>
    <cellStyle name="Comma 2 2 2 2 2 3 3 3" xfId="1472"/>
    <cellStyle name="Comma 2 2 2 2 2 3 3 3 2" xfId="7724"/>
    <cellStyle name="Comma 2 2 2 2 2 3 3 3 3" xfId="5640"/>
    <cellStyle name="Comma 2 2 2 2 2 3 3 3 4" xfId="3556"/>
    <cellStyle name="Comma 2 2 2 2 2 3 3 4" xfId="6682"/>
    <cellStyle name="Comma 2 2 2 2 2 3 3 5" xfId="4598"/>
    <cellStyle name="Comma 2 2 2 2 2 3 3 6" xfId="2514"/>
    <cellStyle name="Comma 2 2 2 2 2 3 4" xfId="685"/>
    <cellStyle name="Comma 2 2 2 2 2 3 4 2" xfId="1729"/>
    <cellStyle name="Comma 2 2 2 2 2 3 4 2 2" xfId="7981"/>
    <cellStyle name="Comma 2 2 2 2 2 3 4 2 3" xfId="5897"/>
    <cellStyle name="Comma 2 2 2 2 2 3 4 2 4" xfId="3813"/>
    <cellStyle name="Comma 2 2 2 2 2 3 4 3" xfId="6939"/>
    <cellStyle name="Comma 2 2 2 2 2 3 4 4" xfId="4855"/>
    <cellStyle name="Comma 2 2 2 2 2 3 4 5" xfId="2771"/>
    <cellStyle name="Comma 2 2 2 2 2 3 5" xfId="1207"/>
    <cellStyle name="Comma 2 2 2 2 2 3 5 2" xfId="7459"/>
    <cellStyle name="Comma 2 2 2 2 2 3 5 3" xfId="5375"/>
    <cellStyle name="Comma 2 2 2 2 2 3 5 4" xfId="3291"/>
    <cellStyle name="Comma 2 2 2 2 2 3 6" xfId="6417"/>
    <cellStyle name="Comma 2 2 2 2 2 3 7" xfId="4333"/>
    <cellStyle name="Comma 2 2 2 2 2 3 8" xfId="2249"/>
    <cellStyle name="Comma 2 2 2 2 2 4" xfId="232"/>
    <cellStyle name="Comma 2 2 2 2 2 4 2" xfId="500"/>
    <cellStyle name="Comma 2 2 2 2 2 4 2 2" xfId="1014"/>
    <cellStyle name="Comma 2 2 2 2 2 4 2 2 2" xfId="2058"/>
    <cellStyle name="Comma 2 2 2 2 2 4 2 2 2 2" xfId="8310"/>
    <cellStyle name="Comma 2 2 2 2 2 4 2 2 2 3" xfId="6226"/>
    <cellStyle name="Comma 2 2 2 2 2 4 2 2 2 4" xfId="4142"/>
    <cellStyle name="Comma 2 2 2 2 2 4 2 2 3" xfId="7268"/>
    <cellStyle name="Comma 2 2 2 2 2 4 2 2 4" xfId="5184"/>
    <cellStyle name="Comma 2 2 2 2 2 4 2 2 5" xfId="3100"/>
    <cellStyle name="Comma 2 2 2 2 2 4 2 3" xfId="1544"/>
    <cellStyle name="Comma 2 2 2 2 2 4 2 3 2" xfId="7796"/>
    <cellStyle name="Comma 2 2 2 2 2 4 2 3 3" xfId="5712"/>
    <cellStyle name="Comma 2 2 2 2 2 4 2 3 4" xfId="3628"/>
    <cellStyle name="Comma 2 2 2 2 2 4 2 4" xfId="6754"/>
    <cellStyle name="Comma 2 2 2 2 2 4 2 5" xfId="4670"/>
    <cellStyle name="Comma 2 2 2 2 2 4 2 6" xfId="2586"/>
    <cellStyle name="Comma 2 2 2 2 2 4 3" xfId="757"/>
    <cellStyle name="Comma 2 2 2 2 2 4 3 2" xfId="1801"/>
    <cellStyle name="Comma 2 2 2 2 2 4 3 2 2" xfId="8053"/>
    <cellStyle name="Comma 2 2 2 2 2 4 3 2 3" xfId="5969"/>
    <cellStyle name="Comma 2 2 2 2 2 4 3 2 4" xfId="3885"/>
    <cellStyle name="Comma 2 2 2 2 2 4 3 3" xfId="7011"/>
    <cellStyle name="Comma 2 2 2 2 2 4 3 4" xfId="4927"/>
    <cellStyle name="Comma 2 2 2 2 2 4 3 5" xfId="2843"/>
    <cellStyle name="Comma 2 2 2 2 2 4 4" xfId="1283"/>
    <cellStyle name="Comma 2 2 2 2 2 4 4 2" xfId="7535"/>
    <cellStyle name="Comma 2 2 2 2 2 4 4 3" xfId="5451"/>
    <cellStyle name="Comma 2 2 2 2 2 4 4 4" xfId="3367"/>
    <cellStyle name="Comma 2 2 2 2 2 4 5" xfId="6493"/>
    <cellStyle name="Comma 2 2 2 2 2 4 6" xfId="4409"/>
    <cellStyle name="Comma 2 2 2 2 2 4 7" xfId="2325"/>
    <cellStyle name="Comma 2 2 2 2 2 5" xfId="392"/>
    <cellStyle name="Comma 2 2 2 2 2 5 2" xfId="906"/>
    <cellStyle name="Comma 2 2 2 2 2 5 2 2" xfId="1950"/>
    <cellStyle name="Comma 2 2 2 2 2 5 2 2 2" xfId="8202"/>
    <cellStyle name="Comma 2 2 2 2 2 5 2 2 3" xfId="6118"/>
    <cellStyle name="Comma 2 2 2 2 2 5 2 2 4" xfId="4034"/>
    <cellStyle name="Comma 2 2 2 2 2 5 2 3" xfId="7160"/>
    <cellStyle name="Comma 2 2 2 2 2 5 2 4" xfId="5076"/>
    <cellStyle name="Comma 2 2 2 2 2 5 2 5" xfId="2992"/>
    <cellStyle name="Comma 2 2 2 2 2 5 3" xfId="1436"/>
    <cellStyle name="Comma 2 2 2 2 2 5 3 2" xfId="7688"/>
    <cellStyle name="Comma 2 2 2 2 2 5 3 3" xfId="5604"/>
    <cellStyle name="Comma 2 2 2 2 2 5 3 4" xfId="3520"/>
    <cellStyle name="Comma 2 2 2 2 2 5 4" xfId="6646"/>
    <cellStyle name="Comma 2 2 2 2 2 5 5" xfId="4562"/>
    <cellStyle name="Comma 2 2 2 2 2 5 6" xfId="2478"/>
    <cellStyle name="Comma 2 2 2 2 2 6" xfId="649"/>
    <cellStyle name="Comma 2 2 2 2 2 6 2" xfId="1693"/>
    <cellStyle name="Comma 2 2 2 2 2 6 2 2" xfId="7945"/>
    <cellStyle name="Comma 2 2 2 2 2 6 2 3" xfId="5861"/>
    <cellStyle name="Comma 2 2 2 2 2 6 2 4" xfId="3777"/>
    <cellStyle name="Comma 2 2 2 2 2 6 3" xfId="6903"/>
    <cellStyle name="Comma 2 2 2 2 2 6 4" xfId="4819"/>
    <cellStyle name="Comma 2 2 2 2 2 6 5" xfId="2735"/>
    <cellStyle name="Comma 2 2 2 2 2 7" xfId="1169"/>
    <cellStyle name="Comma 2 2 2 2 2 7 2" xfId="7421"/>
    <cellStyle name="Comma 2 2 2 2 2 7 3" xfId="5337"/>
    <cellStyle name="Comma 2 2 2 2 2 7 4" xfId="3253"/>
    <cellStyle name="Comma 2 2 2 2 2 8" xfId="6379"/>
    <cellStyle name="Comma 2 2 2 2 2 9" xfId="4295"/>
    <cellStyle name="Comma 2 2 2 2 3" xfId="168"/>
    <cellStyle name="Comma 2 2 2 2 3 2" xfId="290"/>
    <cellStyle name="Comma 2 2 2 2 3 2 2" xfId="554"/>
    <cellStyle name="Comma 2 2 2 2 3 2 2 2" xfId="1068"/>
    <cellStyle name="Comma 2 2 2 2 3 2 2 2 2" xfId="2112"/>
    <cellStyle name="Comma 2 2 2 2 3 2 2 2 2 2" xfId="8364"/>
    <cellStyle name="Comma 2 2 2 2 3 2 2 2 2 3" xfId="6280"/>
    <cellStyle name="Comma 2 2 2 2 3 2 2 2 2 4" xfId="4196"/>
    <cellStyle name="Comma 2 2 2 2 3 2 2 2 3" xfId="7322"/>
    <cellStyle name="Comma 2 2 2 2 3 2 2 2 4" xfId="5238"/>
    <cellStyle name="Comma 2 2 2 2 3 2 2 2 5" xfId="3154"/>
    <cellStyle name="Comma 2 2 2 2 3 2 2 3" xfId="1598"/>
    <cellStyle name="Comma 2 2 2 2 3 2 2 3 2" xfId="7850"/>
    <cellStyle name="Comma 2 2 2 2 3 2 2 3 3" xfId="5766"/>
    <cellStyle name="Comma 2 2 2 2 3 2 2 3 4" xfId="3682"/>
    <cellStyle name="Comma 2 2 2 2 3 2 2 4" xfId="6808"/>
    <cellStyle name="Comma 2 2 2 2 3 2 2 5" xfId="4724"/>
    <cellStyle name="Comma 2 2 2 2 3 2 2 6" xfId="2640"/>
    <cellStyle name="Comma 2 2 2 2 3 2 3" xfId="811"/>
    <cellStyle name="Comma 2 2 2 2 3 2 3 2" xfId="1855"/>
    <cellStyle name="Comma 2 2 2 2 3 2 3 2 2" xfId="8107"/>
    <cellStyle name="Comma 2 2 2 2 3 2 3 2 3" xfId="6023"/>
    <cellStyle name="Comma 2 2 2 2 3 2 3 2 4" xfId="3939"/>
    <cellStyle name="Comma 2 2 2 2 3 2 3 3" xfId="7065"/>
    <cellStyle name="Comma 2 2 2 2 3 2 3 4" xfId="4981"/>
    <cellStyle name="Comma 2 2 2 2 3 2 3 5" xfId="2897"/>
    <cellStyle name="Comma 2 2 2 2 3 2 4" xfId="1340"/>
    <cellStyle name="Comma 2 2 2 2 3 2 4 2" xfId="7592"/>
    <cellStyle name="Comma 2 2 2 2 3 2 4 3" xfId="5508"/>
    <cellStyle name="Comma 2 2 2 2 3 2 4 4" xfId="3424"/>
    <cellStyle name="Comma 2 2 2 2 3 2 5" xfId="6550"/>
    <cellStyle name="Comma 2 2 2 2 3 2 6" xfId="4466"/>
    <cellStyle name="Comma 2 2 2 2 3 2 7" xfId="2382"/>
    <cellStyle name="Comma 2 2 2 2 3 3" xfId="446"/>
    <cellStyle name="Comma 2 2 2 2 3 3 2" xfId="960"/>
    <cellStyle name="Comma 2 2 2 2 3 3 2 2" xfId="2004"/>
    <cellStyle name="Comma 2 2 2 2 3 3 2 2 2" xfId="8256"/>
    <cellStyle name="Comma 2 2 2 2 3 3 2 2 3" xfId="6172"/>
    <cellStyle name="Comma 2 2 2 2 3 3 2 2 4" xfId="4088"/>
    <cellStyle name="Comma 2 2 2 2 3 3 2 3" xfId="7214"/>
    <cellStyle name="Comma 2 2 2 2 3 3 2 4" xfId="5130"/>
    <cellStyle name="Comma 2 2 2 2 3 3 2 5" xfId="3046"/>
    <cellStyle name="Comma 2 2 2 2 3 3 3" xfId="1490"/>
    <cellStyle name="Comma 2 2 2 2 3 3 3 2" xfId="7742"/>
    <cellStyle name="Comma 2 2 2 2 3 3 3 3" xfId="5658"/>
    <cellStyle name="Comma 2 2 2 2 3 3 3 4" xfId="3574"/>
    <cellStyle name="Comma 2 2 2 2 3 3 4" xfId="6700"/>
    <cellStyle name="Comma 2 2 2 2 3 3 5" xfId="4616"/>
    <cellStyle name="Comma 2 2 2 2 3 3 6" xfId="2532"/>
    <cellStyle name="Comma 2 2 2 2 3 4" xfId="703"/>
    <cellStyle name="Comma 2 2 2 2 3 4 2" xfId="1747"/>
    <cellStyle name="Comma 2 2 2 2 3 4 2 2" xfId="7999"/>
    <cellStyle name="Comma 2 2 2 2 3 4 2 3" xfId="5915"/>
    <cellStyle name="Comma 2 2 2 2 3 4 2 4" xfId="3831"/>
    <cellStyle name="Comma 2 2 2 2 3 4 3" xfId="6957"/>
    <cellStyle name="Comma 2 2 2 2 3 4 4" xfId="4873"/>
    <cellStyle name="Comma 2 2 2 2 3 4 5" xfId="2789"/>
    <cellStyle name="Comma 2 2 2 2 3 5" xfId="1226"/>
    <cellStyle name="Comma 2 2 2 2 3 5 2" xfId="7478"/>
    <cellStyle name="Comma 2 2 2 2 3 5 3" xfId="5394"/>
    <cellStyle name="Comma 2 2 2 2 3 5 4" xfId="3310"/>
    <cellStyle name="Comma 2 2 2 2 3 6" xfId="6436"/>
    <cellStyle name="Comma 2 2 2 2 3 7" xfId="4352"/>
    <cellStyle name="Comma 2 2 2 2 3 8" xfId="2268"/>
    <cellStyle name="Comma 2 2 2 2 4" xfId="130"/>
    <cellStyle name="Comma 2 2 2 2 4 2" xfId="252"/>
    <cellStyle name="Comma 2 2 2 2 4 2 2" xfId="518"/>
    <cellStyle name="Comma 2 2 2 2 4 2 2 2" xfId="1032"/>
    <cellStyle name="Comma 2 2 2 2 4 2 2 2 2" xfId="2076"/>
    <cellStyle name="Comma 2 2 2 2 4 2 2 2 2 2" xfId="8328"/>
    <cellStyle name="Comma 2 2 2 2 4 2 2 2 2 3" xfId="6244"/>
    <cellStyle name="Comma 2 2 2 2 4 2 2 2 2 4" xfId="4160"/>
    <cellStyle name="Comma 2 2 2 2 4 2 2 2 3" xfId="7286"/>
    <cellStyle name="Comma 2 2 2 2 4 2 2 2 4" xfId="5202"/>
    <cellStyle name="Comma 2 2 2 2 4 2 2 2 5" xfId="3118"/>
    <cellStyle name="Comma 2 2 2 2 4 2 2 3" xfId="1562"/>
    <cellStyle name="Comma 2 2 2 2 4 2 2 3 2" xfId="7814"/>
    <cellStyle name="Comma 2 2 2 2 4 2 2 3 3" xfId="5730"/>
    <cellStyle name="Comma 2 2 2 2 4 2 2 3 4" xfId="3646"/>
    <cellStyle name="Comma 2 2 2 2 4 2 2 4" xfId="6772"/>
    <cellStyle name="Comma 2 2 2 2 4 2 2 5" xfId="4688"/>
    <cellStyle name="Comma 2 2 2 2 4 2 2 6" xfId="2604"/>
    <cellStyle name="Comma 2 2 2 2 4 2 3" xfId="775"/>
    <cellStyle name="Comma 2 2 2 2 4 2 3 2" xfId="1819"/>
    <cellStyle name="Comma 2 2 2 2 4 2 3 2 2" xfId="8071"/>
    <cellStyle name="Comma 2 2 2 2 4 2 3 2 3" xfId="5987"/>
    <cellStyle name="Comma 2 2 2 2 4 2 3 2 4" xfId="3903"/>
    <cellStyle name="Comma 2 2 2 2 4 2 3 3" xfId="7029"/>
    <cellStyle name="Comma 2 2 2 2 4 2 3 4" xfId="4945"/>
    <cellStyle name="Comma 2 2 2 2 4 2 3 5" xfId="2861"/>
    <cellStyle name="Comma 2 2 2 2 4 2 4" xfId="1302"/>
    <cellStyle name="Comma 2 2 2 2 4 2 4 2" xfId="7554"/>
    <cellStyle name="Comma 2 2 2 2 4 2 4 3" xfId="5470"/>
    <cellStyle name="Comma 2 2 2 2 4 2 4 4" xfId="3386"/>
    <cellStyle name="Comma 2 2 2 2 4 2 5" xfId="6512"/>
    <cellStyle name="Comma 2 2 2 2 4 2 6" xfId="4428"/>
    <cellStyle name="Comma 2 2 2 2 4 2 7" xfId="2344"/>
    <cellStyle name="Comma 2 2 2 2 4 3" xfId="410"/>
    <cellStyle name="Comma 2 2 2 2 4 3 2" xfId="924"/>
    <cellStyle name="Comma 2 2 2 2 4 3 2 2" xfId="1968"/>
    <cellStyle name="Comma 2 2 2 2 4 3 2 2 2" xfId="8220"/>
    <cellStyle name="Comma 2 2 2 2 4 3 2 2 3" xfId="6136"/>
    <cellStyle name="Comma 2 2 2 2 4 3 2 2 4" xfId="4052"/>
    <cellStyle name="Comma 2 2 2 2 4 3 2 3" xfId="7178"/>
    <cellStyle name="Comma 2 2 2 2 4 3 2 4" xfId="5094"/>
    <cellStyle name="Comma 2 2 2 2 4 3 2 5" xfId="3010"/>
    <cellStyle name="Comma 2 2 2 2 4 3 3" xfId="1454"/>
    <cellStyle name="Comma 2 2 2 2 4 3 3 2" xfId="7706"/>
    <cellStyle name="Comma 2 2 2 2 4 3 3 3" xfId="5622"/>
    <cellStyle name="Comma 2 2 2 2 4 3 3 4" xfId="3538"/>
    <cellStyle name="Comma 2 2 2 2 4 3 4" xfId="6664"/>
    <cellStyle name="Comma 2 2 2 2 4 3 5" xfId="4580"/>
    <cellStyle name="Comma 2 2 2 2 4 3 6" xfId="2496"/>
    <cellStyle name="Comma 2 2 2 2 4 4" xfId="667"/>
    <cellStyle name="Comma 2 2 2 2 4 4 2" xfId="1711"/>
    <cellStyle name="Comma 2 2 2 2 4 4 2 2" xfId="7963"/>
    <cellStyle name="Comma 2 2 2 2 4 4 2 3" xfId="5879"/>
    <cellStyle name="Comma 2 2 2 2 4 4 2 4" xfId="3795"/>
    <cellStyle name="Comma 2 2 2 2 4 4 3" xfId="6921"/>
    <cellStyle name="Comma 2 2 2 2 4 4 4" xfId="4837"/>
    <cellStyle name="Comma 2 2 2 2 4 4 5" xfId="2753"/>
    <cellStyle name="Comma 2 2 2 2 4 5" xfId="1188"/>
    <cellStyle name="Comma 2 2 2 2 4 5 2" xfId="7440"/>
    <cellStyle name="Comma 2 2 2 2 4 5 3" xfId="5356"/>
    <cellStyle name="Comma 2 2 2 2 4 5 4" xfId="3272"/>
    <cellStyle name="Comma 2 2 2 2 4 6" xfId="6398"/>
    <cellStyle name="Comma 2 2 2 2 4 7" xfId="4314"/>
    <cellStyle name="Comma 2 2 2 2 4 8" xfId="2230"/>
    <cellStyle name="Comma 2 2 2 2 5" xfId="212"/>
    <cellStyle name="Comma 2 2 2 2 5 2" xfId="482"/>
    <cellStyle name="Comma 2 2 2 2 5 2 2" xfId="996"/>
    <cellStyle name="Comma 2 2 2 2 5 2 2 2" xfId="2040"/>
    <cellStyle name="Comma 2 2 2 2 5 2 2 2 2" xfId="8292"/>
    <cellStyle name="Comma 2 2 2 2 5 2 2 2 3" xfId="6208"/>
    <cellStyle name="Comma 2 2 2 2 5 2 2 2 4" xfId="4124"/>
    <cellStyle name="Comma 2 2 2 2 5 2 2 3" xfId="7250"/>
    <cellStyle name="Comma 2 2 2 2 5 2 2 4" xfId="5166"/>
    <cellStyle name="Comma 2 2 2 2 5 2 2 5" xfId="3082"/>
    <cellStyle name="Comma 2 2 2 2 5 2 3" xfId="1526"/>
    <cellStyle name="Comma 2 2 2 2 5 2 3 2" xfId="7778"/>
    <cellStyle name="Comma 2 2 2 2 5 2 3 3" xfId="5694"/>
    <cellStyle name="Comma 2 2 2 2 5 2 3 4" xfId="3610"/>
    <cellStyle name="Comma 2 2 2 2 5 2 4" xfId="6736"/>
    <cellStyle name="Comma 2 2 2 2 5 2 5" xfId="4652"/>
    <cellStyle name="Comma 2 2 2 2 5 2 6" xfId="2568"/>
    <cellStyle name="Comma 2 2 2 2 5 3" xfId="739"/>
    <cellStyle name="Comma 2 2 2 2 5 3 2" xfId="1783"/>
    <cellStyle name="Comma 2 2 2 2 5 3 2 2" xfId="8035"/>
    <cellStyle name="Comma 2 2 2 2 5 3 2 3" xfId="5951"/>
    <cellStyle name="Comma 2 2 2 2 5 3 2 4" xfId="3867"/>
    <cellStyle name="Comma 2 2 2 2 5 3 3" xfId="6993"/>
    <cellStyle name="Comma 2 2 2 2 5 3 4" xfId="4909"/>
    <cellStyle name="Comma 2 2 2 2 5 3 5" xfId="2825"/>
    <cellStyle name="Comma 2 2 2 2 5 4" xfId="1264"/>
    <cellStyle name="Comma 2 2 2 2 5 4 2" xfId="7516"/>
    <cellStyle name="Comma 2 2 2 2 5 4 3" xfId="5432"/>
    <cellStyle name="Comma 2 2 2 2 5 4 4" xfId="3348"/>
    <cellStyle name="Comma 2 2 2 2 5 5" xfId="6474"/>
    <cellStyle name="Comma 2 2 2 2 5 6" xfId="4390"/>
    <cellStyle name="Comma 2 2 2 2 5 7" xfId="2306"/>
    <cellStyle name="Comma 2 2 2 2 6" xfId="90"/>
    <cellStyle name="Comma 2 2 2 2 6 2" xfId="374"/>
    <cellStyle name="Comma 2 2 2 2 6 2 2" xfId="888"/>
    <cellStyle name="Comma 2 2 2 2 6 2 2 2" xfId="1932"/>
    <cellStyle name="Comma 2 2 2 2 6 2 2 2 2" xfId="8184"/>
    <cellStyle name="Comma 2 2 2 2 6 2 2 2 3" xfId="6100"/>
    <cellStyle name="Comma 2 2 2 2 6 2 2 2 4" xfId="4016"/>
    <cellStyle name="Comma 2 2 2 2 6 2 2 3" xfId="7142"/>
    <cellStyle name="Comma 2 2 2 2 6 2 2 4" xfId="5058"/>
    <cellStyle name="Comma 2 2 2 2 6 2 2 5" xfId="2974"/>
    <cellStyle name="Comma 2 2 2 2 6 2 3" xfId="1418"/>
    <cellStyle name="Comma 2 2 2 2 6 2 3 2" xfId="7670"/>
    <cellStyle name="Comma 2 2 2 2 6 2 3 3" xfId="5586"/>
    <cellStyle name="Comma 2 2 2 2 6 2 3 4" xfId="3502"/>
    <cellStyle name="Comma 2 2 2 2 6 2 4" xfId="6628"/>
    <cellStyle name="Comma 2 2 2 2 6 2 5" xfId="4544"/>
    <cellStyle name="Comma 2 2 2 2 6 2 6" xfId="2460"/>
    <cellStyle name="Comma 2 2 2 2 6 3" xfId="631"/>
    <cellStyle name="Comma 2 2 2 2 6 3 2" xfId="1675"/>
    <cellStyle name="Comma 2 2 2 2 6 3 2 2" xfId="7927"/>
    <cellStyle name="Comma 2 2 2 2 6 3 2 3" xfId="5843"/>
    <cellStyle name="Comma 2 2 2 2 6 3 2 4" xfId="3759"/>
    <cellStyle name="Comma 2 2 2 2 6 3 3" xfId="6885"/>
    <cellStyle name="Comma 2 2 2 2 6 3 4" xfId="4801"/>
    <cellStyle name="Comma 2 2 2 2 6 3 5" xfId="2717"/>
    <cellStyle name="Comma 2 2 2 2 6 4" xfId="1150"/>
    <cellStyle name="Comma 2 2 2 2 6 4 2" xfId="7402"/>
    <cellStyle name="Comma 2 2 2 2 6 4 3" xfId="5318"/>
    <cellStyle name="Comma 2 2 2 2 6 4 4" xfId="3234"/>
    <cellStyle name="Comma 2 2 2 2 6 5" xfId="6360"/>
    <cellStyle name="Comma 2 2 2 2 6 6" xfId="4276"/>
    <cellStyle name="Comma 2 2 2 2 6 7" xfId="2192"/>
    <cellStyle name="Comma 2 2 2 2 7" xfId="353"/>
    <cellStyle name="Comma 2 2 2 2 7 2" xfId="867"/>
    <cellStyle name="Comma 2 2 2 2 7 2 2" xfId="1911"/>
    <cellStyle name="Comma 2 2 2 2 7 2 2 2" xfId="8163"/>
    <cellStyle name="Comma 2 2 2 2 7 2 2 3" xfId="6079"/>
    <cellStyle name="Comma 2 2 2 2 7 2 2 4" xfId="3995"/>
    <cellStyle name="Comma 2 2 2 2 7 2 3" xfId="7121"/>
    <cellStyle name="Comma 2 2 2 2 7 2 4" xfId="5037"/>
    <cellStyle name="Comma 2 2 2 2 7 2 5" xfId="2953"/>
    <cellStyle name="Comma 2 2 2 2 7 3" xfId="1397"/>
    <cellStyle name="Comma 2 2 2 2 7 3 2" xfId="7649"/>
    <cellStyle name="Comma 2 2 2 2 7 3 3" xfId="5565"/>
    <cellStyle name="Comma 2 2 2 2 7 3 4" xfId="3481"/>
    <cellStyle name="Comma 2 2 2 2 7 4" xfId="6607"/>
    <cellStyle name="Comma 2 2 2 2 7 5" xfId="4523"/>
    <cellStyle name="Comma 2 2 2 2 7 6" xfId="2439"/>
    <cellStyle name="Comma 2 2 2 2 8" xfId="610"/>
    <cellStyle name="Comma 2 2 2 2 8 2" xfId="1654"/>
    <cellStyle name="Comma 2 2 2 2 8 2 2" xfId="7906"/>
    <cellStyle name="Comma 2 2 2 2 8 2 3" xfId="5822"/>
    <cellStyle name="Comma 2 2 2 2 8 2 4" xfId="3738"/>
    <cellStyle name="Comma 2 2 2 2 8 3" xfId="6864"/>
    <cellStyle name="Comma 2 2 2 2 8 4" xfId="4780"/>
    <cellStyle name="Comma 2 2 2 2 8 5" xfId="2696"/>
    <cellStyle name="Comma 2 2 2 2 9" xfId="1126"/>
    <cellStyle name="Comma 2 2 2 2 9 2" xfId="7380"/>
    <cellStyle name="Comma 2 2 2 2 9 3" xfId="5296"/>
    <cellStyle name="Comma 2 2 2 2 9 4" xfId="3212"/>
    <cellStyle name="Comma 2 2 2 3" xfId="100"/>
    <cellStyle name="Comma 2 2 2 3 10" xfId="2201"/>
    <cellStyle name="Comma 2 2 2 3 2" xfId="178"/>
    <cellStyle name="Comma 2 2 2 3 2 2" xfId="300"/>
    <cellStyle name="Comma 2 2 2 3 2 2 2" xfId="563"/>
    <cellStyle name="Comma 2 2 2 3 2 2 2 2" xfId="1077"/>
    <cellStyle name="Comma 2 2 2 3 2 2 2 2 2" xfId="2121"/>
    <cellStyle name="Comma 2 2 2 3 2 2 2 2 2 2" xfId="8373"/>
    <cellStyle name="Comma 2 2 2 3 2 2 2 2 2 3" xfId="6289"/>
    <cellStyle name="Comma 2 2 2 3 2 2 2 2 2 4" xfId="4205"/>
    <cellStyle name="Comma 2 2 2 3 2 2 2 2 3" xfId="7331"/>
    <cellStyle name="Comma 2 2 2 3 2 2 2 2 4" xfId="5247"/>
    <cellStyle name="Comma 2 2 2 3 2 2 2 2 5" xfId="3163"/>
    <cellStyle name="Comma 2 2 2 3 2 2 2 3" xfId="1607"/>
    <cellStyle name="Comma 2 2 2 3 2 2 2 3 2" xfId="7859"/>
    <cellStyle name="Comma 2 2 2 3 2 2 2 3 3" xfId="5775"/>
    <cellStyle name="Comma 2 2 2 3 2 2 2 3 4" xfId="3691"/>
    <cellStyle name="Comma 2 2 2 3 2 2 2 4" xfId="6817"/>
    <cellStyle name="Comma 2 2 2 3 2 2 2 5" xfId="4733"/>
    <cellStyle name="Comma 2 2 2 3 2 2 2 6" xfId="2649"/>
    <cellStyle name="Comma 2 2 2 3 2 2 3" xfId="820"/>
    <cellStyle name="Comma 2 2 2 3 2 2 3 2" xfId="1864"/>
    <cellStyle name="Comma 2 2 2 3 2 2 3 2 2" xfId="8116"/>
    <cellStyle name="Comma 2 2 2 3 2 2 3 2 3" xfId="6032"/>
    <cellStyle name="Comma 2 2 2 3 2 2 3 2 4" xfId="3948"/>
    <cellStyle name="Comma 2 2 2 3 2 2 3 3" xfId="7074"/>
    <cellStyle name="Comma 2 2 2 3 2 2 3 4" xfId="4990"/>
    <cellStyle name="Comma 2 2 2 3 2 2 3 5" xfId="2906"/>
    <cellStyle name="Comma 2 2 2 3 2 2 4" xfId="1349"/>
    <cellStyle name="Comma 2 2 2 3 2 2 4 2" xfId="7601"/>
    <cellStyle name="Comma 2 2 2 3 2 2 4 3" xfId="5517"/>
    <cellStyle name="Comma 2 2 2 3 2 2 4 4" xfId="3433"/>
    <cellStyle name="Comma 2 2 2 3 2 2 5" xfId="6559"/>
    <cellStyle name="Comma 2 2 2 3 2 2 6" xfId="4475"/>
    <cellStyle name="Comma 2 2 2 3 2 2 7" xfId="2391"/>
    <cellStyle name="Comma 2 2 2 3 2 3" xfId="455"/>
    <cellStyle name="Comma 2 2 2 3 2 3 2" xfId="969"/>
    <cellStyle name="Comma 2 2 2 3 2 3 2 2" xfId="2013"/>
    <cellStyle name="Comma 2 2 2 3 2 3 2 2 2" xfId="8265"/>
    <cellStyle name="Comma 2 2 2 3 2 3 2 2 3" xfId="6181"/>
    <cellStyle name="Comma 2 2 2 3 2 3 2 2 4" xfId="4097"/>
    <cellStyle name="Comma 2 2 2 3 2 3 2 3" xfId="7223"/>
    <cellStyle name="Comma 2 2 2 3 2 3 2 4" xfId="5139"/>
    <cellStyle name="Comma 2 2 2 3 2 3 2 5" xfId="3055"/>
    <cellStyle name="Comma 2 2 2 3 2 3 3" xfId="1499"/>
    <cellStyle name="Comma 2 2 2 3 2 3 3 2" xfId="7751"/>
    <cellStyle name="Comma 2 2 2 3 2 3 3 3" xfId="5667"/>
    <cellStyle name="Comma 2 2 2 3 2 3 3 4" xfId="3583"/>
    <cellStyle name="Comma 2 2 2 3 2 3 4" xfId="6709"/>
    <cellStyle name="Comma 2 2 2 3 2 3 5" xfId="4625"/>
    <cellStyle name="Comma 2 2 2 3 2 3 6" xfId="2541"/>
    <cellStyle name="Comma 2 2 2 3 2 4" xfId="712"/>
    <cellStyle name="Comma 2 2 2 3 2 4 2" xfId="1756"/>
    <cellStyle name="Comma 2 2 2 3 2 4 2 2" xfId="8008"/>
    <cellStyle name="Comma 2 2 2 3 2 4 2 3" xfId="5924"/>
    <cellStyle name="Comma 2 2 2 3 2 4 2 4" xfId="3840"/>
    <cellStyle name="Comma 2 2 2 3 2 4 3" xfId="6966"/>
    <cellStyle name="Comma 2 2 2 3 2 4 4" xfId="4882"/>
    <cellStyle name="Comma 2 2 2 3 2 4 5" xfId="2798"/>
    <cellStyle name="Comma 2 2 2 3 2 5" xfId="1235"/>
    <cellStyle name="Comma 2 2 2 3 2 5 2" xfId="7487"/>
    <cellStyle name="Comma 2 2 2 3 2 5 3" xfId="5403"/>
    <cellStyle name="Comma 2 2 2 3 2 5 4" xfId="3319"/>
    <cellStyle name="Comma 2 2 2 3 2 6" xfId="6445"/>
    <cellStyle name="Comma 2 2 2 3 2 7" xfId="4361"/>
    <cellStyle name="Comma 2 2 2 3 2 8" xfId="2277"/>
    <cellStyle name="Comma 2 2 2 3 3" xfId="139"/>
    <cellStyle name="Comma 2 2 2 3 3 2" xfId="261"/>
    <cellStyle name="Comma 2 2 2 3 3 2 2" xfId="527"/>
    <cellStyle name="Comma 2 2 2 3 3 2 2 2" xfId="1041"/>
    <cellStyle name="Comma 2 2 2 3 3 2 2 2 2" xfId="2085"/>
    <cellStyle name="Comma 2 2 2 3 3 2 2 2 2 2" xfId="8337"/>
    <cellStyle name="Comma 2 2 2 3 3 2 2 2 2 3" xfId="6253"/>
    <cellStyle name="Comma 2 2 2 3 3 2 2 2 2 4" xfId="4169"/>
    <cellStyle name="Comma 2 2 2 3 3 2 2 2 3" xfId="7295"/>
    <cellStyle name="Comma 2 2 2 3 3 2 2 2 4" xfId="5211"/>
    <cellStyle name="Comma 2 2 2 3 3 2 2 2 5" xfId="3127"/>
    <cellStyle name="Comma 2 2 2 3 3 2 2 3" xfId="1571"/>
    <cellStyle name="Comma 2 2 2 3 3 2 2 3 2" xfId="7823"/>
    <cellStyle name="Comma 2 2 2 3 3 2 2 3 3" xfId="5739"/>
    <cellStyle name="Comma 2 2 2 3 3 2 2 3 4" xfId="3655"/>
    <cellStyle name="Comma 2 2 2 3 3 2 2 4" xfId="6781"/>
    <cellStyle name="Comma 2 2 2 3 3 2 2 5" xfId="4697"/>
    <cellStyle name="Comma 2 2 2 3 3 2 2 6" xfId="2613"/>
    <cellStyle name="Comma 2 2 2 3 3 2 3" xfId="784"/>
    <cellStyle name="Comma 2 2 2 3 3 2 3 2" xfId="1828"/>
    <cellStyle name="Comma 2 2 2 3 3 2 3 2 2" xfId="8080"/>
    <cellStyle name="Comma 2 2 2 3 3 2 3 2 3" xfId="5996"/>
    <cellStyle name="Comma 2 2 2 3 3 2 3 2 4" xfId="3912"/>
    <cellStyle name="Comma 2 2 2 3 3 2 3 3" xfId="7038"/>
    <cellStyle name="Comma 2 2 2 3 3 2 3 4" xfId="4954"/>
    <cellStyle name="Comma 2 2 2 3 3 2 3 5" xfId="2870"/>
    <cellStyle name="Comma 2 2 2 3 3 2 4" xfId="1311"/>
    <cellStyle name="Comma 2 2 2 3 3 2 4 2" xfId="7563"/>
    <cellStyle name="Comma 2 2 2 3 3 2 4 3" xfId="5479"/>
    <cellStyle name="Comma 2 2 2 3 3 2 4 4" xfId="3395"/>
    <cellStyle name="Comma 2 2 2 3 3 2 5" xfId="6521"/>
    <cellStyle name="Comma 2 2 2 3 3 2 6" xfId="4437"/>
    <cellStyle name="Comma 2 2 2 3 3 2 7" xfId="2353"/>
    <cellStyle name="Comma 2 2 2 3 3 3" xfId="419"/>
    <cellStyle name="Comma 2 2 2 3 3 3 2" xfId="933"/>
    <cellStyle name="Comma 2 2 2 3 3 3 2 2" xfId="1977"/>
    <cellStyle name="Comma 2 2 2 3 3 3 2 2 2" xfId="8229"/>
    <cellStyle name="Comma 2 2 2 3 3 3 2 2 3" xfId="6145"/>
    <cellStyle name="Comma 2 2 2 3 3 3 2 2 4" xfId="4061"/>
    <cellStyle name="Comma 2 2 2 3 3 3 2 3" xfId="7187"/>
    <cellStyle name="Comma 2 2 2 3 3 3 2 4" xfId="5103"/>
    <cellStyle name="Comma 2 2 2 3 3 3 2 5" xfId="3019"/>
    <cellStyle name="Comma 2 2 2 3 3 3 3" xfId="1463"/>
    <cellStyle name="Comma 2 2 2 3 3 3 3 2" xfId="7715"/>
    <cellStyle name="Comma 2 2 2 3 3 3 3 3" xfId="5631"/>
    <cellStyle name="Comma 2 2 2 3 3 3 3 4" xfId="3547"/>
    <cellStyle name="Comma 2 2 2 3 3 3 4" xfId="6673"/>
    <cellStyle name="Comma 2 2 2 3 3 3 5" xfId="4589"/>
    <cellStyle name="Comma 2 2 2 3 3 3 6" xfId="2505"/>
    <cellStyle name="Comma 2 2 2 3 3 4" xfId="676"/>
    <cellStyle name="Comma 2 2 2 3 3 4 2" xfId="1720"/>
    <cellStyle name="Comma 2 2 2 3 3 4 2 2" xfId="7972"/>
    <cellStyle name="Comma 2 2 2 3 3 4 2 3" xfId="5888"/>
    <cellStyle name="Comma 2 2 2 3 3 4 2 4" xfId="3804"/>
    <cellStyle name="Comma 2 2 2 3 3 4 3" xfId="6930"/>
    <cellStyle name="Comma 2 2 2 3 3 4 4" xfId="4846"/>
    <cellStyle name="Comma 2 2 2 3 3 4 5" xfId="2762"/>
    <cellStyle name="Comma 2 2 2 3 3 5" xfId="1197"/>
    <cellStyle name="Comma 2 2 2 3 3 5 2" xfId="7449"/>
    <cellStyle name="Comma 2 2 2 3 3 5 3" xfId="5365"/>
    <cellStyle name="Comma 2 2 2 3 3 5 4" xfId="3281"/>
    <cellStyle name="Comma 2 2 2 3 3 6" xfId="6407"/>
    <cellStyle name="Comma 2 2 2 3 3 7" xfId="4323"/>
    <cellStyle name="Comma 2 2 2 3 3 8" xfId="2239"/>
    <cellStyle name="Comma 2 2 2 3 4" xfId="222"/>
    <cellStyle name="Comma 2 2 2 3 4 2" xfId="491"/>
    <cellStyle name="Comma 2 2 2 3 4 2 2" xfId="1005"/>
    <cellStyle name="Comma 2 2 2 3 4 2 2 2" xfId="2049"/>
    <cellStyle name="Comma 2 2 2 3 4 2 2 2 2" xfId="8301"/>
    <cellStyle name="Comma 2 2 2 3 4 2 2 2 3" xfId="6217"/>
    <cellStyle name="Comma 2 2 2 3 4 2 2 2 4" xfId="4133"/>
    <cellStyle name="Comma 2 2 2 3 4 2 2 3" xfId="7259"/>
    <cellStyle name="Comma 2 2 2 3 4 2 2 4" xfId="5175"/>
    <cellStyle name="Comma 2 2 2 3 4 2 2 5" xfId="3091"/>
    <cellStyle name="Comma 2 2 2 3 4 2 3" xfId="1535"/>
    <cellStyle name="Comma 2 2 2 3 4 2 3 2" xfId="7787"/>
    <cellStyle name="Comma 2 2 2 3 4 2 3 3" xfId="5703"/>
    <cellStyle name="Comma 2 2 2 3 4 2 3 4" xfId="3619"/>
    <cellStyle name="Comma 2 2 2 3 4 2 4" xfId="6745"/>
    <cellStyle name="Comma 2 2 2 3 4 2 5" xfId="4661"/>
    <cellStyle name="Comma 2 2 2 3 4 2 6" xfId="2577"/>
    <cellStyle name="Comma 2 2 2 3 4 3" xfId="748"/>
    <cellStyle name="Comma 2 2 2 3 4 3 2" xfId="1792"/>
    <cellStyle name="Comma 2 2 2 3 4 3 2 2" xfId="8044"/>
    <cellStyle name="Comma 2 2 2 3 4 3 2 3" xfId="5960"/>
    <cellStyle name="Comma 2 2 2 3 4 3 2 4" xfId="3876"/>
    <cellStyle name="Comma 2 2 2 3 4 3 3" xfId="7002"/>
    <cellStyle name="Comma 2 2 2 3 4 3 4" xfId="4918"/>
    <cellStyle name="Comma 2 2 2 3 4 3 5" xfId="2834"/>
    <cellStyle name="Comma 2 2 2 3 4 4" xfId="1273"/>
    <cellStyle name="Comma 2 2 2 3 4 4 2" xfId="7525"/>
    <cellStyle name="Comma 2 2 2 3 4 4 3" xfId="5441"/>
    <cellStyle name="Comma 2 2 2 3 4 4 4" xfId="3357"/>
    <cellStyle name="Comma 2 2 2 3 4 5" xfId="6483"/>
    <cellStyle name="Comma 2 2 2 3 4 6" xfId="4399"/>
    <cellStyle name="Comma 2 2 2 3 4 7" xfId="2315"/>
    <cellStyle name="Comma 2 2 2 3 5" xfId="383"/>
    <cellStyle name="Comma 2 2 2 3 5 2" xfId="897"/>
    <cellStyle name="Comma 2 2 2 3 5 2 2" xfId="1941"/>
    <cellStyle name="Comma 2 2 2 3 5 2 2 2" xfId="8193"/>
    <cellStyle name="Comma 2 2 2 3 5 2 2 3" xfId="6109"/>
    <cellStyle name="Comma 2 2 2 3 5 2 2 4" xfId="4025"/>
    <cellStyle name="Comma 2 2 2 3 5 2 3" xfId="7151"/>
    <cellStyle name="Comma 2 2 2 3 5 2 4" xfId="5067"/>
    <cellStyle name="Comma 2 2 2 3 5 2 5" xfId="2983"/>
    <cellStyle name="Comma 2 2 2 3 5 3" xfId="1427"/>
    <cellStyle name="Comma 2 2 2 3 5 3 2" xfId="7679"/>
    <cellStyle name="Comma 2 2 2 3 5 3 3" xfId="5595"/>
    <cellStyle name="Comma 2 2 2 3 5 3 4" xfId="3511"/>
    <cellStyle name="Comma 2 2 2 3 5 4" xfId="6637"/>
    <cellStyle name="Comma 2 2 2 3 5 5" xfId="4553"/>
    <cellStyle name="Comma 2 2 2 3 5 6" xfId="2469"/>
    <cellStyle name="Comma 2 2 2 3 6" xfId="640"/>
    <cellStyle name="Comma 2 2 2 3 6 2" xfId="1684"/>
    <cellStyle name="Comma 2 2 2 3 6 2 2" xfId="7936"/>
    <cellStyle name="Comma 2 2 2 3 6 2 3" xfId="5852"/>
    <cellStyle name="Comma 2 2 2 3 6 2 4" xfId="3768"/>
    <cellStyle name="Comma 2 2 2 3 6 3" xfId="6894"/>
    <cellStyle name="Comma 2 2 2 3 6 4" xfId="4810"/>
    <cellStyle name="Comma 2 2 2 3 6 5" xfId="2726"/>
    <cellStyle name="Comma 2 2 2 3 7" xfId="1159"/>
    <cellStyle name="Comma 2 2 2 3 7 2" xfId="7411"/>
    <cellStyle name="Comma 2 2 2 3 7 3" xfId="5327"/>
    <cellStyle name="Comma 2 2 2 3 7 4" xfId="3243"/>
    <cellStyle name="Comma 2 2 2 3 8" xfId="6369"/>
    <cellStyle name="Comma 2 2 2 3 9" xfId="4285"/>
    <cellStyle name="Comma 2 2 2 4" xfId="158"/>
    <cellStyle name="Comma 2 2 2 4 2" xfId="280"/>
    <cellStyle name="Comma 2 2 2 4 2 2" xfId="545"/>
    <cellStyle name="Comma 2 2 2 4 2 2 2" xfId="1059"/>
    <cellStyle name="Comma 2 2 2 4 2 2 2 2" xfId="2103"/>
    <cellStyle name="Comma 2 2 2 4 2 2 2 2 2" xfId="8355"/>
    <cellStyle name="Comma 2 2 2 4 2 2 2 2 3" xfId="6271"/>
    <cellStyle name="Comma 2 2 2 4 2 2 2 2 4" xfId="4187"/>
    <cellStyle name="Comma 2 2 2 4 2 2 2 3" xfId="7313"/>
    <cellStyle name="Comma 2 2 2 4 2 2 2 4" xfId="5229"/>
    <cellStyle name="Comma 2 2 2 4 2 2 2 5" xfId="3145"/>
    <cellStyle name="Comma 2 2 2 4 2 2 3" xfId="1589"/>
    <cellStyle name="Comma 2 2 2 4 2 2 3 2" xfId="7841"/>
    <cellStyle name="Comma 2 2 2 4 2 2 3 3" xfId="5757"/>
    <cellStyle name="Comma 2 2 2 4 2 2 3 4" xfId="3673"/>
    <cellStyle name="Comma 2 2 2 4 2 2 4" xfId="6799"/>
    <cellStyle name="Comma 2 2 2 4 2 2 5" xfId="4715"/>
    <cellStyle name="Comma 2 2 2 4 2 2 6" xfId="2631"/>
    <cellStyle name="Comma 2 2 2 4 2 3" xfId="802"/>
    <cellStyle name="Comma 2 2 2 4 2 3 2" xfId="1846"/>
    <cellStyle name="Comma 2 2 2 4 2 3 2 2" xfId="8098"/>
    <cellStyle name="Comma 2 2 2 4 2 3 2 3" xfId="6014"/>
    <cellStyle name="Comma 2 2 2 4 2 3 2 4" xfId="3930"/>
    <cellStyle name="Comma 2 2 2 4 2 3 3" xfId="7056"/>
    <cellStyle name="Comma 2 2 2 4 2 3 4" xfId="4972"/>
    <cellStyle name="Comma 2 2 2 4 2 3 5" xfId="2888"/>
    <cellStyle name="Comma 2 2 2 4 2 4" xfId="1330"/>
    <cellStyle name="Comma 2 2 2 4 2 4 2" xfId="7582"/>
    <cellStyle name="Comma 2 2 2 4 2 4 3" xfId="5498"/>
    <cellStyle name="Comma 2 2 2 4 2 4 4" xfId="3414"/>
    <cellStyle name="Comma 2 2 2 4 2 5" xfId="6540"/>
    <cellStyle name="Comma 2 2 2 4 2 6" xfId="4456"/>
    <cellStyle name="Comma 2 2 2 4 2 7" xfId="2372"/>
    <cellStyle name="Comma 2 2 2 4 3" xfId="437"/>
    <cellStyle name="Comma 2 2 2 4 3 2" xfId="951"/>
    <cellStyle name="Comma 2 2 2 4 3 2 2" xfId="1995"/>
    <cellStyle name="Comma 2 2 2 4 3 2 2 2" xfId="8247"/>
    <cellStyle name="Comma 2 2 2 4 3 2 2 3" xfId="6163"/>
    <cellStyle name="Comma 2 2 2 4 3 2 2 4" xfId="4079"/>
    <cellStyle name="Comma 2 2 2 4 3 2 3" xfId="7205"/>
    <cellStyle name="Comma 2 2 2 4 3 2 4" xfId="5121"/>
    <cellStyle name="Comma 2 2 2 4 3 2 5" xfId="3037"/>
    <cellStyle name="Comma 2 2 2 4 3 3" xfId="1481"/>
    <cellStyle name="Comma 2 2 2 4 3 3 2" xfId="7733"/>
    <cellStyle name="Comma 2 2 2 4 3 3 3" xfId="5649"/>
    <cellStyle name="Comma 2 2 2 4 3 3 4" xfId="3565"/>
    <cellStyle name="Comma 2 2 2 4 3 4" xfId="6691"/>
    <cellStyle name="Comma 2 2 2 4 3 5" xfId="4607"/>
    <cellStyle name="Comma 2 2 2 4 3 6" xfId="2523"/>
    <cellStyle name="Comma 2 2 2 4 4" xfId="694"/>
    <cellStyle name="Comma 2 2 2 4 4 2" xfId="1738"/>
    <cellStyle name="Comma 2 2 2 4 4 2 2" xfId="7990"/>
    <cellStyle name="Comma 2 2 2 4 4 2 3" xfId="5906"/>
    <cellStyle name="Comma 2 2 2 4 4 2 4" xfId="3822"/>
    <cellStyle name="Comma 2 2 2 4 4 3" xfId="6948"/>
    <cellStyle name="Comma 2 2 2 4 4 4" xfId="4864"/>
    <cellStyle name="Comma 2 2 2 4 4 5" xfId="2780"/>
    <cellStyle name="Comma 2 2 2 4 5" xfId="1216"/>
    <cellStyle name="Comma 2 2 2 4 5 2" xfId="7468"/>
    <cellStyle name="Comma 2 2 2 4 5 3" xfId="5384"/>
    <cellStyle name="Comma 2 2 2 4 5 4" xfId="3300"/>
    <cellStyle name="Comma 2 2 2 4 6" xfId="6426"/>
    <cellStyle name="Comma 2 2 2 4 7" xfId="4342"/>
    <cellStyle name="Comma 2 2 2 4 8" xfId="2258"/>
    <cellStyle name="Comma 2 2 2 5" xfId="120"/>
    <cellStyle name="Comma 2 2 2 5 2" xfId="242"/>
    <cellStyle name="Comma 2 2 2 5 2 2" xfId="509"/>
    <cellStyle name="Comma 2 2 2 5 2 2 2" xfId="1023"/>
    <cellStyle name="Comma 2 2 2 5 2 2 2 2" xfId="2067"/>
    <cellStyle name="Comma 2 2 2 5 2 2 2 2 2" xfId="8319"/>
    <cellStyle name="Comma 2 2 2 5 2 2 2 2 3" xfId="6235"/>
    <cellStyle name="Comma 2 2 2 5 2 2 2 2 4" xfId="4151"/>
    <cellStyle name="Comma 2 2 2 5 2 2 2 3" xfId="7277"/>
    <cellStyle name="Comma 2 2 2 5 2 2 2 4" xfId="5193"/>
    <cellStyle name="Comma 2 2 2 5 2 2 2 5" xfId="3109"/>
    <cellStyle name="Comma 2 2 2 5 2 2 3" xfId="1553"/>
    <cellStyle name="Comma 2 2 2 5 2 2 3 2" xfId="7805"/>
    <cellStyle name="Comma 2 2 2 5 2 2 3 3" xfId="5721"/>
    <cellStyle name="Comma 2 2 2 5 2 2 3 4" xfId="3637"/>
    <cellStyle name="Comma 2 2 2 5 2 2 4" xfId="6763"/>
    <cellStyle name="Comma 2 2 2 5 2 2 5" xfId="4679"/>
    <cellStyle name="Comma 2 2 2 5 2 2 6" xfId="2595"/>
    <cellStyle name="Comma 2 2 2 5 2 3" xfId="766"/>
    <cellStyle name="Comma 2 2 2 5 2 3 2" xfId="1810"/>
    <cellStyle name="Comma 2 2 2 5 2 3 2 2" xfId="8062"/>
    <cellStyle name="Comma 2 2 2 5 2 3 2 3" xfId="5978"/>
    <cellStyle name="Comma 2 2 2 5 2 3 2 4" xfId="3894"/>
    <cellStyle name="Comma 2 2 2 5 2 3 3" xfId="7020"/>
    <cellStyle name="Comma 2 2 2 5 2 3 4" xfId="4936"/>
    <cellStyle name="Comma 2 2 2 5 2 3 5" xfId="2852"/>
    <cellStyle name="Comma 2 2 2 5 2 4" xfId="1292"/>
    <cellStyle name="Comma 2 2 2 5 2 4 2" xfId="7544"/>
    <cellStyle name="Comma 2 2 2 5 2 4 3" xfId="5460"/>
    <cellStyle name="Comma 2 2 2 5 2 4 4" xfId="3376"/>
    <cellStyle name="Comma 2 2 2 5 2 5" xfId="6502"/>
    <cellStyle name="Comma 2 2 2 5 2 6" xfId="4418"/>
    <cellStyle name="Comma 2 2 2 5 2 7" xfId="2334"/>
    <cellStyle name="Comma 2 2 2 5 3" xfId="401"/>
    <cellStyle name="Comma 2 2 2 5 3 2" xfId="915"/>
    <cellStyle name="Comma 2 2 2 5 3 2 2" xfId="1959"/>
    <cellStyle name="Comma 2 2 2 5 3 2 2 2" xfId="8211"/>
    <cellStyle name="Comma 2 2 2 5 3 2 2 3" xfId="6127"/>
    <cellStyle name="Comma 2 2 2 5 3 2 2 4" xfId="4043"/>
    <cellStyle name="Comma 2 2 2 5 3 2 3" xfId="7169"/>
    <cellStyle name="Comma 2 2 2 5 3 2 4" xfId="5085"/>
    <cellStyle name="Comma 2 2 2 5 3 2 5" xfId="3001"/>
    <cellStyle name="Comma 2 2 2 5 3 3" xfId="1445"/>
    <cellStyle name="Comma 2 2 2 5 3 3 2" xfId="7697"/>
    <cellStyle name="Comma 2 2 2 5 3 3 3" xfId="5613"/>
    <cellStyle name="Comma 2 2 2 5 3 3 4" xfId="3529"/>
    <cellStyle name="Comma 2 2 2 5 3 4" xfId="6655"/>
    <cellStyle name="Comma 2 2 2 5 3 5" xfId="4571"/>
    <cellStyle name="Comma 2 2 2 5 3 6" xfId="2487"/>
    <cellStyle name="Comma 2 2 2 5 4" xfId="658"/>
    <cellStyle name="Comma 2 2 2 5 4 2" xfId="1702"/>
    <cellStyle name="Comma 2 2 2 5 4 2 2" xfId="7954"/>
    <cellStyle name="Comma 2 2 2 5 4 2 3" xfId="5870"/>
    <cellStyle name="Comma 2 2 2 5 4 2 4" xfId="3786"/>
    <cellStyle name="Comma 2 2 2 5 4 3" xfId="6912"/>
    <cellStyle name="Comma 2 2 2 5 4 4" xfId="4828"/>
    <cellStyle name="Comma 2 2 2 5 4 5" xfId="2744"/>
    <cellStyle name="Comma 2 2 2 5 5" xfId="1178"/>
    <cellStyle name="Comma 2 2 2 5 5 2" xfId="7430"/>
    <cellStyle name="Comma 2 2 2 5 5 3" xfId="5346"/>
    <cellStyle name="Comma 2 2 2 5 5 4" xfId="3262"/>
    <cellStyle name="Comma 2 2 2 5 6" xfId="6388"/>
    <cellStyle name="Comma 2 2 2 5 7" xfId="4304"/>
    <cellStyle name="Comma 2 2 2 5 8" xfId="2220"/>
    <cellStyle name="Comma 2 2 2 6" xfId="202"/>
    <cellStyle name="Comma 2 2 2 6 2" xfId="473"/>
    <cellStyle name="Comma 2 2 2 6 2 2" xfId="987"/>
    <cellStyle name="Comma 2 2 2 6 2 2 2" xfId="2031"/>
    <cellStyle name="Comma 2 2 2 6 2 2 2 2" xfId="8283"/>
    <cellStyle name="Comma 2 2 2 6 2 2 2 3" xfId="6199"/>
    <cellStyle name="Comma 2 2 2 6 2 2 2 4" xfId="4115"/>
    <cellStyle name="Comma 2 2 2 6 2 2 3" xfId="7241"/>
    <cellStyle name="Comma 2 2 2 6 2 2 4" xfId="5157"/>
    <cellStyle name="Comma 2 2 2 6 2 2 5" xfId="3073"/>
    <cellStyle name="Comma 2 2 2 6 2 3" xfId="1517"/>
    <cellStyle name="Comma 2 2 2 6 2 3 2" xfId="7769"/>
    <cellStyle name="Comma 2 2 2 6 2 3 3" xfId="5685"/>
    <cellStyle name="Comma 2 2 2 6 2 3 4" xfId="3601"/>
    <cellStyle name="Comma 2 2 2 6 2 4" xfId="6727"/>
    <cellStyle name="Comma 2 2 2 6 2 5" xfId="4643"/>
    <cellStyle name="Comma 2 2 2 6 2 6" xfId="2559"/>
    <cellStyle name="Comma 2 2 2 6 3" xfId="730"/>
    <cellStyle name="Comma 2 2 2 6 3 2" xfId="1774"/>
    <cellStyle name="Comma 2 2 2 6 3 2 2" xfId="8026"/>
    <cellStyle name="Comma 2 2 2 6 3 2 3" xfId="5942"/>
    <cellStyle name="Comma 2 2 2 6 3 2 4" xfId="3858"/>
    <cellStyle name="Comma 2 2 2 6 3 3" xfId="6984"/>
    <cellStyle name="Comma 2 2 2 6 3 4" xfId="4900"/>
    <cellStyle name="Comma 2 2 2 6 3 5" xfId="2816"/>
    <cellStyle name="Comma 2 2 2 6 4" xfId="1254"/>
    <cellStyle name="Comma 2 2 2 6 4 2" xfId="7506"/>
    <cellStyle name="Comma 2 2 2 6 4 3" xfId="5422"/>
    <cellStyle name="Comma 2 2 2 6 4 4" xfId="3338"/>
    <cellStyle name="Comma 2 2 2 6 5" xfId="6464"/>
    <cellStyle name="Comma 2 2 2 6 6" xfId="4380"/>
    <cellStyle name="Comma 2 2 2 6 7" xfId="2296"/>
    <cellStyle name="Comma 2 2 2 7" xfId="76"/>
    <cellStyle name="Comma 2 2 2 7 2" xfId="363"/>
    <cellStyle name="Comma 2 2 2 7 2 2" xfId="877"/>
    <cellStyle name="Comma 2 2 2 7 2 2 2" xfId="1921"/>
    <cellStyle name="Comma 2 2 2 7 2 2 2 2" xfId="8173"/>
    <cellStyle name="Comma 2 2 2 7 2 2 2 3" xfId="6089"/>
    <cellStyle name="Comma 2 2 2 7 2 2 2 4" xfId="4005"/>
    <cellStyle name="Comma 2 2 2 7 2 2 3" xfId="7131"/>
    <cellStyle name="Comma 2 2 2 7 2 2 4" xfId="5047"/>
    <cellStyle name="Comma 2 2 2 7 2 2 5" xfId="2963"/>
    <cellStyle name="Comma 2 2 2 7 2 3" xfId="1407"/>
    <cellStyle name="Comma 2 2 2 7 2 3 2" xfId="7659"/>
    <cellStyle name="Comma 2 2 2 7 2 3 3" xfId="5575"/>
    <cellStyle name="Comma 2 2 2 7 2 3 4" xfId="3491"/>
    <cellStyle name="Comma 2 2 2 7 2 4" xfId="6617"/>
    <cellStyle name="Comma 2 2 2 7 2 5" xfId="4533"/>
    <cellStyle name="Comma 2 2 2 7 2 6" xfId="2449"/>
    <cellStyle name="Comma 2 2 2 7 3" xfId="620"/>
    <cellStyle name="Comma 2 2 2 7 3 2" xfId="1664"/>
    <cellStyle name="Comma 2 2 2 7 3 2 2" xfId="7916"/>
    <cellStyle name="Comma 2 2 2 7 3 2 3" xfId="5832"/>
    <cellStyle name="Comma 2 2 2 7 3 2 4" xfId="3748"/>
    <cellStyle name="Comma 2 2 2 7 3 3" xfId="6874"/>
    <cellStyle name="Comma 2 2 2 7 3 4" xfId="4790"/>
    <cellStyle name="Comma 2 2 2 7 3 5" xfId="2706"/>
    <cellStyle name="Comma 2 2 2 7 4" xfId="1136"/>
    <cellStyle name="Comma 2 2 2 7 4 2" xfId="7390"/>
    <cellStyle name="Comma 2 2 2 7 4 3" xfId="5306"/>
    <cellStyle name="Comma 2 2 2 7 4 4" xfId="3222"/>
    <cellStyle name="Comma 2 2 2 7 5" xfId="6348"/>
    <cellStyle name="Comma 2 2 2 7 6" xfId="4264"/>
    <cellStyle name="Comma 2 2 2 7 7" xfId="2180"/>
    <cellStyle name="Comma 2 2 2 8" xfId="340"/>
    <cellStyle name="Comma 2 2 2 8 2" xfId="854"/>
    <cellStyle name="Comma 2 2 2 8 2 2" xfId="1898"/>
    <cellStyle name="Comma 2 2 2 8 2 2 2" xfId="8150"/>
    <cellStyle name="Comma 2 2 2 8 2 2 3" xfId="6066"/>
    <cellStyle name="Comma 2 2 2 8 2 2 4" xfId="3982"/>
    <cellStyle name="Comma 2 2 2 8 2 3" xfId="7108"/>
    <cellStyle name="Comma 2 2 2 8 2 4" xfId="5024"/>
    <cellStyle name="Comma 2 2 2 8 2 5" xfId="2940"/>
    <cellStyle name="Comma 2 2 2 8 3" xfId="1384"/>
    <cellStyle name="Comma 2 2 2 8 3 2" xfId="7636"/>
    <cellStyle name="Comma 2 2 2 8 3 3" xfId="5552"/>
    <cellStyle name="Comma 2 2 2 8 3 4" xfId="3468"/>
    <cellStyle name="Comma 2 2 2 8 4" xfId="6594"/>
    <cellStyle name="Comma 2 2 2 8 5" xfId="4510"/>
    <cellStyle name="Comma 2 2 2 8 6" xfId="2426"/>
    <cellStyle name="Comma 2 2 2 9" xfId="597"/>
    <cellStyle name="Comma 2 2 2 9 2" xfId="1641"/>
    <cellStyle name="Comma 2 2 2 9 2 2" xfId="7893"/>
    <cellStyle name="Comma 2 2 2 9 2 3" xfId="5809"/>
    <cellStyle name="Comma 2 2 2 9 2 4" xfId="3725"/>
    <cellStyle name="Comma 2 2 2 9 3" xfId="6851"/>
    <cellStyle name="Comma 2 2 2 9 4" xfId="4767"/>
    <cellStyle name="Comma 2 2 2 9 5" xfId="2683"/>
    <cellStyle name="Comma 2 2 3" xfId="61"/>
    <cellStyle name="Comma 2 2 3 10" xfId="1121"/>
    <cellStyle name="Comma 2 2 3 10 2" xfId="7375"/>
    <cellStyle name="Comma 2 2 3 10 3" xfId="5291"/>
    <cellStyle name="Comma 2 2 3 10 4" xfId="3207"/>
    <cellStyle name="Comma 2 2 3 11" xfId="6333"/>
    <cellStyle name="Comma 2 2 3 12" xfId="4249"/>
    <cellStyle name="Comma 2 2 3 13" xfId="2165"/>
    <cellStyle name="Comma 2 2 3 2" xfId="93"/>
    <cellStyle name="Comma 2 2 3 2 10" xfId="4279"/>
    <cellStyle name="Comma 2 2 3 2 11" xfId="2195"/>
    <cellStyle name="Comma 2 2 3 2 2" xfId="113"/>
    <cellStyle name="Comma 2 2 3 2 2 10" xfId="2214"/>
    <cellStyle name="Comma 2 2 3 2 2 2" xfId="191"/>
    <cellStyle name="Comma 2 2 3 2 2 2 2" xfId="313"/>
    <cellStyle name="Comma 2 2 3 2 2 2 2 2" xfId="575"/>
    <cellStyle name="Comma 2 2 3 2 2 2 2 2 2" xfId="1089"/>
    <cellStyle name="Comma 2 2 3 2 2 2 2 2 2 2" xfId="2133"/>
    <cellStyle name="Comma 2 2 3 2 2 2 2 2 2 2 2" xfId="8385"/>
    <cellStyle name="Comma 2 2 3 2 2 2 2 2 2 2 3" xfId="6301"/>
    <cellStyle name="Comma 2 2 3 2 2 2 2 2 2 2 4" xfId="4217"/>
    <cellStyle name="Comma 2 2 3 2 2 2 2 2 2 3" xfId="7343"/>
    <cellStyle name="Comma 2 2 3 2 2 2 2 2 2 4" xfId="5259"/>
    <cellStyle name="Comma 2 2 3 2 2 2 2 2 2 5" xfId="3175"/>
    <cellStyle name="Comma 2 2 3 2 2 2 2 2 3" xfId="1619"/>
    <cellStyle name="Comma 2 2 3 2 2 2 2 2 3 2" xfId="7871"/>
    <cellStyle name="Comma 2 2 3 2 2 2 2 2 3 3" xfId="5787"/>
    <cellStyle name="Comma 2 2 3 2 2 2 2 2 3 4" xfId="3703"/>
    <cellStyle name="Comma 2 2 3 2 2 2 2 2 4" xfId="6829"/>
    <cellStyle name="Comma 2 2 3 2 2 2 2 2 5" xfId="4745"/>
    <cellStyle name="Comma 2 2 3 2 2 2 2 2 6" xfId="2661"/>
    <cellStyle name="Comma 2 2 3 2 2 2 2 3" xfId="832"/>
    <cellStyle name="Comma 2 2 3 2 2 2 2 3 2" xfId="1876"/>
    <cellStyle name="Comma 2 2 3 2 2 2 2 3 2 2" xfId="8128"/>
    <cellStyle name="Comma 2 2 3 2 2 2 2 3 2 3" xfId="6044"/>
    <cellStyle name="Comma 2 2 3 2 2 2 2 3 2 4" xfId="3960"/>
    <cellStyle name="Comma 2 2 3 2 2 2 2 3 3" xfId="7086"/>
    <cellStyle name="Comma 2 2 3 2 2 2 2 3 4" xfId="5002"/>
    <cellStyle name="Comma 2 2 3 2 2 2 2 3 5" xfId="2918"/>
    <cellStyle name="Comma 2 2 3 2 2 2 2 4" xfId="1362"/>
    <cellStyle name="Comma 2 2 3 2 2 2 2 4 2" xfId="7614"/>
    <cellStyle name="Comma 2 2 3 2 2 2 2 4 3" xfId="5530"/>
    <cellStyle name="Comma 2 2 3 2 2 2 2 4 4" xfId="3446"/>
    <cellStyle name="Comma 2 2 3 2 2 2 2 5" xfId="6572"/>
    <cellStyle name="Comma 2 2 3 2 2 2 2 6" xfId="4488"/>
    <cellStyle name="Comma 2 2 3 2 2 2 2 7" xfId="2404"/>
    <cellStyle name="Comma 2 2 3 2 2 2 3" xfId="467"/>
    <cellStyle name="Comma 2 2 3 2 2 2 3 2" xfId="981"/>
    <cellStyle name="Comma 2 2 3 2 2 2 3 2 2" xfId="2025"/>
    <cellStyle name="Comma 2 2 3 2 2 2 3 2 2 2" xfId="8277"/>
    <cellStyle name="Comma 2 2 3 2 2 2 3 2 2 3" xfId="6193"/>
    <cellStyle name="Comma 2 2 3 2 2 2 3 2 2 4" xfId="4109"/>
    <cellStyle name="Comma 2 2 3 2 2 2 3 2 3" xfId="7235"/>
    <cellStyle name="Comma 2 2 3 2 2 2 3 2 4" xfId="5151"/>
    <cellStyle name="Comma 2 2 3 2 2 2 3 2 5" xfId="3067"/>
    <cellStyle name="Comma 2 2 3 2 2 2 3 3" xfId="1511"/>
    <cellStyle name="Comma 2 2 3 2 2 2 3 3 2" xfId="7763"/>
    <cellStyle name="Comma 2 2 3 2 2 2 3 3 3" xfId="5679"/>
    <cellStyle name="Comma 2 2 3 2 2 2 3 3 4" xfId="3595"/>
    <cellStyle name="Comma 2 2 3 2 2 2 3 4" xfId="6721"/>
    <cellStyle name="Comma 2 2 3 2 2 2 3 5" xfId="4637"/>
    <cellStyle name="Comma 2 2 3 2 2 2 3 6" xfId="2553"/>
    <cellStyle name="Comma 2 2 3 2 2 2 4" xfId="724"/>
    <cellStyle name="Comma 2 2 3 2 2 2 4 2" xfId="1768"/>
    <cellStyle name="Comma 2 2 3 2 2 2 4 2 2" xfId="8020"/>
    <cellStyle name="Comma 2 2 3 2 2 2 4 2 3" xfId="5936"/>
    <cellStyle name="Comma 2 2 3 2 2 2 4 2 4" xfId="3852"/>
    <cellStyle name="Comma 2 2 3 2 2 2 4 3" xfId="6978"/>
    <cellStyle name="Comma 2 2 3 2 2 2 4 4" xfId="4894"/>
    <cellStyle name="Comma 2 2 3 2 2 2 4 5" xfId="2810"/>
    <cellStyle name="Comma 2 2 3 2 2 2 5" xfId="1248"/>
    <cellStyle name="Comma 2 2 3 2 2 2 5 2" xfId="7500"/>
    <cellStyle name="Comma 2 2 3 2 2 2 5 3" xfId="5416"/>
    <cellStyle name="Comma 2 2 3 2 2 2 5 4" xfId="3332"/>
    <cellStyle name="Comma 2 2 3 2 2 2 6" xfId="6458"/>
    <cellStyle name="Comma 2 2 3 2 2 2 7" xfId="4374"/>
    <cellStyle name="Comma 2 2 3 2 2 2 8" xfId="2290"/>
    <cellStyle name="Comma 2 2 3 2 2 3" xfId="152"/>
    <cellStyle name="Comma 2 2 3 2 2 3 2" xfId="274"/>
    <cellStyle name="Comma 2 2 3 2 2 3 2 2" xfId="539"/>
    <cellStyle name="Comma 2 2 3 2 2 3 2 2 2" xfId="1053"/>
    <cellStyle name="Comma 2 2 3 2 2 3 2 2 2 2" xfId="2097"/>
    <cellStyle name="Comma 2 2 3 2 2 3 2 2 2 2 2" xfId="8349"/>
    <cellStyle name="Comma 2 2 3 2 2 3 2 2 2 2 3" xfId="6265"/>
    <cellStyle name="Comma 2 2 3 2 2 3 2 2 2 2 4" xfId="4181"/>
    <cellStyle name="Comma 2 2 3 2 2 3 2 2 2 3" xfId="7307"/>
    <cellStyle name="Comma 2 2 3 2 2 3 2 2 2 4" xfId="5223"/>
    <cellStyle name="Comma 2 2 3 2 2 3 2 2 2 5" xfId="3139"/>
    <cellStyle name="Comma 2 2 3 2 2 3 2 2 3" xfId="1583"/>
    <cellStyle name="Comma 2 2 3 2 2 3 2 2 3 2" xfId="7835"/>
    <cellStyle name="Comma 2 2 3 2 2 3 2 2 3 3" xfId="5751"/>
    <cellStyle name="Comma 2 2 3 2 2 3 2 2 3 4" xfId="3667"/>
    <cellStyle name="Comma 2 2 3 2 2 3 2 2 4" xfId="6793"/>
    <cellStyle name="Comma 2 2 3 2 2 3 2 2 5" xfId="4709"/>
    <cellStyle name="Comma 2 2 3 2 2 3 2 2 6" xfId="2625"/>
    <cellStyle name="Comma 2 2 3 2 2 3 2 3" xfId="796"/>
    <cellStyle name="Comma 2 2 3 2 2 3 2 3 2" xfId="1840"/>
    <cellStyle name="Comma 2 2 3 2 2 3 2 3 2 2" xfId="8092"/>
    <cellStyle name="Comma 2 2 3 2 2 3 2 3 2 3" xfId="6008"/>
    <cellStyle name="Comma 2 2 3 2 2 3 2 3 2 4" xfId="3924"/>
    <cellStyle name="Comma 2 2 3 2 2 3 2 3 3" xfId="7050"/>
    <cellStyle name="Comma 2 2 3 2 2 3 2 3 4" xfId="4966"/>
    <cellStyle name="Comma 2 2 3 2 2 3 2 3 5" xfId="2882"/>
    <cellStyle name="Comma 2 2 3 2 2 3 2 4" xfId="1324"/>
    <cellStyle name="Comma 2 2 3 2 2 3 2 4 2" xfId="7576"/>
    <cellStyle name="Comma 2 2 3 2 2 3 2 4 3" xfId="5492"/>
    <cellStyle name="Comma 2 2 3 2 2 3 2 4 4" xfId="3408"/>
    <cellStyle name="Comma 2 2 3 2 2 3 2 5" xfId="6534"/>
    <cellStyle name="Comma 2 2 3 2 2 3 2 6" xfId="4450"/>
    <cellStyle name="Comma 2 2 3 2 2 3 2 7" xfId="2366"/>
    <cellStyle name="Comma 2 2 3 2 2 3 3" xfId="431"/>
    <cellStyle name="Comma 2 2 3 2 2 3 3 2" xfId="945"/>
    <cellStyle name="Comma 2 2 3 2 2 3 3 2 2" xfId="1989"/>
    <cellStyle name="Comma 2 2 3 2 2 3 3 2 2 2" xfId="8241"/>
    <cellStyle name="Comma 2 2 3 2 2 3 3 2 2 3" xfId="6157"/>
    <cellStyle name="Comma 2 2 3 2 2 3 3 2 2 4" xfId="4073"/>
    <cellStyle name="Comma 2 2 3 2 2 3 3 2 3" xfId="7199"/>
    <cellStyle name="Comma 2 2 3 2 2 3 3 2 4" xfId="5115"/>
    <cellStyle name="Comma 2 2 3 2 2 3 3 2 5" xfId="3031"/>
    <cellStyle name="Comma 2 2 3 2 2 3 3 3" xfId="1475"/>
    <cellStyle name="Comma 2 2 3 2 2 3 3 3 2" xfId="7727"/>
    <cellStyle name="Comma 2 2 3 2 2 3 3 3 3" xfId="5643"/>
    <cellStyle name="Comma 2 2 3 2 2 3 3 3 4" xfId="3559"/>
    <cellStyle name="Comma 2 2 3 2 2 3 3 4" xfId="6685"/>
    <cellStyle name="Comma 2 2 3 2 2 3 3 5" xfId="4601"/>
    <cellStyle name="Comma 2 2 3 2 2 3 3 6" xfId="2517"/>
    <cellStyle name="Comma 2 2 3 2 2 3 4" xfId="688"/>
    <cellStyle name="Comma 2 2 3 2 2 3 4 2" xfId="1732"/>
    <cellStyle name="Comma 2 2 3 2 2 3 4 2 2" xfId="7984"/>
    <cellStyle name="Comma 2 2 3 2 2 3 4 2 3" xfId="5900"/>
    <cellStyle name="Comma 2 2 3 2 2 3 4 2 4" xfId="3816"/>
    <cellStyle name="Comma 2 2 3 2 2 3 4 3" xfId="6942"/>
    <cellStyle name="Comma 2 2 3 2 2 3 4 4" xfId="4858"/>
    <cellStyle name="Comma 2 2 3 2 2 3 4 5" xfId="2774"/>
    <cellStyle name="Comma 2 2 3 2 2 3 5" xfId="1210"/>
    <cellStyle name="Comma 2 2 3 2 2 3 5 2" xfId="7462"/>
    <cellStyle name="Comma 2 2 3 2 2 3 5 3" xfId="5378"/>
    <cellStyle name="Comma 2 2 3 2 2 3 5 4" xfId="3294"/>
    <cellStyle name="Comma 2 2 3 2 2 3 6" xfId="6420"/>
    <cellStyle name="Comma 2 2 3 2 2 3 7" xfId="4336"/>
    <cellStyle name="Comma 2 2 3 2 2 3 8" xfId="2252"/>
    <cellStyle name="Comma 2 2 3 2 2 4" xfId="235"/>
    <cellStyle name="Comma 2 2 3 2 2 4 2" xfId="503"/>
    <cellStyle name="Comma 2 2 3 2 2 4 2 2" xfId="1017"/>
    <cellStyle name="Comma 2 2 3 2 2 4 2 2 2" xfId="2061"/>
    <cellStyle name="Comma 2 2 3 2 2 4 2 2 2 2" xfId="8313"/>
    <cellStyle name="Comma 2 2 3 2 2 4 2 2 2 3" xfId="6229"/>
    <cellStyle name="Comma 2 2 3 2 2 4 2 2 2 4" xfId="4145"/>
    <cellStyle name="Comma 2 2 3 2 2 4 2 2 3" xfId="7271"/>
    <cellStyle name="Comma 2 2 3 2 2 4 2 2 4" xfId="5187"/>
    <cellStyle name="Comma 2 2 3 2 2 4 2 2 5" xfId="3103"/>
    <cellStyle name="Comma 2 2 3 2 2 4 2 3" xfId="1547"/>
    <cellStyle name="Comma 2 2 3 2 2 4 2 3 2" xfId="7799"/>
    <cellStyle name="Comma 2 2 3 2 2 4 2 3 3" xfId="5715"/>
    <cellStyle name="Comma 2 2 3 2 2 4 2 3 4" xfId="3631"/>
    <cellStyle name="Comma 2 2 3 2 2 4 2 4" xfId="6757"/>
    <cellStyle name="Comma 2 2 3 2 2 4 2 5" xfId="4673"/>
    <cellStyle name="Comma 2 2 3 2 2 4 2 6" xfId="2589"/>
    <cellStyle name="Comma 2 2 3 2 2 4 3" xfId="760"/>
    <cellStyle name="Comma 2 2 3 2 2 4 3 2" xfId="1804"/>
    <cellStyle name="Comma 2 2 3 2 2 4 3 2 2" xfId="8056"/>
    <cellStyle name="Comma 2 2 3 2 2 4 3 2 3" xfId="5972"/>
    <cellStyle name="Comma 2 2 3 2 2 4 3 2 4" xfId="3888"/>
    <cellStyle name="Comma 2 2 3 2 2 4 3 3" xfId="7014"/>
    <cellStyle name="Comma 2 2 3 2 2 4 3 4" xfId="4930"/>
    <cellStyle name="Comma 2 2 3 2 2 4 3 5" xfId="2846"/>
    <cellStyle name="Comma 2 2 3 2 2 4 4" xfId="1286"/>
    <cellStyle name="Comma 2 2 3 2 2 4 4 2" xfId="7538"/>
    <cellStyle name="Comma 2 2 3 2 2 4 4 3" xfId="5454"/>
    <cellStyle name="Comma 2 2 3 2 2 4 4 4" xfId="3370"/>
    <cellStyle name="Comma 2 2 3 2 2 4 5" xfId="6496"/>
    <cellStyle name="Comma 2 2 3 2 2 4 6" xfId="4412"/>
    <cellStyle name="Comma 2 2 3 2 2 4 7" xfId="2328"/>
    <cellStyle name="Comma 2 2 3 2 2 5" xfId="395"/>
    <cellStyle name="Comma 2 2 3 2 2 5 2" xfId="909"/>
    <cellStyle name="Comma 2 2 3 2 2 5 2 2" xfId="1953"/>
    <cellStyle name="Comma 2 2 3 2 2 5 2 2 2" xfId="8205"/>
    <cellStyle name="Comma 2 2 3 2 2 5 2 2 3" xfId="6121"/>
    <cellStyle name="Comma 2 2 3 2 2 5 2 2 4" xfId="4037"/>
    <cellStyle name="Comma 2 2 3 2 2 5 2 3" xfId="7163"/>
    <cellStyle name="Comma 2 2 3 2 2 5 2 4" xfId="5079"/>
    <cellStyle name="Comma 2 2 3 2 2 5 2 5" xfId="2995"/>
    <cellStyle name="Comma 2 2 3 2 2 5 3" xfId="1439"/>
    <cellStyle name="Comma 2 2 3 2 2 5 3 2" xfId="7691"/>
    <cellStyle name="Comma 2 2 3 2 2 5 3 3" xfId="5607"/>
    <cellStyle name="Comma 2 2 3 2 2 5 3 4" xfId="3523"/>
    <cellStyle name="Comma 2 2 3 2 2 5 4" xfId="6649"/>
    <cellStyle name="Comma 2 2 3 2 2 5 5" xfId="4565"/>
    <cellStyle name="Comma 2 2 3 2 2 5 6" xfId="2481"/>
    <cellStyle name="Comma 2 2 3 2 2 6" xfId="652"/>
    <cellStyle name="Comma 2 2 3 2 2 6 2" xfId="1696"/>
    <cellStyle name="Comma 2 2 3 2 2 6 2 2" xfId="7948"/>
    <cellStyle name="Comma 2 2 3 2 2 6 2 3" xfId="5864"/>
    <cellStyle name="Comma 2 2 3 2 2 6 2 4" xfId="3780"/>
    <cellStyle name="Comma 2 2 3 2 2 6 3" xfId="6906"/>
    <cellStyle name="Comma 2 2 3 2 2 6 4" xfId="4822"/>
    <cellStyle name="Comma 2 2 3 2 2 6 5" xfId="2738"/>
    <cellStyle name="Comma 2 2 3 2 2 7" xfId="1172"/>
    <cellStyle name="Comma 2 2 3 2 2 7 2" xfId="7424"/>
    <cellStyle name="Comma 2 2 3 2 2 7 3" xfId="5340"/>
    <cellStyle name="Comma 2 2 3 2 2 7 4" xfId="3256"/>
    <cellStyle name="Comma 2 2 3 2 2 8" xfId="6382"/>
    <cellStyle name="Comma 2 2 3 2 2 9" xfId="4298"/>
    <cellStyle name="Comma 2 2 3 2 3" xfId="171"/>
    <cellStyle name="Comma 2 2 3 2 3 2" xfId="293"/>
    <cellStyle name="Comma 2 2 3 2 3 2 2" xfId="557"/>
    <cellStyle name="Comma 2 2 3 2 3 2 2 2" xfId="1071"/>
    <cellStyle name="Comma 2 2 3 2 3 2 2 2 2" xfId="2115"/>
    <cellStyle name="Comma 2 2 3 2 3 2 2 2 2 2" xfId="8367"/>
    <cellStyle name="Comma 2 2 3 2 3 2 2 2 2 3" xfId="6283"/>
    <cellStyle name="Comma 2 2 3 2 3 2 2 2 2 4" xfId="4199"/>
    <cellStyle name="Comma 2 2 3 2 3 2 2 2 3" xfId="7325"/>
    <cellStyle name="Comma 2 2 3 2 3 2 2 2 4" xfId="5241"/>
    <cellStyle name="Comma 2 2 3 2 3 2 2 2 5" xfId="3157"/>
    <cellStyle name="Comma 2 2 3 2 3 2 2 3" xfId="1601"/>
    <cellStyle name="Comma 2 2 3 2 3 2 2 3 2" xfId="7853"/>
    <cellStyle name="Comma 2 2 3 2 3 2 2 3 3" xfId="5769"/>
    <cellStyle name="Comma 2 2 3 2 3 2 2 3 4" xfId="3685"/>
    <cellStyle name="Comma 2 2 3 2 3 2 2 4" xfId="6811"/>
    <cellStyle name="Comma 2 2 3 2 3 2 2 5" xfId="4727"/>
    <cellStyle name="Comma 2 2 3 2 3 2 2 6" xfId="2643"/>
    <cellStyle name="Comma 2 2 3 2 3 2 3" xfId="814"/>
    <cellStyle name="Comma 2 2 3 2 3 2 3 2" xfId="1858"/>
    <cellStyle name="Comma 2 2 3 2 3 2 3 2 2" xfId="8110"/>
    <cellStyle name="Comma 2 2 3 2 3 2 3 2 3" xfId="6026"/>
    <cellStyle name="Comma 2 2 3 2 3 2 3 2 4" xfId="3942"/>
    <cellStyle name="Comma 2 2 3 2 3 2 3 3" xfId="7068"/>
    <cellStyle name="Comma 2 2 3 2 3 2 3 4" xfId="4984"/>
    <cellStyle name="Comma 2 2 3 2 3 2 3 5" xfId="2900"/>
    <cellStyle name="Comma 2 2 3 2 3 2 4" xfId="1343"/>
    <cellStyle name="Comma 2 2 3 2 3 2 4 2" xfId="7595"/>
    <cellStyle name="Comma 2 2 3 2 3 2 4 3" xfId="5511"/>
    <cellStyle name="Comma 2 2 3 2 3 2 4 4" xfId="3427"/>
    <cellStyle name="Comma 2 2 3 2 3 2 5" xfId="6553"/>
    <cellStyle name="Comma 2 2 3 2 3 2 6" xfId="4469"/>
    <cellStyle name="Comma 2 2 3 2 3 2 7" xfId="2385"/>
    <cellStyle name="Comma 2 2 3 2 3 3" xfId="449"/>
    <cellStyle name="Comma 2 2 3 2 3 3 2" xfId="963"/>
    <cellStyle name="Comma 2 2 3 2 3 3 2 2" xfId="2007"/>
    <cellStyle name="Comma 2 2 3 2 3 3 2 2 2" xfId="8259"/>
    <cellStyle name="Comma 2 2 3 2 3 3 2 2 3" xfId="6175"/>
    <cellStyle name="Comma 2 2 3 2 3 3 2 2 4" xfId="4091"/>
    <cellStyle name="Comma 2 2 3 2 3 3 2 3" xfId="7217"/>
    <cellStyle name="Comma 2 2 3 2 3 3 2 4" xfId="5133"/>
    <cellStyle name="Comma 2 2 3 2 3 3 2 5" xfId="3049"/>
    <cellStyle name="Comma 2 2 3 2 3 3 3" xfId="1493"/>
    <cellStyle name="Comma 2 2 3 2 3 3 3 2" xfId="7745"/>
    <cellStyle name="Comma 2 2 3 2 3 3 3 3" xfId="5661"/>
    <cellStyle name="Comma 2 2 3 2 3 3 3 4" xfId="3577"/>
    <cellStyle name="Comma 2 2 3 2 3 3 4" xfId="6703"/>
    <cellStyle name="Comma 2 2 3 2 3 3 5" xfId="4619"/>
    <cellStyle name="Comma 2 2 3 2 3 3 6" xfId="2535"/>
    <cellStyle name="Comma 2 2 3 2 3 4" xfId="706"/>
    <cellStyle name="Comma 2 2 3 2 3 4 2" xfId="1750"/>
    <cellStyle name="Comma 2 2 3 2 3 4 2 2" xfId="8002"/>
    <cellStyle name="Comma 2 2 3 2 3 4 2 3" xfId="5918"/>
    <cellStyle name="Comma 2 2 3 2 3 4 2 4" xfId="3834"/>
    <cellStyle name="Comma 2 2 3 2 3 4 3" xfId="6960"/>
    <cellStyle name="Comma 2 2 3 2 3 4 4" xfId="4876"/>
    <cellStyle name="Comma 2 2 3 2 3 4 5" xfId="2792"/>
    <cellStyle name="Comma 2 2 3 2 3 5" xfId="1229"/>
    <cellStyle name="Comma 2 2 3 2 3 5 2" xfId="7481"/>
    <cellStyle name="Comma 2 2 3 2 3 5 3" xfId="5397"/>
    <cellStyle name="Comma 2 2 3 2 3 5 4" xfId="3313"/>
    <cellStyle name="Comma 2 2 3 2 3 6" xfId="6439"/>
    <cellStyle name="Comma 2 2 3 2 3 7" xfId="4355"/>
    <cellStyle name="Comma 2 2 3 2 3 8" xfId="2271"/>
    <cellStyle name="Comma 2 2 3 2 4" xfId="133"/>
    <cellStyle name="Comma 2 2 3 2 4 2" xfId="255"/>
    <cellStyle name="Comma 2 2 3 2 4 2 2" xfId="521"/>
    <cellStyle name="Comma 2 2 3 2 4 2 2 2" xfId="1035"/>
    <cellStyle name="Comma 2 2 3 2 4 2 2 2 2" xfId="2079"/>
    <cellStyle name="Comma 2 2 3 2 4 2 2 2 2 2" xfId="8331"/>
    <cellStyle name="Comma 2 2 3 2 4 2 2 2 2 3" xfId="6247"/>
    <cellStyle name="Comma 2 2 3 2 4 2 2 2 2 4" xfId="4163"/>
    <cellStyle name="Comma 2 2 3 2 4 2 2 2 3" xfId="7289"/>
    <cellStyle name="Comma 2 2 3 2 4 2 2 2 4" xfId="5205"/>
    <cellStyle name="Comma 2 2 3 2 4 2 2 2 5" xfId="3121"/>
    <cellStyle name="Comma 2 2 3 2 4 2 2 3" xfId="1565"/>
    <cellStyle name="Comma 2 2 3 2 4 2 2 3 2" xfId="7817"/>
    <cellStyle name="Comma 2 2 3 2 4 2 2 3 3" xfId="5733"/>
    <cellStyle name="Comma 2 2 3 2 4 2 2 3 4" xfId="3649"/>
    <cellStyle name="Comma 2 2 3 2 4 2 2 4" xfId="6775"/>
    <cellStyle name="Comma 2 2 3 2 4 2 2 5" xfId="4691"/>
    <cellStyle name="Comma 2 2 3 2 4 2 2 6" xfId="2607"/>
    <cellStyle name="Comma 2 2 3 2 4 2 3" xfId="778"/>
    <cellStyle name="Comma 2 2 3 2 4 2 3 2" xfId="1822"/>
    <cellStyle name="Comma 2 2 3 2 4 2 3 2 2" xfId="8074"/>
    <cellStyle name="Comma 2 2 3 2 4 2 3 2 3" xfId="5990"/>
    <cellStyle name="Comma 2 2 3 2 4 2 3 2 4" xfId="3906"/>
    <cellStyle name="Comma 2 2 3 2 4 2 3 3" xfId="7032"/>
    <cellStyle name="Comma 2 2 3 2 4 2 3 4" xfId="4948"/>
    <cellStyle name="Comma 2 2 3 2 4 2 3 5" xfId="2864"/>
    <cellStyle name="Comma 2 2 3 2 4 2 4" xfId="1305"/>
    <cellStyle name="Comma 2 2 3 2 4 2 4 2" xfId="7557"/>
    <cellStyle name="Comma 2 2 3 2 4 2 4 3" xfId="5473"/>
    <cellStyle name="Comma 2 2 3 2 4 2 4 4" xfId="3389"/>
    <cellStyle name="Comma 2 2 3 2 4 2 5" xfId="6515"/>
    <cellStyle name="Comma 2 2 3 2 4 2 6" xfId="4431"/>
    <cellStyle name="Comma 2 2 3 2 4 2 7" xfId="2347"/>
    <cellStyle name="Comma 2 2 3 2 4 3" xfId="413"/>
    <cellStyle name="Comma 2 2 3 2 4 3 2" xfId="927"/>
    <cellStyle name="Comma 2 2 3 2 4 3 2 2" xfId="1971"/>
    <cellStyle name="Comma 2 2 3 2 4 3 2 2 2" xfId="8223"/>
    <cellStyle name="Comma 2 2 3 2 4 3 2 2 3" xfId="6139"/>
    <cellStyle name="Comma 2 2 3 2 4 3 2 2 4" xfId="4055"/>
    <cellStyle name="Comma 2 2 3 2 4 3 2 3" xfId="7181"/>
    <cellStyle name="Comma 2 2 3 2 4 3 2 4" xfId="5097"/>
    <cellStyle name="Comma 2 2 3 2 4 3 2 5" xfId="3013"/>
    <cellStyle name="Comma 2 2 3 2 4 3 3" xfId="1457"/>
    <cellStyle name="Comma 2 2 3 2 4 3 3 2" xfId="7709"/>
    <cellStyle name="Comma 2 2 3 2 4 3 3 3" xfId="5625"/>
    <cellStyle name="Comma 2 2 3 2 4 3 3 4" xfId="3541"/>
    <cellStyle name="Comma 2 2 3 2 4 3 4" xfId="6667"/>
    <cellStyle name="Comma 2 2 3 2 4 3 5" xfId="4583"/>
    <cellStyle name="Comma 2 2 3 2 4 3 6" xfId="2499"/>
    <cellStyle name="Comma 2 2 3 2 4 4" xfId="670"/>
    <cellStyle name="Comma 2 2 3 2 4 4 2" xfId="1714"/>
    <cellStyle name="Comma 2 2 3 2 4 4 2 2" xfId="7966"/>
    <cellStyle name="Comma 2 2 3 2 4 4 2 3" xfId="5882"/>
    <cellStyle name="Comma 2 2 3 2 4 4 2 4" xfId="3798"/>
    <cellStyle name="Comma 2 2 3 2 4 4 3" xfId="6924"/>
    <cellStyle name="Comma 2 2 3 2 4 4 4" xfId="4840"/>
    <cellStyle name="Comma 2 2 3 2 4 4 5" xfId="2756"/>
    <cellStyle name="Comma 2 2 3 2 4 5" xfId="1191"/>
    <cellStyle name="Comma 2 2 3 2 4 5 2" xfId="7443"/>
    <cellStyle name="Comma 2 2 3 2 4 5 3" xfId="5359"/>
    <cellStyle name="Comma 2 2 3 2 4 5 4" xfId="3275"/>
    <cellStyle name="Comma 2 2 3 2 4 6" xfId="6401"/>
    <cellStyle name="Comma 2 2 3 2 4 7" xfId="4317"/>
    <cellStyle name="Comma 2 2 3 2 4 8" xfId="2233"/>
    <cellStyle name="Comma 2 2 3 2 5" xfId="215"/>
    <cellStyle name="Comma 2 2 3 2 5 2" xfId="485"/>
    <cellStyle name="Comma 2 2 3 2 5 2 2" xfId="999"/>
    <cellStyle name="Comma 2 2 3 2 5 2 2 2" xfId="2043"/>
    <cellStyle name="Comma 2 2 3 2 5 2 2 2 2" xfId="8295"/>
    <cellStyle name="Comma 2 2 3 2 5 2 2 2 3" xfId="6211"/>
    <cellStyle name="Comma 2 2 3 2 5 2 2 2 4" xfId="4127"/>
    <cellStyle name="Comma 2 2 3 2 5 2 2 3" xfId="7253"/>
    <cellStyle name="Comma 2 2 3 2 5 2 2 4" xfId="5169"/>
    <cellStyle name="Comma 2 2 3 2 5 2 2 5" xfId="3085"/>
    <cellStyle name="Comma 2 2 3 2 5 2 3" xfId="1529"/>
    <cellStyle name="Comma 2 2 3 2 5 2 3 2" xfId="7781"/>
    <cellStyle name="Comma 2 2 3 2 5 2 3 3" xfId="5697"/>
    <cellStyle name="Comma 2 2 3 2 5 2 3 4" xfId="3613"/>
    <cellStyle name="Comma 2 2 3 2 5 2 4" xfId="6739"/>
    <cellStyle name="Comma 2 2 3 2 5 2 5" xfId="4655"/>
    <cellStyle name="Comma 2 2 3 2 5 2 6" xfId="2571"/>
    <cellStyle name="Comma 2 2 3 2 5 3" xfId="742"/>
    <cellStyle name="Comma 2 2 3 2 5 3 2" xfId="1786"/>
    <cellStyle name="Comma 2 2 3 2 5 3 2 2" xfId="8038"/>
    <cellStyle name="Comma 2 2 3 2 5 3 2 3" xfId="5954"/>
    <cellStyle name="Comma 2 2 3 2 5 3 2 4" xfId="3870"/>
    <cellStyle name="Comma 2 2 3 2 5 3 3" xfId="6996"/>
    <cellStyle name="Comma 2 2 3 2 5 3 4" xfId="4912"/>
    <cellStyle name="Comma 2 2 3 2 5 3 5" xfId="2828"/>
    <cellStyle name="Comma 2 2 3 2 5 4" xfId="1267"/>
    <cellStyle name="Comma 2 2 3 2 5 4 2" xfId="7519"/>
    <cellStyle name="Comma 2 2 3 2 5 4 3" xfId="5435"/>
    <cellStyle name="Comma 2 2 3 2 5 4 4" xfId="3351"/>
    <cellStyle name="Comma 2 2 3 2 5 5" xfId="6477"/>
    <cellStyle name="Comma 2 2 3 2 5 6" xfId="4393"/>
    <cellStyle name="Comma 2 2 3 2 5 7" xfId="2309"/>
    <cellStyle name="Comma 2 2 3 2 6" xfId="377"/>
    <cellStyle name="Comma 2 2 3 2 6 2" xfId="891"/>
    <cellStyle name="Comma 2 2 3 2 6 2 2" xfId="1935"/>
    <cellStyle name="Comma 2 2 3 2 6 2 2 2" xfId="8187"/>
    <cellStyle name="Comma 2 2 3 2 6 2 2 3" xfId="6103"/>
    <cellStyle name="Comma 2 2 3 2 6 2 2 4" xfId="4019"/>
    <cellStyle name="Comma 2 2 3 2 6 2 3" xfId="7145"/>
    <cellStyle name="Comma 2 2 3 2 6 2 4" xfId="5061"/>
    <cellStyle name="Comma 2 2 3 2 6 2 5" xfId="2977"/>
    <cellStyle name="Comma 2 2 3 2 6 3" xfId="1421"/>
    <cellStyle name="Comma 2 2 3 2 6 3 2" xfId="7673"/>
    <cellStyle name="Comma 2 2 3 2 6 3 3" xfId="5589"/>
    <cellStyle name="Comma 2 2 3 2 6 3 4" xfId="3505"/>
    <cellStyle name="Comma 2 2 3 2 6 4" xfId="6631"/>
    <cellStyle name="Comma 2 2 3 2 6 5" xfId="4547"/>
    <cellStyle name="Comma 2 2 3 2 6 6" xfId="2463"/>
    <cellStyle name="Comma 2 2 3 2 7" xfId="634"/>
    <cellStyle name="Comma 2 2 3 2 7 2" xfId="1678"/>
    <cellStyle name="Comma 2 2 3 2 7 2 2" xfId="7930"/>
    <cellStyle name="Comma 2 2 3 2 7 2 3" xfId="5846"/>
    <cellStyle name="Comma 2 2 3 2 7 2 4" xfId="3762"/>
    <cellStyle name="Comma 2 2 3 2 7 3" xfId="6888"/>
    <cellStyle name="Comma 2 2 3 2 7 4" xfId="4804"/>
    <cellStyle name="Comma 2 2 3 2 7 5" xfId="2720"/>
    <cellStyle name="Comma 2 2 3 2 8" xfId="1153"/>
    <cellStyle name="Comma 2 2 3 2 8 2" xfId="7405"/>
    <cellStyle name="Comma 2 2 3 2 8 3" xfId="5321"/>
    <cellStyle name="Comma 2 2 3 2 8 4" xfId="3237"/>
    <cellStyle name="Comma 2 2 3 2 9" xfId="6363"/>
    <cellStyle name="Comma 2 2 3 3" xfId="103"/>
    <cellStyle name="Comma 2 2 3 3 10" xfId="2204"/>
    <cellStyle name="Comma 2 2 3 3 2" xfId="181"/>
    <cellStyle name="Comma 2 2 3 3 2 2" xfId="303"/>
    <cellStyle name="Comma 2 2 3 3 2 2 2" xfId="566"/>
    <cellStyle name="Comma 2 2 3 3 2 2 2 2" xfId="1080"/>
    <cellStyle name="Comma 2 2 3 3 2 2 2 2 2" xfId="2124"/>
    <cellStyle name="Comma 2 2 3 3 2 2 2 2 2 2" xfId="8376"/>
    <cellStyle name="Comma 2 2 3 3 2 2 2 2 2 3" xfId="6292"/>
    <cellStyle name="Comma 2 2 3 3 2 2 2 2 2 4" xfId="4208"/>
    <cellStyle name="Comma 2 2 3 3 2 2 2 2 3" xfId="7334"/>
    <cellStyle name="Comma 2 2 3 3 2 2 2 2 4" xfId="5250"/>
    <cellStyle name="Comma 2 2 3 3 2 2 2 2 5" xfId="3166"/>
    <cellStyle name="Comma 2 2 3 3 2 2 2 3" xfId="1610"/>
    <cellStyle name="Comma 2 2 3 3 2 2 2 3 2" xfId="7862"/>
    <cellStyle name="Comma 2 2 3 3 2 2 2 3 3" xfId="5778"/>
    <cellStyle name="Comma 2 2 3 3 2 2 2 3 4" xfId="3694"/>
    <cellStyle name="Comma 2 2 3 3 2 2 2 4" xfId="6820"/>
    <cellStyle name="Comma 2 2 3 3 2 2 2 5" xfId="4736"/>
    <cellStyle name="Comma 2 2 3 3 2 2 2 6" xfId="2652"/>
    <cellStyle name="Comma 2 2 3 3 2 2 3" xfId="823"/>
    <cellStyle name="Comma 2 2 3 3 2 2 3 2" xfId="1867"/>
    <cellStyle name="Comma 2 2 3 3 2 2 3 2 2" xfId="8119"/>
    <cellStyle name="Comma 2 2 3 3 2 2 3 2 3" xfId="6035"/>
    <cellStyle name="Comma 2 2 3 3 2 2 3 2 4" xfId="3951"/>
    <cellStyle name="Comma 2 2 3 3 2 2 3 3" xfId="7077"/>
    <cellStyle name="Comma 2 2 3 3 2 2 3 4" xfId="4993"/>
    <cellStyle name="Comma 2 2 3 3 2 2 3 5" xfId="2909"/>
    <cellStyle name="Comma 2 2 3 3 2 2 4" xfId="1352"/>
    <cellStyle name="Comma 2 2 3 3 2 2 4 2" xfId="7604"/>
    <cellStyle name="Comma 2 2 3 3 2 2 4 3" xfId="5520"/>
    <cellStyle name="Comma 2 2 3 3 2 2 4 4" xfId="3436"/>
    <cellStyle name="Comma 2 2 3 3 2 2 5" xfId="6562"/>
    <cellStyle name="Comma 2 2 3 3 2 2 6" xfId="4478"/>
    <cellStyle name="Comma 2 2 3 3 2 2 7" xfId="2394"/>
    <cellStyle name="Comma 2 2 3 3 2 3" xfId="458"/>
    <cellStyle name="Comma 2 2 3 3 2 3 2" xfId="972"/>
    <cellStyle name="Comma 2 2 3 3 2 3 2 2" xfId="2016"/>
    <cellStyle name="Comma 2 2 3 3 2 3 2 2 2" xfId="8268"/>
    <cellStyle name="Comma 2 2 3 3 2 3 2 2 3" xfId="6184"/>
    <cellStyle name="Comma 2 2 3 3 2 3 2 2 4" xfId="4100"/>
    <cellStyle name="Comma 2 2 3 3 2 3 2 3" xfId="7226"/>
    <cellStyle name="Comma 2 2 3 3 2 3 2 4" xfId="5142"/>
    <cellStyle name="Comma 2 2 3 3 2 3 2 5" xfId="3058"/>
    <cellStyle name="Comma 2 2 3 3 2 3 3" xfId="1502"/>
    <cellStyle name="Comma 2 2 3 3 2 3 3 2" xfId="7754"/>
    <cellStyle name="Comma 2 2 3 3 2 3 3 3" xfId="5670"/>
    <cellStyle name="Comma 2 2 3 3 2 3 3 4" xfId="3586"/>
    <cellStyle name="Comma 2 2 3 3 2 3 4" xfId="6712"/>
    <cellStyle name="Comma 2 2 3 3 2 3 5" xfId="4628"/>
    <cellStyle name="Comma 2 2 3 3 2 3 6" xfId="2544"/>
    <cellStyle name="Comma 2 2 3 3 2 4" xfId="715"/>
    <cellStyle name="Comma 2 2 3 3 2 4 2" xfId="1759"/>
    <cellStyle name="Comma 2 2 3 3 2 4 2 2" xfId="8011"/>
    <cellStyle name="Comma 2 2 3 3 2 4 2 3" xfId="5927"/>
    <cellStyle name="Comma 2 2 3 3 2 4 2 4" xfId="3843"/>
    <cellStyle name="Comma 2 2 3 3 2 4 3" xfId="6969"/>
    <cellStyle name="Comma 2 2 3 3 2 4 4" xfId="4885"/>
    <cellStyle name="Comma 2 2 3 3 2 4 5" xfId="2801"/>
    <cellStyle name="Comma 2 2 3 3 2 5" xfId="1238"/>
    <cellStyle name="Comma 2 2 3 3 2 5 2" xfId="7490"/>
    <cellStyle name="Comma 2 2 3 3 2 5 3" xfId="5406"/>
    <cellStyle name="Comma 2 2 3 3 2 5 4" xfId="3322"/>
    <cellStyle name="Comma 2 2 3 3 2 6" xfId="6448"/>
    <cellStyle name="Comma 2 2 3 3 2 7" xfId="4364"/>
    <cellStyle name="Comma 2 2 3 3 2 8" xfId="2280"/>
    <cellStyle name="Comma 2 2 3 3 3" xfId="142"/>
    <cellStyle name="Comma 2 2 3 3 3 2" xfId="264"/>
    <cellStyle name="Comma 2 2 3 3 3 2 2" xfId="530"/>
    <cellStyle name="Comma 2 2 3 3 3 2 2 2" xfId="1044"/>
    <cellStyle name="Comma 2 2 3 3 3 2 2 2 2" xfId="2088"/>
    <cellStyle name="Comma 2 2 3 3 3 2 2 2 2 2" xfId="8340"/>
    <cellStyle name="Comma 2 2 3 3 3 2 2 2 2 3" xfId="6256"/>
    <cellStyle name="Comma 2 2 3 3 3 2 2 2 2 4" xfId="4172"/>
    <cellStyle name="Comma 2 2 3 3 3 2 2 2 3" xfId="7298"/>
    <cellStyle name="Comma 2 2 3 3 3 2 2 2 4" xfId="5214"/>
    <cellStyle name="Comma 2 2 3 3 3 2 2 2 5" xfId="3130"/>
    <cellStyle name="Comma 2 2 3 3 3 2 2 3" xfId="1574"/>
    <cellStyle name="Comma 2 2 3 3 3 2 2 3 2" xfId="7826"/>
    <cellStyle name="Comma 2 2 3 3 3 2 2 3 3" xfId="5742"/>
    <cellStyle name="Comma 2 2 3 3 3 2 2 3 4" xfId="3658"/>
    <cellStyle name="Comma 2 2 3 3 3 2 2 4" xfId="6784"/>
    <cellStyle name="Comma 2 2 3 3 3 2 2 5" xfId="4700"/>
    <cellStyle name="Comma 2 2 3 3 3 2 2 6" xfId="2616"/>
    <cellStyle name="Comma 2 2 3 3 3 2 3" xfId="787"/>
    <cellStyle name="Comma 2 2 3 3 3 2 3 2" xfId="1831"/>
    <cellStyle name="Comma 2 2 3 3 3 2 3 2 2" xfId="8083"/>
    <cellStyle name="Comma 2 2 3 3 3 2 3 2 3" xfId="5999"/>
    <cellStyle name="Comma 2 2 3 3 3 2 3 2 4" xfId="3915"/>
    <cellStyle name="Comma 2 2 3 3 3 2 3 3" xfId="7041"/>
    <cellStyle name="Comma 2 2 3 3 3 2 3 4" xfId="4957"/>
    <cellStyle name="Comma 2 2 3 3 3 2 3 5" xfId="2873"/>
    <cellStyle name="Comma 2 2 3 3 3 2 4" xfId="1314"/>
    <cellStyle name="Comma 2 2 3 3 3 2 4 2" xfId="7566"/>
    <cellStyle name="Comma 2 2 3 3 3 2 4 3" xfId="5482"/>
    <cellStyle name="Comma 2 2 3 3 3 2 4 4" xfId="3398"/>
    <cellStyle name="Comma 2 2 3 3 3 2 5" xfId="6524"/>
    <cellStyle name="Comma 2 2 3 3 3 2 6" xfId="4440"/>
    <cellStyle name="Comma 2 2 3 3 3 2 7" xfId="2356"/>
    <cellStyle name="Comma 2 2 3 3 3 3" xfId="422"/>
    <cellStyle name="Comma 2 2 3 3 3 3 2" xfId="936"/>
    <cellStyle name="Comma 2 2 3 3 3 3 2 2" xfId="1980"/>
    <cellStyle name="Comma 2 2 3 3 3 3 2 2 2" xfId="8232"/>
    <cellStyle name="Comma 2 2 3 3 3 3 2 2 3" xfId="6148"/>
    <cellStyle name="Comma 2 2 3 3 3 3 2 2 4" xfId="4064"/>
    <cellStyle name="Comma 2 2 3 3 3 3 2 3" xfId="7190"/>
    <cellStyle name="Comma 2 2 3 3 3 3 2 4" xfId="5106"/>
    <cellStyle name="Comma 2 2 3 3 3 3 2 5" xfId="3022"/>
    <cellStyle name="Comma 2 2 3 3 3 3 3" xfId="1466"/>
    <cellStyle name="Comma 2 2 3 3 3 3 3 2" xfId="7718"/>
    <cellStyle name="Comma 2 2 3 3 3 3 3 3" xfId="5634"/>
    <cellStyle name="Comma 2 2 3 3 3 3 3 4" xfId="3550"/>
    <cellStyle name="Comma 2 2 3 3 3 3 4" xfId="6676"/>
    <cellStyle name="Comma 2 2 3 3 3 3 5" xfId="4592"/>
    <cellStyle name="Comma 2 2 3 3 3 3 6" xfId="2508"/>
    <cellStyle name="Comma 2 2 3 3 3 4" xfId="679"/>
    <cellStyle name="Comma 2 2 3 3 3 4 2" xfId="1723"/>
    <cellStyle name="Comma 2 2 3 3 3 4 2 2" xfId="7975"/>
    <cellStyle name="Comma 2 2 3 3 3 4 2 3" xfId="5891"/>
    <cellStyle name="Comma 2 2 3 3 3 4 2 4" xfId="3807"/>
    <cellStyle name="Comma 2 2 3 3 3 4 3" xfId="6933"/>
    <cellStyle name="Comma 2 2 3 3 3 4 4" xfId="4849"/>
    <cellStyle name="Comma 2 2 3 3 3 4 5" xfId="2765"/>
    <cellStyle name="Comma 2 2 3 3 3 5" xfId="1200"/>
    <cellStyle name="Comma 2 2 3 3 3 5 2" xfId="7452"/>
    <cellStyle name="Comma 2 2 3 3 3 5 3" xfId="5368"/>
    <cellStyle name="Comma 2 2 3 3 3 5 4" xfId="3284"/>
    <cellStyle name="Comma 2 2 3 3 3 6" xfId="6410"/>
    <cellStyle name="Comma 2 2 3 3 3 7" xfId="4326"/>
    <cellStyle name="Comma 2 2 3 3 3 8" xfId="2242"/>
    <cellStyle name="Comma 2 2 3 3 4" xfId="225"/>
    <cellStyle name="Comma 2 2 3 3 4 2" xfId="494"/>
    <cellStyle name="Comma 2 2 3 3 4 2 2" xfId="1008"/>
    <cellStyle name="Comma 2 2 3 3 4 2 2 2" xfId="2052"/>
    <cellStyle name="Comma 2 2 3 3 4 2 2 2 2" xfId="8304"/>
    <cellStyle name="Comma 2 2 3 3 4 2 2 2 3" xfId="6220"/>
    <cellStyle name="Comma 2 2 3 3 4 2 2 2 4" xfId="4136"/>
    <cellStyle name="Comma 2 2 3 3 4 2 2 3" xfId="7262"/>
    <cellStyle name="Comma 2 2 3 3 4 2 2 4" xfId="5178"/>
    <cellStyle name="Comma 2 2 3 3 4 2 2 5" xfId="3094"/>
    <cellStyle name="Comma 2 2 3 3 4 2 3" xfId="1538"/>
    <cellStyle name="Comma 2 2 3 3 4 2 3 2" xfId="7790"/>
    <cellStyle name="Comma 2 2 3 3 4 2 3 3" xfId="5706"/>
    <cellStyle name="Comma 2 2 3 3 4 2 3 4" xfId="3622"/>
    <cellStyle name="Comma 2 2 3 3 4 2 4" xfId="6748"/>
    <cellStyle name="Comma 2 2 3 3 4 2 5" xfId="4664"/>
    <cellStyle name="Comma 2 2 3 3 4 2 6" xfId="2580"/>
    <cellStyle name="Comma 2 2 3 3 4 3" xfId="751"/>
    <cellStyle name="Comma 2 2 3 3 4 3 2" xfId="1795"/>
    <cellStyle name="Comma 2 2 3 3 4 3 2 2" xfId="8047"/>
    <cellStyle name="Comma 2 2 3 3 4 3 2 3" xfId="5963"/>
    <cellStyle name="Comma 2 2 3 3 4 3 2 4" xfId="3879"/>
    <cellStyle name="Comma 2 2 3 3 4 3 3" xfId="7005"/>
    <cellStyle name="Comma 2 2 3 3 4 3 4" xfId="4921"/>
    <cellStyle name="Comma 2 2 3 3 4 3 5" xfId="2837"/>
    <cellStyle name="Comma 2 2 3 3 4 4" xfId="1276"/>
    <cellStyle name="Comma 2 2 3 3 4 4 2" xfId="7528"/>
    <cellStyle name="Comma 2 2 3 3 4 4 3" xfId="5444"/>
    <cellStyle name="Comma 2 2 3 3 4 4 4" xfId="3360"/>
    <cellStyle name="Comma 2 2 3 3 4 5" xfId="6486"/>
    <cellStyle name="Comma 2 2 3 3 4 6" xfId="4402"/>
    <cellStyle name="Comma 2 2 3 3 4 7" xfId="2318"/>
    <cellStyle name="Comma 2 2 3 3 5" xfId="386"/>
    <cellStyle name="Comma 2 2 3 3 5 2" xfId="900"/>
    <cellStyle name="Comma 2 2 3 3 5 2 2" xfId="1944"/>
    <cellStyle name="Comma 2 2 3 3 5 2 2 2" xfId="8196"/>
    <cellStyle name="Comma 2 2 3 3 5 2 2 3" xfId="6112"/>
    <cellStyle name="Comma 2 2 3 3 5 2 2 4" xfId="4028"/>
    <cellStyle name="Comma 2 2 3 3 5 2 3" xfId="7154"/>
    <cellStyle name="Comma 2 2 3 3 5 2 4" xfId="5070"/>
    <cellStyle name="Comma 2 2 3 3 5 2 5" xfId="2986"/>
    <cellStyle name="Comma 2 2 3 3 5 3" xfId="1430"/>
    <cellStyle name="Comma 2 2 3 3 5 3 2" xfId="7682"/>
    <cellStyle name="Comma 2 2 3 3 5 3 3" xfId="5598"/>
    <cellStyle name="Comma 2 2 3 3 5 3 4" xfId="3514"/>
    <cellStyle name="Comma 2 2 3 3 5 4" xfId="6640"/>
    <cellStyle name="Comma 2 2 3 3 5 5" xfId="4556"/>
    <cellStyle name="Comma 2 2 3 3 5 6" xfId="2472"/>
    <cellStyle name="Comma 2 2 3 3 6" xfId="643"/>
    <cellStyle name="Comma 2 2 3 3 6 2" xfId="1687"/>
    <cellStyle name="Comma 2 2 3 3 6 2 2" xfId="7939"/>
    <cellStyle name="Comma 2 2 3 3 6 2 3" xfId="5855"/>
    <cellStyle name="Comma 2 2 3 3 6 2 4" xfId="3771"/>
    <cellStyle name="Comma 2 2 3 3 6 3" xfId="6897"/>
    <cellStyle name="Comma 2 2 3 3 6 4" xfId="4813"/>
    <cellStyle name="Comma 2 2 3 3 6 5" xfId="2729"/>
    <cellStyle name="Comma 2 2 3 3 7" xfId="1162"/>
    <cellStyle name="Comma 2 2 3 3 7 2" xfId="7414"/>
    <cellStyle name="Comma 2 2 3 3 7 3" xfId="5330"/>
    <cellStyle name="Comma 2 2 3 3 7 4" xfId="3246"/>
    <cellStyle name="Comma 2 2 3 3 8" xfId="6372"/>
    <cellStyle name="Comma 2 2 3 3 9" xfId="4288"/>
    <cellStyle name="Comma 2 2 3 4" xfId="161"/>
    <cellStyle name="Comma 2 2 3 4 2" xfId="283"/>
    <cellStyle name="Comma 2 2 3 4 2 2" xfId="548"/>
    <cellStyle name="Comma 2 2 3 4 2 2 2" xfId="1062"/>
    <cellStyle name="Comma 2 2 3 4 2 2 2 2" xfId="2106"/>
    <cellStyle name="Comma 2 2 3 4 2 2 2 2 2" xfId="8358"/>
    <cellStyle name="Comma 2 2 3 4 2 2 2 2 3" xfId="6274"/>
    <cellStyle name="Comma 2 2 3 4 2 2 2 2 4" xfId="4190"/>
    <cellStyle name="Comma 2 2 3 4 2 2 2 3" xfId="7316"/>
    <cellStyle name="Comma 2 2 3 4 2 2 2 4" xfId="5232"/>
    <cellStyle name="Comma 2 2 3 4 2 2 2 5" xfId="3148"/>
    <cellStyle name="Comma 2 2 3 4 2 2 3" xfId="1592"/>
    <cellStyle name="Comma 2 2 3 4 2 2 3 2" xfId="7844"/>
    <cellStyle name="Comma 2 2 3 4 2 2 3 3" xfId="5760"/>
    <cellStyle name="Comma 2 2 3 4 2 2 3 4" xfId="3676"/>
    <cellStyle name="Comma 2 2 3 4 2 2 4" xfId="6802"/>
    <cellStyle name="Comma 2 2 3 4 2 2 5" xfId="4718"/>
    <cellStyle name="Comma 2 2 3 4 2 2 6" xfId="2634"/>
    <cellStyle name="Comma 2 2 3 4 2 3" xfId="805"/>
    <cellStyle name="Comma 2 2 3 4 2 3 2" xfId="1849"/>
    <cellStyle name="Comma 2 2 3 4 2 3 2 2" xfId="8101"/>
    <cellStyle name="Comma 2 2 3 4 2 3 2 3" xfId="6017"/>
    <cellStyle name="Comma 2 2 3 4 2 3 2 4" xfId="3933"/>
    <cellStyle name="Comma 2 2 3 4 2 3 3" xfId="7059"/>
    <cellStyle name="Comma 2 2 3 4 2 3 4" xfId="4975"/>
    <cellStyle name="Comma 2 2 3 4 2 3 5" xfId="2891"/>
    <cellStyle name="Comma 2 2 3 4 2 4" xfId="1333"/>
    <cellStyle name="Comma 2 2 3 4 2 4 2" xfId="7585"/>
    <cellStyle name="Comma 2 2 3 4 2 4 3" xfId="5501"/>
    <cellStyle name="Comma 2 2 3 4 2 4 4" xfId="3417"/>
    <cellStyle name="Comma 2 2 3 4 2 5" xfId="6543"/>
    <cellStyle name="Comma 2 2 3 4 2 6" xfId="4459"/>
    <cellStyle name="Comma 2 2 3 4 2 7" xfId="2375"/>
    <cellStyle name="Comma 2 2 3 4 3" xfId="440"/>
    <cellStyle name="Comma 2 2 3 4 3 2" xfId="954"/>
    <cellStyle name="Comma 2 2 3 4 3 2 2" xfId="1998"/>
    <cellStyle name="Comma 2 2 3 4 3 2 2 2" xfId="8250"/>
    <cellStyle name="Comma 2 2 3 4 3 2 2 3" xfId="6166"/>
    <cellStyle name="Comma 2 2 3 4 3 2 2 4" xfId="4082"/>
    <cellStyle name="Comma 2 2 3 4 3 2 3" xfId="7208"/>
    <cellStyle name="Comma 2 2 3 4 3 2 4" xfId="5124"/>
    <cellStyle name="Comma 2 2 3 4 3 2 5" xfId="3040"/>
    <cellStyle name="Comma 2 2 3 4 3 3" xfId="1484"/>
    <cellStyle name="Comma 2 2 3 4 3 3 2" xfId="7736"/>
    <cellStyle name="Comma 2 2 3 4 3 3 3" xfId="5652"/>
    <cellStyle name="Comma 2 2 3 4 3 3 4" xfId="3568"/>
    <cellStyle name="Comma 2 2 3 4 3 4" xfId="6694"/>
    <cellStyle name="Comma 2 2 3 4 3 5" xfId="4610"/>
    <cellStyle name="Comma 2 2 3 4 3 6" xfId="2526"/>
    <cellStyle name="Comma 2 2 3 4 4" xfId="697"/>
    <cellStyle name="Comma 2 2 3 4 4 2" xfId="1741"/>
    <cellStyle name="Comma 2 2 3 4 4 2 2" xfId="7993"/>
    <cellStyle name="Comma 2 2 3 4 4 2 3" xfId="5909"/>
    <cellStyle name="Comma 2 2 3 4 4 2 4" xfId="3825"/>
    <cellStyle name="Comma 2 2 3 4 4 3" xfId="6951"/>
    <cellStyle name="Comma 2 2 3 4 4 4" xfId="4867"/>
    <cellStyle name="Comma 2 2 3 4 4 5" xfId="2783"/>
    <cellStyle name="Comma 2 2 3 4 5" xfId="1219"/>
    <cellStyle name="Comma 2 2 3 4 5 2" xfId="7471"/>
    <cellStyle name="Comma 2 2 3 4 5 3" xfId="5387"/>
    <cellStyle name="Comma 2 2 3 4 5 4" xfId="3303"/>
    <cellStyle name="Comma 2 2 3 4 6" xfId="6429"/>
    <cellStyle name="Comma 2 2 3 4 7" xfId="4345"/>
    <cellStyle name="Comma 2 2 3 4 8" xfId="2261"/>
    <cellStyle name="Comma 2 2 3 5" xfId="123"/>
    <cellStyle name="Comma 2 2 3 5 2" xfId="245"/>
    <cellStyle name="Comma 2 2 3 5 2 2" xfId="512"/>
    <cellStyle name="Comma 2 2 3 5 2 2 2" xfId="1026"/>
    <cellStyle name="Comma 2 2 3 5 2 2 2 2" xfId="2070"/>
    <cellStyle name="Comma 2 2 3 5 2 2 2 2 2" xfId="8322"/>
    <cellStyle name="Comma 2 2 3 5 2 2 2 2 3" xfId="6238"/>
    <cellStyle name="Comma 2 2 3 5 2 2 2 2 4" xfId="4154"/>
    <cellStyle name="Comma 2 2 3 5 2 2 2 3" xfId="7280"/>
    <cellStyle name="Comma 2 2 3 5 2 2 2 4" xfId="5196"/>
    <cellStyle name="Comma 2 2 3 5 2 2 2 5" xfId="3112"/>
    <cellStyle name="Comma 2 2 3 5 2 2 3" xfId="1556"/>
    <cellStyle name="Comma 2 2 3 5 2 2 3 2" xfId="7808"/>
    <cellStyle name="Comma 2 2 3 5 2 2 3 3" xfId="5724"/>
    <cellStyle name="Comma 2 2 3 5 2 2 3 4" xfId="3640"/>
    <cellStyle name="Comma 2 2 3 5 2 2 4" xfId="6766"/>
    <cellStyle name="Comma 2 2 3 5 2 2 5" xfId="4682"/>
    <cellStyle name="Comma 2 2 3 5 2 2 6" xfId="2598"/>
    <cellStyle name="Comma 2 2 3 5 2 3" xfId="769"/>
    <cellStyle name="Comma 2 2 3 5 2 3 2" xfId="1813"/>
    <cellStyle name="Comma 2 2 3 5 2 3 2 2" xfId="8065"/>
    <cellStyle name="Comma 2 2 3 5 2 3 2 3" xfId="5981"/>
    <cellStyle name="Comma 2 2 3 5 2 3 2 4" xfId="3897"/>
    <cellStyle name="Comma 2 2 3 5 2 3 3" xfId="7023"/>
    <cellStyle name="Comma 2 2 3 5 2 3 4" xfId="4939"/>
    <cellStyle name="Comma 2 2 3 5 2 3 5" xfId="2855"/>
    <cellStyle name="Comma 2 2 3 5 2 4" xfId="1295"/>
    <cellStyle name="Comma 2 2 3 5 2 4 2" xfId="7547"/>
    <cellStyle name="Comma 2 2 3 5 2 4 3" xfId="5463"/>
    <cellStyle name="Comma 2 2 3 5 2 4 4" xfId="3379"/>
    <cellStyle name="Comma 2 2 3 5 2 5" xfId="6505"/>
    <cellStyle name="Comma 2 2 3 5 2 6" xfId="4421"/>
    <cellStyle name="Comma 2 2 3 5 2 7" xfId="2337"/>
    <cellStyle name="Comma 2 2 3 5 3" xfId="404"/>
    <cellStyle name="Comma 2 2 3 5 3 2" xfId="918"/>
    <cellStyle name="Comma 2 2 3 5 3 2 2" xfId="1962"/>
    <cellStyle name="Comma 2 2 3 5 3 2 2 2" xfId="8214"/>
    <cellStyle name="Comma 2 2 3 5 3 2 2 3" xfId="6130"/>
    <cellStyle name="Comma 2 2 3 5 3 2 2 4" xfId="4046"/>
    <cellStyle name="Comma 2 2 3 5 3 2 3" xfId="7172"/>
    <cellStyle name="Comma 2 2 3 5 3 2 4" xfId="5088"/>
    <cellStyle name="Comma 2 2 3 5 3 2 5" xfId="3004"/>
    <cellStyle name="Comma 2 2 3 5 3 3" xfId="1448"/>
    <cellStyle name="Comma 2 2 3 5 3 3 2" xfId="7700"/>
    <cellStyle name="Comma 2 2 3 5 3 3 3" xfId="5616"/>
    <cellStyle name="Comma 2 2 3 5 3 3 4" xfId="3532"/>
    <cellStyle name="Comma 2 2 3 5 3 4" xfId="6658"/>
    <cellStyle name="Comma 2 2 3 5 3 5" xfId="4574"/>
    <cellStyle name="Comma 2 2 3 5 3 6" xfId="2490"/>
    <cellStyle name="Comma 2 2 3 5 4" xfId="661"/>
    <cellStyle name="Comma 2 2 3 5 4 2" xfId="1705"/>
    <cellStyle name="Comma 2 2 3 5 4 2 2" xfId="7957"/>
    <cellStyle name="Comma 2 2 3 5 4 2 3" xfId="5873"/>
    <cellStyle name="Comma 2 2 3 5 4 2 4" xfId="3789"/>
    <cellStyle name="Comma 2 2 3 5 4 3" xfId="6915"/>
    <cellStyle name="Comma 2 2 3 5 4 4" xfId="4831"/>
    <cellStyle name="Comma 2 2 3 5 4 5" xfId="2747"/>
    <cellStyle name="Comma 2 2 3 5 5" xfId="1181"/>
    <cellStyle name="Comma 2 2 3 5 5 2" xfId="7433"/>
    <cellStyle name="Comma 2 2 3 5 5 3" xfId="5349"/>
    <cellStyle name="Comma 2 2 3 5 5 4" xfId="3265"/>
    <cellStyle name="Comma 2 2 3 5 6" xfId="6391"/>
    <cellStyle name="Comma 2 2 3 5 7" xfId="4307"/>
    <cellStyle name="Comma 2 2 3 5 8" xfId="2223"/>
    <cellStyle name="Comma 2 2 3 6" xfId="205"/>
    <cellStyle name="Comma 2 2 3 6 2" xfId="476"/>
    <cellStyle name="Comma 2 2 3 6 2 2" xfId="990"/>
    <cellStyle name="Comma 2 2 3 6 2 2 2" xfId="2034"/>
    <cellStyle name="Comma 2 2 3 6 2 2 2 2" xfId="8286"/>
    <cellStyle name="Comma 2 2 3 6 2 2 2 3" xfId="6202"/>
    <cellStyle name="Comma 2 2 3 6 2 2 2 4" xfId="4118"/>
    <cellStyle name="Comma 2 2 3 6 2 2 3" xfId="7244"/>
    <cellStyle name="Comma 2 2 3 6 2 2 4" xfId="5160"/>
    <cellStyle name="Comma 2 2 3 6 2 2 5" xfId="3076"/>
    <cellStyle name="Comma 2 2 3 6 2 3" xfId="1520"/>
    <cellStyle name="Comma 2 2 3 6 2 3 2" xfId="7772"/>
    <cellStyle name="Comma 2 2 3 6 2 3 3" xfId="5688"/>
    <cellStyle name="Comma 2 2 3 6 2 3 4" xfId="3604"/>
    <cellStyle name="Comma 2 2 3 6 2 4" xfId="6730"/>
    <cellStyle name="Comma 2 2 3 6 2 5" xfId="4646"/>
    <cellStyle name="Comma 2 2 3 6 2 6" xfId="2562"/>
    <cellStyle name="Comma 2 2 3 6 3" xfId="733"/>
    <cellStyle name="Comma 2 2 3 6 3 2" xfId="1777"/>
    <cellStyle name="Comma 2 2 3 6 3 2 2" xfId="8029"/>
    <cellStyle name="Comma 2 2 3 6 3 2 3" xfId="5945"/>
    <cellStyle name="Comma 2 2 3 6 3 2 4" xfId="3861"/>
    <cellStyle name="Comma 2 2 3 6 3 3" xfId="6987"/>
    <cellStyle name="Comma 2 2 3 6 3 4" xfId="4903"/>
    <cellStyle name="Comma 2 2 3 6 3 5" xfId="2819"/>
    <cellStyle name="Comma 2 2 3 6 4" xfId="1257"/>
    <cellStyle name="Comma 2 2 3 6 4 2" xfId="7509"/>
    <cellStyle name="Comma 2 2 3 6 4 3" xfId="5425"/>
    <cellStyle name="Comma 2 2 3 6 4 4" xfId="3341"/>
    <cellStyle name="Comma 2 2 3 6 5" xfId="6467"/>
    <cellStyle name="Comma 2 2 3 6 6" xfId="4383"/>
    <cellStyle name="Comma 2 2 3 6 7" xfId="2299"/>
    <cellStyle name="Comma 2 2 3 7" xfId="79"/>
    <cellStyle name="Comma 2 2 3 7 2" xfId="366"/>
    <cellStyle name="Comma 2 2 3 7 2 2" xfId="880"/>
    <cellStyle name="Comma 2 2 3 7 2 2 2" xfId="1924"/>
    <cellStyle name="Comma 2 2 3 7 2 2 2 2" xfId="8176"/>
    <cellStyle name="Comma 2 2 3 7 2 2 2 3" xfId="6092"/>
    <cellStyle name="Comma 2 2 3 7 2 2 2 4" xfId="4008"/>
    <cellStyle name="Comma 2 2 3 7 2 2 3" xfId="7134"/>
    <cellStyle name="Comma 2 2 3 7 2 2 4" xfId="5050"/>
    <cellStyle name="Comma 2 2 3 7 2 2 5" xfId="2966"/>
    <cellStyle name="Comma 2 2 3 7 2 3" xfId="1410"/>
    <cellStyle name="Comma 2 2 3 7 2 3 2" xfId="7662"/>
    <cellStyle name="Comma 2 2 3 7 2 3 3" xfId="5578"/>
    <cellStyle name="Comma 2 2 3 7 2 3 4" xfId="3494"/>
    <cellStyle name="Comma 2 2 3 7 2 4" xfId="6620"/>
    <cellStyle name="Comma 2 2 3 7 2 5" xfId="4536"/>
    <cellStyle name="Comma 2 2 3 7 2 6" xfId="2452"/>
    <cellStyle name="Comma 2 2 3 7 3" xfId="623"/>
    <cellStyle name="Comma 2 2 3 7 3 2" xfId="1667"/>
    <cellStyle name="Comma 2 2 3 7 3 2 2" xfId="7919"/>
    <cellStyle name="Comma 2 2 3 7 3 2 3" xfId="5835"/>
    <cellStyle name="Comma 2 2 3 7 3 2 4" xfId="3751"/>
    <cellStyle name="Comma 2 2 3 7 3 3" xfId="6877"/>
    <cellStyle name="Comma 2 2 3 7 3 4" xfId="4793"/>
    <cellStyle name="Comma 2 2 3 7 3 5" xfId="2709"/>
    <cellStyle name="Comma 2 2 3 7 4" xfId="1139"/>
    <cellStyle name="Comma 2 2 3 7 4 2" xfId="7393"/>
    <cellStyle name="Comma 2 2 3 7 4 3" xfId="5309"/>
    <cellStyle name="Comma 2 2 3 7 4 4" xfId="3225"/>
    <cellStyle name="Comma 2 2 3 7 5" xfId="6351"/>
    <cellStyle name="Comma 2 2 3 7 6" xfId="4267"/>
    <cellStyle name="Comma 2 2 3 7 7" xfId="2183"/>
    <cellStyle name="Comma 2 2 3 8" xfId="348"/>
    <cellStyle name="Comma 2 2 3 8 2" xfId="862"/>
    <cellStyle name="Comma 2 2 3 8 2 2" xfId="1906"/>
    <cellStyle name="Comma 2 2 3 8 2 2 2" xfId="8158"/>
    <cellStyle name="Comma 2 2 3 8 2 2 3" xfId="6074"/>
    <cellStyle name="Comma 2 2 3 8 2 2 4" xfId="3990"/>
    <cellStyle name="Comma 2 2 3 8 2 3" xfId="7116"/>
    <cellStyle name="Comma 2 2 3 8 2 4" xfId="5032"/>
    <cellStyle name="Comma 2 2 3 8 2 5" xfId="2948"/>
    <cellStyle name="Comma 2 2 3 8 3" xfId="1392"/>
    <cellStyle name="Comma 2 2 3 8 3 2" xfId="7644"/>
    <cellStyle name="Comma 2 2 3 8 3 3" xfId="5560"/>
    <cellStyle name="Comma 2 2 3 8 3 4" xfId="3476"/>
    <cellStyle name="Comma 2 2 3 8 4" xfId="6602"/>
    <cellStyle name="Comma 2 2 3 8 5" xfId="4518"/>
    <cellStyle name="Comma 2 2 3 8 6" xfId="2434"/>
    <cellStyle name="Comma 2 2 3 9" xfId="605"/>
    <cellStyle name="Comma 2 2 3 9 2" xfId="1649"/>
    <cellStyle name="Comma 2 2 3 9 2 2" xfId="7901"/>
    <cellStyle name="Comma 2 2 3 9 2 3" xfId="5817"/>
    <cellStyle name="Comma 2 2 3 9 2 4" xfId="3733"/>
    <cellStyle name="Comma 2 2 3 9 3" xfId="6859"/>
    <cellStyle name="Comma 2 2 3 9 4" xfId="4775"/>
    <cellStyle name="Comma 2 2 3 9 5" xfId="2691"/>
    <cellStyle name="Comma 2 2 4" xfId="87"/>
    <cellStyle name="Comma 2 2 4 10" xfId="4273"/>
    <cellStyle name="Comma 2 2 4 11" xfId="2189"/>
    <cellStyle name="Comma 2 2 4 2" xfId="107"/>
    <cellStyle name="Comma 2 2 4 2 10" xfId="2208"/>
    <cellStyle name="Comma 2 2 4 2 2" xfId="185"/>
    <cellStyle name="Comma 2 2 4 2 2 2" xfId="307"/>
    <cellStyle name="Comma 2 2 4 2 2 2 2" xfId="569"/>
    <cellStyle name="Comma 2 2 4 2 2 2 2 2" xfId="1083"/>
    <cellStyle name="Comma 2 2 4 2 2 2 2 2 2" xfId="2127"/>
    <cellStyle name="Comma 2 2 4 2 2 2 2 2 2 2" xfId="8379"/>
    <cellStyle name="Comma 2 2 4 2 2 2 2 2 2 3" xfId="6295"/>
    <cellStyle name="Comma 2 2 4 2 2 2 2 2 2 4" xfId="4211"/>
    <cellStyle name="Comma 2 2 4 2 2 2 2 2 3" xfId="7337"/>
    <cellStyle name="Comma 2 2 4 2 2 2 2 2 4" xfId="5253"/>
    <cellStyle name="Comma 2 2 4 2 2 2 2 2 5" xfId="3169"/>
    <cellStyle name="Comma 2 2 4 2 2 2 2 3" xfId="1613"/>
    <cellStyle name="Comma 2 2 4 2 2 2 2 3 2" xfId="7865"/>
    <cellStyle name="Comma 2 2 4 2 2 2 2 3 3" xfId="5781"/>
    <cellStyle name="Comma 2 2 4 2 2 2 2 3 4" xfId="3697"/>
    <cellStyle name="Comma 2 2 4 2 2 2 2 4" xfId="6823"/>
    <cellStyle name="Comma 2 2 4 2 2 2 2 5" xfId="4739"/>
    <cellStyle name="Comma 2 2 4 2 2 2 2 6" xfId="2655"/>
    <cellStyle name="Comma 2 2 4 2 2 2 3" xfId="826"/>
    <cellStyle name="Comma 2 2 4 2 2 2 3 2" xfId="1870"/>
    <cellStyle name="Comma 2 2 4 2 2 2 3 2 2" xfId="8122"/>
    <cellStyle name="Comma 2 2 4 2 2 2 3 2 3" xfId="6038"/>
    <cellStyle name="Comma 2 2 4 2 2 2 3 2 4" xfId="3954"/>
    <cellStyle name="Comma 2 2 4 2 2 2 3 3" xfId="7080"/>
    <cellStyle name="Comma 2 2 4 2 2 2 3 4" xfId="4996"/>
    <cellStyle name="Comma 2 2 4 2 2 2 3 5" xfId="2912"/>
    <cellStyle name="Comma 2 2 4 2 2 2 4" xfId="1356"/>
    <cellStyle name="Comma 2 2 4 2 2 2 4 2" xfId="7608"/>
    <cellStyle name="Comma 2 2 4 2 2 2 4 3" xfId="5524"/>
    <cellStyle name="Comma 2 2 4 2 2 2 4 4" xfId="3440"/>
    <cellStyle name="Comma 2 2 4 2 2 2 5" xfId="6566"/>
    <cellStyle name="Comma 2 2 4 2 2 2 6" xfId="4482"/>
    <cellStyle name="Comma 2 2 4 2 2 2 7" xfId="2398"/>
    <cellStyle name="Comma 2 2 4 2 2 3" xfId="461"/>
    <cellStyle name="Comma 2 2 4 2 2 3 2" xfId="975"/>
    <cellStyle name="Comma 2 2 4 2 2 3 2 2" xfId="2019"/>
    <cellStyle name="Comma 2 2 4 2 2 3 2 2 2" xfId="8271"/>
    <cellStyle name="Comma 2 2 4 2 2 3 2 2 3" xfId="6187"/>
    <cellStyle name="Comma 2 2 4 2 2 3 2 2 4" xfId="4103"/>
    <cellStyle name="Comma 2 2 4 2 2 3 2 3" xfId="7229"/>
    <cellStyle name="Comma 2 2 4 2 2 3 2 4" xfId="5145"/>
    <cellStyle name="Comma 2 2 4 2 2 3 2 5" xfId="3061"/>
    <cellStyle name="Comma 2 2 4 2 2 3 3" xfId="1505"/>
    <cellStyle name="Comma 2 2 4 2 2 3 3 2" xfId="7757"/>
    <cellStyle name="Comma 2 2 4 2 2 3 3 3" xfId="5673"/>
    <cellStyle name="Comma 2 2 4 2 2 3 3 4" xfId="3589"/>
    <cellStyle name="Comma 2 2 4 2 2 3 4" xfId="6715"/>
    <cellStyle name="Comma 2 2 4 2 2 3 5" xfId="4631"/>
    <cellStyle name="Comma 2 2 4 2 2 3 6" xfId="2547"/>
    <cellStyle name="Comma 2 2 4 2 2 4" xfId="718"/>
    <cellStyle name="Comma 2 2 4 2 2 4 2" xfId="1762"/>
    <cellStyle name="Comma 2 2 4 2 2 4 2 2" xfId="8014"/>
    <cellStyle name="Comma 2 2 4 2 2 4 2 3" xfId="5930"/>
    <cellStyle name="Comma 2 2 4 2 2 4 2 4" xfId="3846"/>
    <cellStyle name="Comma 2 2 4 2 2 4 3" xfId="6972"/>
    <cellStyle name="Comma 2 2 4 2 2 4 4" xfId="4888"/>
    <cellStyle name="Comma 2 2 4 2 2 4 5" xfId="2804"/>
    <cellStyle name="Comma 2 2 4 2 2 5" xfId="1242"/>
    <cellStyle name="Comma 2 2 4 2 2 5 2" xfId="7494"/>
    <cellStyle name="Comma 2 2 4 2 2 5 3" xfId="5410"/>
    <cellStyle name="Comma 2 2 4 2 2 5 4" xfId="3326"/>
    <cellStyle name="Comma 2 2 4 2 2 6" xfId="6452"/>
    <cellStyle name="Comma 2 2 4 2 2 7" xfId="4368"/>
    <cellStyle name="Comma 2 2 4 2 2 8" xfId="2284"/>
    <cellStyle name="Comma 2 2 4 2 3" xfId="146"/>
    <cellStyle name="Comma 2 2 4 2 3 2" xfId="268"/>
    <cellStyle name="Comma 2 2 4 2 3 2 2" xfId="533"/>
    <cellStyle name="Comma 2 2 4 2 3 2 2 2" xfId="1047"/>
    <cellStyle name="Comma 2 2 4 2 3 2 2 2 2" xfId="2091"/>
    <cellStyle name="Comma 2 2 4 2 3 2 2 2 2 2" xfId="8343"/>
    <cellStyle name="Comma 2 2 4 2 3 2 2 2 2 3" xfId="6259"/>
    <cellStyle name="Comma 2 2 4 2 3 2 2 2 2 4" xfId="4175"/>
    <cellStyle name="Comma 2 2 4 2 3 2 2 2 3" xfId="7301"/>
    <cellStyle name="Comma 2 2 4 2 3 2 2 2 4" xfId="5217"/>
    <cellStyle name="Comma 2 2 4 2 3 2 2 2 5" xfId="3133"/>
    <cellStyle name="Comma 2 2 4 2 3 2 2 3" xfId="1577"/>
    <cellStyle name="Comma 2 2 4 2 3 2 2 3 2" xfId="7829"/>
    <cellStyle name="Comma 2 2 4 2 3 2 2 3 3" xfId="5745"/>
    <cellStyle name="Comma 2 2 4 2 3 2 2 3 4" xfId="3661"/>
    <cellStyle name="Comma 2 2 4 2 3 2 2 4" xfId="6787"/>
    <cellStyle name="Comma 2 2 4 2 3 2 2 5" xfId="4703"/>
    <cellStyle name="Comma 2 2 4 2 3 2 2 6" xfId="2619"/>
    <cellStyle name="Comma 2 2 4 2 3 2 3" xfId="790"/>
    <cellStyle name="Comma 2 2 4 2 3 2 3 2" xfId="1834"/>
    <cellStyle name="Comma 2 2 4 2 3 2 3 2 2" xfId="8086"/>
    <cellStyle name="Comma 2 2 4 2 3 2 3 2 3" xfId="6002"/>
    <cellStyle name="Comma 2 2 4 2 3 2 3 2 4" xfId="3918"/>
    <cellStyle name="Comma 2 2 4 2 3 2 3 3" xfId="7044"/>
    <cellStyle name="Comma 2 2 4 2 3 2 3 4" xfId="4960"/>
    <cellStyle name="Comma 2 2 4 2 3 2 3 5" xfId="2876"/>
    <cellStyle name="Comma 2 2 4 2 3 2 4" xfId="1318"/>
    <cellStyle name="Comma 2 2 4 2 3 2 4 2" xfId="7570"/>
    <cellStyle name="Comma 2 2 4 2 3 2 4 3" xfId="5486"/>
    <cellStyle name="Comma 2 2 4 2 3 2 4 4" xfId="3402"/>
    <cellStyle name="Comma 2 2 4 2 3 2 5" xfId="6528"/>
    <cellStyle name="Comma 2 2 4 2 3 2 6" xfId="4444"/>
    <cellStyle name="Comma 2 2 4 2 3 2 7" xfId="2360"/>
    <cellStyle name="Comma 2 2 4 2 3 3" xfId="425"/>
    <cellStyle name="Comma 2 2 4 2 3 3 2" xfId="939"/>
    <cellStyle name="Comma 2 2 4 2 3 3 2 2" xfId="1983"/>
    <cellStyle name="Comma 2 2 4 2 3 3 2 2 2" xfId="8235"/>
    <cellStyle name="Comma 2 2 4 2 3 3 2 2 3" xfId="6151"/>
    <cellStyle name="Comma 2 2 4 2 3 3 2 2 4" xfId="4067"/>
    <cellStyle name="Comma 2 2 4 2 3 3 2 3" xfId="7193"/>
    <cellStyle name="Comma 2 2 4 2 3 3 2 4" xfId="5109"/>
    <cellStyle name="Comma 2 2 4 2 3 3 2 5" xfId="3025"/>
    <cellStyle name="Comma 2 2 4 2 3 3 3" xfId="1469"/>
    <cellStyle name="Comma 2 2 4 2 3 3 3 2" xfId="7721"/>
    <cellStyle name="Comma 2 2 4 2 3 3 3 3" xfId="5637"/>
    <cellStyle name="Comma 2 2 4 2 3 3 3 4" xfId="3553"/>
    <cellStyle name="Comma 2 2 4 2 3 3 4" xfId="6679"/>
    <cellStyle name="Comma 2 2 4 2 3 3 5" xfId="4595"/>
    <cellStyle name="Comma 2 2 4 2 3 3 6" xfId="2511"/>
    <cellStyle name="Comma 2 2 4 2 3 4" xfId="682"/>
    <cellStyle name="Comma 2 2 4 2 3 4 2" xfId="1726"/>
    <cellStyle name="Comma 2 2 4 2 3 4 2 2" xfId="7978"/>
    <cellStyle name="Comma 2 2 4 2 3 4 2 3" xfId="5894"/>
    <cellStyle name="Comma 2 2 4 2 3 4 2 4" xfId="3810"/>
    <cellStyle name="Comma 2 2 4 2 3 4 3" xfId="6936"/>
    <cellStyle name="Comma 2 2 4 2 3 4 4" xfId="4852"/>
    <cellStyle name="Comma 2 2 4 2 3 4 5" xfId="2768"/>
    <cellStyle name="Comma 2 2 4 2 3 5" xfId="1204"/>
    <cellStyle name="Comma 2 2 4 2 3 5 2" xfId="7456"/>
    <cellStyle name="Comma 2 2 4 2 3 5 3" xfId="5372"/>
    <cellStyle name="Comma 2 2 4 2 3 5 4" xfId="3288"/>
    <cellStyle name="Comma 2 2 4 2 3 6" xfId="6414"/>
    <cellStyle name="Comma 2 2 4 2 3 7" xfId="4330"/>
    <cellStyle name="Comma 2 2 4 2 3 8" xfId="2246"/>
    <cellStyle name="Comma 2 2 4 2 4" xfId="229"/>
    <cellStyle name="Comma 2 2 4 2 4 2" xfId="497"/>
    <cellStyle name="Comma 2 2 4 2 4 2 2" xfId="1011"/>
    <cellStyle name="Comma 2 2 4 2 4 2 2 2" xfId="2055"/>
    <cellStyle name="Comma 2 2 4 2 4 2 2 2 2" xfId="8307"/>
    <cellStyle name="Comma 2 2 4 2 4 2 2 2 3" xfId="6223"/>
    <cellStyle name="Comma 2 2 4 2 4 2 2 2 4" xfId="4139"/>
    <cellStyle name="Comma 2 2 4 2 4 2 2 3" xfId="7265"/>
    <cellStyle name="Comma 2 2 4 2 4 2 2 4" xfId="5181"/>
    <cellStyle name="Comma 2 2 4 2 4 2 2 5" xfId="3097"/>
    <cellStyle name="Comma 2 2 4 2 4 2 3" xfId="1541"/>
    <cellStyle name="Comma 2 2 4 2 4 2 3 2" xfId="7793"/>
    <cellStyle name="Comma 2 2 4 2 4 2 3 3" xfId="5709"/>
    <cellStyle name="Comma 2 2 4 2 4 2 3 4" xfId="3625"/>
    <cellStyle name="Comma 2 2 4 2 4 2 4" xfId="6751"/>
    <cellStyle name="Comma 2 2 4 2 4 2 5" xfId="4667"/>
    <cellStyle name="Comma 2 2 4 2 4 2 6" xfId="2583"/>
    <cellStyle name="Comma 2 2 4 2 4 3" xfId="754"/>
    <cellStyle name="Comma 2 2 4 2 4 3 2" xfId="1798"/>
    <cellStyle name="Comma 2 2 4 2 4 3 2 2" xfId="8050"/>
    <cellStyle name="Comma 2 2 4 2 4 3 2 3" xfId="5966"/>
    <cellStyle name="Comma 2 2 4 2 4 3 2 4" xfId="3882"/>
    <cellStyle name="Comma 2 2 4 2 4 3 3" xfId="7008"/>
    <cellStyle name="Comma 2 2 4 2 4 3 4" xfId="4924"/>
    <cellStyle name="Comma 2 2 4 2 4 3 5" xfId="2840"/>
    <cellStyle name="Comma 2 2 4 2 4 4" xfId="1280"/>
    <cellStyle name="Comma 2 2 4 2 4 4 2" xfId="7532"/>
    <cellStyle name="Comma 2 2 4 2 4 4 3" xfId="5448"/>
    <cellStyle name="Comma 2 2 4 2 4 4 4" xfId="3364"/>
    <cellStyle name="Comma 2 2 4 2 4 5" xfId="6490"/>
    <cellStyle name="Comma 2 2 4 2 4 6" xfId="4406"/>
    <cellStyle name="Comma 2 2 4 2 4 7" xfId="2322"/>
    <cellStyle name="Comma 2 2 4 2 5" xfId="389"/>
    <cellStyle name="Comma 2 2 4 2 5 2" xfId="903"/>
    <cellStyle name="Comma 2 2 4 2 5 2 2" xfId="1947"/>
    <cellStyle name="Comma 2 2 4 2 5 2 2 2" xfId="8199"/>
    <cellStyle name="Comma 2 2 4 2 5 2 2 3" xfId="6115"/>
    <cellStyle name="Comma 2 2 4 2 5 2 2 4" xfId="4031"/>
    <cellStyle name="Comma 2 2 4 2 5 2 3" xfId="7157"/>
    <cellStyle name="Comma 2 2 4 2 5 2 4" xfId="5073"/>
    <cellStyle name="Comma 2 2 4 2 5 2 5" xfId="2989"/>
    <cellStyle name="Comma 2 2 4 2 5 3" xfId="1433"/>
    <cellStyle name="Comma 2 2 4 2 5 3 2" xfId="7685"/>
    <cellStyle name="Comma 2 2 4 2 5 3 3" xfId="5601"/>
    <cellStyle name="Comma 2 2 4 2 5 3 4" xfId="3517"/>
    <cellStyle name="Comma 2 2 4 2 5 4" xfId="6643"/>
    <cellStyle name="Comma 2 2 4 2 5 5" xfId="4559"/>
    <cellStyle name="Comma 2 2 4 2 5 6" xfId="2475"/>
    <cellStyle name="Comma 2 2 4 2 6" xfId="646"/>
    <cellStyle name="Comma 2 2 4 2 6 2" xfId="1690"/>
    <cellStyle name="Comma 2 2 4 2 6 2 2" xfId="7942"/>
    <cellStyle name="Comma 2 2 4 2 6 2 3" xfId="5858"/>
    <cellStyle name="Comma 2 2 4 2 6 2 4" xfId="3774"/>
    <cellStyle name="Comma 2 2 4 2 6 3" xfId="6900"/>
    <cellStyle name="Comma 2 2 4 2 6 4" xfId="4816"/>
    <cellStyle name="Comma 2 2 4 2 6 5" xfId="2732"/>
    <cellStyle name="Comma 2 2 4 2 7" xfId="1166"/>
    <cellStyle name="Comma 2 2 4 2 7 2" xfId="7418"/>
    <cellStyle name="Comma 2 2 4 2 7 3" xfId="5334"/>
    <cellStyle name="Comma 2 2 4 2 7 4" xfId="3250"/>
    <cellStyle name="Comma 2 2 4 2 8" xfId="6376"/>
    <cellStyle name="Comma 2 2 4 2 9" xfId="4292"/>
    <cellStyle name="Comma 2 2 4 3" xfId="165"/>
    <cellStyle name="Comma 2 2 4 3 2" xfId="287"/>
    <cellStyle name="Comma 2 2 4 3 2 2" xfId="551"/>
    <cellStyle name="Comma 2 2 4 3 2 2 2" xfId="1065"/>
    <cellStyle name="Comma 2 2 4 3 2 2 2 2" xfId="2109"/>
    <cellStyle name="Comma 2 2 4 3 2 2 2 2 2" xfId="8361"/>
    <cellStyle name="Comma 2 2 4 3 2 2 2 2 3" xfId="6277"/>
    <cellStyle name="Comma 2 2 4 3 2 2 2 2 4" xfId="4193"/>
    <cellStyle name="Comma 2 2 4 3 2 2 2 3" xfId="7319"/>
    <cellStyle name="Comma 2 2 4 3 2 2 2 4" xfId="5235"/>
    <cellStyle name="Comma 2 2 4 3 2 2 2 5" xfId="3151"/>
    <cellStyle name="Comma 2 2 4 3 2 2 3" xfId="1595"/>
    <cellStyle name="Comma 2 2 4 3 2 2 3 2" xfId="7847"/>
    <cellStyle name="Comma 2 2 4 3 2 2 3 3" xfId="5763"/>
    <cellStyle name="Comma 2 2 4 3 2 2 3 4" xfId="3679"/>
    <cellStyle name="Comma 2 2 4 3 2 2 4" xfId="6805"/>
    <cellStyle name="Comma 2 2 4 3 2 2 5" xfId="4721"/>
    <cellStyle name="Comma 2 2 4 3 2 2 6" xfId="2637"/>
    <cellStyle name="Comma 2 2 4 3 2 3" xfId="808"/>
    <cellStyle name="Comma 2 2 4 3 2 3 2" xfId="1852"/>
    <cellStyle name="Comma 2 2 4 3 2 3 2 2" xfId="8104"/>
    <cellStyle name="Comma 2 2 4 3 2 3 2 3" xfId="6020"/>
    <cellStyle name="Comma 2 2 4 3 2 3 2 4" xfId="3936"/>
    <cellStyle name="Comma 2 2 4 3 2 3 3" xfId="7062"/>
    <cellStyle name="Comma 2 2 4 3 2 3 4" xfId="4978"/>
    <cellStyle name="Comma 2 2 4 3 2 3 5" xfId="2894"/>
    <cellStyle name="Comma 2 2 4 3 2 4" xfId="1337"/>
    <cellStyle name="Comma 2 2 4 3 2 4 2" xfId="7589"/>
    <cellStyle name="Comma 2 2 4 3 2 4 3" xfId="5505"/>
    <cellStyle name="Comma 2 2 4 3 2 4 4" xfId="3421"/>
    <cellStyle name="Comma 2 2 4 3 2 5" xfId="6547"/>
    <cellStyle name="Comma 2 2 4 3 2 6" xfId="4463"/>
    <cellStyle name="Comma 2 2 4 3 2 7" xfId="2379"/>
    <cellStyle name="Comma 2 2 4 3 3" xfId="443"/>
    <cellStyle name="Comma 2 2 4 3 3 2" xfId="957"/>
    <cellStyle name="Comma 2 2 4 3 3 2 2" xfId="2001"/>
    <cellStyle name="Comma 2 2 4 3 3 2 2 2" xfId="8253"/>
    <cellStyle name="Comma 2 2 4 3 3 2 2 3" xfId="6169"/>
    <cellStyle name="Comma 2 2 4 3 3 2 2 4" xfId="4085"/>
    <cellStyle name="Comma 2 2 4 3 3 2 3" xfId="7211"/>
    <cellStyle name="Comma 2 2 4 3 3 2 4" xfId="5127"/>
    <cellStyle name="Comma 2 2 4 3 3 2 5" xfId="3043"/>
    <cellStyle name="Comma 2 2 4 3 3 3" xfId="1487"/>
    <cellStyle name="Comma 2 2 4 3 3 3 2" xfId="7739"/>
    <cellStyle name="Comma 2 2 4 3 3 3 3" xfId="5655"/>
    <cellStyle name="Comma 2 2 4 3 3 3 4" xfId="3571"/>
    <cellStyle name="Comma 2 2 4 3 3 4" xfId="6697"/>
    <cellStyle name="Comma 2 2 4 3 3 5" xfId="4613"/>
    <cellStyle name="Comma 2 2 4 3 3 6" xfId="2529"/>
    <cellStyle name="Comma 2 2 4 3 4" xfId="700"/>
    <cellStyle name="Comma 2 2 4 3 4 2" xfId="1744"/>
    <cellStyle name="Comma 2 2 4 3 4 2 2" xfId="7996"/>
    <cellStyle name="Comma 2 2 4 3 4 2 3" xfId="5912"/>
    <cellStyle name="Comma 2 2 4 3 4 2 4" xfId="3828"/>
    <cellStyle name="Comma 2 2 4 3 4 3" xfId="6954"/>
    <cellStyle name="Comma 2 2 4 3 4 4" xfId="4870"/>
    <cellStyle name="Comma 2 2 4 3 4 5" xfId="2786"/>
    <cellStyle name="Comma 2 2 4 3 5" xfId="1223"/>
    <cellStyle name="Comma 2 2 4 3 5 2" xfId="7475"/>
    <cellStyle name="Comma 2 2 4 3 5 3" xfId="5391"/>
    <cellStyle name="Comma 2 2 4 3 5 4" xfId="3307"/>
    <cellStyle name="Comma 2 2 4 3 6" xfId="6433"/>
    <cellStyle name="Comma 2 2 4 3 7" xfId="4349"/>
    <cellStyle name="Comma 2 2 4 3 8" xfId="2265"/>
    <cellStyle name="Comma 2 2 4 4" xfId="127"/>
    <cellStyle name="Comma 2 2 4 4 2" xfId="249"/>
    <cellStyle name="Comma 2 2 4 4 2 2" xfId="515"/>
    <cellStyle name="Comma 2 2 4 4 2 2 2" xfId="1029"/>
    <cellStyle name="Comma 2 2 4 4 2 2 2 2" xfId="2073"/>
    <cellStyle name="Comma 2 2 4 4 2 2 2 2 2" xfId="8325"/>
    <cellStyle name="Comma 2 2 4 4 2 2 2 2 3" xfId="6241"/>
    <cellStyle name="Comma 2 2 4 4 2 2 2 2 4" xfId="4157"/>
    <cellStyle name="Comma 2 2 4 4 2 2 2 3" xfId="7283"/>
    <cellStyle name="Comma 2 2 4 4 2 2 2 4" xfId="5199"/>
    <cellStyle name="Comma 2 2 4 4 2 2 2 5" xfId="3115"/>
    <cellStyle name="Comma 2 2 4 4 2 2 3" xfId="1559"/>
    <cellStyle name="Comma 2 2 4 4 2 2 3 2" xfId="7811"/>
    <cellStyle name="Comma 2 2 4 4 2 2 3 3" xfId="5727"/>
    <cellStyle name="Comma 2 2 4 4 2 2 3 4" xfId="3643"/>
    <cellStyle name="Comma 2 2 4 4 2 2 4" xfId="6769"/>
    <cellStyle name="Comma 2 2 4 4 2 2 5" xfId="4685"/>
    <cellStyle name="Comma 2 2 4 4 2 2 6" xfId="2601"/>
    <cellStyle name="Comma 2 2 4 4 2 3" xfId="772"/>
    <cellStyle name="Comma 2 2 4 4 2 3 2" xfId="1816"/>
    <cellStyle name="Comma 2 2 4 4 2 3 2 2" xfId="8068"/>
    <cellStyle name="Comma 2 2 4 4 2 3 2 3" xfId="5984"/>
    <cellStyle name="Comma 2 2 4 4 2 3 2 4" xfId="3900"/>
    <cellStyle name="Comma 2 2 4 4 2 3 3" xfId="7026"/>
    <cellStyle name="Comma 2 2 4 4 2 3 4" xfId="4942"/>
    <cellStyle name="Comma 2 2 4 4 2 3 5" xfId="2858"/>
    <cellStyle name="Comma 2 2 4 4 2 4" xfId="1299"/>
    <cellStyle name="Comma 2 2 4 4 2 4 2" xfId="7551"/>
    <cellStyle name="Comma 2 2 4 4 2 4 3" xfId="5467"/>
    <cellStyle name="Comma 2 2 4 4 2 4 4" xfId="3383"/>
    <cellStyle name="Comma 2 2 4 4 2 5" xfId="6509"/>
    <cellStyle name="Comma 2 2 4 4 2 6" xfId="4425"/>
    <cellStyle name="Comma 2 2 4 4 2 7" xfId="2341"/>
    <cellStyle name="Comma 2 2 4 4 3" xfId="407"/>
    <cellStyle name="Comma 2 2 4 4 3 2" xfId="921"/>
    <cellStyle name="Comma 2 2 4 4 3 2 2" xfId="1965"/>
    <cellStyle name="Comma 2 2 4 4 3 2 2 2" xfId="8217"/>
    <cellStyle name="Comma 2 2 4 4 3 2 2 3" xfId="6133"/>
    <cellStyle name="Comma 2 2 4 4 3 2 2 4" xfId="4049"/>
    <cellStyle name="Comma 2 2 4 4 3 2 3" xfId="7175"/>
    <cellStyle name="Comma 2 2 4 4 3 2 4" xfId="5091"/>
    <cellStyle name="Comma 2 2 4 4 3 2 5" xfId="3007"/>
    <cellStyle name="Comma 2 2 4 4 3 3" xfId="1451"/>
    <cellStyle name="Comma 2 2 4 4 3 3 2" xfId="7703"/>
    <cellStyle name="Comma 2 2 4 4 3 3 3" xfId="5619"/>
    <cellStyle name="Comma 2 2 4 4 3 3 4" xfId="3535"/>
    <cellStyle name="Comma 2 2 4 4 3 4" xfId="6661"/>
    <cellStyle name="Comma 2 2 4 4 3 5" xfId="4577"/>
    <cellStyle name="Comma 2 2 4 4 3 6" xfId="2493"/>
    <cellStyle name="Comma 2 2 4 4 4" xfId="664"/>
    <cellStyle name="Comma 2 2 4 4 4 2" xfId="1708"/>
    <cellStyle name="Comma 2 2 4 4 4 2 2" xfId="7960"/>
    <cellStyle name="Comma 2 2 4 4 4 2 3" xfId="5876"/>
    <cellStyle name="Comma 2 2 4 4 4 2 4" xfId="3792"/>
    <cellStyle name="Comma 2 2 4 4 4 3" xfId="6918"/>
    <cellStyle name="Comma 2 2 4 4 4 4" xfId="4834"/>
    <cellStyle name="Comma 2 2 4 4 4 5" xfId="2750"/>
    <cellStyle name="Comma 2 2 4 4 5" xfId="1185"/>
    <cellStyle name="Comma 2 2 4 4 5 2" xfId="7437"/>
    <cellStyle name="Comma 2 2 4 4 5 3" xfId="5353"/>
    <cellStyle name="Comma 2 2 4 4 5 4" xfId="3269"/>
    <cellStyle name="Comma 2 2 4 4 6" xfId="6395"/>
    <cellStyle name="Comma 2 2 4 4 7" xfId="4311"/>
    <cellStyle name="Comma 2 2 4 4 8" xfId="2227"/>
    <cellStyle name="Comma 2 2 4 5" xfId="209"/>
    <cellStyle name="Comma 2 2 4 5 2" xfId="479"/>
    <cellStyle name="Comma 2 2 4 5 2 2" xfId="993"/>
    <cellStyle name="Comma 2 2 4 5 2 2 2" xfId="2037"/>
    <cellStyle name="Comma 2 2 4 5 2 2 2 2" xfId="8289"/>
    <cellStyle name="Comma 2 2 4 5 2 2 2 3" xfId="6205"/>
    <cellStyle name="Comma 2 2 4 5 2 2 2 4" xfId="4121"/>
    <cellStyle name="Comma 2 2 4 5 2 2 3" xfId="7247"/>
    <cellStyle name="Comma 2 2 4 5 2 2 4" xfId="5163"/>
    <cellStyle name="Comma 2 2 4 5 2 2 5" xfId="3079"/>
    <cellStyle name="Comma 2 2 4 5 2 3" xfId="1523"/>
    <cellStyle name="Comma 2 2 4 5 2 3 2" xfId="7775"/>
    <cellStyle name="Comma 2 2 4 5 2 3 3" xfId="5691"/>
    <cellStyle name="Comma 2 2 4 5 2 3 4" xfId="3607"/>
    <cellStyle name="Comma 2 2 4 5 2 4" xfId="6733"/>
    <cellStyle name="Comma 2 2 4 5 2 5" xfId="4649"/>
    <cellStyle name="Comma 2 2 4 5 2 6" xfId="2565"/>
    <cellStyle name="Comma 2 2 4 5 3" xfId="736"/>
    <cellStyle name="Comma 2 2 4 5 3 2" xfId="1780"/>
    <cellStyle name="Comma 2 2 4 5 3 2 2" xfId="8032"/>
    <cellStyle name="Comma 2 2 4 5 3 2 3" xfId="5948"/>
    <cellStyle name="Comma 2 2 4 5 3 2 4" xfId="3864"/>
    <cellStyle name="Comma 2 2 4 5 3 3" xfId="6990"/>
    <cellStyle name="Comma 2 2 4 5 3 4" xfId="4906"/>
    <cellStyle name="Comma 2 2 4 5 3 5" xfId="2822"/>
    <cellStyle name="Comma 2 2 4 5 4" xfId="1261"/>
    <cellStyle name="Comma 2 2 4 5 4 2" xfId="7513"/>
    <cellStyle name="Comma 2 2 4 5 4 3" xfId="5429"/>
    <cellStyle name="Comma 2 2 4 5 4 4" xfId="3345"/>
    <cellStyle name="Comma 2 2 4 5 5" xfId="6471"/>
    <cellStyle name="Comma 2 2 4 5 6" xfId="4387"/>
    <cellStyle name="Comma 2 2 4 5 7" xfId="2303"/>
    <cellStyle name="Comma 2 2 4 6" xfId="371"/>
    <cellStyle name="Comma 2 2 4 6 2" xfId="885"/>
    <cellStyle name="Comma 2 2 4 6 2 2" xfId="1929"/>
    <cellStyle name="Comma 2 2 4 6 2 2 2" xfId="8181"/>
    <cellStyle name="Comma 2 2 4 6 2 2 3" xfId="6097"/>
    <cellStyle name="Comma 2 2 4 6 2 2 4" xfId="4013"/>
    <cellStyle name="Comma 2 2 4 6 2 3" xfId="7139"/>
    <cellStyle name="Comma 2 2 4 6 2 4" xfId="5055"/>
    <cellStyle name="Comma 2 2 4 6 2 5" xfId="2971"/>
    <cellStyle name="Comma 2 2 4 6 3" xfId="1415"/>
    <cellStyle name="Comma 2 2 4 6 3 2" xfId="7667"/>
    <cellStyle name="Comma 2 2 4 6 3 3" xfId="5583"/>
    <cellStyle name="Comma 2 2 4 6 3 4" xfId="3499"/>
    <cellStyle name="Comma 2 2 4 6 4" xfId="6625"/>
    <cellStyle name="Comma 2 2 4 6 5" xfId="4541"/>
    <cellStyle name="Comma 2 2 4 6 6" xfId="2457"/>
    <cellStyle name="Comma 2 2 4 7" xfId="628"/>
    <cellStyle name="Comma 2 2 4 7 2" xfId="1672"/>
    <cellStyle name="Comma 2 2 4 7 2 2" xfId="7924"/>
    <cellStyle name="Comma 2 2 4 7 2 3" xfId="5840"/>
    <cellStyle name="Comma 2 2 4 7 2 4" xfId="3756"/>
    <cellStyle name="Comma 2 2 4 7 3" xfId="6882"/>
    <cellStyle name="Comma 2 2 4 7 4" xfId="4798"/>
    <cellStyle name="Comma 2 2 4 7 5" xfId="2714"/>
    <cellStyle name="Comma 2 2 4 8" xfId="1147"/>
    <cellStyle name="Comma 2 2 4 8 2" xfId="7399"/>
    <cellStyle name="Comma 2 2 4 8 3" xfId="5315"/>
    <cellStyle name="Comma 2 2 4 8 4" xfId="3231"/>
    <cellStyle name="Comma 2 2 4 9" xfId="6357"/>
    <cellStyle name="Comma 2 2 5" xfId="97"/>
    <cellStyle name="Comma 2 2 5 10" xfId="2198"/>
    <cellStyle name="Comma 2 2 5 2" xfId="175"/>
    <cellStyle name="Comma 2 2 5 2 2" xfId="297"/>
    <cellStyle name="Comma 2 2 5 2 2 2" xfId="560"/>
    <cellStyle name="Comma 2 2 5 2 2 2 2" xfId="1074"/>
    <cellStyle name="Comma 2 2 5 2 2 2 2 2" xfId="2118"/>
    <cellStyle name="Comma 2 2 5 2 2 2 2 2 2" xfId="8370"/>
    <cellStyle name="Comma 2 2 5 2 2 2 2 2 3" xfId="6286"/>
    <cellStyle name="Comma 2 2 5 2 2 2 2 2 4" xfId="4202"/>
    <cellStyle name="Comma 2 2 5 2 2 2 2 3" xfId="7328"/>
    <cellStyle name="Comma 2 2 5 2 2 2 2 4" xfId="5244"/>
    <cellStyle name="Comma 2 2 5 2 2 2 2 5" xfId="3160"/>
    <cellStyle name="Comma 2 2 5 2 2 2 3" xfId="1604"/>
    <cellStyle name="Comma 2 2 5 2 2 2 3 2" xfId="7856"/>
    <cellStyle name="Comma 2 2 5 2 2 2 3 3" xfId="5772"/>
    <cellStyle name="Comma 2 2 5 2 2 2 3 4" xfId="3688"/>
    <cellStyle name="Comma 2 2 5 2 2 2 4" xfId="6814"/>
    <cellStyle name="Comma 2 2 5 2 2 2 5" xfId="4730"/>
    <cellStyle name="Comma 2 2 5 2 2 2 6" xfId="2646"/>
    <cellStyle name="Comma 2 2 5 2 2 3" xfId="817"/>
    <cellStyle name="Comma 2 2 5 2 2 3 2" xfId="1861"/>
    <cellStyle name="Comma 2 2 5 2 2 3 2 2" xfId="8113"/>
    <cellStyle name="Comma 2 2 5 2 2 3 2 3" xfId="6029"/>
    <cellStyle name="Comma 2 2 5 2 2 3 2 4" xfId="3945"/>
    <cellStyle name="Comma 2 2 5 2 2 3 3" xfId="7071"/>
    <cellStyle name="Comma 2 2 5 2 2 3 4" xfId="4987"/>
    <cellStyle name="Comma 2 2 5 2 2 3 5" xfId="2903"/>
    <cellStyle name="Comma 2 2 5 2 2 4" xfId="1346"/>
    <cellStyle name="Comma 2 2 5 2 2 4 2" xfId="7598"/>
    <cellStyle name="Comma 2 2 5 2 2 4 3" xfId="5514"/>
    <cellStyle name="Comma 2 2 5 2 2 4 4" xfId="3430"/>
    <cellStyle name="Comma 2 2 5 2 2 5" xfId="6556"/>
    <cellStyle name="Comma 2 2 5 2 2 6" xfId="4472"/>
    <cellStyle name="Comma 2 2 5 2 2 7" xfId="2388"/>
    <cellStyle name="Comma 2 2 5 2 3" xfId="452"/>
    <cellStyle name="Comma 2 2 5 2 3 2" xfId="966"/>
    <cellStyle name="Comma 2 2 5 2 3 2 2" xfId="2010"/>
    <cellStyle name="Comma 2 2 5 2 3 2 2 2" xfId="8262"/>
    <cellStyle name="Comma 2 2 5 2 3 2 2 3" xfId="6178"/>
    <cellStyle name="Comma 2 2 5 2 3 2 2 4" xfId="4094"/>
    <cellStyle name="Comma 2 2 5 2 3 2 3" xfId="7220"/>
    <cellStyle name="Comma 2 2 5 2 3 2 4" xfId="5136"/>
    <cellStyle name="Comma 2 2 5 2 3 2 5" xfId="3052"/>
    <cellStyle name="Comma 2 2 5 2 3 3" xfId="1496"/>
    <cellStyle name="Comma 2 2 5 2 3 3 2" xfId="7748"/>
    <cellStyle name="Comma 2 2 5 2 3 3 3" xfId="5664"/>
    <cellStyle name="Comma 2 2 5 2 3 3 4" xfId="3580"/>
    <cellStyle name="Comma 2 2 5 2 3 4" xfId="6706"/>
    <cellStyle name="Comma 2 2 5 2 3 5" xfId="4622"/>
    <cellStyle name="Comma 2 2 5 2 3 6" xfId="2538"/>
    <cellStyle name="Comma 2 2 5 2 4" xfId="709"/>
    <cellStyle name="Comma 2 2 5 2 4 2" xfId="1753"/>
    <cellStyle name="Comma 2 2 5 2 4 2 2" xfId="8005"/>
    <cellStyle name="Comma 2 2 5 2 4 2 3" xfId="5921"/>
    <cellStyle name="Comma 2 2 5 2 4 2 4" xfId="3837"/>
    <cellStyle name="Comma 2 2 5 2 4 3" xfId="6963"/>
    <cellStyle name="Comma 2 2 5 2 4 4" xfId="4879"/>
    <cellStyle name="Comma 2 2 5 2 4 5" xfId="2795"/>
    <cellStyle name="Comma 2 2 5 2 5" xfId="1232"/>
    <cellStyle name="Comma 2 2 5 2 5 2" xfId="7484"/>
    <cellStyle name="Comma 2 2 5 2 5 3" xfId="5400"/>
    <cellStyle name="Comma 2 2 5 2 5 4" xfId="3316"/>
    <cellStyle name="Comma 2 2 5 2 6" xfId="6442"/>
    <cellStyle name="Comma 2 2 5 2 7" xfId="4358"/>
    <cellStyle name="Comma 2 2 5 2 8" xfId="2274"/>
    <cellStyle name="Comma 2 2 5 3" xfId="136"/>
    <cellStyle name="Comma 2 2 5 3 2" xfId="258"/>
    <cellStyle name="Comma 2 2 5 3 2 2" xfId="524"/>
    <cellStyle name="Comma 2 2 5 3 2 2 2" xfId="1038"/>
    <cellStyle name="Comma 2 2 5 3 2 2 2 2" xfId="2082"/>
    <cellStyle name="Comma 2 2 5 3 2 2 2 2 2" xfId="8334"/>
    <cellStyle name="Comma 2 2 5 3 2 2 2 2 3" xfId="6250"/>
    <cellStyle name="Comma 2 2 5 3 2 2 2 2 4" xfId="4166"/>
    <cellStyle name="Comma 2 2 5 3 2 2 2 3" xfId="7292"/>
    <cellStyle name="Comma 2 2 5 3 2 2 2 4" xfId="5208"/>
    <cellStyle name="Comma 2 2 5 3 2 2 2 5" xfId="3124"/>
    <cellStyle name="Comma 2 2 5 3 2 2 3" xfId="1568"/>
    <cellStyle name="Comma 2 2 5 3 2 2 3 2" xfId="7820"/>
    <cellStyle name="Comma 2 2 5 3 2 2 3 3" xfId="5736"/>
    <cellStyle name="Comma 2 2 5 3 2 2 3 4" xfId="3652"/>
    <cellStyle name="Comma 2 2 5 3 2 2 4" xfId="6778"/>
    <cellStyle name="Comma 2 2 5 3 2 2 5" xfId="4694"/>
    <cellStyle name="Comma 2 2 5 3 2 2 6" xfId="2610"/>
    <cellStyle name="Comma 2 2 5 3 2 3" xfId="781"/>
    <cellStyle name="Comma 2 2 5 3 2 3 2" xfId="1825"/>
    <cellStyle name="Comma 2 2 5 3 2 3 2 2" xfId="8077"/>
    <cellStyle name="Comma 2 2 5 3 2 3 2 3" xfId="5993"/>
    <cellStyle name="Comma 2 2 5 3 2 3 2 4" xfId="3909"/>
    <cellStyle name="Comma 2 2 5 3 2 3 3" xfId="7035"/>
    <cellStyle name="Comma 2 2 5 3 2 3 4" xfId="4951"/>
    <cellStyle name="Comma 2 2 5 3 2 3 5" xfId="2867"/>
    <cellStyle name="Comma 2 2 5 3 2 4" xfId="1308"/>
    <cellStyle name="Comma 2 2 5 3 2 4 2" xfId="7560"/>
    <cellStyle name="Comma 2 2 5 3 2 4 3" xfId="5476"/>
    <cellStyle name="Comma 2 2 5 3 2 4 4" xfId="3392"/>
    <cellStyle name="Comma 2 2 5 3 2 5" xfId="6518"/>
    <cellStyle name="Comma 2 2 5 3 2 6" xfId="4434"/>
    <cellStyle name="Comma 2 2 5 3 2 7" xfId="2350"/>
    <cellStyle name="Comma 2 2 5 3 3" xfId="416"/>
    <cellStyle name="Comma 2 2 5 3 3 2" xfId="930"/>
    <cellStyle name="Comma 2 2 5 3 3 2 2" xfId="1974"/>
    <cellStyle name="Comma 2 2 5 3 3 2 2 2" xfId="8226"/>
    <cellStyle name="Comma 2 2 5 3 3 2 2 3" xfId="6142"/>
    <cellStyle name="Comma 2 2 5 3 3 2 2 4" xfId="4058"/>
    <cellStyle name="Comma 2 2 5 3 3 2 3" xfId="7184"/>
    <cellStyle name="Comma 2 2 5 3 3 2 4" xfId="5100"/>
    <cellStyle name="Comma 2 2 5 3 3 2 5" xfId="3016"/>
    <cellStyle name="Comma 2 2 5 3 3 3" xfId="1460"/>
    <cellStyle name="Comma 2 2 5 3 3 3 2" xfId="7712"/>
    <cellStyle name="Comma 2 2 5 3 3 3 3" xfId="5628"/>
    <cellStyle name="Comma 2 2 5 3 3 3 4" xfId="3544"/>
    <cellStyle name="Comma 2 2 5 3 3 4" xfId="6670"/>
    <cellStyle name="Comma 2 2 5 3 3 5" xfId="4586"/>
    <cellStyle name="Comma 2 2 5 3 3 6" xfId="2502"/>
    <cellStyle name="Comma 2 2 5 3 4" xfId="673"/>
    <cellStyle name="Comma 2 2 5 3 4 2" xfId="1717"/>
    <cellStyle name="Comma 2 2 5 3 4 2 2" xfId="7969"/>
    <cellStyle name="Comma 2 2 5 3 4 2 3" xfId="5885"/>
    <cellStyle name="Comma 2 2 5 3 4 2 4" xfId="3801"/>
    <cellStyle name="Comma 2 2 5 3 4 3" xfId="6927"/>
    <cellStyle name="Comma 2 2 5 3 4 4" xfId="4843"/>
    <cellStyle name="Comma 2 2 5 3 4 5" xfId="2759"/>
    <cellStyle name="Comma 2 2 5 3 5" xfId="1194"/>
    <cellStyle name="Comma 2 2 5 3 5 2" xfId="7446"/>
    <cellStyle name="Comma 2 2 5 3 5 3" xfId="5362"/>
    <cellStyle name="Comma 2 2 5 3 5 4" xfId="3278"/>
    <cellStyle name="Comma 2 2 5 3 6" xfId="6404"/>
    <cellStyle name="Comma 2 2 5 3 7" xfId="4320"/>
    <cellStyle name="Comma 2 2 5 3 8" xfId="2236"/>
    <cellStyle name="Comma 2 2 5 4" xfId="219"/>
    <cellStyle name="Comma 2 2 5 4 2" xfId="488"/>
    <cellStyle name="Comma 2 2 5 4 2 2" xfId="1002"/>
    <cellStyle name="Comma 2 2 5 4 2 2 2" xfId="2046"/>
    <cellStyle name="Comma 2 2 5 4 2 2 2 2" xfId="8298"/>
    <cellStyle name="Comma 2 2 5 4 2 2 2 3" xfId="6214"/>
    <cellStyle name="Comma 2 2 5 4 2 2 2 4" xfId="4130"/>
    <cellStyle name="Comma 2 2 5 4 2 2 3" xfId="7256"/>
    <cellStyle name="Comma 2 2 5 4 2 2 4" xfId="5172"/>
    <cellStyle name="Comma 2 2 5 4 2 2 5" xfId="3088"/>
    <cellStyle name="Comma 2 2 5 4 2 3" xfId="1532"/>
    <cellStyle name="Comma 2 2 5 4 2 3 2" xfId="7784"/>
    <cellStyle name="Comma 2 2 5 4 2 3 3" xfId="5700"/>
    <cellStyle name="Comma 2 2 5 4 2 3 4" xfId="3616"/>
    <cellStyle name="Comma 2 2 5 4 2 4" xfId="6742"/>
    <cellStyle name="Comma 2 2 5 4 2 5" xfId="4658"/>
    <cellStyle name="Comma 2 2 5 4 2 6" xfId="2574"/>
    <cellStyle name="Comma 2 2 5 4 3" xfId="745"/>
    <cellStyle name="Comma 2 2 5 4 3 2" xfId="1789"/>
    <cellStyle name="Comma 2 2 5 4 3 2 2" xfId="8041"/>
    <cellStyle name="Comma 2 2 5 4 3 2 3" xfId="5957"/>
    <cellStyle name="Comma 2 2 5 4 3 2 4" xfId="3873"/>
    <cellStyle name="Comma 2 2 5 4 3 3" xfId="6999"/>
    <cellStyle name="Comma 2 2 5 4 3 4" xfId="4915"/>
    <cellStyle name="Comma 2 2 5 4 3 5" xfId="2831"/>
    <cellStyle name="Comma 2 2 5 4 4" xfId="1270"/>
    <cellStyle name="Comma 2 2 5 4 4 2" xfId="7522"/>
    <cellStyle name="Comma 2 2 5 4 4 3" xfId="5438"/>
    <cellStyle name="Comma 2 2 5 4 4 4" xfId="3354"/>
    <cellStyle name="Comma 2 2 5 4 5" xfId="6480"/>
    <cellStyle name="Comma 2 2 5 4 6" xfId="4396"/>
    <cellStyle name="Comma 2 2 5 4 7" xfId="2312"/>
    <cellStyle name="Comma 2 2 5 5" xfId="380"/>
    <cellStyle name="Comma 2 2 5 5 2" xfId="894"/>
    <cellStyle name="Comma 2 2 5 5 2 2" xfId="1938"/>
    <cellStyle name="Comma 2 2 5 5 2 2 2" xfId="8190"/>
    <cellStyle name="Comma 2 2 5 5 2 2 3" xfId="6106"/>
    <cellStyle name="Comma 2 2 5 5 2 2 4" xfId="4022"/>
    <cellStyle name="Comma 2 2 5 5 2 3" xfId="7148"/>
    <cellStyle name="Comma 2 2 5 5 2 4" xfId="5064"/>
    <cellStyle name="Comma 2 2 5 5 2 5" xfId="2980"/>
    <cellStyle name="Comma 2 2 5 5 3" xfId="1424"/>
    <cellStyle name="Comma 2 2 5 5 3 2" xfId="7676"/>
    <cellStyle name="Comma 2 2 5 5 3 3" xfId="5592"/>
    <cellStyle name="Comma 2 2 5 5 3 4" xfId="3508"/>
    <cellStyle name="Comma 2 2 5 5 4" xfId="6634"/>
    <cellStyle name="Comma 2 2 5 5 5" xfId="4550"/>
    <cellStyle name="Comma 2 2 5 5 6" xfId="2466"/>
    <cellStyle name="Comma 2 2 5 6" xfId="637"/>
    <cellStyle name="Comma 2 2 5 6 2" xfId="1681"/>
    <cellStyle name="Comma 2 2 5 6 2 2" xfId="7933"/>
    <cellStyle name="Comma 2 2 5 6 2 3" xfId="5849"/>
    <cellStyle name="Comma 2 2 5 6 2 4" xfId="3765"/>
    <cellStyle name="Comma 2 2 5 6 3" xfId="6891"/>
    <cellStyle name="Comma 2 2 5 6 4" xfId="4807"/>
    <cellStyle name="Comma 2 2 5 6 5" xfId="2723"/>
    <cellStyle name="Comma 2 2 5 7" xfId="1156"/>
    <cellStyle name="Comma 2 2 5 7 2" xfId="7408"/>
    <cellStyle name="Comma 2 2 5 7 3" xfId="5324"/>
    <cellStyle name="Comma 2 2 5 7 4" xfId="3240"/>
    <cellStyle name="Comma 2 2 5 8" xfId="6366"/>
    <cellStyle name="Comma 2 2 5 9" xfId="4282"/>
    <cellStyle name="Comma 2 2 6" xfId="155"/>
    <cellStyle name="Comma 2 2 6 2" xfId="277"/>
    <cellStyle name="Comma 2 2 6 2 2" xfId="542"/>
    <cellStyle name="Comma 2 2 6 2 2 2" xfId="1056"/>
    <cellStyle name="Comma 2 2 6 2 2 2 2" xfId="2100"/>
    <cellStyle name="Comma 2 2 6 2 2 2 2 2" xfId="8352"/>
    <cellStyle name="Comma 2 2 6 2 2 2 2 3" xfId="6268"/>
    <cellStyle name="Comma 2 2 6 2 2 2 2 4" xfId="4184"/>
    <cellStyle name="Comma 2 2 6 2 2 2 3" xfId="7310"/>
    <cellStyle name="Comma 2 2 6 2 2 2 4" xfId="5226"/>
    <cellStyle name="Comma 2 2 6 2 2 2 5" xfId="3142"/>
    <cellStyle name="Comma 2 2 6 2 2 3" xfId="1586"/>
    <cellStyle name="Comma 2 2 6 2 2 3 2" xfId="7838"/>
    <cellStyle name="Comma 2 2 6 2 2 3 3" xfId="5754"/>
    <cellStyle name="Comma 2 2 6 2 2 3 4" xfId="3670"/>
    <cellStyle name="Comma 2 2 6 2 2 4" xfId="6796"/>
    <cellStyle name="Comma 2 2 6 2 2 5" xfId="4712"/>
    <cellStyle name="Comma 2 2 6 2 2 6" xfId="2628"/>
    <cellStyle name="Comma 2 2 6 2 3" xfId="799"/>
    <cellStyle name="Comma 2 2 6 2 3 2" xfId="1843"/>
    <cellStyle name="Comma 2 2 6 2 3 2 2" xfId="8095"/>
    <cellStyle name="Comma 2 2 6 2 3 2 3" xfId="6011"/>
    <cellStyle name="Comma 2 2 6 2 3 2 4" xfId="3927"/>
    <cellStyle name="Comma 2 2 6 2 3 3" xfId="7053"/>
    <cellStyle name="Comma 2 2 6 2 3 4" xfId="4969"/>
    <cellStyle name="Comma 2 2 6 2 3 5" xfId="2885"/>
    <cellStyle name="Comma 2 2 6 2 4" xfId="1327"/>
    <cellStyle name="Comma 2 2 6 2 4 2" xfId="7579"/>
    <cellStyle name="Comma 2 2 6 2 4 3" xfId="5495"/>
    <cellStyle name="Comma 2 2 6 2 4 4" xfId="3411"/>
    <cellStyle name="Comma 2 2 6 2 5" xfId="6537"/>
    <cellStyle name="Comma 2 2 6 2 6" xfId="4453"/>
    <cellStyle name="Comma 2 2 6 2 7" xfId="2369"/>
    <cellStyle name="Comma 2 2 6 3" xfId="434"/>
    <cellStyle name="Comma 2 2 6 3 2" xfId="948"/>
    <cellStyle name="Comma 2 2 6 3 2 2" xfId="1992"/>
    <cellStyle name="Comma 2 2 6 3 2 2 2" xfId="8244"/>
    <cellStyle name="Comma 2 2 6 3 2 2 3" xfId="6160"/>
    <cellStyle name="Comma 2 2 6 3 2 2 4" xfId="4076"/>
    <cellStyle name="Comma 2 2 6 3 2 3" xfId="7202"/>
    <cellStyle name="Comma 2 2 6 3 2 4" xfId="5118"/>
    <cellStyle name="Comma 2 2 6 3 2 5" xfId="3034"/>
    <cellStyle name="Comma 2 2 6 3 3" xfId="1478"/>
    <cellStyle name="Comma 2 2 6 3 3 2" xfId="7730"/>
    <cellStyle name="Comma 2 2 6 3 3 3" xfId="5646"/>
    <cellStyle name="Comma 2 2 6 3 3 4" xfId="3562"/>
    <cellStyle name="Comma 2 2 6 3 4" xfId="6688"/>
    <cellStyle name="Comma 2 2 6 3 5" xfId="4604"/>
    <cellStyle name="Comma 2 2 6 3 6" xfId="2520"/>
    <cellStyle name="Comma 2 2 6 4" xfId="691"/>
    <cellStyle name="Comma 2 2 6 4 2" xfId="1735"/>
    <cellStyle name="Comma 2 2 6 4 2 2" xfId="7987"/>
    <cellStyle name="Comma 2 2 6 4 2 3" xfId="5903"/>
    <cellStyle name="Comma 2 2 6 4 2 4" xfId="3819"/>
    <cellStyle name="Comma 2 2 6 4 3" xfId="6945"/>
    <cellStyle name="Comma 2 2 6 4 4" xfId="4861"/>
    <cellStyle name="Comma 2 2 6 4 5" xfId="2777"/>
    <cellStyle name="Comma 2 2 6 5" xfId="1213"/>
    <cellStyle name="Comma 2 2 6 5 2" xfId="7465"/>
    <cellStyle name="Comma 2 2 6 5 3" xfId="5381"/>
    <cellStyle name="Comma 2 2 6 5 4" xfId="3297"/>
    <cellStyle name="Comma 2 2 6 6" xfId="6423"/>
    <cellStyle name="Comma 2 2 6 7" xfId="4339"/>
    <cellStyle name="Comma 2 2 6 8" xfId="2255"/>
    <cellStyle name="Comma 2 2 7" xfId="117"/>
    <cellStyle name="Comma 2 2 7 2" xfId="239"/>
    <cellStyle name="Comma 2 2 7 2 2" xfId="506"/>
    <cellStyle name="Comma 2 2 7 2 2 2" xfId="1020"/>
    <cellStyle name="Comma 2 2 7 2 2 2 2" xfId="2064"/>
    <cellStyle name="Comma 2 2 7 2 2 2 2 2" xfId="8316"/>
    <cellStyle name="Comma 2 2 7 2 2 2 2 3" xfId="6232"/>
    <cellStyle name="Comma 2 2 7 2 2 2 2 4" xfId="4148"/>
    <cellStyle name="Comma 2 2 7 2 2 2 3" xfId="7274"/>
    <cellStyle name="Comma 2 2 7 2 2 2 4" xfId="5190"/>
    <cellStyle name="Comma 2 2 7 2 2 2 5" xfId="3106"/>
    <cellStyle name="Comma 2 2 7 2 2 3" xfId="1550"/>
    <cellStyle name="Comma 2 2 7 2 2 3 2" xfId="7802"/>
    <cellStyle name="Comma 2 2 7 2 2 3 3" xfId="5718"/>
    <cellStyle name="Comma 2 2 7 2 2 3 4" xfId="3634"/>
    <cellStyle name="Comma 2 2 7 2 2 4" xfId="6760"/>
    <cellStyle name="Comma 2 2 7 2 2 5" xfId="4676"/>
    <cellStyle name="Comma 2 2 7 2 2 6" xfId="2592"/>
    <cellStyle name="Comma 2 2 7 2 3" xfId="763"/>
    <cellStyle name="Comma 2 2 7 2 3 2" xfId="1807"/>
    <cellStyle name="Comma 2 2 7 2 3 2 2" xfId="8059"/>
    <cellStyle name="Comma 2 2 7 2 3 2 3" xfId="5975"/>
    <cellStyle name="Comma 2 2 7 2 3 2 4" xfId="3891"/>
    <cellStyle name="Comma 2 2 7 2 3 3" xfId="7017"/>
    <cellStyle name="Comma 2 2 7 2 3 4" xfId="4933"/>
    <cellStyle name="Comma 2 2 7 2 3 5" xfId="2849"/>
    <cellStyle name="Comma 2 2 7 2 4" xfId="1289"/>
    <cellStyle name="Comma 2 2 7 2 4 2" xfId="7541"/>
    <cellStyle name="Comma 2 2 7 2 4 3" xfId="5457"/>
    <cellStyle name="Comma 2 2 7 2 4 4" xfId="3373"/>
    <cellStyle name="Comma 2 2 7 2 5" xfId="6499"/>
    <cellStyle name="Comma 2 2 7 2 6" xfId="4415"/>
    <cellStyle name="Comma 2 2 7 2 7" xfId="2331"/>
    <cellStyle name="Comma 2 2 7 3" xfId="398"/>
    <cellStyle name="Comma 2 2 7 3 2" xfId="912"/>
    <cellStyle name="Comma 2 2 7 3 2 2" xfId="1956"/>
    <cellStyle name="Comma 2 2 7 3 2 2 2" xfId="8208"/>
    <cellStyle name="Comma 2 2 7 3 2 2 3" xfId="6124"/>
    <cellStyle name="Comma 2 2 7 3 2 2 4" xfId="4040"/>
    <cellStyle name="Comma 2 2 7 3 2 3" xfId="7166"/>
    <cellStyle name="Comma 2 2 7 3 2 4" xfId="5082"/>
    <cellStyle name="Comma 2 2 7 3 2 5" xfId="2998"/>
    <cellStyle name="Comma 2 2 7 3 3" xfId="1442"/>
    <cellStyle name="Comma 2 2 7 3 3 2" xfId="7694"/>
    <cellStyle name="Comma 2 2 7 3 3 3" xfId="5610"/>
    <cellStyle name="Comma 2 2 7 3 3 4" xfId="3526"/>
    <cellStyle name="Comma 2 2 7 3 4" xfId="6652"/>
    <cellStyle name="Comma 2 2 7 3 5" xfId="4568"/>
    <cellStyle name="Comma 2 2 7 3 6" xfId="2484"/>
    <cellStyle name="Comma 2 2 7 4" xfId="655"/>
    <cellStyle name="Comma 2 2 7 4 2" xfId="1699"/>
    <cellStyle name="Comma 2 2 7 4 2 2" xfId="7951"/>
    <cellStyle name="Comma 2 2 7 4 2 3" xfId="5867"/>
    <cellStyle name="Comma 2 2 7 4 2 4" xfId="3783"/>
    <cellStyle name="Comma 2 2 7 4 3" xfId="6909"/>
    <cellStyle name="Comma 2 2 7 4 4" xfId="4825"/>
    <cellStyle name="Comma 2 2 7 4 5" xfId="2741"/>
    <cellStyle name="Comma 2 2 7 5" xfId="1175"/>
    <cellStyle name="Comma 2 2 7 5 2" xfId="7427"/>
    <cellStyle name="Comma 2 2 7 5 3" xfId="5343"/>
    <cellStyle name="Comma 2 2 7 5 4" xfId="3259"/>
    <cellStyle name="Comma 2 2 7 6" xfId="6385"/>
    <cellStyle name="Comma 2 2 7 7" xfId="4301"/>
    <cellStyle name="Comma 2 2 7 8" xfId="2217"/>
    <cellStyle name="Comma 2 2 8" xfId="199"/>
    <cellStyle name="Comma 2 2 8 2" xfId="470"/>
    <cellStyle name="Comma 2 2 8 2 2" xfId="984"/>
    <cellStyle name="Comma 2 2 8 2 2 2" xfId="2028"/>
    <cellStyle name="Comma 2 2 8 2 2 2 2" xfId="8280"/>
    <cellStyle name="Comma 2 2 8 2 2 2 3" xfId="6196"/>
    <cellStyle name="Comma 2 2 8 2 2 2 4" xfId="4112"/>
    <cellStyle name="Comma 2 2 8 2 2 3" xfId="7238"/>
    <cellStyle name="Comma 2 2 8 2 2 4" xfId="5154"/>
    <cellStyle name="Comma 2 2 8 2 2 5" xfId="3070"/>
    <cellStyle name="Comma 2 2 8 2 3" xfId="1514"/>
    <cellStyle name="Comma 2 2 8 2 3 2" xfId="7766"/>
    <cellStyle name="Comma 2 2 8 2 3 3" xfId="5682"/>
    <cellStyle name="Comma 2 2 8 2 3 4" xfId="3598"/>
    <cellStyle name="Comma 2 2 8 2 4" xfId="6724"/>
    <cellStyle name="Comma 2 2 8 2 5" xfId="4640"/>
    <cellStyle name="Comma 2 2 8 2 6" xfId="2556"/>
    <cellStyle name="Comma 2 2 8 3" xfId="727"/>
    <cellStyle name="Comma 2 2 8 3 2" xfId="1771"/>
    <cellStyle name="Comma 2 2 8 3 2 2" xfId="8023"/>
    <cellStyle name="Comma 2 2 8 3 2 3" xfId="5939"/>
    <cellStyle name="Comma 2 2 8 3 2 4" xfId="3855"/>
    <cellStyle name="Comma 2 2 8 3 3" xfId="6981"/>
    <cellStyle name="Comma 2 2 8 3 4" xfId="4897"/>
    <cellStyle name="Comma 2 2 8 3 5" xfId="2813"/>
    <cellStyle name="Comma 2 2 8 4" xfId="1251"/>
    <cellStyle name="Comma 2 2 8 4 2" xfId="7503"/>
    <cellStyle name="Comma 2 2 8 4 3" xfId="5419"/>
    <cellStyle name="Comma 2 2 8 4 4" xfId="3335"/>
    <cellStyle name="Comma 2 2 8 5" xfId="6461"/>
    <cellStyle name="Comma 2 2 8 6" xfId="4377"/>
    <cellStyle name="Comma 2 2 8 7" xfId="2293"/>
    <cellStyle name="Comma 2 2 9" xfId="73"/>
    <cellStyle name="Comma 2 2 9 2" xfId="360"/>
    <cellStyle name="Comma 2 2 9 2 2" xfId="874"/>
    <cellStyle name="Comma 2 2 9 2 2 2" xfId="1918"/>
    <cellStyle name="Comma 2 2 9 2 2 2 2" xfId="8170"/>
    <cellStyle name="Comma 2 2 9 2 2 2 3" xfId="6086"/>
    <cellStyle name="Comma 2 2 9 2 2 2 4" xfId="4002"/>
    <cellStyle name="Comma 2 2 9 2 2 3" xfId="7128"/>
    <cellStyle name="Comma 2 2 9 2 2 4" xfId="5044"/>
    <cellStyle name="Comma 2 2 9 2 2 5" xfId="2960"/>
    <cellStyle name="Comma 2 2 9 2 3" xfId="1404"/>
    <cellStyle name="Comma 2 2 9 2 3 2" xfId="7656"/>
    <cellStyle name="Comma 2 2 9 2 3 3" xfId="5572"/>
    <cellStyle name="Comma 2 2 9 2 3 4" xfId="3488"/>
    <cellStyle name="Comma 2 2 9 2 4" xfId="6614"/>
    <cellStyle name="Comma 2 2 9 2 5" xfId="4530"/>
    <cellStyle name="Comma 2 2 9 2 6" xfId="2446"/>
    <cellStyle name="Comma 2 2 9 3" xfId="617"/>
    <cellStyle name="Comma 2 2 9 3 2" xfId="1661"/>
    <cellStyle name="Comma 2 2 9 3 2 2" xfId="7913"/>
    <cellStyle name="Comma 2 2 9 3 2 3" xfId="5829"/>
    <cellStyle name="Comma 2 2 9 3 2 4" xfId="3745"/>
    <cellStyle name="Comma 2 2 9 3 3" xfId="6871"/>
    <cellStyle name="Comma 2 2 9 3 4" xfId="4787"/>
    <cellStyle name="Comma 2 2 9 3 5" xfId="2703"/>
    <cellStyle name="Comma 2 2 9 4" xfId="1133"/>
    <cellStyle name="Comma 2 2 9 4 2" xfId="7387"/>
    <cellStyle name="Comma 2 2 9 4 3" xfId="5303"/>
    <cellStyle name="Comma 2 2 9 4 4" xfId="3219"/>
    <cellStyle name="Comma 2 2 9 5" xfId="6345"/>
    <cellStyle name="Comma 2 2 9 6" xfId="4261"/>
    <cellStyle name="Comma 2 2 9 7" xfId="2177"/>
    <cellStyle name="Comma 2 3" xfId="51"/>
    <cellStyle name="Comma 2 3 10" xfId="1111"/>
    <cellStyle name="Comma 2 3 10 2" xfId="7365"/>
    <cellStyle name="Comma 2 3 10 3" xfId="5281"/>
    <cellStyle name="Comma 2 3 10 4" xfId="3197"/>
    <cellStyle name="Comma 2 3 11" xfId="6323"/>
    <cellStyle name="Comma 2 3 12" xfId="4239"/>
    <cellStyle name="Comma 2 3 13" xfId="2155"/>
    <cellStyle name="Comma 2 3 2" xfId="64"/>
    <cellStyle name="Comma 2 3 2 10" xfId="6336"/>
    <cellStyle name="Comma 2 3 2 11" xfId="4252"/>
    <cellStyle name="Comma 2 3 2 12" xfId="2168"/>
    <cellStyle name="Comma 2 3 2 2" xfId="109"/>
    <cellStyle name="Comma 2 3 2 2 10" xfId="2210"/>
    <cellStyle name="Comma 2 3 2 2 2" xfId="187"/>
    <cellStyle name="Comma 2 3 2 2 2 2" xfId="309"/>
    <cellStyle name="Comma 2 3 2 2 2 2 2" xfId="571"/>
    <cellStyle name="Comma 2 3 2 2 2 2 2 2" xfId="1085"/>
    <cellStyle name="Comma 2 3 2 2 2 2 2 2 2" xfId="2129"/>
    <cellStyle name="Comma 2 3 2 2 2 2 2 2 2 2" xfId="8381"/>
    <cellStyle name="Comma 2 3 2 2 2 2 2 2 2 3" xfId="6297"/>
    <cellStyle name="Comma 2 3 2 2 2 2 2 2 2 4" xfId="4213"/>
    <cellStyle name="Comma 2 3 2 2 2 2 2 2 3" xfId="7339"/>
    <cellStyle name="Comma 2 3 2 2 2 2 2 2 4" xfId="5255"/>
    <cellStyle name="Comma 2 3 2 2 2 2 2 2 5" xfId="3171"/>
    <cellStyle name="Comma 2 3 2 2 2 2 2 3" xfId="1615"/>
    <cellStyle name="Comma 2 3 2 2 2 2 2 3 2" xfId="7867"/>
    <cellStyle name="Comma 2 3 2 2 2 2 2 3 3" xfId="5783"/>
    <cellStyle name="Comma 2 3 2 2 2 2 2 3 4" xfId="3699"/>
    <cellStyle name="Comma 2 3 2 2 2 2 2 4" xfId="6825"/>
    <cellStyle name="Comma 2 3 2 2 2 2 2 5" xfId="4741"/>
    <cellStyle name="Comma 2 3 2 2 2 2 2 6" xfId="2657"/>
    <cellStyle name="Comma 2 3 2 2 2 2 3" xfId="828"/>
    <cellStyle name="Comma 2 3 2 2 2 2 3 2" xfId="1872"/>
    <cellStyle name="Comma 2 3 2 2 2 2 3 2 2" xfId="8124"/>
    <cellStyle name="Comma 2 3 2 2 2 2 3 2 3" xfId="6040"/>
    <cellStyle name="Comma 2 3 2 2 2 2 3 2 4" xfId="3956"/>
    <cellStyle name="Comma 2 3 2 2 2 2 3 3" xfId="7082"/>
    <cellStyle name="Comma 2 3 2 2 2 2 3 4" xfId="4998"/>
    <cellStyle name="Comma 2 3 2 2 2 2 3 5" xfId="2914"/>
    <cellStyle name="Comma 2 3 2 2 2 2 4" xfId="1358"/>
    <cellStyle name="Comma 2 3 2 2 2 2 4 2" xfId="7610"/>
    <cellStyle name="Comma 2 3 2 2 2 2 4 3" xfId="5526"/>
    <cellStyle name="Comma 2 3 2 2 2 2 4 4" xfId="3442"/>
    <cellStyle name="Comma 2 3 2 2 2 2 5" xfId="6568"/>
    <cellStyle name="Comma 2 3 2 2 2 2 6" xfId="4484"/>
    <cellStyle name="Comma 2 3 2 2 2 2 7" xfId="2400"/>
    <cellStyle name="Comma 2 3 2 2 2 3" xfId="463"/>
    <cellStyle name="Comma 2 3 2 2 2 3 2" xfId="977"/>
    <cellStyle name="Comma 2 3 2 2 2 3 2 2" xfId="2021"/>
    <cellStyle name="Comma 2 3 2 2 2 3 2 2 2" xfId="8273"/>
    <cellStyle name="Comma 2 3 2 2 2 3 2 2 3" xfId="6189"/>
    <cellStyle name="Comma 2 3 2 2 2 3 2 2 4" xfId="4105"/>
    <cellStyle name="Comma 2 3 2 2 2 3 2 3" xfId="7231"/>
    <cellStyle name="Comma 2 3 2 2 2 3 2 4" xfId="5147"/>
    <cellStyle name="Comma 2 3 2 2 2 3 2 5" xfId="3063"/>
    <cellStyle name="Comma 2 3 2 2 2 3 3" xfId="1507"/>
    <cellStyle name="Comma 2 3 2 2 2 3 3 2" xfId="7759"/>
    <cellStyle name="Comma 2 3 2 2 2 3 3 3" xfId="5675"/>
    <cellStyle name="Comma 2 3 2 2 2 3 3 4" xfId="3591"/>
    <cellStyle name="Comma 2 3 2 2 2 3 4" xfId="6717"/>
    <cellStyle name="Comma 2 3 2 2 2 3 5" xfId="4633"/>
    <cellStyle name="Comma 2 3 2 2 2 3 6" xfId="2549"/>
    <cellStyle name="Comma 2 3 2 2 2 4" xfId="720"/>
    <cellStyle name="Comma 2 3 2 2 2 4 2" xfId="1764"/>
    <cellStyle name="Comma 2 3 2 2 2 4 2 2" xfId="8016"/>
    <cellStyle name="Comma 2 3 2 2 2 4 2 3" xfId="5932"/>
    <cellStyle name="Comma 2 3 2 2 2 4 2 4" xfId="3848"/>
    <cellStyle name="Comma 2 3 2 2 2 4 3" xfId="6974"/>
    <cellStyle name="Comma 2 3 2 2 2 4 4" xfId="4890"/>
    <cellStyle name="Comma 2 3 2 2 2 4 5" xfId="2806"/>
    <cellStyle name="Comma 2 3 2 2 2 5" xfId="1244"/>
    <cellStyle name="Comma 2 3 2 2 2 5 2" xfId="7496"/>
    <cellStyle name="Comma 2 3 2 2 2 5 3" xfId="5412"/>
    <cellStyle name="Comma 2 3 2 2 2 5 4" xfId="3328"/>
    <cellStyle name="Comma 2 3 2 2 2 6" xfId="6454"/>
    <cellStyle name="Comma 2 3 2 2 2 7" xfId="4370"/>
    <cellStyle name="Comma 2 3 2 2 2 8" xfId="2286"/>
    <cellStyle name="Comma 2 3 2 2 3" xfId="148"/>
    <cellStyle name="Comma 2 3 2 2 3 2" xfId="270"/>
    <cellStyle name="Comma 2 3 2 2 3 2 2" xfId="535"/>
    <cellStyle name="Comma 2 3 2 2 3 2 2 2" xfId="1049"/>
    <cellStyle name="Comma 2 3 2 2 3 2 2 2 2" xfId="2093"/>
    <cellStyle name="Comma 2 3 2 2 3 2 2 2 2 2" xfId="8345"/>
    <cellStyle name="Comma 2 3 2 2 3 2 2 2 2 3" xfId="6261"/>
    <cellStyle name="Comma 2 3 2 2 3 2 2 2 2 4" xfId="4177"/>
    <cellStyle name="Comma 2 3 2 2 3 2 2 2 3" xfId="7303"/>
    <cellStyle name="Comma 2 3 2 2 3 2 2 2 4" xfId="5219"/>
    <cellStyle name="Comma 2 3 2 2 3 2 2 2 5" xfId="3135"/>
    <cellStyle name="Comma 2 3 2 2 3 2 2 3" xfId="1579"/>
    <cellStyle name="Comma 2 3 2 2 3 2 2 3 2" xfId="7831"/>
    <cellStyle name="Comma 2 3 2 2 3 2 2 3 3" xfId="5747"/>
    <cellStyle name="Comma 2 3 2 2 3 2 2 3 4" xfId="3663"/>
    <cellStyle name="Comma 2 3 2 2 3 2 2 4" xfId="6789"/>
    <cellStyle name="Comma 2 3 2 2 3 2 2 5" xfId="4705"/>
    <cellStyle name="Comma 2 3 2 2 3 2 2 6" xfId="2621"/>
    <cellStyle name="Comma 2 3 2 2 3 2 3" xfId="792"/>
    <cellStyle name="Comma 2 3 2 2 3 2 3 2" xfId="1836"/>
    <cellStyle name="Comma 2 3 2 2 3 2 3 2 2" xfId="8088"/>
    <cellStyle name="Comma 2 3 2 2 3 2 3 2 3" xfId="6004"/>
    <cellStyle name="Comma 2 3 2 2 3 2 3 2 4" xfId="3920"/>
    <cellStyle name="Comma 2 3 2 2 3 2 3 3" xfId="7046"/>
    <cellStyle name="Comma 2 3 2 2 3 2 3 4" xfId="4962"/>
    <cellStyle name="Comma 2 3 2 2 3 2 3 5" xfId="2878"/>
    <cellStyle name="Comma 2 3 2 2 3 2 4" xfId="1320"/>
    <cellStyle name="Comma 2 3 2 2 3 2 4 2" xfId="7572"/>
    <cellStyle name="Comma 2 3 2 2 3 2 4 3" xfId="5488"/>
    <cellStyle name="Comma 2 3 2 2 3 2 4 4" xfId="3404"/>
    <cellStyle name="Comma 2 3 2 2 3 2 5" xfId="6530"/>
    <cellStyle name="Comma 2 3 2 2 3 2 6" xfId="4446"/>
    <cellStyle name="Comma 2 3 2 2 3 2 7" xfId="2362"/>
    <cellStyle name="Comma 2 3 2 2 3 3" xfId="427"/>
    <cellStyle name="Comma 2 3 2 2 3 3 2" xfId="941"/>
    <cellStyle name="Comma 2 3 2 2 3 3 2 2" xfId="1985"/>
    <cellStyle name="Comma 2 3 2 2 3 3 2 2 2" xfId="8237"/>
    <cellStyle name="Comma 2 3 2 2 3 3 2 2 3" xfId="6153"/>
    <cellStyle name="Comma 2 3 2 2 3 3 2 2 4" xfId="4069"/>
    <cellStyle name="Comma 2 3 2 2 3 3 2 3" xfId="7195"/>
    <cellStyle name="Comma 2 3 2 2 3 3 2 4" xfId="5111"/>
    <cellStyle name="Comma 2 3 2 2 3 3 2 5" xfId="3027"/>
    <cellStyle name="Comma 2 3 2 2 3 3 3" xfId="1471"/>
    <cellStyle name="Comma 2 3 2 2 3 3 3 2" xfId="7723"/>
    <cellStyle name="Comma 2 3 2 2 3 3 3 3" xfId="5639"/>
    <cellStyle name="Comma 2 3 2 2 3 3 3 4" xfId="3555"/>
    <cellStyle name="Comma 2 3 2 2 3 3 4" xfId="6681"/>
    <cellStyle name="Comma 2 3 2 2 3 3 5" xfId="4597"/>
    <cellStyle name="Comma 2 3 2 2 3 3 6" xfId="2513"/>
    <cellStyle name="Comma 2 3 2 2 3 4" xfId="684"/>
    <cellStyle name="Comma 2 3 2 2 3 4 2" xfId="1728"/>
    <cellStyle name="Comma 2 3 2 2 3 4 2 2" xfId="7980"/>
    <cellStyle name="Comma 2 3 2 2 3 4 2 3" xfId="5896"/>
    <cellStyle name="Comma 2 3 2 2 3 4 2 4" xfId="3812"/>
    <cellStyle name="Comma 2 3 2 2 3 4 3" xfId="6938"/>
    <cellStyle name="Comma 2 3 2 2 3 4 4" xfId="4854"/>
    <cellStyle name="Comma 2 3 2 2 3 4 5" xfId="2770"/>
    <cellStyle name="Comma 2 3 2 2 3 5" xfId="1206"/>
    <cellStyle name="Comma 2 3 2 2 3 5 2" xfId="7458"/>
    <cellStyle name="Comma 2 3 2 2 3 5 3" xfId="5374"/>
    <cellStyle name="Comma 2 3 2 2 3 5 4" xfId="3290"/>
    <cellStyle name="Comma 2 3 2 2 3 6" xfId="6416"/>
    <cellStyle name="Comma 2 3 2 2 3 7" xfId="4332"/>
    <cellStyle name="Comma 2 3 2 2 3 8" xfId="2248"/>
    <cellStyle name="Comma 2 3 2 2 4" xfId="231"/>
    <cellStyle name="Comma 2 3 2 2 4 2" xfId="499"/>
    <cellStyle name="Comma 2 3 2 2 4 2 2" xfId="1013"/>
    <cellStyle name="Comma 2 3 2 2 4 2 2 2" xfId="2057"/>
    <cellStyle name="Comma 2 3 2 2 4 2 2 2 2" xfId="8309"/>
    <cellStyle name="Comma 2 3 2 2 4 2 2 2 3" xfId="6225"/>
    <cellStyle name="Comma 2 3 2 2 4 2 2 2 4" xfId="4141"/>
    <cellStyle name="Comma 2 3 2 2 4 2 2 3" xfId="7267"/>
    <cellStyle name="Comma 2 3 2 2 4 2 2 4" xfId="5183"/>
    <cellStyle name="Comma 2 3 2 2 4 2 2 5" xfId="3099"/>
    <cellStyle name="Comma 2 3 2 2 4 2 3" xfId="1543"/>
    <cellStyle name="Comma 2 3 2 2 4 2 3 2" xfId="7795"/>
    <cellStyle name="Comma 2 3 2 2 4 2 3 3" xfId="5711"/>
    <cellStyle name="Comma 2 3 2 2 4 2 3 4" xfId="3627"/>
    <cellStyle name="Comma 2 3 2 2 4 2 4" xfId="6753"/>
    <cellStyle name="Comma 2 3 2 2 4 2 5" xfId="4669"/>
    <cellStyle name="Comma 2 3 2 2 4 2 6" xfId="2585"/>
    <cellStyle name="Comma 2 3 2 2 4 3" xfId="756"/>
    <cellStyle name="Comma 2 3 2 2 4 3 2" xfId="1800"/>
    <cellStyle name="Comma 2 3 2 2 4 3 2 2" xfId="8052"/>
    <cellStyle name="Comma 2 3 2 2 4 3 2 3" xfId="5968"/>
    <cellStyle name="Comma 2 3 2 2 4 3 2 4" xfId="3884"/>
    <cellStyle name="Comma 2 3 2 2 4 3 3" xfId="7010"/>
    <cellStyle name="Comma 2 3 2 2 4 3 4" xfId="4926"/>
    <cellStyle name="Comma 2 3 2 2 4 3 5" xfId="2842"/>
    <cellStyle name="Comma 2 3 2 2 4 4" xfId="1282"/>
    <cellStyle name="Comma 2 3 2 2 4 4 2" xfId="7534"/>
    <cellStyle name="Comma 2 3 2 2 4 4 3" xfId="5450"/>
    <cellStyle name="Comma 2 3 2 2 4 4 4" xfId="3366"/>
    <cellStyle name="Comma 2 3 2 2 4 5" xfId="6492"/>
    <cellStyle name="Comma 2 3 2 2 4 6" xfId="4408"/>
    <cellStyle name="Comma 2 3 2 2 4 7" xfId="2324"/>
    <cellStyle name="Comma 2 3 2 2 5" xfId="391"/>
    <cellStyle name="Comma 2 3 2 2 5 2" xfId="905"/>
    <cellStyle name="Comma 2 3 2 2 5 2 2" xfId="1949"/>
    <cellStyle name="Comma 2 3 2 2 5 2 2 2" xfId="8201"/>
    <cellStyle name="Comma 2 3 2 2 5 2 2 3" xfId="6117"/>
    <cellStyle name="Comma 2 3 2 2 5 2 2 4" xfId="4033"/>
    <cellStyle name="Comma 2 3 2 2 5 2 3" xfId="7159"/>
    <cellStyle name="Comma 2 3 2 2 5 2 4" xfId="5075"/>
    <cellStyle name="Comma 2 3 2 2 5 2 5" xfId="2991"/>
    <cellStyle name="Comma 2 3 2 2 5 3" xfId="1435"/>
    <cellStyle name="Comma 2 3 2 2 5 3 2" xfId="7687"/>
    <cellStyle name="Comma 2 3 2 2 5 3 3" xfId="5603"/>
    <cellStyle name="Comma 2 3 2 2 5 3 4" xfId="3519"/>
    <cellStyle name="Comma 2 3 2 2 5 4" xfId="6645"/>
    <cellStyle name="Comma 2 3 2 2 5 5" xfId="4561"/>
    <cellStyle name="Comma 2 3 2 2 5 6" xfId="2477"/>
    <cellStyle name="Comma 2 3 2 2 6" xfId="648"/>
    <cellStyle name="Comma 2 3 2 2 6 2" xfId="1692"/>
    <cellStyle name="Comma 2 3 2 2 6 2 2" xfId="7944"/>
    <cellStyle name="Comma 2 3 2 2 6 2 3" xfId="5860"/>
    <cellStyle name="Comma 2 3 2 2 6 2 4" xfId="3776"/>
    <cellStyle name="Comma 2 3 2 2 6 3" xfId="6902"/>
    <cellStyle name="Comma 2 3 2 2 6 4" xfId="4818"/>
    <cellStyle name="Comma 2 3 2 2 6 5" xfId="2734"/>
    <cellStyle name="Comma 2 3 2 2 7" xfId="1168"/>
    <cellStyle name="Comma 2 3 2 2 7 2" xfId="7420"/>
    <cellStyle name="Comma 2 3 2 2 7 3" xfId="5336"/>
    <cellStyle name="Comma 2 3 2 2 7 4" xfId="3252"/>
    <cellStyle name="Comma 2 3 2 2 8" xfId="6378"/>
    <cellStyle name="Comma 2 3 2 2 9" xfId="4294"/>
    <cellStyle name="Comma 2 3 2 3" xfId="167"/>
    <cellStyle name="Comma 2 3 2 3 2" xfId="289"/>
    <cellStyle name="Comma 2 3 2 3 2 2" xfId="553"/>
    <cellStyle name="Comma 2 3 2 3 2 2 2" xfId="1067"/>
    <cellStyle name="Comma 2 3 2 3 2 2 2 2" xfId="2111"/>
    <cellStyle name="Comma 2 3 2 3 2 2 2 2 2" xfId="8363"/>
    <cellStyle name="Comma 2 3 2 3 2 2 2 2 3" xfId="6279"/>
    <cellStyle name="Comma 2 3 2 3 2 2 2 2 4" xfId="4195"/>
    <cellStyle name="Comma 2 3 2 3 2 2 2 3" xfId="7321"/>
    <cellStyle name="Comma 2 3 2 3 2 2 2 4" xfId="5237"/>
    <cellStyle name="Comma 2 3 2 3 2 2 2 5" xfId="3153"/>
    <cellStyle name="Comma 2 3 2 3 2 2 3" xfId="1597"/>
    <cellStyle name="Comma 2 3 2 3 2 2 3 2" xfId="7849"/>
    <cellStyle name="Comma 2 3 2 3 2 2 3 3" xfId="5765"/>
    <cellStyle name="Comma 2 3 2 3 2 2 3 4" xfId="3681"/>
    <cellStyle name="Comma 2 3 2 3 2 2 4" xfId="6807"/>
    <cellStyle name="Comma 2 3 2 3 2 2 5" xfId="4723"/>
    <cellStyle name="Comma 2 3 2 3 2 2 6" xfId="2639"/>
    <cellStyle name="Comma 2 3 2 3 2 3" xfId="810"/>
    <cellStyle name="Comma 2 3 2 3 2 3 2" xfId="1854"/>
    <cellStyle name="Comma 2 3 2 3 2 3 2 2" xfId="8106"/>
    <cellStyle name="Comma 2 3 2 3 2 3 2 3" xfId="6022"/>
    <cellStyle name="Comma 2 3 2 3 2 3 2 4" xfId="3938"/>
    <cellStyle name="Comma 2 3 2 3 2 3 3" xfId="7064"/>
    <cellStyle name="Comma 2 3 2 3 2 3 4" xfId="4980"/>
    <cellStyle name="Comma 2 3 2 3 2 3 5" xfId="2896"/>
    <cellStyle name="Comma 2 3 2 3 2 4" xfId="1339"/>
    <cellStyle name="Comma 2 3 2 3 2 4 2" xfId="7591"/>
    <cellStyle name="Comma 2 3 2 3 2 4 3" xfId="5507"/>
    <cellStyle name="Comma 2 3 2 3 2 4 4" xfId="3423"/>
    <cellStyle name="Comma 2 3 2 3 2 5" xfId="6549"/>
    <cellStyle name="Comma 2 3 2 3 2 6" xfId="4465"/>
    <cellStyle name="Comma 2 3 2 3 2 7" xfId="2381"/>
    <cellStyle name="Comma 2 3 2 3 3" xfId="445"/>
    <cellStyle name="Comma 2 3 2 3 3 2" xfId="959"/>
    <cellStyle name="Comma 2 3 2 3 3 2 2" xfId="2003"/>
    <cellStyle name="Comma 2 3 2 3 3 2 2 2" xfId="8255"/>
    <cellStyle name="Comma 2 3 2 3 3 2 2 3" xfId="6171"/>
    <cellStyle name="Comma 2 3 2 3 3 2 2 4" xfId="4087"/>
    <cellStyle name="Comma 2 3 2 3 3 2 3" xfId="7213"/>
    <cellStyle name="Comma 2 3 2 3 3 2 4" xfId="5129"/>
    <cellStyle name="Comma 2 3 2 3 3 2 5" xfId="3045"/>
    <cellStyle name="Comma 2 3 2 3 3 3" xfId="1489"/>
    <cellStyle name="Comma 2 3 2 3 3 3 2" xfId="7741"/>
    <cellStyle name="Comma 2 3 2 3 3 3 3" xfId="5657"/>
    <cellStyle name="Comma 2 3 2 3 3 3 4" xfId="3573"/>
    <cellStyle name="Comma 2 3 2 3 3 4" xfId="6699"/>
    <cellStyle name="Comma 2 3 2 3 3 5" xfId="4615"/>
    <cellStyle name="Comma 2 3 2 3 3 6" xfId="2531"/>
    <cellStyle name="Comma 2 3 2 3 4" xfId="702"/>
    <cellStyle name="Comma 2 3 2 3 4 2" xfId="1746"/>
    <cellStyle name="Comma 2 3 2 3 4 2 2" xfId="7998"/>
    <cellStyle name="Comma 2 3 2 3 4 2 3" xfId="5914"/>
    <cellStyle name="Comma 2 3 2 3 4 2 4" xfId="3830"/>
    <cellStyle name="Comma 2 3 2 3 4 3" xfId="6956"/>
    <cellStyle name="Comma 2 3 2 3 4 4" xfId="4872"/>
    <cellStyle name="Comma 2 3 2 3 4 5" xfId="2788"/>
    <cellStyle name="Comma 2 3 2 3 5" xfId="1225"/>
    <cellStyle name="Comma 2 3 2 3 5 2" xfId="7477"/>
    <cellStyle name="Comma 2 3 2 3 5 3" xfId="5393"/>
    <cellStyle name="Comma 2 3 2 3 5 4" xfId="3309"/>
    <cellStyle name="Comma 2 3 2 3 6" xfId="6435"/>
    <cellStyle name="Comma 2 3 2 3 7" xfId="4351"/>
    <cellStyle name="Comma 2 3 2 3 8" xfId="2267"/>
    <cellStyle name="Comma 2 3 2 4" xfId="129"/>
    <cellStyle name="Comma 2 3 2 4 2" xfId="251"/>
    <cellStyle name="Comma 2 3 2 4 2 2" xfId="517"/>
    <cellStyle name="Comma 2 3 2 4 2 2 2" xfId="1031"/>
    <cellStyle name="Comma 2 3 2 4 2 2 2 2" xfId="2075"/>
    <cellStyle name="Comma 2 3 2 4 2 2 2 2 2" xfId="8327"/>
    <cellStyle name="Comma 2 3 2 4 2 2 2 2 3" xfId="6243"/>
    <cellStyle name="Comma 2 3 2 4 2 2 2 2 4" xfId="4159"/>
    <cellStyle name="Comma 2 3 2 4 2 2 2 3" xfId="7285"/>
    <cellStyle name="Comma 2 3 2 4 2 2 2 4" xfId="5201"/>
    <cellStyle name="Comma 2 3 2 4 2 2 2 5" xfId="3117"/>
    <cellStyle name="Comma 2 3 2 4 2 2 3" xfId="1561"/>
    <cellStyle name="Comma 2 3 2 4 2 2 3 2" xfId="7813"/>
    <cellStyle name="Comma 2 3 2 4 2 2 3 3" xfId="5729"/>
    <cellStyle name="Comma 2 3 2 4 2 2 3 4" xfId="3645"/>
    <cellStyle name="Comma 2 3 2 4 2 2 4" xfId="6771"/>
    <cellStyle name="Comma 2 3 2 4 2 2 5" xfId="4687"/>
    <cellStyle name="Comma 2 3 2 4 2 2 6" xfId="2603"/>
    <cellStyle name="Comma 2 3 2 4 2 3" xfId="774"/>
    <cellStyle name="Comma 2 3 2 4 2 3 2" xfId="1818"/>
    <cellStyle name="Comma 2 3 2 4 2 3 2 2" xfId="8070"/>
    <cellStyle name="Comma 2 3 2 4 2 3 2 3" xfId="5986"/>
    <cellStyle name="Comma 2 3 2 4 2 3 2 4" xfId="3902"/>
    <cellStyle name="Comma 2 3 2 4 2 3 3" xfId="7028"/>
    <cellStyle name="Comma 2 3 2 4 2 3 4" xfId="4944"/>
    <cellStyle name="Comma 2 3 2 4 2 3 5" xfId="2860"/>
    <cellStyle name="Comma 2 3 2 4 2 4" xfId="1301"/>
    <cellStyle name="Comma 2 3 2 4 2 4 2" xfId="7553"/>
    <cellStyle name="Comma 2 3 2 4 2 4 3" xfId="5469"/>
    <cellStyle name="Comma 2 3 2 4 2 4 4" xfId="3385"/>
    <cellStyle name="Comma 2 3 2 4 2 5" xfId="6511"/>
    <cellStyle name="Comma 2 3 2 4 2 6" xfId="4427"/>
    <cellStyle name="Comma 2 3 2 4 2 7" xfId="2343"/>
    <cellStyle name="Comma 2 3 2 4 3" xfId="409"/>
    <cellStyle name="Comma 2 3 2 4 3 2" xfId="923"/>
    <cellStyle name="Comma 2 3 2 4 3 2 2" xfId="1967"/>
    <cellStyle name="Comma 2 3 2 4 3 2 2 2" xfId="8219"/>
    <cellStyle name="Comma 2 3 2 4 3 2 2 3" xfId="6135"/>
    <cellStyle name="Comma 2 3 2 4 3 2 2 4" xfId="4051"/>
    <cellStyle name="Comma 2 3 2 4 3 2 3" xfId="7177"/>
    <cellStyle name="Comma 2 3 2 4 3 2 4" xfId="5093"/>
    <cellStyle name="Comma 2 3 2 4 3 2 5" xfId="3009"/>
    <cellStyle name="Comma 2 3 2 4 3 3" xfId="1453"/>
    <cellStyle name="Comma 2 3 2 4 3 3 2" xfId="7705"/>
    <cellStyle name="Comma 2 3 2 4 3 3 3" xfId="5621"/>
    <cellStyle name="Comma 2 3 2 4 3 3 4" xfId="3537"/>
    <cellStyle name="Comma 2 3 2 4 3 4" xfId="6663"/>
    <cellStyle name="Comma 2 3 2 4 3 5" xfId="4579"/>
    <cellStyle name="Comma 2 3 2 4 3 6" xfId="2495"/>
    <cellStyle name="Comma 2 3 2 4 4" xfId="666"/>
    <cellStyle name="Comma 2 3 2 4 4 2" xfId="1710"/>
    <cellStyle name="Comma 2 3 2 4 4 2 2" xfId="7962"/>
    <cellStyle name="Comma 2 3 2 4 4 2 3" xfId="5878"/>
    <cellStyle name="Comma 2 3 2 4 4 2 4" xfId="3794"/>
    <cellStyle name="Comma 2 3 2 4 4 3" xfId="6920"/>
    <cellStyle name="Comma 2 3 2 4 4 4" xfId="4836"/>
    <cellStyle name="Comma 2 3 2 4 4 5" xfId="2752"/>
    <cellStyle name="Comma 2 3 2 4 5" xfId="1187"/>
    <cellStyle name="Comma 2 3 2 4 5 2" xfId="7439"/>
    <cellStyle name="Comma 2 3 2 4 5 3" xfId="5355"/>
    <cellStyle name="Comma 2 3 2 4 5 4" xfId="3271"/>
    <cellStyle name="Comma 2 3 2 4 6" xfId="6397"/>
    <cellStyle name="Comma 2 3 2 4 7" xfId="4313"/>
    <cellStyle name="Comma 2 3 2 4 8" xfId="2229"/>
    <cellStyle name="Comma 2 3 2 5" xfId="211"/>
    <cellStyle name="Comma 2 3 2 5 2" xfId="481"/>
    <cellStyle name="Comma 2 3 2 5 2 2" xfId="995"/>
    <cellStyle name="Comma 2 3 2 5 2 2 2" xfId="2039"/>
    <cellStyle name="Comma 2 3 2 5 2 2 2 2" xfId="8291"/>
    <cellStyle name="Comma 2 3 2 5 2 2 2 3" xfId="6207"/>
    <cellStyle name="Comma 2 3 2 5 2 2 2 4" xfId="4123"/>
    <cellStyle name="Comma 2 3 2 5 2 2 3" xfId="7249"/>
    <cellStyle name="Comma 2 3 2 5 2 2 4" xfId="5165"/>
    <cellStyle name="Comma 2 3 2 5 2 2 5" xfId="3081"/>
    <cellStyle name="Comma 2 3 2 5 2 3" xfId="1525"/>
    <cellStyle name="Comma 2 3 2 5 2 3 2" xfId="7777"/>
    <cellStyle name="Comma 2 3 2 5 2 3 3" xfId="5693"/>
    <cellStyle name="Comma 2 3 2 5 2 3 4" xfId="3609"/>
    <cellStyle name="Comma 2 3 2 5 2 4" xfId="6735"/>
    <cellStyle name="Comma 2 3 2 5 2 5" xfId="4651"/>
    <cellStyle name="Comma 2 3 2 5 2 6" xfId="2567"/>
    <cellStyle name="Comma 2 3 2 5 3" xfId="738"/>
    <cellStyle name="Comma 2 3 2 5 3 2" xfId="1782"/>
    <cellStyle name="Comma 2 3 2 5 3 2 2" xfId="8034"/>
    <cellStyle name="Comma 2 3 2 5 3 2 3" xfId="5950"/>
    <cellStyle name="Comma 2 3 2 5 3 2 4" xfId="3866"/>
    <cellStyle name="Comma 2 3 2 5 3 3" xfId="6992"/>
    <cellStyle name="Comma 2 3 2 5 3 4" xfId="4908"/>
    <cellStyle name="Comma 2 3 2 5 3 5" xfId="2824"/>
    <cellStyle name="Comma 2 3 2 5 4" xfId="1263"/>
    <cellStyle name="Comma 2 3 2 5 4 2" xfId="7515"/>
    <cellStyle name="Comma 2 3 2 5 4 3" xfId="5431"/>
    <cellStyle name="Comma 2 3 2 5 4 4" xfId="3347"/>
    <cellStyle name="Comma 2 3 2 5 5" xfId="6473"/>
    <cellStyle name="Comma 2 3 2 5 6" xfId="4389"/>
    <cellStyle name="Comma 2 3 2 5 7" xfId="2305"/>
    <cellStyle name="Comma 2 3 2 6" xfId="89"/>
    <cellStyle name="Comma 2 3 2 6 2" xfId="373"/>
    <cellStyle name="Comma 2 3 2 6 2 2" xfId="887"/>
    <cellStyle name="Comma 2 3 2 6 2 2 2" xfId="1931"/>
    <cellStyle name="Comma 2 3 2 6 2 2 2 2" xfId="8183"/>
    <cellStyle name="Comma 2 3 2 6 2 2 2 3" xfId="6099"/>
    <cellStyle name="Comma 2 3 2 6 2 2 2 4" xfId="4015"/>
    <cellStyle name="Comma 2 3 2 6 2 2 3" xfId="7141"/>
    <cellStyle name="Comma 2 3 2 6 2 2 4" xfId="5057"/>
    <cellStyle name="Comma 2 3 2 6 2 2 5" xfId="2973"/>
    <cellStyle name="Comma 2 3 2 6 2 3" xfId="1417"/>
    <cellStyle name="Comma 2 3 2 6 2 3 2" xfId="7669"/>
    <cellStyle name="Comma 2 3 2 6 2 3 3" xfId="5585"/>
    <cellStyle name="Comma 2 3 2 6 2 3 4" xfId="3501"/>
    <cellStyle name="Comma 2 3 2 6 2 4" xfId="6627"/>
    <cellStyle name="Comma 2 3 2 6 2 5" xfId="4543"/>
    <cellStyle name="Comma 2 3 2 6 2 6" xfId="2459"/>
    <cellStyle name="Comma 2 3 2 6 3" xfId="630"/>
    <cellStyle name="Comma 2 3 2 6 3 2" xfId="1674"/>
    <cellStyle name="Comma 2 3 2 6 3 2 2" xfId="7926"/>
    <cellStyle name="Comma 2 3 2 6 3 2 3" xfId="5842"/>
    <cellStyle name="Comma 2 3 2 6 3 2 4" xfId="3758"/>
    <cellStyle name="Comma 2 3 2 6 3 3" xfId="6884"/>
    <cellStyle name="Comma 2 3 2 6 3 4" xfId="4800"/>
    <cellStyle name="Comma 2 3 2 6 3 5" xfId="2716"/>
    <cellStyle name="Comma 2 3 2 6 4" xfId="1149"/>
    <cellStyle name="Comma 2 3 2 6 4 2" xfId="7401"/>
    <cellStyle name="Comma 2 3 2 6 4 3" xfId="5317"/>
    <cellStyle name="Comma 2 3 2 6 4 4" xfId="3233"/>
    <cellStyle name="Comma 2 3 2 6 5" xfId="6359"/>
    <cellStyle name="Comma 2 3 2 6 6" xfId="4275"/>
    <cellStyle name="Comma 2 3 2 6 7" xfId="2191"/>
    <cellStyle name="Comma 2 3 2 7" xfId="351"/>
    <cellStyle name="Comma 2 3 2 7 2" xfId="865"/>
    <cellStyle name="Comma 2 3 2 7 2 2" xfId="1909"/>
    <cellStyle name="Comma 2 3 2 7 2 2 2" xfId="8161"/>
    <cellStyle name="Comma 2 3 2 7 2 2 3" xfId="6077"/>
    <cellStyle name="Comma 2 3 2 7 2 2 4" xfId="3993"/>
    <cellStyle name="Comma 2 3 2 7 2 3" xfId="7119"/>
    <cellStyle name="Comma 2 3 2 7 2 4" xfId="5035"/>
    <cellStyle name="Comma 2 3 2 7 2 5" xfId="2951"/>
    <cellStyle name="Comma 2 3 2 7 3" xfId="1395"/>
    <cellStyle name="Comma 2 3 2 7 3 2" xfId="7647"/>
    <cellStyle name="Comma 2 3 2 7 3 3" xfId="5563"/>
    <cellStyle name="Comma 2 3 2 7 3 4" xfId="3479"/>
    <cellStyle name="Comma 2 3 2 7 4" xfId="6605"/>
    <cellStyle name="Comma 2 3 2 7 5" xfId="4521"/>
    <cellStyle name="Comma 2 3 2 7 6" xfId="2437"/>
    <cellStyle name="Comma 2 3 2 8" xfId="608"/>
    <cellStyle name="Comma 2 3 2 8 2" xfId="1652"/>
    <cellStyle name="Comma 2 3 2 8 2 2" xfId="7904"/>
    <cellStyle name="Comma 2 3 2 8 2 3" xfId="5820"/>
    <cellStyle name="Comma 2 3 2 8 2 4" xfId="3736"/>
    <cellStyle name="Comma 2 3 2 8 3" xfId="6862"/>
    <cellStyle name="Comma 2 3 2 8 4" xfId="4778"/>
    <cellStyle name="Comma 2 3 2 8 5" xfId="2694"/>
    <cellStyle name="Comma 2 3 2 9" xfId="1124"/>
    <cellStyle name="Comma 2 3 2 9 2" xfId="7378"/>
    <cellStyle name="Comma 2 3 2 9 3" xfId="5294"/>
    <cellStyle name="Comma 2 3 2 9 4" xfId="3210"/>
    <cellStyle name="Comma 2 3 3" xfId="99"/>
    <cellStyle name="Comma 2 3 3 10" xfId="2200"/>
    <cellStyle name="Comma 2 3 3 2" xfId="177"/>
    <cellStyle name="Comma 2 3 3 2 2" xfId="299"/>
    <cellStyle name="Comma 2 3 3 2 2 2" xfId="562"/>
    <cellStyle name="Comma 2 3 3 2 2 2 2" xfId="1076"/>
    <cellStyle name="Comma 2 3 3 2 2 2 2 2" xfId="2120"/>
    <cellStyle name="Comma 2 3 3 2 2 2 2 2 2" xfId="8372"/>
    <cellStyle name="Comma 2 3 3 2 2 2 2 2 3" xfId="6288"/>
    <cellStyle name="Comma 2 3 3 2 2 2 2 2 4" xfId="4204"/>
    <cellStyle name="Comma 2 3 3 2 2 2 2 3" xfId="7330"/>
    <cellStyle name="Comma 2 3 3 2 2 2 2 4" xfId="5246"/>
    <cellStyle name="Comma 2 3 3 2 2 2 2 5" xfId="3162"/>
    <cellStyle name="Comma 2 3 3 2 2 2 3" xfId="1606"/>
    <cellStyle name="Comma 2 3 3 2 2 2 3 2" xfId="7858"/>
    <cellStyle name="Comma 2 3 3 2 2 2 3 3" xfId="5774"/>
    <cellStyle name="Comma 2 3 3 2 2 2 3 4" xfId="3690"/>
    <cellStyle name="Comma 2 3 3 2 2 2 4" xfId="6816"/>
    <cellStyle name="Comma 2 3 3 2 2 2 5" xfId="4732"/>
    <cellStyle name="Comma 2 3 3 2 2 2 6" xfId="2648"/>
    <cellStyle name="Comma 2 3 3 2 2 3" xfId="819"/>
    <cellStyle name="Comma 2 3 3 2 2 3 2" xfId="1863"/>
    <cellStyle name="Comma 2 3 3 2 2 3 2 2" xfId="8115"/>
    <cellStyle name="Comma 2 3 3 2 2 3 2 3" xfId="6031"/>
    <cellStyle name="Comma 2 3 3 2 2 3 2 4" xfId="3947"/>
    <cellStyle name="Comma 2 3 3 2 2 3 3" xfId="7073"/>
    <cellStyle name="Comma 2 3 3 2 2 3 4" xfId="4989"/>
    <cellStyle name="Comma 2 3 3 2 2 3 5" xfId="2905"/>
    <cellStyle name="Comma 2 3 3 2 2 4" xfId="1348"/>
    <cellStyle name="Comma 2 3 3 2 2 4 2" xfId="7600"/>
    <cellStyle name="Comma 2 3 3 2 2 4 3" xfId="5516"/>
    <cellStyle name="Comma 2 3 3 2 2 4 4" xfId="3432"/>
    <cellStyle name="Comma 2 3 3 2 2 5" xfId="6558"/>
    <cellStyle name="Comma 2 3 3 2 2 6" xfId="4474"/>
    <cellStyle name="Comma 2 3 3 2 2 7" xfId="2390"/>
    <cellStyle name="Comma 2 3 3 2 3" xfId="454"/>
    <cellStyle name="Comma 2 3 3 2 3 2" xfId="968"/>
    <cellStyle name="Comma 2 3 3 2 3 2 2" xfId="2012"/>
    <cellStyle name="Comma 2 3 3 2 3 2 2 2" xfId="8264"/>
    <cellStyle name="Comma 2 3 3 2 3 2 2 3" xfId="6180"/>
    <cellStyle name="Comma 2 3 3 2 3 2 2 4" xfId="4096"/>
    <cellStyle name="Comma 2 3 3 2 3 2 3" xfId="7222"/>
    <cellStyle name="Comma 2 3 3 2 3 2 4" xfId="5138"/>
    <cellStyle name="Comma 2 3 3 2 3 2 5" xfId="3054"/>
    <cellStyle name="Comma 2 3 3 2 3 3" xfId="1498"/>
    <cellStyle name="Comma 2 3 3 2 3 3 2" xfId="7750"/>
    <cellStyle name="Comma 2 3 3 2 3 3 3" xfId="5666"/>
    <cellStyle name="Comma 2 3 3 2 3 3 4" xfId="3582"/>
    <cellStyle name="Comma 2 3 3 2 3 4" xfId="6708"/>
    <cellStyle name="Comma 2 3 3 2 3 5" xfId="4624"/>
    <cellStyle name="Comma 2 3 3 2 3 6" xfId="2540"/>
    <cellStyle name="Comma 2 3 3 2 4" xfId="711"/>
    <cellStyle name="Comma 2 3 3 2 4 2" xfId="1755"/>
    <cellStyle name="Comma 2 3 3 2 4 2 2" xfId="8007"/>
    <cellStyle name="Comma 2 3 3 2 4 2 3" xfId="5923"/>
    <cellStyle name="Comma 2 3 3 2 4 2 4" xfId="3839"/>
    <cellStyle name="Comma 2 3 3 2 4 3" xfId="6965"/>
    <cellStyle name="Comma 2 3 3 2 4 4" xfId="4881"/>
    <cellStyle name="Comma 2 3 3 2 4 5" xfId="2797"/>
    <cellStyle name="Comma 2 3 3 2 5" xfId="1234"/>
    <cellStyle name="Comma 2 3 3 2 5 2" xfId="7486"/>
    <cellStyle name="Comma 2 3 3 2 5 3" xfId="5402"/>
    <cellStyle name="Comma 2 3 3 2 5 4" xfId="3318"/>
    <cellStyle name="Comma 2 3 3 2 6" xfId="6444"/>
    <cellStyle name="Comma 2 3 3 2 7" xfId="4360"/>
    <cellStyle name="Comma 2 3 3 2 8" xfId="2276"/>
    <cellStyle name="Comma 2 3 3 3" xfId="138"/>
    <cellStyle name="Comma 2 3 3 3 2" xfId="260"/>
    <cellStyle name="Comma 2 3 3 3 2 2" xfId="526"/>
    <cellStyle name="Comma 2 3 3 3 2 2 2" xfId="1040"/>
    <cellStyle name="Comma 2 3 3 3 2 2 2 2" xfId="2084"/>
    <cellStyle name="Comma 2 3 3 3 2 2 2 2 2" xfId="8336"/>
    <cellStyle name="Comma 2 3 3 3 2 2 2 2 3" xfId="6252"/>
    <cellStyle name="Comma 2 3 3 3 2 2 2 2 4" xfId="4168"/>
    <cellStyle name="Comma 2 3 3 3 2 2 2 3" xfId="7294"/>
    <cellStyle name="Comma 2 3 3 3 2 2 2 4" xfId="5210"/>
    <cellStyle name="Comma 2 3 3 3 2 2 2 5" xfId="3126"/>
    <cellStyle name="Comma 2 3 3 3 2 2 3" xfId="1570"/>
    <cellStyle name="Comma 2 3 3 3 2 2 3 2" xfId="7822"/>
    <cellStyle name="Comma 2 3 3 3 2 2 3 3" xfId="5738"/>
    <cellStyle name="Comma 2 3 3 3 2 2 3 4" xfId="3654"/>
    <cellStyle name="Comma 2 3 3 3 2 2 4" xfId="6780"/>
    <cellStyle name="Comma 2 3 3 3 2 2 5" xfId="4696"/>
    <cellStyle name="Comma 2 3 3 3 2 2 6" xfId="2612"/>
    <cellStyle name="Comma 2 3 3 3 2 3" xfId="783"/>
    <cellStyle name="Comma 2 3 3 3 2 3 2" xfId="1827"/>
    <cellStyle name="Comma 2 3 3 3 2 3 2 2" xfId="8079"/>
    <cellStyle name="Comma 2 3 3 3 2 3 2 3" xfId="5995"/>
    <cellStyle name="Comma 2 3 3 3 2 3 2 4" xfId="3911"/>
    <cellStyle name="Comma 2 3 3 3 2 3 3" xfId="7037"/>
    <cellStyle name="Comma 2 3 3 3 2 3 4" xfId="4953"/>
    <cellStyle name="Comma 2 3 3 3 2 3 5" xfId="2869"/>
    <cellStyle name="Comma 2 3 3 3 2 4" xfId="1310"/>
    <cellStyle name="Comma 2 3 3 3 2 4 2" xfId="7562"/>
    <cellStyle name="Comma 2 3 3 3 2 4 3" xfId="5478"/>
    <cellStyle name="Comma 2 3 3 3 2 4 4" xfId="3394"/>
    <cellStyle name="Comma 2 3 3 3 2 5" xfId="6520"/>
    <cellStyle name="Comma 2 3 3 3 2 6" xfId="4436"/>
    <cellStyle name="Comma 2 3 3 3 2 7" xfId="2352"/>
    <cellStyle name="Comma 2 3 3 3 3" xfId="418"/>
    <cellStyle name="Comma 2 3 3 3 3 2" xfId="932"/>
    <cellStyle name="Comma 2 3 3 3 3 2 2" xfId="1976"/>
    <cellStyle name="Comma 2 3 3 3 3 2 2 2" xfId="8228"/>
    <cellStyle name="Comma 2 3 3 3 3 2 2 3" xfId="6144"/>
    <cellStyle name="Comma 2 3 3 3 3 2 2 4" xfId="4060"/>
    <cellStyle name="Comma 2 3 3 3 3 2 3" xfId="7186"/>
    <cellStyle name="Comma 2 3 3 3 3 2 4" xfId="5102"/>
    <cellStyle name="Comma 2 3 3 3 3 2 5" xfId="3018"/>
    <cellStyle name="Comma 2 3 3 3 3 3" xfId="1462"/>
    <cellStyle name="Comma 2 3 3 3 3 3 2" xfId="7714"/>
    <cellStyle name="Comma 2 3 3 3 3 3 3" xfId="5630"/>
    <cellStyle name="Comma 2 3 3 3 3 3 4" xfId="3546"/>
    <cellStyle name="Comma 2 3 3 3 3 4" xfId="6672"/>
    <cellStyle name="Comma 2 3 3 3 3 5" xfId="4588"/>
    <cellStyle name="Comma 2 3 3 3 3 6" xfId="2504"/>
    <cellStyle name="Comma 2 3 3 3 4" xfId="675"/>
    <cellStyle name="Comma 2 3 3 3 4 2" xfId="1719"/>
    <cellStyle name="Comma 2 3 3 3 4 2 2" xfId="7971"/>
    <cellStyle name="Comma 2 3 3 3 4 2 3" xfId="5887"/>
    <cellStyle name="Comma 2 3 3 3 4 2 4" xfId="3803"/>
    <cellStyle name="Comma 2 3 3 3 4 3" xfId="6929"/>
    <cellStyle name="Comma 2 3 3 3 4 4" xfId="4845"/>
    <cellStyle name="Comma 2 3 3 3 4 5" xfId="2761"/>
    <cellStyle name="Comma 2 3 3 3 5" xfId="1196"/>
    <cellStyle name="Comma 2 3 3 3 5 2" xfId="7448"/>
    <cellStyle name="Comma 2 3 3 3 5 3" xfId="5364"/>
    <cellStyle name="Comma 2 3 3 3 5 4" xfId="3280"/>
    <cellStyle name="Comma 2 3 3 3 6" xfId="6406"/>
    <cellStyle name="Comma 2 3 3 3 7" xfId="4322"/>
    <cellStyle name="Comma 2 3 3 3 8" xfId="2238"/>
    <cellStyle name="Comma 2 3 3 4" xfId="221"/>
    <cellStyle name="Comma 2 3 3 4 2" xfId="490"/>
    <cellStyle name="Comma 2 3 3 4 2 2" xfId="1004"/>
    <cellStyle name="Comma 2 3 3 4 2 2 2" xfId="2048"/>
    <cellStyle name="Comma 2 3 3 4 2 2 2 2" xfId="8300"/>
    <cellStyle name="Comma 2 3 3 4 2 2 2 3" xfId="6216"/>
    <cellStyle name="Comma 2 3 3 4 2 2 2 4" xfId="4132"/>
    <cellStyle name="Comma 2 3 3 4 2 2 3" xfId="7258"/>
    <cellStyle name="Comma 2 3 3 4 2 2 4" xfId="5174"/>
    <cellStyle name="Comma 2 3 3 4 2 2 5" xfId="3090"/>
    <cellStyle name="Comma 2 3 3 4 2 3" xfId="1534"/>
    <cellStyle name="Comma 2 3 3 4 2 3 2" xfId="7786"/>
    <cellStyle name="Comma 2 3 3 4 2 3 3" xfId="5702"/>
    <cellStyle name="Comma 2 3 3 4 2 3 4" xfId="3618"/>
    <cellStyle name="Comma 2 3 3 4 2 4" xfId="6744"/>
    <cellStyle name="Comma 2 3 3 4 2 5" xfId="4660"/>
    <cellStyle name="Comma 2 3 3 4 2 6" xfId="2576"/>
    <cellStyle name="Comma 2 3 3 4 3" xfId="747"/>
    <cellStyle name="Comma 2 3 3 4 3 2" xfId="1791"/>
    <cellStyle name="Comma 2 3 3 4 3 2 2" xfId="8043"/>
    <cellStyle name="Comma 2 3 3 4 3 2 3" xfId="5959"/>
    <cellStyle name="Comma 2 3 3 4 3 2 4" xfId="3875"/>
    <cellStyle name="Comma 2 3 3 4 3 3" xfId="7001"/>
    <cellStyle name="Comma 2 3 3 4 3 4" xfId="4917"/>
    <cellStyle name="Comma 2 3 3 4 3 5" xfId="2833"/>
    <cellStyle name="Comma 2 3 3 4 4" xfId="1272"/>
    <cellStyle name="Comma 2 3 3 4 4 2" xfId="7524"/>
    <cellStyle name="Comma 2 3 3 4 4 3" xfId="5440"/>
    <cellStyle name="Comma 2 3 3 4 4 4" xfId="3356"/>
    <cellStyle name="Comma 2 3 3 4 5" xfId="6482"/>
    <cellStyle name="Comma 2 3 3 4 6" xfId="4398"/>
    <cellStyle name="Comma 2 3 3 4 7" xfId="2314"/>
    <cellStyle name="Comma 2 3 3 5" xfId="382"/>
    <cellStyle name="Comma 2 3 3 5 2" xfId="896"/>
    <cellStyle name="Comma 2 3 3 5 2 2" xfId="1940"/>
    <cellStyle name="Comma 2 3 3 5 2 2 2" xfId="8192"/>
    <cellStyle name="Comma 2 3 3 5 2 2 3" xfId="6108"/>
    <cellStyle name="Comma 2 3 3 5 2 2 4" xfId="4024"/>
    <cellStyle name="Comma 2 3 3 5 2 3" xfId="7150"/>
    <cellStyle name="Comma 2 3 3 5 2 4" xfId="5066"/>
    <cellStyle name="Comma 2 3 3 5 2 5" xfId="2982"/>
    <cellStyle name="Comma 2 3 3 5 3" xfId="1426"/>
    <cellStyle name="Comma 2 3 3 5 3 2" xfId="7678"/>
    <cellStyle name="Comma 2 3 3 5 3 3" xfId="5594"/>
    <cellStyle name="Comma 2 3 3 5 3 4" xfId="3510"/>
    <cellStyle name="Comma 2 3 3 5 4" xfId="6636"/>
    <cellStyle name="Comma 2 3 3 5 5" xfId="4552"/>
    <cellStyle name="Comma 2 3 3 5 6" xfId="2468"/>
    <cellStyle name="Comma 2 3 3 6" xfId="639"/>
    <cellStyle name="Comma 2 3 3 6 2" xfId="1683"/>
    <cellStyle name="Comma 2 3 3 6 2 2" xfId="7935"/>
    <cellStyle name="Comma 2 3 3 6 2 3" xfId="5851"/>
    <cellStyle name="Comma 2 3 3 6 2 4" xfId="3767"/>
    <cellStyle name="Comma 2 3 3 6 3" xfId="6893"/>
    <cellStyle name="Comma 2 3 3 6 4" xfId="4809"/>
    <cellStyle name="Comma 2 3 3 6 5" xfId="2725"/>
    <cellStyle name="Comma 2 3 3 7" xfId="1158"/>
    <cellStyle name="Comma 2 3 3 7 2" xfId="7410"/>
    <cellStyle name="Comma 2 3 3 7 3" xfId="5326"/>
    <cellStyle name="Comma 2 3 3 7 4" xfId="3242"/>
    <cellStyle name="Comma 2 3 3 8" xfId="6368"/>
    <cellStyle name="Comma 2 3 3 9" xfId="4284"/>
    <cellStyle name="Comma 2 3 4" xfId="157"/>
    <cellStyle name="Comma 2 3 4 2" xfId="279"/>
    <cellStyle name="Comma 2 3 4 2 2" xfId="544"/>
    <cellStyle name="Comma 2 3 4 2 2 2" xfId="1058"/>
    <cellStyle name="Comma 2 3 4 2 2 2 2" xfId="2102"/>
    <cellStyle name="Comma 2 3 4 2 2 2 2 2" xfId="8354"/>
    <cellStyle name="Comma 2 3 4 2 2 2 2 3" xfId="6270"/>
    <cellStyle name="Comma 2 3 4 2 2 2 2 4" xfId="4186"/>
    <cellStyle name="Comma 2 3 4 2 2 2 3" xfId="7312"/>
    <cellStyle name="Comma 2 3 4 2 2 2 4" xfId="5228"/>
    <cellStyle name="Comma 2 3 4 2 2 2 5" xfId="3144"/>
    <cellStyle name="Comma 2 3 4 2 2 3" xfId="1588"/>
    <cellStyle name="Comma 2 3 4 2 2 3 2" xfId="7840"/>
    <cellStyle name="Comma 2 3 4 2 2 3 3" xfId="5756"/>
    <cellStyle name="Comma 2 3 4 2 2 3 4" xfId="3672"/>
    <cellStyle name="Comma 2 3 4 2 2 4" xfId="6798"/>
    <cellStyle name="Comma 2 3 4 2 2 5" xfId="4714"/>
    <cellStyle name="Comma 2 3 4 2 2 6" xfId="2630"/>
    <cellStyle name="Comma 2 3 4 2 3" xfId="801"/>
    <cellStyle name="Comma 2 3 4 2 3 2" xfId="1845"/>
    <cellStyle name="Comma 2 3 4 2 3 2 2" xfId="8097"/>
    <cellStyle name="Comma 2 3 4 2 3 2 3" xfId="6013"/>
    <cellStyle name="Comma 2 3 4 2 3 2 4" xfId="3929"/>
    <cellStyle name="Comma 2 3 4 2 3 3" xfId="7055"/>
    <cellStyle name="Comma 2 3 4 2 3 4" xfId="4971"/>
    <cellStyle name="Comma 2 3 4 2 3 5" xfId="2887"/>
    <cellStyle name="Comma 2 3 4 2 4" xfId="1329"/>
    <cellStyle name="Comma 2 3 4 2 4 2" xfId="7581"/>
    <cellStyle name="Comma 2 3 4 2 4 3" xfId="5497"/>
    <cellStyle name="Comma 2 3 4 2 4 4" xfId="3413"/>
    <cellStyle name="Comma 2 3 4 2 5" xfId="6539"/>
    <cellStyle name="Comma 2 3 4 2 6" xfId="4455"/>
    <cellStyle name="Comma 2 3 4 2 7" xfId="2371"/>
    <cellStyle name="Comma 2 3 4 3" xfId="436"/>
    <cellStyle name="Comma 2 3 4 3 2" xfId="950"/>
    <cellStyle name="Comma 2 3 4 3 2 2" xfId="1994"/>
    <cellStyle name="Comma 2 3 4 3 2 2 2" xfId="8246"/>
    <cellStyle name="Comma 2 3 4 3 2 2 3" xfId="6162"/>
    <cellStyle name="Comma 2 3 4 3 2 2 4" xfId="4078"/>
    <cellStyle name="Comma 2 3 4 3 2 3" xfId="7204"/>
    <cellStyle name="Comma 2 3 4 3 2 4" xfId="5120"/>
    <cellStyle name="Comma 2 3 4 3 2 5" xfId="3036"/>
    <cellStyle name="Comma 2 3 4 3 3" xfId="1480"/>
    <cellStyle name="Comma 2 3 4 3 3 2" xfId="7732"/>
    <cellStyle name="Comma 2 3 4 3 3 3" xfId="5648"/>
    <cellStyle name="Comma 2 3 4 3 3 4" xfId="3564"/>
    <cellStyle name="Comma 2 3 4 3 4" xfId="6690"/>
    <cellStyle name="Comma 2 3 4 3 5" xfId="4606"/>
    <cellStyle name="Comma 2 3 4 3 6" xfId="2522"/>
    <cellStyle name="Comma 2 3 4 4" xfId="693"/>
    <cellStyle name="Comma 2 3 4 4 2" xfId="1737"/>
    <cellStyle name="Comma 2 3 4 4 2 2" xfId="7989"/>
    <cellStyle name="Comma 2 3 4 4 2 3" xfId="5905"/>
    <cellStyle name="Comma 2 3 4 4 2 4" xfId="3821"/>
    <cellStyle name="Comma 2 3 4 4 3" xfId="6947"/>
    <cellStyle name="Comma 2 3 4 4 4" xfId="4863"/>
    <cellStyle name="Comma 2 3 4 4 5" xfId="2779"/>
    <cellStyle name="Comma 2 3 4 5" xfId="1215"/>
    <cellStyle name="Comma 2 3 4 5 2" xfId="7467"/>
    <cellStyle name="Comma 2 3 4 5 3" xfId="5383"/>
    <cellStyle name="Comma 2 3 4 5 4" xfId="3299"/>
    <cellStyle name="Comma 2 3 4 6" xfId="6425"/>
    <cellStyle name="Comma 2 3 4 7" xfId="4341"/>
    <cellStyle name="Comma 2 3 4 8" xfId="2257"/>
    <cellStyle name="Comma 2 3 5" xfId="119"/>
    <cellStyle name="Comma 2 3 5 2" xfId="241"/>
    <cellStyle name="Comma 2 3 5 2 2" xfId="508"/>
    <cellStyle name="Comma 2 3 5 2 2 2" xfId="1022"/>
    <cellStyle name="Comma 2 3 5 2 2 2 2" xfId="2066"/>
    <cellStyle name="Comma 2 3 5 2 2 2 2 2" xfId="8318"/>
    <cellStyle name="Comma 2 3 5 2 2 2 2 3" xfId="6234"/>
    <cellStyle name="Comma 2 3 5 2 2 2 2 4" xfId="4150"/>
    <cellStyle name="Comma 2 3 5 2 2 2 3" xfId="7276"/>
    <cellStyle name="Comma 2 3 5 2 2 2 4" xfId="5192"/>
    <cellStyle name="Comma 2 3 5 2 2 2 5" xfId="3108"/>
    <cellStyle name="Comma 2 3 5 2 2 3" xfId="1552"/>
    <cellStyle name="Comma 2 3 5 2 2 3 2" xfId="7804"/>
    <cellStyle name="Comma 2 3 5 2 2 3 3" xfId="5720"/>
    <cellStyle name="Comma 2 3 5 2 2 3 4" xfId="3636"/>
    <cellStyle name="Comma 2 3 5 2 2 4" xfId="6762"/>
    <cellStyle name="Comma 2 3 5 2 2 5" xfId="4678"/>
    <cellStyle name="Comma 2 3 5 2 2 6" xfId="2594"/>
    <cellStyle name="Comma 2 3 5 2 3" xfId="765"/>
    <cellStyle name="Comma 2 3 5 2 3 2" xfId="1809"/>
    <cellStyle name="Comma 2 3 5 2 3 2 2" xfId="8061"/>
    <cellStyle name="Comma 2 3 5 2 3 2 3" xfId="5977"/>
    <cellStyle name="Comma 2 3 5 2 3 2 4" xfId="3893"/>
    <cellStyle name="Comma 2 3 5 2 3 3" xfId="7019"/>
    <cellStyle name="Comma 2 3 5 2 3 4" xfId="4935"/>
    <cellStyle name="Comma 2 3 5 2 3 5" xfId="2851"/>
    <cellStyle name="Comma 2 3 5 2 4" xfId="1291"/>
    <cellStyle name="Comma 2 3 5 2 4 2" xfId="7543"/>
    <cellStyle name="Comma 2 3 5 2 4 3" xfId="5459"/>
    <cellStyle name="Comma 2 3 5 2 4 4" xfId="3375"/>
    <cellStyle name="Comma 2 3 5 2 5" xfId="6501"/>
    <cellStyle name="Comma 2 3 5 2 6" xfId="4417"/>
    <cellStyle name="Comma 2 3 5 2 7" xfId="2333"/>
    <cellStyle name="Comma 2 3 5 3" xfId="400"/>
    <cellStyle name="Comma 2 3 5 3 2" xfId="914"/>
    <cellStyle name="Comma 2 3 5 3 2 2" xfId="1958"/>
    <cellStyle name="Comma 2 3 5 3 2 2 2" xfId="8210"/>
    <cellStyle name="Comma 2 3 5 3 2 2 3" xfId="6126"/>
    <cellStyle name="Comma 2 3 5 3 2 2 4" xfId="4042"/>
    <cellStyle name="Comma 2 3 5 3 2 3" xfId="7168"/>
    <cellStyle name="Comma 2 3 5 3 2 4" xfId="5084"/>
    <cellStyle name="Comma 2 3 5 3 2 5" xfId="3000"/>
    <cellStyle name="Comma 2 3 5 3 3" xfId="1444"/>
    <cellStyle name="Comma 2 3 5 3 3 2" xfId="7696"/>
    <cellStyle name="Comma 2 3 5 3 3 3" xfId="5612"/>
    <cellStyle name="Comma 2 3 5 3 3 4" xfId="3528"/>
    <cellStyle name="Comma 2 3 5 3 4" xfId="6654"/>
    <cellStyle name="Comma 2 3 5 3 5" xfId="4570"/>
    <cellStyle name="Comma 2 3 5 3 6" xfId="2486"/>
    <cellStyle name="Comma 2 3 5 4" xfId="657"/>
    <cellStyle name="Comma 2 3 5 4 2" xfId="1701"/>
    <cellStyle name="Comma 2 3 5 4 2 2" xfId="7953"/>
    <cellStyle name="Comma 2 3 5 4 2 3" xfId="5869"/>
    <cellStyle name="Comma 2 3 5 4 2 4" xfId="3785"/>
    <cellStyle name="Comma 2 3 5 4 3" xfId="6911"/>
    <cellStyle name="Comma 2 3 5 4 4" xfId="4827"/>
    <cellStyle name="Comma 2 3 5 4 5" xfId="2743"/>
    <cellStyle name="Comma 2 3 5 5" xfId="1177"/>
    <cellStyle name="Comma 2 3 5 5 2" xfId="7429"/>
    <cellStyle name="Comma 2 3 5 5 3" xfId="5345"/>
    <cellStyle name="Comma 2 3 5 5 4" xfId="3261"/>
    <cellStyle name="Comma 2 3 5 6" xfId="6387"/>
    <cellStyle name="Comma 2 3 5 7" xfId="4303"/>
    <cellStyle name="Comma 2 3 5 8" xfId="2219"/>
    <cellStyle name="Comma 2 3 6" xfId="201"/>
    <cellStyle name="Comma 2 3 6 2" xfId="472"/>
    <cellStyle name="Comma 2 3 6 2 2" xfId="986"/>
    <cellStyle name="Comma 2 3 6 2 2 2" xfId="2030"/>
    <cellStyle name="Comma 2 3 6 2 2 2 2" xfId="8282"/>
    <cellStyle name="Comma 2 3 6 2 2 2 3" xfId="6198"/>
    <cellStyle name="Comma 2 3 6 2 2 2 4" xfId="4114"/>
    <cellStyle name="Comma 2 3 6 2 2 3" xfId="7240"/>
    <cellStyle name="Comma 2 3 6 2 2 4" xfId="5156"/>
    <cellStyle name="Comma 2 3 6 2 2 5" xfId="3072"/>
    <cellStyle name="Comma 2 3 6 2 3" xfId="1516"/>
    <cellStyle name="Comma 2 3 6 2 3 2" xfId="7768"/>
    <cellStyle name="Comma 2 3 6 2 3 3" xfId="5684"/>
    <cellStyle name="Comma 2 3 6 2 3 4" xfId="3600"/>
    <cellStyle name="Comma 2 3 6 2 4" xfId="6726"/>
    <cellStyle name="Comma 2 3 6 2 5" xfId="4642"/>
    <cellStyle name="Comma 2 3 6 2 6" xfId="2558"/>
    <cellStyle name="Comma 2 3 6 3" xfId="729"/>
    <cellStyle name="Comma 2 3 6 3 2" xfId="1773"/>
    <cellStyle name="Comma 2 3 6 3 2 2" xfId="8025"/>
    <cellStyle name="Comma 2 3 6 3 2 3" xfId="5941"/>
    <cellStyle name="Comma 2 3 6 3 2 4" xfId="3857"/>
    <cellStyle name="Comma 2 3 6 3 3" xfId="6983"/>
    <cellStyle name="Comma 2 3 6 3 4" xfId="4899"/>
    <cellStyle name="Comma 2 3 6 3 5" xfId="2815"/>
    <cellStyle name="Comma 2 3 6 4" xfId="1253"/>
    <cellStyle name="Comma 2 3 6 4 2" xfId="7505"/>
    <cellStyle name="Comma 2 3 6 4 3" xfId="5421"/>
    <cellStyle name="Comma 2 3 6 4 4" xfId="3337"/>
    <cellStyle name="Comma 2 3 6 5" xfId="6463"/>
    <cellStyle name="Comma 2 3 6 6" xfId="4379"/>
    <cellStyle name="Comma 2 3 6 7" xfId="2295"/>
    <cellStyle name="Comma 2 3 7" xfId="75"/>
    <cellStyle name="Comma 2 3 7 2" xfId="362"/>
    <cellStyle name="Comma 2 3 7 2 2" xfId="876"/>
    <cellStyle name="Comma 2 3 7 2 2 2" xfId="1920"/>
    <cellStyle name="Comma 2 3 7 2 2 2 2" xfId="8172"/>
    <cellStyle name="Comma 2 3 7 2 2 2 3" xfId="6088"/>
    <cellStyle name="Comma 2 3 7 2 2 2 4" xfId="4004"/>
    <cellStyle name="Comma 2 3 7 2 2 3" xfId="7130"/>
    <cellStyle name="Comma 2 3 7 2 2 4" xfId="5046"/>
    <cellStyle name="Comma 2 3 7 2 2 5" xfId="2962"/>
    <cellStyle name="Comma 2 3 7 2 3" xfId="1406"/>
    <cellStyle name="Comma 2 3 7 2 3 2" xfId="7658"/>
    <cellStyle name="Comma 2 3 7 2 3 3" xfId="5574"/>
    <cellStyle name="Comma 2 3 7 2 3 4" xfId="3490"/>
    <cellStyle name="Comma 2 3 7 2 4" xfId="6616"/>
    <cellStyle name="Comma 2 3 7 2 5" xfId="4532"/>
    <cellStyle name="Comma 2 3 7 2 6" xfId="2448"/>
    <cellStyle name="Comma 2 3 7 3" xfId="619"/>
    <cellStyle name="Comma 2 3 7 3 2" xfId="1663"/>
    <cellStyle name="Comma 2 3 7 3 2 2" xfId="7915"/>
    <cellStyle name="Comma 2 3 7 3 2 3" xfId="5831"/>
    <cellStyle name="Comma 2 3 7 3 2 4" xfId="3747"/>
    <cellStyle name="Comma 2 3 7 3 3" xfId="6873"/>
    <cellStyle name="Comma 2 3 7 3 4" xfId="4789"/>
    <cellStyle name="Comma 2 3 7 3 5" xfId="2705"/>
    <cellStyle name="Comma 2 3 7 4" xfId="1135"/>
    <cellStyle name="Comma 2 3 7 4 2" xfId="7389"/>
    <cellStyle name="Comma 2 3 7 4 3" xfId="5305"/>
    <cellStyle name="Comma 2 3 7 4 4" xfId="3221"/>
    <cellStyle name="Comma 2 3 7 5" xfId="6347"/>
    <cellStyle name="Comma 2 3 7 6" xfId="4263"/>
    <cellStyle name="Comma 2 3 7 7" xfId="2179"/>
    <cellStyle name="Comma 2 3 8" xfId="338"/>
    <cellStyle name="Comma 2 3 8 2" xfId="852"/>
    <cellStyle name="Comma 2 3 8 2 2" xfId="1896"/>
    <cellStyle name="Comma 2 3 8 2 2 2" xfId="8148"/>
    <cellStyle name="Comma 2 3 8 2 2 3" xfId="6064"/>
    <cellStyle name="Comma 2 3 8 2 2 4" xfId="3980"/>
    <cellStyle name="Comma 2 3 8 2 3" xfId="7106"/>
    <cellStyle name="Comma 2 3 8 2 4" xfId="5022"/>
    <cellStyle name="Comma 2 3 8 2 5" xfId="2938"/>
    <cellStyle name="Comma 2 3 8 3" xfId="1382"/>
    <cellStyle name="Comma 2 3 8 3 2" xfId="7634"/>
    <cellStyle name="Comma 2 3 8 3 3" xfId="5550"/>
    <cellStyle name="Comma 2 3 8 3 4" xfId="3466"/>
    <cellStyle name="Comma 2 3 8 4" xfId="6592"/>
    <cellStyle name="Comma 2 3 8 5" xfId="4508"/>
    <cellStyle name="Comma 2 3 8 6" xfId="2424"/>
    <cellStyle name="Comma 2 3 9" xfId="595"/>
    <cellStyle name="Comma 2 3 9 2" xfId="1639"/>
    <cellStyle name="Comma 2 3 9 2 2" xfId="7891"/>
    <cellStyle name="Comma 2 3 9 2 3" xfId="5807"/>
    <cellStyle name="Comma 2 3 9 2 4" xfId="3723"/>
    <cellStyle name="Comma 2 3 9 3" xfId="6849"/>
    <cellStyle name="Comma 2 3 9 4" xfId="4765"/>
    <cellStyle name="Comma 2 3 9 5" xfId="2681"/>
    <cellStyle name="Comma 2 4" xfId="59"/>
    <cellStyle name="Comma 2 4 10" xfId="1119"/>
    <cellStyle name="Comma 2 4 10 2" xfId="7373"/>
    <cellStyle name="Comma 2 4 10 3" xfId="5289"/>
    <cellStyle name="Comma 2 4 10 4" xfId="3205"/>
    <cellStyle name="Comma 2 4 11" xfId="6331"/>
    <cellStyle name="Comma 2 4 12" xfId="4247"/>
    <cellStyle name="Comma 2 4 13" xfId="2163"/>
    <cellStyle name="Comma 2 4 2" xfId="92"/>
    <cellStyle name="Comma 2 4 2 10" xfId="4278"/>
    <cellStyle name="Comma 2 4 2 11" xfId="2194"/>
    <cellStyle name="Comma 2 4 2 2" xfId="112"/>
    <cellStyle name="Comma 2 4 2 2 10" xfId="2213"/>
    <cellStyle name="Comma 2 4 2 2 2" xfId="190"/>
    <cellStyle name="Comma 2 4 2 2 2 2" xfId="312"/>
    <cellStyle name="Comma 2 4 2 2 2 2 2" xfId="574"/>
    <cellStyle name="Comma 2 4 2 2 2 2 2 2" xfId="1088"/>
    <cellStyle name="Comma 2 4 2 2 2 2 2 2 2" xfId="2132"/>
    <cellStyle name="Comma 2 4 2 2 2 2 2 2 2 2" xfId="8384"/>
    <cellStyle name="Comma 2 4 2 2 2 2 2 2 2 3" xfId="6300"/>
    <cellStyle name="Comma 2 4 2 2 2 2 2 2 2 4" xfId="4216"/>
    <cellStyle name="Comma 2 4 2 2 2 2 2 2 3" xfId="7342"/>
    <cellStyle name="Comma 2 4 2 2 2 2 2 2 4" xfId="5258"/>
    <cellStyle name="Comma 2 4 2 2 2 2 2 2 5" xfId="3174"/>
    <cellStyle name="Comma 2 4 2 2 2 2 2 3" xfId="1618"/>
    <cellStyle name="Comma 2 4 2 2 2 2 2 3 2" xfId="7870"/>
    <cellStyle name="Comma 2 4 2 2 2 2 2 3 3" xfId="5786"/>
    <cellStyle name="Comma 2 4 2 2 2 2 2 3 4" xfId="3702"/>
    <cellStyle name="Comma 2 4 2 2 2 2 2 4" xfId="6828"/>
    <cellStyle name="Comma 2 4 2 2 2 2 2 5" xfId="4744"/>
    <cellStyle name="Comma 2 4 2 2 2 2 2 6" xfId="2660"/>
    <cellStyle name="Comma 2 4 2 2 2 2 3" xfId="831"/>
    <cellStyle name="Comma 2 4 2 2 2 2 3 2" xfId="1875"/>
    <cellStyle name="Comma 2 4 2 2 2 2 3 2 2" xfId="8127"/>
    <cellStyle name="Comma 2 4 2 2 2 2 3 2 3" xfId="6043"/>
    <cellStyle name="Comma 2 4 2 2 2 2 3 2 4" xfId="3959"/>
    <cellStyle name="Comma 2 4 2 2 2 2 3 3" xfId="7085"/>
    <cellStyle name="Comma 2 4 2 2 2 2 3 4" xfId="5001"/>
    <cellStyle name="Comma 2 4 2 2 2 2 3 5" xfId="2917"/>
    <cellStyle name="Comma 2 4 2 2 2 2 4" xfId="1361"/>
    <cellStyle name="Comma 2 4 2 2 2 2 4 2" xfId="7613"/>
    <cellStyle name="Comma 2 4 2 2 2 2 4 3" xfId="5529"/>
    <cellStyle name="Comma 2 4 2 2 2 2 4 4" xfId="3445"/>
    <cellStyle name="Comma 2 4 2 2 2 2 5" xfId="6571"/>
    <cellStyle name="Comma 2 4 2 2 2 2 6" xfId="4487"/>
    <cellStyle name="Comma 2 4 2 2 2 2 7" xfId="2403"/>
    <cellStyle name="Comma 2 4 2 2 2 3" xfId="466"/>
    <cellStyle name="Comma 2 4 2 2 2 3 2" xfId="980"/>
    <cellStyle name="Comma 2 4 2 2 2 3 2 2" xfId="2024"/>
    <cellStyle name="Comma 2 4 2 2 2 3 2 2 2" xfId="8276"/>
    <cellStyle name="Comma 2 4 2 2 2 3 2 2 3" xfId="6192"/>
    <cellStyle name="Comma 2 4 2 2 2 3 2 2 4" xfId="4108"/>
    <cellStyle name="Comma 2 4 2 2 2 3 2 3" xfId="7234"/>
    <cellStyle name="Comma 2 4 2 2 2 3 2 4" xfId="5150"/>
    <cellStyle name="Comma 2 4 2 2 2 3 2 5" xfId="3066"/>
    <cellStyle name="Comma 2 4 2 2 2 3 3" xfId="1510"/>
    <cellStyle name="Comma 2 4 2 2 2 3 3 2" xfId="7762"/>
    <cellStyle name="Comma 2 4 2 2 2 3 3 3" xfId="5678"/>
    <cellStyle name="Comma 2 4 2 2 2 3 3 4" xfId="3594"/>
    <cellStyle name="Comma 2 4 2 2 2 3 4" xfId="6720"/>
    <cellStyle name="Comma 2 4 2 2 2 3 5" xfId="4636"/>
    <cellStyle name="Comma 2 4 2 2 2 3 6" xfId="2552"/>
    <cellStyle name="Comma 2 4 2 2 2 4" xfId="723"/>
    <cellStyle name="Comma 2 4 2 2 2 4 2" xfId="1767"/>
    <cellStyle name="Comma 2 4 2 2 2 4 2 2" xfId="8019"/>
    <cellStyle name="Comma 2 4 2 2 2 4 2 3" xfId="5935"/>
    <cellStyle name="Comma 2 4 2 2 2 4 2 4" xfId="3851"/>
    <cellStyle name="Comma 2 4 2 2 2 4 3" xfId="6977"/>
    <cellStyle name="Comma 2 4 2 2 2 4 4" xfId="4893"/>
    <cellStyle name="Comma 2 4 2 2 2 4 5" xfId="2809"/>
    <cellStyle name="Comma 2 4 2 2 2 5" xfId="1247"/>
    <cellStyle name="Comma 2 4 2 2 2 5 2" xfId="7499"/>
    <cellStyle name="Comma 2 4 2 2 2 5 3" xfId="5415"/>
    <cellStyle name="Comma 2 4 2 2 2 5 4" xfId="3331"/>
    <cellStyle name="Comma 2 4 2 2 2 6" xfId="6457"/>
    <cellStyle name="Comma 2 4 2 2 2 7" xfId="4373"/>
    <cellStyle name="Comma 2 4 2 2 2 8" xfId="2289"/>
    <cellStyle name="Comma 2 4 2 2 3" xfId="151"/>
    <cellStyle name="Comma 2 4 2 2 3 2" xfId="273"/>
    <cellStyle name="Comma 2 4 2 2 3 2 2" xfId="538"/>
    <cellStyle name="Comma 2 4 2 2 3 2 2 2" xfId="1052"/>
    <cellStyle name="Comma 2 4 2 2 3 2 2 2 2" xfId="2096"/>
    <cellStyle name="Comma 2 4 2 2 3 2 2 2 2 2" xfId="8348"/>
    <cellStyle name="Comma 2 4 2 2 3 2 2 2 2 3" xfId="6264"/>
    <cellStyle name="Comma 2 4 2 2 3 2 2 2 2 4" xfId="4180"/>
    <cellStyle name="Comma 2 4 2 2 3 2 2 2 3" xfId="7306"/>
    <cellStyle name="Comma 2 4 2 2 3 2 2 2 4" xfId="5222"/>
    <cellStyle name="Comma 2 4 2 2 3 2 2 2 5" xfId="3138"/>
    <cellStyle name="Comma 2 4 2 2 3 2 2 3" xfId="1582"/>
    <cellStyle name="Comma 2 4 2 2 3 2 2 3 2" xfId="7834"/>
    <cellStyle name="Comma 2 4 2 2 3 2 2 3 3" xfId="5750"/>
    <cellStyle name="Comma 2 4 2 2 3 2 2 3 4" xfId="3666"/>
    <cellStyle name="Comma 2 4 2 2 3 2 2 4" xfId="6792"/>
    <cellStyle name="Comma 2 4 2 2 3 2 2 5" xfId="4708"/>
    <cellStyle name="Comma 2 4 2 2 3 2 2 6" xfId="2624"/>
    <cellStyle name="Comma 2 4 2 2 3 2 3" xfId="795"/>
    <cellStyle name="Comma 2 4 2 2 3 2 3 2" xfId="1839"/>
    <cellStyle name="Comma 2 4 2 2 3 2 3 2 2" xfId="8091"/>
    <cellStyle name="Comma 2 4 2 2 3 2 3 2 3" xfId="6007"/>
    <cellStyle name="Comma 2 4 2 2 3 2 3 2 4" xfId="3923"/>
    <cellStyle name="Comma 2 4 2 2 3 2 3 3" xfId="7049"/>
    <cellStyle name="Comma 2 4 2 2 3 2 3 4" xfId="4965"/>
    <cellStyle name="Comma 2 4 2 2 3 2 3 5" xfId="2881"/>
    <cellStyle name="Comma 2 4 2 2 3 2 4" xfId="1323"/>
    <cellStyle name="Comma 2 4 2 2 3 2 4 2" xfId="7575"/>
    <cellStyle name="Comma 2 4 2 2 3 2 4 3" xfId="5491"/>
    <cellStyle name="Comma 2 4 2 2 3 2 4 4" xfId="3407"/>
    <cellStyle name="Comma 2 4 2 2 3 2 5" xfId="6533"/>
    <cellStyle name="Comma 2 4 2 2 3 2 6" xfId="4449"/>
    <cellStyle name="Comma 2 4 2 2 3 2 7" xfId="2365"/>
    <cellStyle name="Comma 2 4 2 2 3 3" xfId="430"/>
    <cellStyle name="Comma 2 4 2 2 3 3 2" xfId="944"/>
    <cellStyle name="Comma 2 4 2 2 3 3 2 2" xfId="1988"/>
    <cellStyle name="Comma 2 4 2 2 3 3 2 2 2" xfId="8240"/>
    <cellStyle name="Comma 2 4 2 2 3 3 2 2 3" xfId="6156"/>
    <cellStyle name="Comma 2 4 2 2 3 3 2 2 4" xfId="4072"/>
    <cellStyle name="Comma 2 4 2 2 3 3 2 3" xfId="7198"/>
    <cellStyle name="Comma 2 4 2 2 3 3 2 4" xfId="5114"/>
    <cellStyle name="Comma 2 4 2 2 3 3 2 5" xfId="3030"/>
    <cellStyle name="Comma 2 4 2 2 3 3 3" xfId="1474"/>
    <cellStyle name="Comma 2 4 2 2 3 3 3 2" xfId="7726"/>
    <cellStyle name="Comma 2 4 2 2 3 3 3 3" xfId="5642"/>
    <cellStyle name="Comma 2 4 2 2 3 3 3 4" xfId="3558"/>
    <cellStyle name="Comma 2 4 2 2 3 3 4" xfId="6684"/>
    <cellStyle name="Comma 2 4 2 2 3 3 5" xfId="4600"/>
    <cellStyle name="Comma 2 4 2 2 3 3 6" xfId="2516"/>
    <cellStyle name="Comma 2 4 2 2 3 4" xfId="687"/>
    <cellStyle name="Comma 2 4 2 2 3 4 2" xfId="1731"/>
    <cellStyle name="Comma 2 4 2 2 3 4 2 2" xfId="7983"/>
    <cellStyle name="Comma 2 4 2 2 3 4 2 3" xfId="5899"/>
    <cellStyle name="Comma 2 4 2 2 3 4 2 4" xfId="3815"/>
    <cellStyle name="Comma 2 4 2 2 3 4 3" xfId="6941"/>
    <cellStyle name="Comma 2 4 2 2 3 4 4" xfId="4857"/>
    <cellStyle name="Comma 2 4 2 2 3 4 5" xfId="2773"/>
    <cellStyle name="Comma 2 4 2 2 3 5" xfId="1209"/>
    <cellStyle name="Comma 2 4 2 2 3 5 2" xfId="7461"/>
    <cellStyle name="Comma 2 4 2 2 3 5 3" xfId="5377"/>
    <cellStyle name="Comma 2 4 2 2 3 5 4" xfId="3293"/>
    <cellStyle name="Comma 2 4 2 2 3 6" xfId="6419"/>
    <cellStyle name="Comma 2 4 2 2 3 7" xfId="4335"/>
    <cellStyle name="Comma 2 4 2 2 3 8" xfId="2251"/>
    <cellStyle name="Comma 2 4 2 2 4" xfId="234"/>
    <cellStyle name="Comma 2 4 2 2 4 2" xfId="502"/>
    <cellStyle name="Comma 2 4 2 2 4 2 2" xfId="1016"/>
    <cellStyle name="Comma 2 4 2 2 4 2 2 2" xfId="2060"/>
    <cellStyle name="Comma 2 4 2 2 4 2 2 2 2" xfId="8312"/>
    <cellStyle name="Comma 2 4 2 2 4 2 2 2 3" xfId="6228"/>
    <cellStyle name="Comma 2 4 2 2 4 2 2 2 4" xfId="4144"/>
    <cellStyle name="Comma 2 4 2 2 4 2 2 3" xfId="7270"/>
    <cellStyle name="Comma 2 4 2 2 4 2 2 4" xfId="5186"/>
    <cellStyle name="Comma 2 4 2 2 4 2 2 5" xfId="3102"/>
    <cellStyle name="Comma 2 4 2 2 4 2 3" xfId="1546"/>
    <cellStyle name="Comma 2 4 2 2 4 2 3 2" xfId="7798"/>
    <cellStyle name="Comma 2 4 2 2 4 2 3 3" xfId="5714"/>
    <cellStyle name="Comma 2 4 2 2 4 2 3 4" xfId="3630"/>
    <cellStyle name="Comma 2 4 2 2 4 2 4" xfId="6756"/>
    <cellStyle name="Comma 2 4 2 2 4 2 5" xfId="4672"/>
    <cellStyle name="Comma 2 4 2 2 4 2 6" xfId="2588"/>
    <cellStyle name="Comma 2 4 2 2 4 3" xfId="759"/>
    <cellStyle name="Comma 2 4 2 2 4 3 2" xfId="1803"/>
    <cellStyle name="Comma 2 4 2 2 4 3 2 2" xfId="8055"/>
    <cellStyle name="Comma 2 4 2 2 4 3 2 3" xfId="5971"/>
    <cellStyle name="Comma 2 4 2 2 4 3 2 4" xfId="3887"/>
    <cellStyle name="Comma 2 4 2 2 4 3 3" xfId="7013"/>
    <cellStyle name="Comma 2 4 2 2 4 3 4" xfId="4929"/>
    <cellStyle name="Comma 2 4 2 2 4 3 5" xfId="2845"/>
    <cellStyle name="Comma 2 4 2 2 4 4" xfId="1285"/>
    <cellStyle name="Comma 2 4 2 2 4 4 2" xfId="7537"/>
    <cellStyle name="Comma 2 4 2 2 4 4 3" xfId="5453"/>
    <cellStyle name="Comma 2 4 2 2 4 4 4" xfId="3369"/>
    <cellStyle name="Comma 2 4 2 2 4 5" xfId="6495"/>
    <cellStyle name="Comma 2 4 2 2 4 6" xfId="4411"/>
    <cellStyle name="Comma 2 4 2 2 4 7" xfId="2327"/>
    <cellStyle name="Comma 2 4 2 2 5" xfId="394"/>
    <cellStyle name="Comma 2 4 2 2 5 2" xfId="908"/>
    <cellStyle name="Comma 2 4 2 2 5 2 2" xfId="1952"/>
    <cellStyle name="Comma 2 4 2 2 5 2 2 2" xfId="8204"/>
    <cellStyle name="Comma 2 4 2 2 5 2 2 3" xfId="6120"/>
    <cellStyle name="Comma 2 4 2 2 5 2 2 4" xfId="4036"/>
    <cellStyle name="Comma 2 4 2 2 5 2 3" xfId="7162"/>
    <cellStyle name="Comma 2 4 2 2 5 2 4" xfId="5078"/>
    <cellStyle name="Comma 2 4 2 2 5 2 5" xfId="2994"/>
    <cellStyle name="Comma 2 4 2 2 5 3" xfId="1438"/>
    <cellStyle name="Comma 2 4 2 2 5 3 2" xfId="7690"/>
    <cellStyle name="Comma 2 4 2 2 5 3 3" xfId="5606"/>
    <cellStyle name="Comma 2 4 2 2 5 3 4" xfId="3522"/>
    <cellStyle name="Comma 2 4 2 2 5 4" xfId="6648"/>
    <cellStyle name="Comma 2 4 2 2 5 5" xfId="4564"/>
    <cellStyle name="Comma 2 4 2 2 5 6" xfId="2480"/>
    <cellStyle name="Comma 2 4 2 2 6" xfId="651"/>
    <cellStyle name="Comma 2 4 2 2 6 2" xfId="1695"/>
    <cellStyle name="Comma 2 4 2 2 6 2 2" xfId="7947"/>
    <cellStyle name="Comma 2 4 2 2 6 2 3" xfId="5863"/>
    <cellStyle name="Comma 2 4 2 2 6 2 4" xfId="3779"/>
    <cellStyle name="Comma 2 4 2 2 6 3" xfId="6905"/>
    <cellStyle name="Comma 2 4 2 2 6 4" xfId="4821"/>
    <cellStyle name="Comma 2 4 2 2 6 5" xfId="2737"/>
    <cellStyle name="Comma 2 4 2 2 7" xfId="1171"/>
    <cellStyle name="Comma 2 4 2 2 7 2" xfId="7423"/>
    <cellStyle name="Comma 2 4 2 2 7 3" xfId="5339"/>
    <cellStyle name="Comma 2 4 2 2 7 4" xfId="3255"/>
    <cellStyle name="Comma 2 4 2 2 8" xfId="6381"/>
    <cellStyle name="Comma 2 4 2 2 9" xfId="4297"/>
    <cellStyle name="Comma 2 4 2 3" xfId="170"/>
    <cellStyle name="Comma 2 4 2 3 2" xfId="292"/>
    <cellStyle name="Comma 2 4 2 3 2 2" xfId="556"/>
    <cellStyle name="Comma 2 4 2 3 2 2 2" xfId="1070"/>
    <cellStyle name="Comma 2 4 2 3 2 2 2 2" xfId="2114"/>
    <cellStyle name="Comma 2 4 2 3 2 2 2 2 2" xfId="8366"/>
    <cellStyle name="Comma 2 4 2 3 2 2 2 2 3" xfId="6282"/>
    <cellStyle name="Comma 2 4 2 3 2 2 2 2 4" xfId="4198"/>
    <cellStyle name="Comma 2 4 2 3 2 2 2 3" xfId="7324"/>
    <cellStyle name="Comma 2 4 2 3 2 2 2 4" xfId="5240"/>
    <cellStyle name="Comma 2 4 2 3 2 2 2 5" xfId="3156"/>
    <cellStyle name="Comma 2 4 2 3 2 2 3" xfId="1600"/>
    <cellStyle name="Comma 2 4 2 3 2 2 3 2" xfId="7852"/>
    <cellStyle name="Comma 2 4 2 3 2 2 3 3" xfId="5768"/>
    <cellStyle name="Comma 2 4 2 3 2 2 3 4" xfId="3684"/>
    <cellStyle name="Comma 2 4 2 3 2 2 4" xfId="6810"/>
    <cellStyle name="Comma 2 4 2 3 2 2 5" xfId="4726"/>
    <cellStyle name="Comma 2 4 2 3 2 2 6" xfId="2642"/>
    <cellStyle name="Comma 2 4 2 3 2 3" xfId="813"/>
    <cellStyle name="Comma 2 4 2 3 2 3 2" xfId="1857"/>
    <cellStyle name="Comma 2 4 2 3 2 3 2 2" xfId="8109"/>
    <cellStyle name="Comma 2 4 2 3 2 3 2 3" xfId="6025"/>
    <cellStyle name="Comma 2 4 2 3 2 3 2 4" xfId="3941"/>
    <cellStyle name="Comma 2 4 2 3 2 3 3" xfId="7067"/>
    <cellStyle name="Comma 2 4 2 3 2 3 4" xfId="4983"/>
    <cellStyle name="Comma 2 4 2 3 2 3 5" xfId="2899"/>
    <cellStyle name="Comma 2 4 2 3 2 4" xfId="1342"/>
    <cellStyle name="Comma 2 4 2 3 2 4 2" xfId="7594"/>
    <cellStyle name="Comma 2 4 2 3 2 4 3" xfId="5510"/>
    <cellStyle name="Comma 2 4 2 3 2 4 4" xfId="3426"/>
    <cellStyle name="Comma 2 4 2 3 2 5" xfId="6552"/>
    <cellStyle name="Comma 2 4 2 3 2 6" xfId="4468"/>
    <cellStyle name="Comma 2 4 2 3 2 7" xfId="2384"/>
    <cellStyle name="Comma 2 4 2 3 3" xfId="448"/>
    <cellStyle name="Comma 2 4 2 3 3 2" xfId="962"/>
    <cellStyle name="Comma 2 4 2 3 3 2 2" xfId="2006"/>
    <cellStyle name="Comma 2 4 2 3 3 2 2 2" xfId="8258"/>
    <cellStyle name="Comma 2 4 2 3 3 2 2 3" xfId="6174"/>
    <cellStyle name="Comma 2 4 2 3 3 2 2 4" xfId="4090"/>
    <cellStyle name="Comma 2 4 2 3 3 2 3" xfId="7216"/>
    <cellStyle name="Comma 2 4 2 3 3 2 4" xfId="5132"/>
    <cellStyle name="Comma 2 4 2 3 3 2 5" xfId="3048"/>
    <cellStyle name="Comma 2 4 2 3 3 3" xfId="1492"/>
    <cellStyle name="Comma 2 4 2 3 3 3 2" xfId="7744"/>
    <cellStyle name="Comma 2 4 2 3 3 3 3" xfId="5660"/>
    <cellStyle name="Comma 2 4 2 3 3 3 4" xfId="3576"/>
    <cellStyle name="Comma 2 4 2 3 3 4" xfId="6702"/>
    <cellStyle name="Comma 2 4 2 3 3 5" xfId="4618"/>
    <cellStyle name="Comma 2 4 2 3 3 6" xfId="2534"/>
    <cellStyle name="Comma 2 4 2 3 4" xfId="705"/>
    <cellStyle name="Comma 2 4 2 3 4 2" xfId="1749"/>
    <cellStyle name="Comma 2 4 2 3 4 2 2" xfId="8001"/>
    <cellStyle name="Comma 2 4 2 3 4 2 3" xfId="5917"/>
    <cellStyle name="Comma 2 4 2 3 4 2 4" xfId="3833"/>
    <cellStyle name="Comma 2 4 2 3 4 3" xfId="6959"/>
    <cellStyle name="Comma 2 4 2 3 4 4" xfId="4875"/>
    <cellStyle name="Comma 2 4 2 3 4 5" xfId="2791"/>
    <cellStyle name="Comma 2 4 2 3 5" xfId="1228"/>
    <cellStyle name="Comma 2 4 2 3 5 2" xfId="7480"/>
    <cellStyle name="Comma 2 4 2 3 5 3" xfId="5396"/>
    <cellStyle name="Comma 2 4 2 3 5 4" xfId="3312"/>
    <cellStyle name="Comma 2 4 2 3 6" xfId="6438"/>
    <cellStyle name="Comma 2 4 2 3 7" xfId="4354"/>
    <cellStyle name="Comma 2 4 2 3 8" xfId="2270"/>
    <cellStyle name="Comma 2 4 2 4" xfId="132"/>
    <cellStyle name="Comma 2 4 2 4 2" xfId="254"/>
    <cellStyle name="Comma 2 4 2 4 2 2" xfId="520"/>
    <cellStyle name="Comma 2 4 2 4 2 2 2" xfId="1034"/>
    <cellStyle name="Comma 2 4 2 4 2 2 2 2" xfId="2078"/>
    <cellStyle name="Comma 2 4 2 4 2 2 2 2 2" xfId="8330"/>
    <cellStyle name="Comma 2 4 2 4 2 2 2 2 3" xfId="6246"/>
    <cellStyle name="Comma 2 4 2 4 2 2 2 2 4" xfId="4162"/>
    <cellStyle name="Comma 2 4 2 4 2 2 2 3" xfId="7288"/>
    <cellStyle name="Comma 2 4 2 4 2 2 2 4" xfId="5204"/>
    <cellStyle name="Comma 2 4 2 4 2 2 2 5" xfId="3120"/>
    <cellStyle name="Comma 2 4 2 4 2 2 3" xfId="1564"/>
    <cellStyle name="Comma 2 4 2 4 2 2 3 2" xfId="7816"/>
    <cellStyle name="Comma 2 4 2 4 2 2 3 3" xfId="5732"/>
    <cellStyle name="Comma 2 4 2 4 2 2 3 4" xfId="3648"/>
    <cellStyle name="Comma 2 4 2 4 2 2 4" xfId="6774"/>
    <cellStyle name="Comma 2 4 2 4 2 2 5" xfId="4690"/>
    <cellStyle name="Comma 2 4 2 4 2 2 6" xfId="2606"/>
    <cellStyle name="Comma 2 4 2 4 2 3" xfId="777"/>
    <cellStyle name="Comma 2 4 2 4 2 3 2" xfId="1821"/>
    <cellStyle name="Comma 2 4 2 4 2 3 2 2" xfId="8073"/>
    <cellStyle name="Comma 2 4 2 4 2 3 2 3" xfId="5989"/>
    <cellStyle name="Comma 2 4 2 4 2 3 2 4" xfId="3905"/>
    <cellStyle name="Comma 2 4 2 4 2 3 3" xfId="7031"/>
    <cellStyle name="Comma 2 4 2 4 2 3 4" xfId="4947"/>
    <cellStyle name="Comma 2 4 2 4 2 3 5" xfId="2863"/>
    <cellStyle name="Comma 2 4 2 4 2 4" xfId="1304"/>
    <cellStyle name="Comma 2 4 2 4 2 4 2" xfId="7556"/>
    <cellStyle name="Comma 2 4 2 4 2 4 3" xfId="5472"/>
    <cellStyle name="Comma 2 4 2 4 2 4 4" xfId="3388"/>
    <cellStyle name="Comma 2 4 2 4 2 5" xfId="6514"/>
    <cellStyle name="Comma 2 4 2 4 2 6" xfId="4430"/>
    <cellStyle name="Comma 2 4 2 4 2 7" xfId="2346"/>
    <cellStyle name="Comma 2 4 2 4 3" xfId="412"/>
    <cellStyle name="Comma 2 4 2 4 3 2" xfId="926"/>
    <cellStyle name="Comma 2 4 2 4 3 2 2" xfId="1970"/>
    <cellStyle name="Comma 2 4 2 4 3 2 2 2" xfId="8222"/>
    <cellStyle name="Comma 2 4 2 4 3 2 2 3" xfId="6138"/>
    <cellStyle name="Comma 2 4 2 4 3 2 2 4" xfId="4054"/>
    <cellStyle name="Comma 2 4 2 4 3 2 3" xfId="7180"/>
    <cellStyle name="Comma 2 4 2 4 3 2 4" xfId="5096"/>
    <cellStyle name="Comma 2 4 2 4 3 2 5" xfId="3012"/>
    <cellStyle name="Comma 2 4 2 4 3 3" xfId="1456"/>
    <cellStyle name="Comma 2 4 2 4 3 3 2" xfId="7708"/>
    <cellStyle name="Comma 2 4 2 4 3 3 3" xfId="5624"/>
    <cellStyle name="Comma 2 4 2 4 3 3 4" xfId="3540"/>
    <cellStyle name="Comma 2 4 2 4 3 4" xfId="6666"/>
    <cellStyle name="Comma 2 4 2 4 3 5" xfId="4582"/>
    <cellStyle name="Comma 2 4 2 4 3 6" xfId="2498"/>
    <cellStyle name="Comma 2 4 2 4 4" xfId="669"/>
    <cellStyle name="Comma 2 4 2 4 4 2" xfId="1713"/>
    <cellStyle name="Comma 2 4 2 4 4 2 2" xfId="7965"/>
    <cellStyle name="Comma 2 4 2 4 4 2 3" xfId="5881"/>
    <cellStyle name="Comma 2 4 2 4 4 2 4" xfId="3797"/>
    <cellStyle name="Comma 2 4 2 4 4 3" xfId="6923"/>
    <cellStyle name="Comma 2 4 2 4 4 4" xfId="4839"/>
    <cellStyle name="Comma 2 4 2 4 4 5" xfId="2755"/>
    <cellStyle name="Comma 2 4 2 4 5" xfId="1190"/>
    <cellStyle name="Comma 2 4 2 4 5 2" xfId="7442"/>
    <cellStyle name="Comma 2 4 2 4 5 3" xfId="5358"/>
    <cellStyle name="Comma 2 4 2 4 5 4" xfId="3274"/>
    <cellStyle name="Comma 2 4 2 4 6" xfId="6400"/>
    <cellStyle name="Comma 2 4 2 4 7" xfId="4316"/>
    <cellStyle name="Comma 2 4 2 4 8" xfId="2232"/>
    <cellStyle name="Comma 2 4 2 5" xfId="214"/>
    <cellStyle name="Comma 2 4 2 5 2" xfId="484"/>
    <cellStyle name="Comma 2 4 2 5 2 2" xfId="998"/>
    <cellStyle name="Comma 2 4 2 5 2 2 2" xfId="2042"/>
    <cellStyle name="Comma 2 4 2 5 2 2 2 2" xfId="8294"/>
    <cellStyle name="Comma 2 4 2 5 2 2 2 3" xfId="6210"/>
    <cellStyle name="Comma 2 4 2 5 2 2 2 4" xfId="4126"/>
    <cellStyle name="Comma 2 4 2 5 2 2 3" xfId="7252"/>
    <cellStyle name="Comma 2 4 2 5 2 2 4" xfId="5168"/>
    <cellStyle name="Comma 2 4 2 5 2 2 5" xfId="3084"/>
    <cellStyle name="Comma 2 4 2 5 2 3" xfId="1528"/>
    <cellStyle name="Comma 2 4 2 5 2 3 2" xfId="7780"/>
    <cellStyle name="Comma 2 4 2 5 2 3 3" xfId="5696"/>
    <cellStyle name="Comma 2 4 2 5 2 3 4" xfId="3612"/>
    <cellStyle name="Comma 2 4 2 5 2 4" xfId="6738"/>
    <cellStyle name="Comma 2 4 2 5 2 5" xfId="4654"/>
    <cellStyle name="Comma 2 4 2 5 2 6" xfId="2570"/>
    <cellStyle name="Comma 2 4 2 5 3" xfId="741"/>
    <cellStyle name="Comma 2 4 2 5 3 2" xfId="1785"/>
    <cellStyle name="Comma 2 4 2 5 3 2 2" xfId="8037"/>
    <cellStyle name="Comma 2 4 2 5 3 2 3" xfId="5953"/>
    <cellStyle name="Comma 2 4 2 5 3 2 4" xfId="3869"/>
    <cellStyle name="Comma 2 4 2 5 3 3" xfId="6995"/>
    <cellStyle name="Comma 2 4 2 5 3 4" xfId="4911"/>
    <cellStyle name="Comma 2 4 2 5 3 5" xfId="2827"/>
    <cellStyle name="Comma 2 4 2 5 4" xfId="1266"/>
    <cellStyle name="Comma 2 4 2 5 4 2" xfId="7518"/>
    <cellStyle name="Comma 2 4 2 5 4 3" xfId="5434"/>
    <cellStyle name="Comma 2 4 2 5 4 4" xfId="3350"/>
    <cellStyle name="Comma 2 4 2 5 5" xfId="6476"/>
    <cellStyle name="Comma 2 4 2 5 6" xfId="4392"/>
    <cellStyle name="Comma 2 4 2 5 7" xfId="2308"/>
    <cellStyle name="Comma 2 4 2 6" xfId="376"/>
    <cellStyle name="Comma 2 4 2 6 2" xfId="890"/>
    <cellStyle name="Comma 2 4 2 6 2 2" xfId="1934"/>
    <cellStyle name="Comma 2 4 2 6 2 2 2" xfId="8186"/>
    <cellStyle name="Comma 2 4 2 6 2 2 3" xfId="6102"/>
    <cellStyle name="Comma 2 4 2 6 2 2 4" xfId="4018"/>
    <cellStyle name="Comma 2 4 2 6 2 3" xfId="7144"/>
    <cellStyle name="Comma 2 4 2 6 2 4" xfId="5060"/>
    <cellStyle name="Comma 2 4 2 6 2 5" xfId="2976"/>
    <cellStyle name="Comma 2 4 2 6 3" xfId="1420"/>
    <cellStyle name="Comma 2 4 2 6 3 2" xfId="7672"/>
    <cellStyle name="Comma 2 4 2 6 3 3" xfId="5588"/>
    <cellStyle name="Comma 2 4 2 6 3 4" xfId="3504"/>
    <cellStyle name="Comma 2 4 2 6 4" xfId="6630"/>
    <cellStyle name="Comma 2 4 2 6 5" xfId="4546"/>
    <cellStyle name="Comma 2 4 2 6 6" xfId="2462"/>
    <cellStyle name="Comma 2 4 2 7" xfId="633"/>
    <cellStyle name="Comma 2 4 2 7 2" xfId="1677"/>
    <cellStyle name="Comma 2 4 2 7 2 2" xfId="7929"/>
    <cellStyle name="Comma 2 4 2 7 2 3" xfId="5845"/>
    <cellStyle name="Comma 2 4 2 7 2 4" xfId="3761"/>
    <cellStyle name="Comma 2 4 2 7 3" xfId="6887"/>
    <cellStyle name="Comma 2 4 2 7 4" xfId="4803"/>
    <cellStyle name="Comma 2 4 2 7 5" xfId="2719"/>
    <cellStyle name="Comma 2 4 2 8" xfId="1152"/>
    <cellStyle name="Comma 2 4 2 8 2" xfId="7404"/>
    <cellStyle name="Comma 2 4 2 8 3" xfId="5320"/>
    <cellStyle name="Comma 2 4 2 8 4" xfId="3236"/>
    <cellStyle name="Comma 2 4 2 9" xfId="6362"/>
    <cellStyle name="Comma 2 4 3" xfId="102"/>
    <cellStyle name="Comma 2 4 3 10" xfId="2203"/>
    <cellStyle name="Comma 2 4 3 2" xfId="180"/>
    <cellStyle name="Comma 2 4 3 2 2" xfId="302"/>
    <cellStyle name="Comma 2 4 3 2 2 2" xfId="565"/>
    <cellStyle name="Comma 2 4 3 2 2 2 2" xfId="1079"/>
    <cellStyle name="Comma 2 4 3 2 2 2 2 2" xfId="2123"/>
    <cellStyle name="Comma 2 4 3 2 2 2 2 2 2" xfId="8375"/>
    <cellStyle name="Comma 2 4 3 2 2 2 2 2 3" xfId="6291"/>
    <cellStyle name="Comma 2 4 3 2 2 2 2 2 4" xfId="4207"/>
    <cellStyle name="Comma 2 4 3 2 2 2 2 3" xfId="7333"/>
    <cellStyle name="Comma 2 4 3 2 2 2 2 4" xfId="5249"/>
    <cellStyle name="Comma 2 4 3 2 2 2 2 5" xfId="3165"/>
    <cellStyle name="Comma 2 4 3 2 2 2 3" xfId="1609"/>
    <cellStyle name="Comma 2 4 3 2 2 2 3 2" xfId="7861"/>
    <cellStyle name="Comma 2 4 3 2 2 2 3 3" xfId="5777"/>
    <cellStyle name="Comma 2 4 3 2 2 2 3 4" xfId="3693"/>
    <cellStyle name="Comma 2 4 3 2 2 2 4" xfId="6819"/>
    <cellStyle name="Comma 2 4 3 2 2 2 5" xfId="4735"/>
    <cellStyle name="Comma 2 4 3 2 2 2 6" xfId="2651"/>
    <cellStyle name="Comma 2 4 3 2 2 3" xfId="822"/>
    <cellStyle name="Comma 2 4 3 2 2 3 2" xfId="1866"/>
    <cellStyle name="Comma 2 4 3 2 2 3 2 2" xfId="8118"/>
    <cellStyle name="Comma 2 4 3 2 2 3 2 3" xfId="6034"/>
    <cellStyle name="Comma 2 4 3 2 2 3 2 4" xfId="3950"/>
    <cellStyle name="Comma 2 4 3 2 2 3 3" xfId="7076"/>
    <cellStyle name="Comma 2 4 3 2 2 3 4" xfId="4992"/>
    <cellStyle name="Comma 2 4 3 2 2 3 5" xfId="2908"/>
    <cellStyle name="Comma 2 4 3 2 2 4" xfId="1351"/>
    <cellStyle name="Comma 2 4 3 2 2 4 2" xfId="7603"/>
    <cellStyle name="Comma 2 4 3 2 2 4 3" xfId="5519"/>
    <cellStyle name="Comma 2 4 3 2 2 4 4" xfId="3435"/>
    <cellStyle name="Comma 2 4 3 2 2 5" xfId="6561"/>
    <cellStyle name="Comma 2 4 3 2 2 6" xfId="4477"/>
    <cellStyle name="Comma 2 4 3 2 2 7" xfId="2393"/>
    <cellStyle name="Comma 2 4 3 2 3" xfId="457"/>
    <cellStyle name="Comma 2 4 3 2 3 2" xfId="971"/>
    <cellStyle name="Comma 2 4 3 2 3 2 2" xfId="2015"/>
    <cellStyle name="Comma 2 4 3 2 3 2 2 2" xfId="8267"/>
    <cellStyle name="Comma 2 4 3 2 3 2 2 3" xfId="6183"/>
    <cellStyle name="Comma 2 4 3 2 3 2 2 4" xfId="4099"/>
    <cellStyle name="Comma 2 4 3 2 3 2 3" xfId="7225"/>
    <cellStyle name="Comma 2 4 3 2 3 2 4" xfId="5141"/>
    <cellStyle name="Comma 2 4 3 2 3 2 5" xfId="3057"/>
    <cellStyle name="Comma 2 4 3 2 3 3" xfId="1501"/>
    <cellStyle name="Comma 2 4 3 2 3 3 2" xfId="7753"/>
    <cellStyle name="Comma 2 4 3 2 3 3 3" xfId="5669"/>
    <cellStyle name="Comma 2 4 3 2 3 3 4" xfId="3585"/>
    <cellStyle name="Comma 2 4 3 2 3 4" xfId="6711"/>
    <cellStyle name="Comma 2 4 3 2 3 5" xfId="4627"/>
    <cellStyle name="Comma 2 4 3 2 3 6" xfId="2543"/>
    <cellStyle name="Comma 2 4 3 2 4" xfId="714"/>
    <cellStyle name="Comma 2 4 3 2 4 2" xfId="1758"/>
    <cellStyle name="Comma 2 4 3 2 4 2 2" xfId="8010"/>
    <cellStyle name="Comma 2 4 3 2 4 2 3" xfId="5926"/>
    <cellStyle name="Comma 2 4 3 2 4 2 4" xfId="3842"/>
    <cellStyle name="Comma 2 4 3 2 4 3" xfId="6968"/>
    <cellStyle name="Comma 2 4 3 2 4 4" xfId="4884"/>
    <cellStyle name="Comma 2 4 3 2 4 5" xfId="2800"/>
    <cellStyle name="Comma 2 4 3 2 5" xfId="1237"/>
    <cellStyle name="Comma 2 4 3 2 5 2" xfId="7489"/>
    <cellStyle name="Comma 2 4 3 2 5 3" xfId="5405"/>
    <cellStyle name="Comma 2 4 3 2 5 4" xfId="3321"/>
    <cellStyle name="Comma 2 4 3 2 6" xfId="6447"/>
    <cellStyle name="Comma 2 4 3 2 7" xfId="4363"/>
    <cellStyle name="Comma 2 4 3 2 8" xfId="2279"/>
    <cellStyle name="Comma 2 4 3 3" xfId="141"/>
    <cellStyle name="Comma 2 4 3 3 2" xfId="263"/>
    <cellStyle name="Comma 2 4 3 3 2 2" xfId="529"/>
    <cellStyle name="Comma 2 4 3 3 2 2 2" xfId="1043"/>
    <cellStyle name="Comma 2 4 3 3 2 2 2 2" xfId="2087"/>
    <cellStyle name="Comma 2 4 3 3 2 2 2 2 2" xfId="8339"/>
    <cellStyle name="Comma 2 4 3 3 2 2 2 2 3" xfId="6255"/>
    <cellStyle name="Comma 2 4 3 3 2 2 2 2 4" xfId="4171"/>
    <cellStyle name="Comma 2 4 3 3 2 2 2 3" xfId="7297"/>
    <cellStyle name="Comma 2 4 3 3 2 2 2 4" xfId="5213"/>
    <cellStyle name="Comma 2 4 3 3 2 2 2 5" xfId="3129"/>
    <cellStyle name="Comma 2 4 3 3 2 2 3" xfId="1573"/>
    <cellStyle name="Comma 2 4 3 3 2 2 3 2" xfId="7825"/>
    <cellStyle name="Comma 2 4 3 3 2 2 3 3" xfId="5741"/>
    <cellStyle name="Comma 2 4 3 3 2 2 3 4" xfId="3657"/>
    <cellStyle name="Comma 2 4 3 3 2 2 4" xfId="6783"/>
    <cellStyle name="Comma 2 4 3 3 2 2 5" xfId="4699"/>
    <cellStyle name="Comma 2 4 3 3 2 2 6" xfId="2615"/>
    <cellStyle name="Comma 2 4 3 3 2 3" xfId="786"/>
    <cellStyle name="Comma 2 4 3 3 2 3 2" xfId="1830"/>
    <cellStyle name="Comma 2 4 3 3 2 3 2 2" xfId="8082"/>
    <cellStyle name="Comma 2 4 3 3 2 3 2 3" xfId="5998"/>
    <cellStyle name="Comma 2 4 3 3 2 3 2 4" xfId="3914"/>
    <cellStyle name="Comma 2 4 3 3 2 3 3" xfId="7040"/>
    <cellStyle name="Comma 2 4 3 3 2 3 4" xfId="4956"/>
    <cellStyle name="Comma 2 4 3 3 2 3 5" xfId="2872"/>
    <cellStyle name="Comma 2 4 3 3 2 4" xfId="1313"/>
    <cellStyle name="Comma 2 4 3 3 2 4 2" xfId="7565"/>
    <cellStyle name="Comma 2 4 3 3 2 4 3" xfId="5481"/>
    <cellStyle name="Comma 2 4 3 3 2 4 4" xfId="3397"/>
    <cellStyle name="Comma 2 4 3 3 2 5" xfId="6523"/>
    <cellStyle name="Comma 2 4 3 3 2 6" xfId="4439"/>
    <cellStyle name="Comma 2 4 3 3 2 7" xfId="2355"/>
    <cellStyle name="Comma 2 4 3 3 3" xfId="421"/>
    <cellStyle name="Comma 2 4 3 3 3 2" xfId="935"/>
    <cellStyle name="Comma 2 4 3 3 3 2 2" xfId="1979"/>
    <cellStyle name="Comma 2 4 3 3 3 2 2 2" xfId="8231"/>
    <cellStyle name="Comma 2 4 3 3 3 2 2 3" xfId="6147"/>
    <cellStyle name="Comma 2 4 3 3 3 2 2 4" xfId="4063"/>
    <cellStyle name="Comma 2 4 3 3 3 2 3" xfId="7189"/>
    <cellStyle name="Comma 2 4 3 3 3 2 4" xfId="5105"/>
    <cellStyle name="Comma 2 4 3 3 3 2 5" xfId="3021"/>
    <cellStyle name="Comma 2 4 3 3 3 3" xfId="1465"/>
    <cellStyle name="Comma 2 4 3 3 3 3 2" xfId="7717"/>
    <cellStyle name="Comma 2 4 3 3 3 3 3" xfId="5633"/>
    <cellStyle name="Comma 2 4 3 3 3 3 4" xfId="3549"/>
    <cellStyle name="Comma 2 4 3 3 3 4" xfId="6675"/>
    <cellStyle name="Comma 2 4 3 3 3 5" xfId="4591"/>
    <cellStyle name="Comma 2 4 3 3 3 6" xfId="2507"/>
    <cellStyle name="Comma 2 4 3 3 4" xfId="678"/>
    <cellStyle name="Comma 2 4 3 3 4 2" xfId="1722"/>
    <cellStyle name="Comma 2 4 3 3 4 2 2" xfId="7974"/>
    <cellStyle name="Comma 2 4 3 3 4 2 3" xfId="5890"/>
    <cellStyle name="Comma 2 4 3 3 4 2 4" xfId="3806"/>
    <cellStyle name="Comma 2 4 3 3 4 3" xfId="6932"/>
    <cellStyle name="Comma 2 4 3 3 4 4" xfId="4848"/>
    <cellStyle name="Comma 2 4 3 3 4 5" xfId="2764"/>
    <cellStyle name="Comma 2 4 3 3 5" xfId="1199"/>
    <cellStyle name="Comma 2 4 3 3 5 2" xfId="7451"/>
    <cellStyle name="Comma 2 4 3 3 5 3" xfId="5367"/>
    <cellStyle name="Comma 2 4 3 3 5 4" xfId="3283"/>
    <cellStyle name="Comma 2 4 3 3 6" xfId="6409"/>
    <cellStyle name="Comma 2 4 3 3 7" xfId="4325"/>
    <cellStyle name="Comma 2 4 3 3 8" xfId="2241"/>
    <cellStyle name="Comma 2 4 3 4" xfId="224"/>
    <cellStyle name="Comma 2 4 3 4 2" xfId="493"/>
    <cellStyle name="Comma 2 4 3 4 2 2" xfId="1007"/>
    <cellStyle name="Comma 2 4 3 4 2 2 2" xfId="2051"/>
    <cellStyle name="Comma 2 4 3 4 2 2 2 2" xfId="8303"/>
    <cellStyle name="Comma 2 4 3 4 2 2 2 3" xfId="6219"/>
    <cellStyle name="Comma 2 4 3 4 2 2 2 4" xfId="4135"/>
    <cellStyle name="Comma 2 4 3 4 2 2 3" xfId="7261"/>
    <cellStyle name="Comma 2 4 3 4 2 2 4" xfId="5177"/>
    <cellStyle name="Comma 2 4 3 4 2 2 5" xfId="3093"/>
    <cellStyle name="Comma 2 4 3 4 2 3" xfId="1537"/>
    <cellStyle name="Comma 2 4 3 4 2 3 2" xfId="7789"/>
    <cellStyle name="Comma 2 4 3 4 2 3 3" xfId="5705"/>
    <cellStyle name="Comma 2 4 3 4 2 3 4" xfId="3621"/>
    <cellStyle name="Comma 2 4 3 4 2 4" xfId="6747"/>
    <cellStyle name="Comma 2 4 3 4 2 5" xfId="4663"/>
    <cellStyle name="Comma 2 4 3 4 2 6" xfId="2579"/>
    <cellStyle name="Comma 2 4 3 4 3" xfId="750"/>
    <cellStyle name="Comma 2 4 3 4 3 2" xfId="1794"/>
    <cellStyle name="Comma 2 4 3 4 3 2 2" xfId="8046"/>
    <cellStyle name="Comma 2 4 3 4 3 2 3" xfId="5962"/>
    <cellStyle name="Comma 2 4 3 4 3 2 4" xfId="3878"/>
    <cellStyle name="Comma 2 4 3 4 3 3" xfId="7004"/>
    <cellStyle name="Comma 2 4 3 4 3 4" xfId="4920"/>
    <cellStyle name="Comma 2 4 3 4 3 5" xfId="2836"/>
    <cellStyle name="Comma 2 4 3 4 4" xfId="1275"/>
    <cellStyle name="Comma 2 4 3 4 4 2" xfId="7527"/>
    <cellStyle name="Comma 2 4 3 4 4 3" xfId="5443"/>
    <cellStyle name="Comma 2 4 3 4 4 4" xfId="3359"/>
    <cellStyle name="Comma 2 4 3 4 5" xfId="6485"/>
    <cellStyle name="Comma 2 4 3 4 6" xfId="4401"/>
    <cellStyle name="Comma 2 4 3 4 7" xfId="2317"/>
    <cellStyle name="Comma 2 4 3 5" xfId="385"/>
    <cellStyle name="Comma 2 4 3 5 2" xfId="899"/>
    <cellStyle name="Comma 2 4 3 5 2 2" xfId="1943"/>
    <cellStyle name="Comma 2 4 3 5 2 2 2" xfId="8195"/>
    <cellStyle name="Comma 2 4 3 5 2 2 3" xfId="6111"/>
    <cellStyle name="Comma 2 4 3 5 2 2 4" xfId="4027"/>
    <cellStyle name="Comma 2 4 3 5 2 3" xfId="7153"/>
    <cellStyle name="Comma 2 4 3 5 2 4" xfId="5069"/>
    <cellStyle name="Comma 2 4 3 5 2 5" xfId="2985"/>
    <cellStyle name="Comma 2 4 3 5 3" xfId="1429"/>
    <cellStyle name="Comma 2 4 3 5 3 2" xfId="7681"/>
    <cellStyle name="Comma 2 4 3 5 3 3" xfId="5597"/>
    <cellStyle name="Comma 2 4 3 5 3 4" xfId="3513"/>
    <cellStyle name="Comma 2 4 3 5 4" xfId="6639"/>
    <cellStyle name="Comma 2 4 3 5 5" xfId="4555"/>
    <cellStyle name="Comma 2 4 3 5 6" xfId="2471"/>
    <cellStyle name="Comma 2 4 3 6" xfId="642"/>
    <cellStyle name="Comma 2 4 3 6 2" xfId="1686"/>
    <cellStyle name="Comma 2 4 3 6 2 2" xfId="7938"/>
    <cellStyle name="Comma 2 4 3 6 2 3" xfId="5854"/>
    <cellStyle name="Comma 2 4 3 6 2 4" xfId="3770"/>
    <cellStyle name="Comma 2 4 3 6 3" xfId="6896"/>
    <cellStyle name="Comma 2 4 3 6 4" xfId="4812"/>
    <cellStyle name="Comma 2 4 3 6 5" xfId="2728"/>
    <cellStyle name="Comma 2 4 3 7" xfId="1161"/>
    <cellStyle name="Comma 2 4 3 7 2" xfId="7413"/>
    <cellStyle name="Comma 2 4 3 7 3" xfId="5329"/>
    <cellStyle name="Comma 2 4 3 7 4" xfId="3245"/>
    <cellStyle name="Comma 2 4 3 8" xfId="6371"/>
    <cellStyle name="Comma 2 4 3 9" xfId="4287"/>
    <cellStyle name="Comma 2 4 4" xfId="160"/>
    <cellStyle name="Comma 2 4 4 2" xfId="282"/>
    <cellStyle name="Comma 2 4 4 2 2" xfId="547"/>
    <cellStyle name="Comma 2 4 4 2 2 2" xfId="1061"/>
    <cellStyle name="Comma 2 4 4 2 2 2 2" xfId="2105"/>
    <cellStyle name="Comma 2 4 4 2 2 2 2 2" xfId="8357"/>
    <cellStyle name="Comma 2 4 4 2 2 2 2 3" xfId="6273"/>
    <cellStyle name="Comma 2 4 4 2 2 2 2 4" xfId="4189"/>
    <cellStyle name="Comma 2 4 4 2 2 2 3" xfId="7315"/>
    <cellStyle name="Comma 2 4 4 2 2 2 4" xfId="5231"/>
    <cellStyle name="Comma 2 4 4 2 2 2 5" xfId="3147"/>
    <cellStyle name="Comma 2 4 4 2 2 3" xfId="1591"/>
    <cellStyle name="Comma 2 4 4 2 2 3 2" xfId="7843"/>
    <cellStyle name="Comma 2 4 4 2 2 3 3" xfId="5759"/>
    <cellStyle name="Comma 2 4 4 2 2 3 4" xfId="3675"/>
    <cellStyle name="Comma 2 4 4 2 2 4" xfId="6801"/>
    <cellStyle name="Comma 2 4 4 2 2 5" xfId="4717"/>
    <cellStyle name="Comma 2 4 4 2 2 6" xfId="2633"/>
    <cellStyle name="Comma 2 4 4 2 3" xfId="804"/>
    <cellStyle name="Comma 2 4 4 2 3 2" xfId="1848"/>
    <cellStyle name="Comma 2 4 4 2 3 2 2" xfId="8100"/>
    <cellStyle name="Comma 2 4 4 2 3 2 3" xfId="6016"/>
    <cellStyle name="Comma 2 4 4 2 3 2 4" xfId="3932"/>
    <cellStyle name="Comma 2 4 4 2 3 3" xfId="7058"/>
    <cellStyle name="Comma 2 4 4 2 3 4" xfId="4974"/>
    <cellStyle name="Comma 2 4 4 2 3 5" xfId="2890"/>
    <cellStyle name="Comma 2 4 4 2 4" xfId="1332"/>
    <cellStyle name="Comma 2 4 4 2 4 2" xfId="7584"/>
    <cellStyle name="Comma 2 4 4 2 4 3" xfId="5500"/>
    <cellStyle name="Comma 2 4 4 2 4 4" xfId="3416"/>
    <cellStyle name="Comma 2 4 4 2 5" xfId="6542"/>
    <cellStyle name="Comma 2 4 4 2 6" xfId="4458"/>
    <cellStyle name="Comma 2 4 4 2 7" xfId="2374"/>
    <cellStyle name="Comma 2 4 4 3" xfId="439"/>
    <cellStyle name="Comma 2 4 4 3 2" xfId="953"/>
    <cellStyle name="Comma 2 4 4 3 2 2" xfId="1997"/>
    <cellStyle name="Comma 2 4 4 3 2 2 2" xfId="8249"/>
    <cellStyle name="Comma 2 4 4 3 2 2 3" xfId="6165"/>
    <cellStyle name="Comma 2 4 4 3 2 2 4" xfId="4081"/>
    <cellStyle name="Comma 2 4 4 3 2 3" xfId="7207"/>
    <cellStyle name="Comma 2 4 4 3 2 4" xfId="5123"/>
    <cellStyle name="Comma 2 4 4 3 2 5" xfId="3039"/>
    <cellStyle name="Comma 2 4 4 3 3" xfId="1483"/>
    <cellStyle name="Comma 2 4 4 3 3 2" xfId="7735"/>
    <cellStyle name="Comma 2 4 4 3 3 3" xfId="5651"/>
    <cellStyle name="Comma 2 4 4 3 3 4" xfId="3567"/>
    <cellStyle name="Comma 2 4 4 3 4" xfId="6693"/>
    <cellStyle name="Comma 2 4 4 3 5" xfId="4609"/>
    <cellStyle name="Comma 2 4 4 3 6" xfId="2525"/>
    <cellStyle name="Comma 2 4 4 4" xfId="696"/>
    <cellStyle name="Comma 2 4 4 4 2" xfId="1740"/>
    <cellStyle name="Comma 2 4 4 4 2 2" xfId="7992"/>
    <cellStyle name="Comma 2 4 4 4 2 3" xfId="5908"/>
    <cellStyle name="Comma 2 4 4 4 2 4" xfId="3824"/>
    <cellStyle name="Comma 2 4 4 4 3" xfId="6950"/>
    <cellStyle name="Comma 2 4 4 4 4" xfId="4866"/>
    <cellStyle name="Comma 2 4 4 4 5" xfId="2782"/>
    <cellStyle name="Comma 2 4 4 5" xfId="1218"/>
    <cellStyle name="Comma 2 4 4 5 2" xfId="7470"/>
    <cellStyle name="Comma 2 4 4 5 3" xfId="5386"/>
    <cellStyle name="Comma 2 4 4 5 4" xfId="3302"/>
    <cellStyle name="Comma 2 4 4 6" xfId="6428"/>
    <cellStyle name="Comma 2 4 4 7" xfId="4344"/>
    <cellStyle name="Comma 2 4 4 8" xfId="2260"/>
    <cellStyle name="Comma 2 4 5" xfId="122"/>
    <cellStyle name="Comma 2 4 5 2" xfId="244"/>
    <cellStyle name="Comma 2 4 5 2 2" xfId="511"/>
    <cellStyle name="Comma 2 4 5 2 2 2" xfId="1025"/>
    <cellStyle name="Comma 2 4 5 2 2 2 2" xfId="2069"/>
    <cellStyle name="Comma 2 4 5 2 2 2 2 2" xfId="8321"/>
    <cellStyle name="Comma 2 4 5 2 2 2 2 3" xfId="6237"/>
    <cellStyle name="Comma 2 4 5 2 2 2 2 4" xfId="4153"/>
    <cellStyle name="Comma 2 4 5 2 2 2 3" xfId="7279"/>
    <cellStyle name="Comma 2 4 5 2 2 2 4" xfId="5195"/>
    <cellStyle name="Comma 2 4 5 2 2 2 5" xfId="3111"/>
    <cellStyle name="Comma 2 4 5 2 2 3" xfId="1555"/>
    <cellStyle name="Comma 2 4 5 2 2 3 2" xfId="7807"/>
    <cellStyle name="Comma 2 4 5 2 2 3 3" xfId="5723"/>
    <cellStyle name="Comma 2 4 5 2 2 3 4" xfId="3639"/>
    <cellStyle name="Comma 2 4 5 2 2 4" xfId="6765"/>
    <cellStyle name="Comma 2 4 5 2 2 5" xfId="4681"/>
    <cellStyle name="Comma 2 4 5 2 2 6" xfId="2597"/>
    <cellStyle name="Comma 2 4 5 2 3" xfId="768"/>
    <cellStyle name="Comma 2 4 5 2 3 2" xfId="1812"/>
    <cellStyle name="Comma 2 4 5 2 3 2 2" xfId="8064"/>
    <cellStyle name="Comma 2 4 5 2 3 2 3" xfId="5980"/>
    <cellStyle name="Comma 2 4 5 2 3 2 4" xfId="3896"/>
    <cellStyle name="Comma 2 4 5 2 3 3" xfId="7022"/>
    <cellStyle name="Comma 2 4 5 2 3 4" xfId="4938"/>
    <cellStyle name="Comma 2 4 5 2 3 5" xfId="2854"/>
    <cellStyle name="Comma 2 4 5 2 4" xfId="1294"/>
    <cellStyle name="Comma 2 4 5 2 4 2" xfId="7546"/>
    <cellStyle name="Comma 2 4 5 2 4 3" xfId="5462"/>
    <cellStyle name="Comma 2 4 5 2 4 4" xfId="3378"/>
    <cellStyle name="Comma 2 4 5 2 5" xfId="6504"/>
    <cellStyle name="Comma 2 4 5 2 6" xfId="4420"/>
    <cellStyle name="Comma 2 4 5 2 7" xfId="2336"/>
    <cellStyle name="Comma 2 4 5 3" xfId="403"/>
    <cellStyle name="Comma 2 4 5 3 2" xfId="917"/>
    <cellStyle name="Comma 2 4 5 3 2 2" xfId="1961"/>
    <cellStyle name="Comma 2 4 5 3 2 2 2" xfId="8213"/>
    <cellStyle name="Comma 2 4 5 3 2 2 3" xfId="6129"/>
    <cellStyle name="Comma 2 4 5 3 2 2 4" xfId="4045"/>
    <cellStyle name="Comma 2 4 5 3 2 3" xfId="7171"/>
    <cellStyle name="Comma 2 4 5 3 2 4" xfId="5087"/>
    <cellStyle name="Comma 2 4 5 3 2 5" xfId="3003"/>
    <cellStyle name="Comma 2 4 5 3 3" xfId="1447"/>
    <cellStyle name="Comma 2 4 5 3 3 2" xfId="7699"/>
    <cellStyle name="Comma 2 4 5 3 3 3" xfId="5615"/>
    <cellStyle name="Comma 2 4 5 3 3 4" xfId="3531"/>
    <cellStyle name="Comma 2 4 5 3 4" xfId="6657"/>
    <cellStyle name="Comma 2 4 5 3 5" xfId="4573"/>
    <cellStyle name="Comma 2 4 5 3 6" xfId="2489"/>
    <cellStyle name="Comma 2 4 5 4" xfId="660"/>
    <cellStyle name="Comma 2 4 5 4 2" xfId="1704"/>
    <cellStyle name="Comma 2 4 5 4 2 2" xfId="7956"/>
    <cellStyle name="Comma 2 4 5 4 2 3" xfId="5872"/>
    <cellStyle name="Comma 2 4 5 4 2 4" xfId="3788"/>
    <cellStyle name="Comma 2 4 5 4 3" xfId="6914"/>
    <cellStyle name="Comma 2 4 5 4 4" xfId="4830"/>
    <cellStyle name="Comma 2 4 5 4 5" xfId="2746"/>
    <cellStyle name="Comma 2 4 5 5" xfId="1180"/>
    <cellStyle name="Comma 2 4 5 5 2" xfId="7432"/>
    <cellStyle name="Comma 2 4 5 5 3" xfId="5348"/>
    <cellStyle name="Comma 2 4 5 5 4" xfId="3264"/>
    <cellStyle name="Comma 2 4 5 6" xfId="6390"/>
    <cellStyle name="Comma 2 4 5 7" xfId="4306"/>
    <cellStyle name="Comma 2 4 5 8" xfId="2222"/>
    <cellStyle name="Comma 2 4 6" xfId="204"/>
    <cellStyle name="Comma 2 4 6 2" xfId="475"/>
    <cellStyle name="Comma 2 4 6 2 2" xfId="989"/>
    <cellStyle name="Comma 2 4 6 2 2 2" xfId="2033"/>
    <cellStyle name="Comma 2 4 6 2 2 2 2" xfId="8285"/>
    <cellStyle name="Comma 2 4 6 2 2 2 3" xfId="6201"/>
    <cellStyle name="Comma 2 4 6 2 2 2 4" xfId="4117"/>
    <cellStyle name="Comma 2 4 6 2 2 3" xfId="7243"/>
    <cellStyle name="Comma 2 4 6 2 2 4" xfId="5159"/>
    <cellStyle name="Comma 2 4 6 2 2 5" xfId="3075"/>
    <cellStyle name="Comma 2 4 6 2 3" xfId="1519"/>
    <cellStyle name="Comma 2 4 6 2 3 2" xfId="7771"/>
    <cellStyle name="Comma 2 4 6 2 3 3" xfId="5687"/>
    <cellStyle name="Comma 2 4 6 2 3 4" xfId="3603"/>
    <cellStyle name="Comma 2 4 6 2 4" xfId="6729"/>
    <cellStyle name="Comma 2 4 6 2 5" xfId="4645"/>
    <cellStyle name="Comma 2 4 6 2 6" xfId="2561"/>
    <cellStyle name="Comma 2 4 6 3" xfId="732"/>
    <cellStyle name="Comma 2 4 6 3 2" xfId="1776"/>
    <cellStyle name="Comma 2 4 6 3 2 2" xfId="8028"/>
    <cellStyle name="Comma 2 4 6 3 2 3" xfId="5944"/>
    <cellStyle name="Comma 2 4 6 3 2 4" xfId="3860"/>
    <cellStyle name="Comma 2 4 6 3 3" xfId="6986"/>
    <cellStyle name="Comma 2 4 6 3 4" xfId="4902"/>
    <cellStyle name="Comma 2 4 6 3 5" xfId="2818"/>
    <cellStyle name="Comma 2 4 6 4" xfId="1256"/>
    <cellStyle name="Comma 2 4 6 4 2" xfId="7508"/>
    <cellStyle name="Comma 2 4 6 4 3" xfId="5424"/>
    <cellStyle name="Comma 2 4 6 4 4" xfId="3340"/>
    <cellStyle name="Comma 2 4 6 5" xfId="6466"/>
    <cellStyle name="Comma 2 4 6 6" xfId="4382"/>
    <cellStyle name="Comma 2 4 6 7" xfId="2298"/>
    <cellStyle name="Comma 2 4 7" xfId="78"/>
    <cellStyle name="Comma 2 4 7 2" xfId="365"/>
    <cellStyle name="Comma 2 4 7 2 2" xfId="879"/>
    <cellStyle name="Comma 2 4 7 2 2 2" xfId="1923"/>
    <cellStyle name="Comma 2 4 7 2 2 2 2" xfId="8175"/>
    <cellStyle name="Comma 2 4 7 2 2 2 3" xfId="6091"/>
    <cellStyle name="Comma 2 4 7 2 2 2 4" xfId="4007"/>
    <cellStyle name="Comma 2 4 7 2 2 3" xfId="7133"/>
    <cellStyle name="Comma 2 4 7 2 2 4" xfId="5049"/>
    <cellStyle name="Comma 2 4 7 2 2 5" xfId="2965"/>
    <cellStyle name="Comma 2 4 7 2 3" xfId="1409"/>
    <cellStyle name="Comma 2 4 7 2 3 2" xfId="7661"/>
    <cellStyle name="Comma 2 4 7 2 3 3" xfId="5577"/>
    <cellStyle name="Comma 2 4 7 2 3 4" xfId="3493"/>
    <cellStyle name="Comma 2 4 7 2 4" xfId="6619"/>
    <cellStyle name="Comma 2 4 7 2 5" xfId="4535"/>
    <cellStyle name="Comma 2 4 7 2 6" xfId="2451"/>
    <cellStyle name="Comma 2 4 7 3" xfId="622"/>
    <cellStyle name="Comma 2 4 7 3 2" xfId="1666"/>
    <cellStyle name="Comma 2 4 7 3 2 2" xfId="7918"/>
    <cellStyle name="Comma 2 4 7 3 2 3" xfId="5834"/>
    <cellStyle name="Comma 2 4 7 3 2 4" xfId="3750"/>
    <cellStyle name="Comma 2 4 7 3 3" xfId="6876"/>
    <cellStyle name="Comma 2 4 7 3 4" xfId="4792"/>
    <cellStyle name="Comma 2 4 7 3 5" xfId="2708"/>
    <cellStyle name="Comma 2 4 7 4" xfId="1138"/>
    <cellStyle name="Comma 2 4 7 4 2" xfId="7392"/>
    <cellStyle name="Comma 2 4 7 4 3" xfId="5308"/>
    <cellStyle name="Comma 2 4 7 4 4" xfId="3224"/>
    <cellStyle name="Comma 2 4 7 5" xfId="6350"/>
    <cellStyle name="Comma 2 4 7 6" xfId="4266"/>
    <cellStyle name="Comma 2 4 7 7" xfId="2182"/>
    <cellStyle name="Comma 2 4 8" xfId="346"/>
    <cellStyle name="Comma 2 4 8 2" xfId="860"/>
    <cellStyle name="Comma 2 4 8 2 2" xfId="1904"/>
    <cellStyle name="Comma 2 4 8 2 2 2" xfId="8156"/>
    <cellStyle name="Comma 2 4 8 2 2 3" xfId="6072"/>
    <cellStyle name="Comma 2 4 8 2 2 4" xfId="3988"/>
    <cellStyle name="Comma 2 4 8 2 3" xfId="7114"/>
    <cellStyle name="Comma 2 4 8 2 4" xfId="5030"/>
    <cellStyle name="Comma 2 4 8 2 5" xfId="2946"/>
    <cellStyle name="Comma 2 4 8 3" xfId="1390"/>
    <cellStyle name="Comma 2 4 8 3 2" xfId="7642"/>
    <cellStyle name="Comma 2 4 8 3 3" xfId="5558"/>
    <cellStyle name="Comma 2 4 8 3 4" xfId="3474"/>
    <cellStyle name="Comma 2 4 8 4" xfId="6600"/>
    <cellStyle name="Comma 2 4 8 5" xfId="4516"/>
    <cellStyle name="Comma 2 4 8 6" xfId="2432"/>
    <cellStyle name="Comma 2 4 9" xfId="603"/>
    <cellStyle name="Comma 2 4 9 2" xfId="1647"/>
    <cellStyle name="Comma 2 4 9 2 2" xfId="7899"/>
    <cellStyle name="Comma 2 4 9 2 3" xfId="5815"/>
    <cellStyle name="Comma 2 4 9 2 4" xfId="3731"/>
    <cellStyle name="Comma 2 4 9 3" xfId="6857"/>
    <cellStyle name="Comma 2 4 9 4" xfId="4773"/>
    <cellStyle name="Comma 2 4 9 5" xfId="2689"/>
    <cellStyle name="Comma 2 5" xfId="86"/>
    <cellStyle name="Comma 2 5 10" xfId="4272"/>
    <cellStyle name="Comma 2 5 11" xfId="2188"/>
    <cellStyle name="Comma 2 5 2" xfId="106"/>
    <cellStyle name="Comma 2 5 2 10" xfId="2207"/>
    <cellStyle name="Comma 2 5 2 2" xfId="184"/>
    <cellStyle name="Comma 2 5 2 2 2" xfId="306"/>
    <cellStyle name="Comma 2 5 2 2 2 2" xfId="568"/>
    <cellStyle name="Comma 2 5 2 2 2 2 2" xfId="1082"/>
    <cellStyle name="Comma 2 5 2 2 2 2 2 2" xfId="2126"/>
    <cellStyle name="Comma 2 5 2 2 2 2 2 2 2" xfId="8378"/>
    <cellStyle name="Comma 2 5 2 2 2 2 2 2 3" xfId="6294"/>
    <cellStyle name="Comma 2 5 2 2 2 2 2 2 4" xfId="4210"/>
    <cellStyle name="Comma 2 5 2 2 2 2 2 3" xfId="7336"/>
    <cellStyle name="Comma 2 5 2 2 2 2 2 4" xfId="5252"/>
    <cellStyle name="Comma 2 5 2 2 2 2 2 5" xfId="3168"/>
    <cellStyle name="Comma 2 5 2 2 2 2 3" xfId="1612"/>
    <cellStyle name="Comma 2 5 2 2 2 2 3 2" xfId="7864"/>
    <cellStyle name="Comma 2 5 2 2 2 2 3 3" xfId="5780"/>
    <cellStyle name="Comma 2 5 2 2 2 2 3 4" xfId="3696"/>
    <cellStyle name="Comma 2 5 2 2 2 2 4" xfId="6822"/>
    <cellStyle name="Comma 2 5 2 2 2 2 5" xfId="4738"/>
    <cellStyle name="Comma 2 5 2 2 2 2 6" xfId="2654"/>
    <cellStyle name="Comma 2 5 2 2 2 3" xfId="825"/>
    <cellStyle name="Comma 2 5 2 2 2 3 2" xfId="1869"/>
    <cellStyle name="Comma 2 5 2 2 2 3 2 2" xfId="8121"/>
    <cellStyle name="Comma 2 5 2 2 2 3 2 3" xfId="6037"/>
    <cellStyle name="Comma 2 5 2 2 2 3 2 4" xfId="3953"/>
    <cellStyle name="Comma 2 5 2 2 2 3 3" xfId="7079"/>
    <cellStyle name="Comma 2 5 2 2 2 3 4" xfId="4995"/>
    <cellStyle name="Comma 2 5 2 2 2 3 5" xfId="2911"/>
    <cellStyle name="Comma 2 5 2 2 2 4" xfId="1355"/>
    <cellStyle name="Comma 2 5 2 2 2 4 2" xfId="7607"/>
    <cellStyle name="Comma 2 5 2 2 2 4 3" xfId="5523"/>
    <cellStyle name="Comma 2 5 2 2 2 4 4" xfId="3439"/>
    <cellStyle name="Comma 2 5 2 2 2 5" xfId="6565"/>
    <cellStyle name="Comma 2 5 2 2 2 6" xfId="4481"/>
    <cellStyle name="Comma 2 5 2 2 2 7" xfId="2397"/>
    <cellStyle name="Comma 2 5 2 2 3" xfId="460"/>
    <cellStyle name="Comma 2 5 2 2 3 2" xfId="974"/>
    <cellStyle name="Comma 2 5 2 2 3 2 2" xfId="2018"/>
    <cellStyle name="Comma 2 5 2 2 3 2 2 2" xfId="8270"/>
    <cellStyle name="Comma 2 5 2 2 3 2 2 3" xfId="6186"/>
    <cellStyle name="Comma 2 5 2 2 3 2 2 4" xfId="4102"/>
    <cellStyle name="Comma 2 5 2 2 3 2 3" xfId="7228"/>
    <cellStyle name="Comma 2 5 2 2 3 2 4" xfId="5144"/>
    <cellStyle name="Comma 2 5 2 2 3 2 5" xfId="3060"/>
    <cellStyle name="Comma 2 5 2 2 3 3" xfId="1504"/>
    <cellStyle name="Comma 2 5 2 2 3 3 2" xfId="7756"/>
    <cellStyle name="Comma 2 5 2 2 3 3 3" xfId="5672"/>
    <cellStyle name="Comma 2 5 2 2 3 3 4" xfId="3588"/>
    <cellStyle name="Comma 2 5 2 2 3 4" xfId="6714"/>
    <cellStyle name="Comma 2 5 2 2 3 5" xfId="4630"/>
    <cellStyle name="Comma 2 5 2 2 3 6" xfId="2546"/>
    <cellStyle name="Comma 2 5 2 2 4" xfId="717"/>
    <cellStyle name="Comma 2 5 2 2 4 2" xfId="1761"/>
    <cellStyle name="Comma 2 5 2 2 4 2 2" xfId="8013"/>
    <cellStyle name="Comma 2 5 2 2 4 2 3" xfId="5929"/>
    <cellStyle name="Comma 2 5 2 2 4 2 4" xfId="3845"/>
    <cellStyle name="Comma 2 5 2 2 4 3" xfId="6971"/>
    <cellStyle name="Comma 2 5 2 2 4 4" xfId="4887"/>
    <cellStyle name="Comma 2 5 2 2 4 5" xfId="2803"/>
    <cellStyle name="Comma 2 5 2 2 5" xfId="1241"/>
    <cellStyle name="Comma 2 5 2 2 5 2" xfId="7493"/>
    <cellStyle name="Comma 2 5 2 2 5 3" xfId="5409"/>
    <cellStyle name="Comma 2 5 2 2 5 4" xfId="3325"/>
    <cellStyle name="Comma 2 5 2 2 6" xfId="6451"/>
    <cellStyle name="Comma 2 5 2 2 7" xfId="4367"/>
    <cellStyle name="Comma 2 5 2 2 8" xfId="2283"/>
    <cellStyle name="Comma 2 5 2 3" xfId="145"/>
    <cellStyle name="Comma 2 5 2 3 2" xfId="267"/>
    <cellStyle name="Comma 2 5 2 3 2 2" xfId="532"/>
    <cellStyle name="Comma 2 5 2 3 2 2 2" xfId="1046"/>
    <cellStyle name="Comma 2 5 2 3 2 2 2 2" xfId="2090"/>
    <cellStyle name="Comma 2 5 2 3 2 2 2 2 2" xfId="8342"/>
    <cellStyle name="Comma 2 5 2 3 2 2 2 2 3" xfId="6258"/>
    <cellStyle name="Comma 2 5 2 3 2 2 2 2 4" xfId="4174"/>
    <cellStyle name="Comma 2 5 2 3 2 2 2 3" xfId="7300"/>
    <cellStyle name="Comma 2 5 2 3 2 2 2 4" xfId="5216"/>
    <cellStyle name="Comma 2 5 2 3 2 2 2 5" xfId="3132"/>
    <cellStyle name="Comma 2 5 2 3 2 2 3" xfId="1576"/>
    <cellStyle name="Comma 2 5 2 3 2 2 3 2" xfId="7828"/>
    <cellStyle name="Comma 2 5 2 3 2 2 3 3" xfId="5744"/>
    <cellStyle name="Comma 2 5 2 3 2 2 3 4" xfId="3660"/>
    <cellStyle name="Comma 2 5 2 3 2 2 4" xfId="6786"/>
    <cellStyle name="Comma 2 5 2 3 2 2 5" xfId="4702"/>
    <cellStyle name="Comma 2 5 2 3 2 2 6" xfId="2618"/>
    <cellStyle name="Comma 2 5 2 3 2 3" xfId="789"/>
    <cellStyle name="Comma 2 5 2 3 2 3 2" xfId="1833"/>
    <cellStyle name="Comma 2 5 2 3 2 3 2 2" xfId="8085"/>
    <cellStyle name="Comma 2 5 2 3 2 3 2 3" xfId="6001"/>
    <cellStyle name="Comma 2 5 2 3 2 3 2 4" xfId="3917"/>
    <cellStyle name="Comma 2 5 2 3 2 3 3" xfId="7043"/>
    <cellStyle name="Comma 2 5 2 3 2 3 4" xfId="4959"/>
    <cellStyle name="Comma 2 5 2 3 2 3 5" xfId="2875"/>
    <cellStyle name="Comma 2 5 2 3 2 4" xfId="1317"/>
    <cellStyle name="Comma 2 5 2 3 2 4 2" xfId="7569"/>
    <cellStyle name="Comma 2 5 2 3 2 4 3" xfId="5485"/>
    <cellStyle name="Comma 2 5 2 3 2 4 4" xfId="3401"/>
    <cellStyle name="Comma 2 5 2 3 2 5" xfId="6527"/>
    <cellStyle name="Comma 2 5 2 3 2 6" xfId="4443"/>
    <cellStyle name="Comma 2 5 2 3 2 7" xfId="2359"/>
    <cellStyle name="Comma 2 5 2 3 3" xfId="424"/>
    <cellStyle name="Comma 2 5 2 3 3 2" xfId="938"/>
    <cellStyle name="Comma 2 5 2 3 3 2 2" xfId="1982"/>
    <cellStyle name="Comma 2 5 2 3 3 2 2 2" xfId="8234"/>
    <cellStyle name="Comma 2 5 2 3 3 2 2 3" xfId="6150"/>
    <cellStyle name="Comma 2 5 2 3 3 2 2 4" xfId="4066"/>
    <cellStyle name="Comma 2 5 2 3 3 2 3" xfId="7192"/>
    <cellStyle name="Comma 2 5 2 3 3 2 4" xfId="5108"/>
    <cellStyle name="Comma 2 5 2 3 3 2 5" xfId="3024"/>
    <cellStyle name="Comma 2 5 2 3 3 3" xfId="1468"/>
    <cellStyle name="Comma 2 5 2 3 3 3 2" xfId="7720"/>
    <cellStyle name="Comma 2 5 2 3 3 3 3" xfId="5636"/>
    <cellStyle name="Comma 2 5 2 3 3 3 4" xfId="3552"/>
    <cellStyle name="Comma 2 5 2 3 3 4" xfId="6678"/>
    <cellStyle name="Comma 2 5 2 3 3 5" xfId="4594"/>
    <cellStyle name="Comma 2 5 2 3 3 6" xfId="2510"/>
    <cellStyle name="Comma 2 5 2 3 4" xfId="681"/>
    <cellStyle name="Comma 2 5 2 3 4 2" xfId="1725"/>
    <cellStyle name="Comma 2 5 2 3 4 2 2" xfId="7977"/>
    <cellStyle name="Comma 2 5 2 3 4 2 3" xfId="5893"/>
    <cellStyle name="Comma 2 5 2 3 4 2 4" xfId="3809"/>
    <cellStyle name="Comma 2 5 2 3 4 3" xfId="6935"/>
    <cellStyle name="Comma 2 5 2 3 4 4" xfId="4851"/>
    <cellStyle name="Comma 2 5 2 3 4 5" xfId="2767"/>
    <cellStyle name="Comma 2 5 2 3 5" xfId="1203"/>
    <cellStyle name="Comma 2 5 2 3 5 2" xfId="7455"/>
    <cellStyle name="Comma 2 5 2 3 5 3" xfId="5371"/>
    <cellStyle name="Comma 2 5 2 3 5 4" xfId="3287"/>
    <cellStyle name="Comma 2 5 2 3 6" xfId="6413"/>
    <cellStyle name="Comma 2 5 2 3 7" xfId="4329"/>
    <cellStyle name="Comma 2 5 2 3 8" xfId="2245"/>
    <cellStyle name="Comma 2 5 2 4" xfId="228"/>
    <cellStyle name="Comma 2 5 2 4 2" xfId="496"/>
    <cellStyle name="Comma 2 5 2 4 2 2" xfId="1010"/>
    <cellStyle name="Comma 2 5 2 4 2 2 2" xfId="2054"/>
    <cellStyle name="Comma 2 5 2 4 2 2 2 2" xfId="8306"/>
    <cellStyle name="Comma 2 5 2 4 2 2 2 3" xfId="6222"/>
    <cellStyle name="Comma 2 5 2 4 2 2 2 4" xfId="4138"/>
    <cellStyle name="Comma 2 5 2 4 2 2 3" xfId="7264"/>
    <cellStyle name="Comma 2 5 2 4 2 2 4" xfId="5180"/>
    <cellStyle name="Comma 2 5 2 4 2 2 5" xfId="3096"/>
    <cellStyle name="Comma 2 5 2 4 2 3" xfId="1540"/>
    <cellStyle name="Comma 2 5 2 4 2 3 2" xfId="7792"/>
    <cellStyle name="Comma 2 5 2 4 2 3 3" xfId="5708"/>
    <cellStyle name="Comma 2 5 2 4 2 3 4" xfId="3624"/>
    <cellStyle name="Comma 2 5 2 4 2 4" xfId="6750"/>
    <cellStyle name="Comma 2 5 2 4 2 5" xfId="4666"/>
    <cellStyle name="Comma 2 5 2 4 2 6" xfId="2582"/>
    <cellStyle name="Comma 2 5 2 4 3" xfId="753"/>
    <cellStyle name="Comma 2 5 2 4 3 2" xfId="1797"/>
    <cellStyle name="Comma 2 5 2 4 3 2 2" xfId="8049"/>
    <cellStyle name="Comma 2 5 2 4 3 2 3" xfId="5965"/>
    <cellStyle name="Comma 2 5 2 4 3 2 4" xfId="3881"/>
    <cellStyle name="Comma 2 5 2 4 3 3" xfId="7007"/>
    <cellStyle name="Comma 2 5 2 4 3 4" xfId="4923"/>
    <cellStyle name="Comma 2 5 2 4 3 5" xfId="2839"/>
    <cellStyle name="Comma 2 5 2 4 4" xfId="1279"/>
    <cellStyle name="Comma 2 5 2 4 4 2" xfId="7531"/>
    <cellStyle name="Comma 2 5 2 4 4 3" xfId="5447"/>
    <cellStyle name="Comma 2 5 2 4 4 4" xfId="3363"/>
    <cellStyle name="Comma 2 5 2 4 5" xfId="6489"/>
    <cellStyle name="Comma 2 5 2 4 6" xfId="4405"/>
    <cellStyle name="Comma 2 5 2 4 7" xfId="2321"/>
    <cellStyle name="Comma 2 5 2 5" xfId="388"/>
    <cellStyle name="Comma 2 5 2 5 2" xfId="902"/>
    <cellStyle name="Comma 2 5 2 5 2 2" xfId="1946"/>
    <cellStyle name="Comma 2 5 2 5 2 2 2" xfId="8198"/>
    <cellStyle name="Comma 2 5 2 5 2 2 3" xfId="6114"/>
    <cellStyle name="Comma 2 5 2 5 2 2 4" xfId="4030"/>
    <cellStyle name="Comma 2 5 2 5 2 3" xfId="7156"/>
    <cellStyle name="Comma 2 5 2 5 2 4" xfId="5072"/>
    <cellStyle name="Comma 2 5 2 5 2 5" xfId="2988"/>
    <cellStyle name="Comma 2 5 2 5 3" xfId="1432"/>
    <cellStyle name="Comma 2 5 2 5 3 2" xfId="7684"/>
    <cellStyle name="Comma 2 5 2 5 3 3" xfId="5600"/>
    <cellStyle name="Comma 2 5 2 5 3 4" xfId="3516"/>
    <cellStyle name="Comma 2 5 2 5 4" xfId="6642"/>
    <cellStyle name="Comma 2 5 2 5 5" xfId="4558"/>
    <cellStyle name="Comma 2 5 2 5 6" xfId="2474"/>
    <cellStyle name="Comma 2 5 2 6" xfId="645"/>
    <cellStyle name="Comma 2 5 2 6 2" xfId="1689"/>
    <cellStyle name="Comma 2 5 2 6 2 2" xfId="7941"/>
    <cellStyle name="Comma 2 5 2 6 2 3" xfId="5857"/>
    <cellStyle name="Comma 2 5 2 6 2 4" xfId="3773"/>
    <cellStyle name="Comma 2 5 2 6 3" xfId="6899"/>
    <cellStyle name="Comma 2 5 2 6 4" xfId="4815"/>
    <cellStyle name="Comma 2 5 2 6 5" xfId="2731"/>
    <cellStyle name="Comma 2 5 2 7" xfId="1165"/>
    <cellStyle name="Comma 2 5 2 7 2" xfId="7417"/>
    <cellStyle name="Comma 2 5 2 7 3" xfId="5333"/>
    <cellStyle name="Comma 2 5 2 7 4" xfId="3249"/>
    <cellStyle name="Comma 2 5 2 8" xfId="6375"/>
    <cellStyle name="Comma 2 5 2 9" xfId="4291"/>
    <cellStyle name="Comma 2 5 3" xfId="164"/>
    <cellStyle name="Comma 2 5 3 2" xfId="286"/>
    <cellStyle name="Comma 2 5 3 2 2" xfId="550"/>
    <cellStyle name="Comma 2 5 3 2 2 2" xfId="1064"/>
    <cellStyle name="Comma 2 5 3 2 2 2 2" xfId="2108"/>
    <cellStyle name="Comma 2 5 3 2 2 2 2 2" xfId="8360"/>
    <cellStyle name="Comma 2 5 3 2 2 2 2 3" xfId="6276"/>
    <cellStyle name="Comma 2 5 3 2 2 2 2 4" xfId="4192"/>
    <cellStyle name="Comma 2 5 3 2 2 2 3" xfId="7318"/>
    <cellStyle name="Comma 2 5 3 2 2 2 4" xfId="5234"/>
    <cellStyle name="Comma 2 5 3 2 2 2 5" xfId="3150"/>
    <cellStyle name="Comma 2 5 3 2 2 3" xfId="1594"/>
    <cellStyle name="Comma 2 5 3 2 2 3 2" xfId="7846"/>
    <cellStyle name="Comma 2 5 3 2 2 3 3" xfId="5762"/>
    <cellStyle name="Comma 2 5 3 2 2 3 4" xfId="3678"/>
    <cellStyle name="Comma 2 5 3 2 2 4" xfId="6804"/>
    <cellStyle name="Comma 2 5 3 2 2 5" xfId="4720"/>
    <cellStyle name="Comma 2 5 3 2 2 6" xfId="2636"/>
    <cellStyle name="Comma 2 5 3 2 3" xfId="807"/>
    <cellStyle name="Comma 2 5 3 2 3 2" xfId="1851"/>
    <cellStyle name="Comma 2 5 3 2 3 2 2" xfId="8103"/>
    <cellStyle name="Comma 2 5 3 2 3 2 3" xfId="6019"/>
    <cellStyle name="Comma 2 5 3 2 3 2 4" xfId="3935"/>
    <cellStyle name="Comma 2 5 3 2 3 3" xfId="7061"/>
    <cellStyle name="Comma 2 5 3 2 3 4" xfId="4977"/>
    <cellStyle name="Comma 2 5 3 2 3 5" xfId="2893"/>
    <cellStyle name="Comma 2 5 3 2 4" xfId="1336"/>
    <cellStyle name="Comma 2 5 3 2 4 2" xfId="7588"/>
    <cellStyle name="Comma 2 5 3 2 4 3" xfId="5504"/>
    <cellStyle name="Comma 2 5 3 2 4 4" xfId="3420"/>
    <cellStyle name="Comma 2 5 3 2 5" xfId="6546"/>
    <cellStyle name="Comma 2 5 3 2 6" xfId="4462"/>
    <cellStyle name="Comma 2 5 3 2 7" xfId="2378"/>
    <cellStyle name="Comma 2 5 3 3" xfId="442"/>
    <cellStyle name="Comma 2 5 3 3 2" xfId="956"/>
    <cellStyle name="Comma 2 5 3 3 2 2" xfId="2000"/>
    <cellStyle name="Comma 2 5 3 3 2 2 2" xfId="8252"/>
    <cellStyle name="Comma 2 5 3 3 2 2 3" xfId="6168"/>
    <cellStyle name="Comma 2 5 3 3 2 2 4" xfId="4084"/>
    <cellStyle name="Comma 2 5 3 3 2 3" xfId="7210"/>
    <cellStyle name="Comma 2 5 3 3 2 4" xfId="5126"/>
    <cellStyle name="Comma 2 5 3 3 2 5" xfId="3042"/>
    <cellStyle name="Comma 2 5 3 3 3" xfId="1486"/>
    <cellStyle name="Comma 2 5 3 3 3 2" xfId="7738"/>
    <cellStyle name="Comma 2 5 3 3 3 3" xfId="5654"/>
    <cellStyle name="Comma 2 5 3 3 3 4" xfId="3570"/>
    <cellStyle name="Comma 2 5 3 3 4" xfId="6696"/>
    <cellStyle name="Comma 2 5 3 3 5" xfId="4612"/>
    <cellStyle name="Comma 2 5 3 3 6" xfId="2528"/>
    <cellStyle name="Comma 2 5 3 4" xfId="699"/>
    <cellStyle name="Comma 2 5 3 4 2" xfId="1743"/>
    <cellStyle name="Comma 2 5 3 4 2 2" xfId="7995"/>
    <cellStyle name="Comma 2 5 3 4 2 3" xfId="5911"/>
    <cellStyle name="Comma 2 5 3 4 2 4" xfId="3827"/>
    <cellStyle name="Comma 2 5 3 4 3" xfId="6953"/>
    <cellStyle name="Comma 2 5 3 4 4" xfId="4869"/>
    <cellStyle name="Comma 2 5 3 4 5" xfId="2785"/>
    <cellStyle name="Comma 2 5 3 5" xfId="1222"/>
    <cellStyle name="Comma 2 5 3 5 2" xfId="7474"/>
    <cellStyle name="Comma 2 5 3 5 3" xfId="5390"/>
    <cellStyle name="Comma 2 5 3 5 4" xfId="3306"/>
    <cellStyle name="Comma 2 5 3 6" xfId="6432"/>
    <cellStyle name="Comma 2 5 3 7" xfId="4348"/>
    <cellStyle name="Comma 2 5 3 8" xfId="2264"/>
    <cellStyle name="Comma 2 5 4" xfId="126"/>
    <cellStyle name="Comma 2 5 4 2" xfId="248"/>
    <cellStyle name="Comma 2 5 4 2 2" xfId="514"/>
    <cellStyle name="Comma 2 5 4 2 2 2" xfId="1028"/>
    <cellStyle name="Comma 2 5 4 2 2 2 2" xfId="2072"/>
    <cellStyle name="Comma 2 5 4 2 2 2 2 2" xfId="8324"/>
    <cellStyle name="Comma 2 5 4 2 2 2 2 3" xfId="6240"/>
    <cellStyle name="Comma 2 5 4 2 2 2 2 4" xfId="4156"/>
    <cellStyle name="Comma 2 5 4 2 2 2 3" xfId="7282"/>
    <cellStyle name="Comma 2 5 4 2 2 2 4" xfId="5198"/>
    <cellStyle name="Comma 2 5 4 2 2 2 5" xfId="3114"/>
    <cellStyle name="Comma 2 5 4 2 2 3" xfId="1558"/>
    <cellStyle name="Comma 2 5 4 2 2 3 2" xfId="7810"/>
    <cellStyle name="Comma 2 5 4 2 2 3 3" xfId="5726"/>
    <cellStyle name="Comma 2 5 4 2 2 3 4" xfId="3642"/>
    <cellStyle name="Comma 2 5 4 2 2 4" xfId="6768"/>
    <cellStyle name="Comma 2 5 4 2 2 5" xfId="4684"/>
    <cellStyle name="Comma 2 5 4 2 2 6" xfId="2600"/>
    <cellStyle name="Comma 2 5 4 2 3" xfId="771"/>
    <cellStyle name="Comma 2 5 4 2 3 2" xfId="1815"/>
    <cellStyle name="Comma 2 5 4 2 3 2 2" xfId="8067"/>
    <cellStyle name="Comma 2 5 4 2 3 2 3" xfId="5983"/>
    <cellStyle name="Comma 2 5 4 2 3 2 4" xfId="3899"/>
    <cellStyle name="Comma 2 5 4 2 3 3" xfId="7025"/>
    <cellStyle name="Comma 2 5 4 2 3 4" xfId="4941"/>
    <cellStyle name="Comma 2 5 4 2 3 5" xfId="2857"/>
    <cellStyle name="Comma 2 5 4 2 4" xfId="1298"/>
    <cellStyle name="Comma 2 5 4 2 4 2" xfId="7550"/>
    <cellStyle name="Comma 2 5 4 2 4 3" xfId="5466"/>
    <cellStyle name="Comma 2 5 4 2 4 4" xfId="3382"/>
    <cellStyle name="Comma 2 5 4 2 5" xfId="6508"/>
    <cellStyle name="Comma 2 5 4 2 6" xfId="4424"/>
    <cellStyle name="Comma 2 5 4 2 7" xfId="2340"/>
    <cellStyle name="Comma 2 5 4 3" xfId="406"/>
    <cellStyle name="Comma 2 5 4 3 2" xfId="920"/>
    <cellStyle name="Comma 2 5 4 3 2 2" xfId="1964"/>
    <cellStyle name="Comma 2 5 4 3 2 2 2" xfId="8216"/>
    <cellStyle name="Comma 2 5 4 3 2 2 3" xfId="6132"/>
    <cellStyle name="Comma 2 5 4 3 2 2 4" xfId="4048"/>
    <cellStyle name="Comma 2 5 4 3 2 3" xfId="7174"/>
    <cellStyle name="Comma 2 5 4 3 2 4" xfId="5090"/>
    <cellStyle name="Comma 2 5 4 3 2 5" xfId="3006"/>
    <cellStyle name="Comma 2 5 4 3 3" xfId="1450"/>
    <cellStyle name="Comma 2 5 4 3 3 2" xfId="7702"/>
    <cellStyle name="Comma 2 5 4 3 3 3" xfId="5618"/>
    <cellStyle name="Comma 2 5 4 3 3 4" xfId="3534"/>
    <cellStyle name="Comma 2 5 4 3 4" xfId="6660"/>
    <cellStyle name="Comma 2 5 4 3 5" xfId="4576"/>
    <cellStyle name="Comma 2 5 4 3 6" xfId="2492"/>
    <cellStyle name="Comma 2 5 4 4" xfId="663"/>
    <cellStyle name="Comma 2 5 4 4 2" xfId="1707"/>
    <cellStyle name="Comma 2 5 4 4 2 2" xfId="7959"/>
    <cellStyle name="Comma 2 5 4 4 2 3" xfId="5875"/>
    <cellStyle name="Comma 2 5 4 4 2 4" xfId="3791"/>
    <cellStyle name="Comma 2 5 4 4 3" xfId="6917"/>
    <cellStyle name="Comma 2 5 4 4 4" xfId="4833"/>
    <cellStyle name="Comma 2 5 4 4 5" xfId="2749"/>
    <cellStyle name="Comma 2 5 4 5" xfId="1184"/>
    <cellStyle name="Comma 2 5 4 5 2" xfId="7436"/>
    <cellStyle name="Comma 2 5 4 5 3" xfId="5352"/>
    <cellStyle name="Comma 2 5 4 5 4" xfId="3268"/>
    <cellStyle name="Comma 2 5 4 6" xfId="6394"/>
    <cellStyle name="Comma 2 5 4 7" xfId="4310"/>
    <cellStyle name="Comma 2 5 4 8" xfId="2226"/>
    <cellStyle name="Comma 2 5 5" xfId="208"/>
    <cellStyle name="Comma 2 5 5 2" xfId="478"/>
    <cellStyle name="Comma 2 5 5 2 2" xfId="992"/>
    <cellStyle name="Comma 2 5 5 2 2 2" xfId="2036"/>
    <cellStyle name="Comma 2 5 5 2 2 2 2" xfId="8288"/>
    <cellStyle name="Comma 2 5 5 2 2 2 3" xfId="6204"/>
    <cellStyle name="Comma 2 5 5 2 2 2 4" xfId="4120"/>
    <cellStyle name="Comma 2 5 5 2 2 3" xfId="7246"/>
    <cellStyle name="Comma 2 5 5 2 2 4" xfId="5162"/>
    <cellStyle name="Comma 2 5 5 2 2 5" xfId="3078"/>
    <cellStyle name="Comma 2 5 5 2 3" xfId="1522"/>
    <cellStyle name="Comma 2 5 5 2 3 2" xfId="7774"/>
    <cellStyle name="Comma 2 5 5 2 3 3" xfId="5690"/>
    <cellStyle name="Comma 2 5 5 2 3 4" xfId="3606"/>
    <cellStyle name="Comma 2 5 5 2 4" xfId="6732"/>
    <cellStyle name="Comma 2 5 5 2 5" xfId="4648"/>
    <cellStyle name="Comma 2 5 5 2 6" xfId="2564"/>
    <cellStyle name="Comma 2 5 5 3" xfId="735"/>
    <cellStyle name="Comma 2 5 5 3 2" xfId="1779"/>
    <cellStyle name="Comma 2 5 5 3 2 2" xfId="8031"/>
    <cellStyle name="Comma 2 5 5 3 2 3" xfId="5947"/>
    <cellStyle name="Comma 2 5 5 3 2 4" xfId="3863"/>
    <cellStyle name="Comma 2 5 5 3 3" xfId="6989"/>
    <cellStyle name="Comma 2 5 5 3 4" xfId="4905"/>
    <cellStyle name="Comma 2 5 5 3 5" xfId="2821"/>
    <cellStyle name="Comma 2 5 5 4" xfId="1260"/>
    <cellStyle name="Comma 2 5 5 4 2" xfId="7512"/>
    <cellStyle name="Comma 2 5 5 4 3" xfId="5428"/>
    <cellStyle name="Comma 2 5 5 4 4" xfId="3344"/>
    <cellStyle name="Comma 2 5 5 5" xfId="6470"/>
    <cellStyle name="Comma 2 5 5 6" xfId="4386"/>
    <cellStyle name="Comma 2 5 5 7" xfId="2302"/>
    <cellStyle name="Comma 2 5 6" xfId="370"/>
    <cellStyle name="Comma 2 5 6 2" xfId="884"/>
    <cellStyle name="Comma 2 5 6 2 2" xfId="1928"/>
    <cellStyle name="Comma 2 5 6 2 2 2" xfId="8180"/>
    <cellStyle name="Comma 2 5 6 2 2 3" xfId="6096"/>
    <cellStyle name="Comma 2 5 6 2 2 4" xfId="4012"/>
    <cellStyle name="Comma 2 5 6 2 3" xfId="7138"/>
    <cellStyle name="Comma 2 5 6 2 4" xfId="5054"/>
    <cellStyle name="Comma 2 5 6 2 5" xfId="2970"/>
    <cellStyle name="Comma 2 5 6 3" xfId="1414"/>
    <cellStyle name="Comma 2 5 6 3 2" xfId="7666"/>
    <cellStyle name="Comma 2 5 6 3 3" xfId="5582"/>
    <cellStyle name="Comma 2 5 6 3 4" xfId="3498"/>
    <cellStyle name="Comma 2 5 6 4" xfId="6624"/>
    <cellStyle name="Comma 2 5 6 5" xfId="4540"/>
    <cellStyle name="Comma 2 5 6 6" xfId="2456"/>
    <cellStyle name="Comma 2 5 7" xfId="627"/>
    <cellStyle name="Comma 2 5 7 2" xfId="1671"/>
    <cellStyle name="Comma 2 5 7 2 2" xfId="7923"/>
    <cellStyle name="Comma 2 5 7 2 3" xfId="5839"/>
    <cellStyle name="Comma 2 5 7 2 4" xfId="3755"/>
    <cellStyle name="Comma 2 5 7 3" xfId="6881"/>
    <cellStyle name="Comma 2 5 7 4" xfId="4797"/>
    <cellStyle name="Comma 2 5 7 5" xfId="2713"/>
    <cellStyle name="Comma 2 5 8" xfId="1146"/>
    <cellStyle name="Comma 2 5 8 2" xfId="7398"/>
    <cellStyle name="Comma 2 5 8 3" xfId="5314"/>
    <cellStyle name="Comma 2 5 8 4" xfId="3230"/>
    <cellStyle name="Comma 2 5 9" xfId="6356"/>
    <cellStyle name="Comma 2 6" xfId="96"/>
    <cellStyle name="Comma 2 6 10" xfId="2197"/>
    <cellStyle name="Comma 2 6 2" xfId="174"/>
    <cellStyle name="Comma 2 6 2 2" xfId="296"/>
    <cellStyle name="Comma 2 6 2 2 2" xfId="559"/>
    <cellStyle name="Comma 2 6 2 2 2 2" xfId="1073"/>
    <cellStyle name="Comma 2 6 2 2 2 2 2" xfId="2117"/>
    <cellStyle name="Comma 2 6 2 2 2 2 2 2" xfId="8369"/>
    <cellStyle name="Comma 2 6 2 2 2 2 2 3" xfId="6285"/>
    <cellStyle name="Comma 2 6 2 2 2 2 2 4" xfId="4201"/>
    <cellStyle name="Comma 2 6 2 2 2 2 3" xfId="7327"/>
    <cellStyle name="Comma 2 6 2 2 2 2 4" xfId="5243"/>
    <cellStyle name="Comma 2 6 2 2 2 2 5" xfId="3159"/>
    <cellStyle name="Comma 2 6 2 2 2 3" xfId="1603"/>
    <cellStyle name="Comma 2 6 2 2 2 3 2" xfId="7855"/>
    <cellStyle name="Comma 2 6 2 2 2 3 3" xfId="5771"/>
    <cellStyle name="Comma 2 6 2 2 2 3 4" xfId="3687"/>
    <cellStyle name="Comma 2 6 2 2 2 4" xfId="6813"/>
    <cellStyle name="Comma 2 6 2 2 2 5" xfId="4729"/>
    <cellStyle name="Comma 2 6 2 2 2 6" xfId="2645"/>
    <cellStyle name="Comma 2 6 2 2 3" xfId="816"/>
    <cellStyle name="Comma 2 6 2 2 3 2" xfId="1860"/>
    <cellStyle name="Comma 2 6 2 2 3 2 2" xfId="8112"/>
    <cellStyle name="Comma 2 6 2 2 3 2 3" xfId="6028"/>
    <cellStyle name="Comma 2 6 2 2 3 2 4" xfId="3944"/>
    <cellStyle name="Comma 2 6 2 2 3 3" xfId="7070"/>
    <cellStyle name="Comma 2 6 2 2 3 4" xfId="4986"/>
    <cellStyle name="Comma 2 6 2 2 3 5" xfId="2902"/>
    <cellStyle name="Comma 2 6 2 2 4" xfId="1345"/>
    <cellStyle name="Comma 2 6 2 2 4 2" xfId="7597"/>
    <cellStyle name="Comma 2 6 2 2 4 3" xfId="5513"/>
    <cellStyle name="Comma 2 6 2 2 4 4" xfId="3429"/>
    <cellStyle name="Comma 2 6 2 2 5" xfId="6555"/>
    <cellStyle name="Comma 2 6 2 2 6" xfId="4471"/>
    <cellStyle name="Comma 2 6 2 2 7" xfId="2387"/>
    <cellStyle name="Comma 2 6 2 3" xfId="451"/>
    <cellStyle name="Comma 2 6 2 3 2" xfId="965"/>
    <cellStyle name="Comma 2 6 2 3 2 2" xfId="2009"/>
    <cellStyle name="Comma 2 6 2 3 2 2 2" xfId="8261"/>
    <cellStyle name="Comma 2 6 2 3 2 2 3" xfId="6177"/>
    <cellStyle name="Comma 2 6 2 3 2 2 4" xfId="4093"/>
    <cellStyle name="Comma 2 6 2 3 2 3" xfId="7219"/>
    <cellStyle name="Comma 2 6 2 3 2 4" xfId="5135"/>
    <cellStyle name="Comma 2 6 2 3 2 5" xfId="3051"/>
    <cellStyle name="Comma 2 6 2 3 3" xfId="1495"/>
    <cellStyle name="Comma 2 6 2 3 3 2" xfId="7747"/>
    <cellStyle name="Comma 2 6 2 3 3 3" xfId="5663"/>
    <cellStyle name="Comma 2 6 2 3 3 4" xfId="3579"/>
    <cellStyle name="Comma 2 6 2 3 4" xfId="6705"/>
    <cellStyle name="Comma 2 6 2 3 5" xfId="4621"/>
    <cellStyle name="Comma 2 6 2 3 6" xfId="2537"/>
    <cellStyle name="Comma 2 6 2 4" xfId="708"/>
    <cellStyle name="Comma 2 6 2 4 2" xfId="1752"/>
    <cellStyle name="Comma 2 6 2 4 2 2" xfId="8004"/>
    <cellStyle name="Comma 2 6 2 4 2 3" xfId="5920"/>
    <cellStyle name="Comma 2 6 2 4 2 4" xfId="3836"/>
    <cellStyle name="Comma 2 6 2 4 3" xfId="6962"/>
    <cellStyle name="Comma 2 6 2 4 4" xfId="4878"/>
    <cellStyle name="Comma 2 6 2 4 5" xfId="2794"/>
    <cellStyle name="Comma 2 6 2 5" xfId="1231"/>
    <cellStyle name="Comma 2 6 2 5 2" xfId="7483"/>
    <cellStyle name="Comma 2 6 2 5 3" xfId="5399"/>
    <cellStyle name="Comma 2 6 2 5 4" xfId="3315"/>
    <cellStyle name="Comma 2 6 2 6" xfId="6441"/>
    <cellStyle name="Comma 2 6 2 7" xfId="4357"/>
    <cellStyle name="Comma 2 6 2 8" xfId="2273"/>
    <cellStyle name="Comma 2 6 3" xfId="135"/>
    <cellStyle name="Comma 2 6 3 2" xfId="257"/>
    <cellStyle name="Comma 2 6 3 2 2" xfId="523"/>
    <cellStyle name="Comma 2 6 3 2 2 2" xfId="1037"/>
    <cellStyle name="Comma 2 6 3 2 2 2 2" xfId="2081"/>
    <cellStyle name="Comma 2 6 3 2 2 2 2 2" xfId="8333"/>
    <cellStyle name="Comma 2 6 3 2 2 2 2 3" xfId="6249"/>
    <cellStyle name="Comma 2 6 3 2 2 2 2 4" xfId="4165"/>
    <cellStyle name="Comma 2 6 3 2 2 2 3" xfId="7291"/>
    <cellStyle name="Comma 2 6 3 2 2 2 4" xfId="5207"/>
    <cellStyle name="Comma 2 6 3 2 2 2 5" xfId="3123"/>
    <cellStyle name="Comma 2 6 3 2 2 3" xfId="1567"/>
    <cellStyle name="Comma 2 6 3 2 2 3 2" xfId="7819"/>
    <cellStyle name="Comma 2 6 3 2 2 3 3" xfId="5735"/>
    <cellStyle name="Comma 2 6 3 2 2 3 4" xfId="3651"/>
    <cellStyle name="Comma 2 6 3 2 2 4" xfId="6777"/>
    <cellStyle name="Comma 2 6 3 2 2 5" xfId="4693"/>
    <cellStyle name="Comma 2 6 3 2 2 6" xfId="2609"/>
    <cellStyle name="Comma 2 6 3 2 3" xfId="780"/>
    <cellStyle name="Comma 2 6 3 2 3 2" xfId="1824"/>
    <cellStyle name="Comma 2 6 3 2 3 2 2" xfId="8076"/>
    <cellStyle name="Comma 2 6 3 2 3 2 3" xfId="5992"/>
    <cellStyle name="Comma 2 6 3 2 3 2 4" xfId="3908"/>
    <cellStyle name="Comma 2 6 3 2 3 3" xfId="7034"/>
    <cellStyle name="Comma 2 6 3 2 3 4" xfId="4950"/>
    <cellStyle name="Comma 2 6 3 2 3 5" xfId="2866"/>
    <cellStyle name="Comma 2 6 3 2 4" xfId="1307"/>
    <cellStyle name="Comma 2 6 3 2 4 2" xfId="7559"/>
    <cellStyle name="Comma 2 6 3 2 4 3" xfId="5475"/>
    <cellStyle name="Comma 2 6 3 2 4 4" xfId="3391"/>
    <cellStyle name="Comma 2 6 3 2 5" xfId="6517"/>
    <cellStyle name="Comma 2 6 3 2 6" xfId="4433"/>
    <cellStyle name="Comma 2 6 3 2 7" xfId="2349"/>
    <cellStyle name="Comma 2 6 3 3" xfId="415"/>
    <cellStyle name="Comma 2 6 3 3 2" xfId="929"/>
    <cellStyle name="Comma 2 6 3 3 2 2" xfId="1973"/>
    <cellStyle name="Comma 2 6 3 3 2 2 2" xfId="8225"/>
    <cellStyle name="Comma 2 6 3 3 2 2 3" xfId="6141"/>
    <cellStyle name="Comma 2 6 3 3 2 2 4" xfId="4057"/>
    <cellStyle name="Comma 2 6 3 3 2 3" xfId="7183"/>
    <cellStyle name="Comma 2 6 3 3 2 4" xfId="5099"/>
    <cellStyle name="Comma 2 6 3 3 2 5" xfId="3015"/>
    <cellStyle name="Comma 2 6 3 3 3" xfId="1459"/>
    <cellStyle name="Comma 2 6 3 3 3 2" xfId="7711"/>
    <cellStyle name="Comma 2 6 3 3 3 3" xfId="5627"/>
    <cellStyle name="Comma 2 6 3 3 3 4" xfId="3543"/>
    <cellStyle name="Comma 2 6 3 3 4" xfId="6669"/>
    <cellStyle name="Comma 2 6 3 3 5" xfId="4585"/>
    <cellStyle name="Comma 2 6 3 3 6" xfId="2501"/>
    <cellStyle name="Comma 2 6 3 4" xfId="672"/>
    <cellStyle name="Comma 2 6 3 4 2" xfId="1716"/>
    <cellStyle name="Comma 2 6 3 4 2 2" xfId="7968"/>
    <cellStyle name="Comma 2 6 3 4 2 3" xfId="5884"/>
    <cellStyle name="Comma 2 6 3 4 2 4" xfId="3800"/>
    <cellStyle name="Comma 2 6 3 4 3" xfId="6926"/>
    <cellStyle name="Comma 2 6 3 4 4" xfId="4842"/>
    <cellStyle name="Comma 2 6 3 4 5" xfId="2758"/>
    <cellStyle name="Comma 2 6 3 5" xfId="1193"/>
    <cellStyle name="Comma 2 6 3 5 2" xfId="7445"/>
    <cellStyle name="Comma 2 6 3 5 3" xfId="5361"/>
    <cellStyle name="Comma 2 6 3 5 4" xfId="3277"/>
    <cellStyle name="Comma 2 6 3 6" xfId="6403"/>
    <cellStyle name="Comma 2 6 3 7" xfId="4319"/>
    <cellStyle name="Comma 2 6 3 8" xfId="2235"/>
    <cellStyle name="Comma 2 6 4" xfId="218"/>
    <cellStyle name="Comma 2 6 4 2" xfId="487"/>
    <cellStyle name="Comma 2 6 4 2 2" xfId="1001"/>
    <cellStyle name="Comma 2 6 4 2 2 2" xfId="2045"/>
    <cellStyle name="Comma 2 6 4 2 2 2 2" xfId="8297"/>
    <cellStyle name="Comma 2 6 4 2 2 2 3" xfId="6213"/>
    <cellStyle name="Comma 2 6 4 2 2 2 4" xfId="4129"/>
    <cellStyle name="Comma 2 6 4 2 2 3" xfId="7255"/>
    <cellStyle name="Comma 2 6 4 2 2 4" xfId="5171"/>
    <cellStyle name="Comma 2 6 4 2 2 5" xfId="3087"/>
    <cellStyle name="Comma 2 6 4 2 3" xfId="1531"/>
    <cellStyle name="Comma 2 6 4 2 3 2" xfId="7783"/>
    <cellStyle name="Comma 2 6 4 2 3 3" xfId="5699"/>
    <cellStyle name="Comma 2 6 4 2 3 4" xfId="3615"/>
    <cellStyle name="Comma 2 6 4 2 4" xfId="6741"/>
    <cellStyle name="Comma 2 6 4 2 5" xfId="4657"/>
    <cellStyle name="Comma 2 6 4 2 6" xfId="2573"/>
    <cellStyle name="Comma 2 6 4 3" xfId="744"/>
    <cellStyle name="Comma 2 6 4 3 2" xfId="1788"/>
    <cellStyle name="Comma 2 6 4 3 2 2" xfId="8040"/>
    <cellStyle name="Comma 2 6 4 3 2 3" xfId="5956"/>
    <cellStyle name="Comma 2 6 4 3 2 4" xfId="3872"/>
    <cellStyle name="Comma 2 6 4 3 3" xfId="6998"/>
    <cellStyle name="Comma 2 6 4 3 4" xfId="4914"/>
    <cellStyle name="Comma 2 6 4 3 5" xfId="2830"/>
    <cellStyle name="Comma 2 6 4 4" xfId="1269"/>
    <cellStyle name="Comma 2 6 4 4 2" xfId="7521"/>
    <cellStyle name="Comma 2 6 4 4 3" xfId="5437"/>
    <cellStyle name="Comma 2 6 4 4 4" xfId="3353"/>
    <cellStyle name="Comma 2 6 4 5" xfId="6479"/>
    <cellStyle name="Comma 2 6 4 6" xfId="4395"/>
    <cellStyle name="Comma 2 6 4 7" xfId="2311"/>
    <cellStyle name="Comma 2 6 5" xfId="379"/>
    <cellStyle name="Comma 2 6 5 2" xfId="893"/>
    <cellStyle name="Comma 2 6 5 2 2" xfId="1937"/>
    <cellStyle name="Comma 2 6 5 2 2 2" xfId="8189"/>
    <cellStyle name="Comma 2 6 5 2 2 3" xfId="6105"/>
    <cellStyle name="Comma 2 6 5 2 2 4" xfId="4021"/>
    <cellStyle name="Comma 2 6 5 2 3" xfId="7147"/>
    <cellStyle name="Comma 2 6 5 2 4" xfId="5063"/>
    <cellStyle name="Comma 2 6 5 2 5" xfId="2979"/>
    <cellStyle name="Comma 2 6 5 3" xfId="1423"/>
    <cellStyle name="Comma 2 6 5 3 2" xfId="7675"/>
    <cellStyle name="Comma 2 6 5 3 3" xfId="5591"/>
    <cellStyle name="Comma 2 6 5 3 4" xfId="3507"/>
    <cellStyle name="Comma 2 6 5 4" xfId="6633"/>
    <cellStyle name="Comma 2 6 5 5" xfId="4549"/>
    <cellStyle name="Comma 2 6 5 6" xfId="2465"/>
    <cellStyle name="Comma 2 6 6" xfId="636"/>
    <cellStyle name="Comma 2 6 6 2" xfId="1680"/>
    <cellStyle name="Comma 2 6 6 2 2" xfId="7932"/>
    <cellStyle name="Comma 2 6 6 2 3" xfId="5848"/>
    <cellStyle name="Comma 2 6 6 2 4" xfId="3764"/>
    <cellStyle name="Comma 2 6 6 3" xfId="6890"/>
    <cellStyle name="Comma 2 6 6 4" xfId="4806"/>
    <cellStyle name="Comma 2 6 6 5" xfId="2722"/>
    <cellStyle name="Comma 2 6 7" xfId="1155"/>
    <cellStyle name="Comma 2 6 7 2" xfId="7407"/>
    <cellStyle name="Comma 2 6 7 3" xfId="5323"/>
    <cellStyle name="Comma 2 6 7 4" xfId="3239"/>
    <cellStyle name="Comma 2 6 8" xfId="6365"/>
    <cellStyle name="Comma 2 6 9" xfId="4281"/>
    <cellStyle name="Comma 2 7" xfId="154"/>
    <cellStyle name="Comma 2 7 2" xfId="276"/>
    <cellStyle name="Comma 2 7 2 2" xfId="541"/>
    <cellStyle name="Comma 2 7 2 2 2" xfId="1055"/>
    <cellStyle name="Comma 2 7 2 2 2 2" xfId="2099"/>
    <cellStyle name="Comma 2 7 2 2 2 2 2" xfId="8351"/>
    <cellStyle name="Comma 2 7 2 2 2 2 3" xfId="6267"/>
    <cellStyle name="Comma 2 7 2 2 2 2 4" xfId="4183"/>
    <cellStyle name="Comma 2 7 2 2 2 3" xfId="7309"/>
    <cellStyle name="Comma 2 7 2 2 2 4" xfId="5225"/>
    <cellStyle name="Comma 2 7 2 2 2 5" xfId="3141"/>
    <cellStyle name="Comma 2 7 2 2 3" xfId="1585"/>
    <cellStyle name="Comma 2 7 2 2 3 2" xfId="7837"/>
    <cellStyle name="Comma 2 7 2 2 3 3" xfId="5753"/>
    <cellStyle name="Comma 2 7 2 2 3 4" xfId="3669"/>
    <cellStyle name="Comma 2 7 2 2 4" xfId="6795"/>
    <cellStyle name="Comma 2 7 2 2 5" xfId="4711"/>
    <cellStyle name="Comma 2 7 2 2 6" xfId="2627"/>
    <cellStyle name="Comma 2 7 2 3" xfId="798"/>
    <cellStyle name="Comma 2 7 2 3 2" xfId="1842"/>
    <cellStyle name="Comma 2 7 2 3 2 2" xfId="8094"/>
    <cellStyle name="Comma 2 7 2 3 2 3" xfId="6010"/>
    <cellStyle name="Comma 2 7 2 3 2 4" xfId="3926"/>
    <cellStyle name="Comma 2 7 2 3 3" xfId="7052"/>
    <cellStyle name="Comma 2 7 2 3 4" xfId="4968"/>
    <cellStyle name="Comma 2 7 2 3 5" xfId="2884"/>
    <cellStyle name="Comma 2 7 2 4" xfId="1326"/>
    <cellStyle name="Comma 2 7 2 4 2" xfId="7578"/>
    <cellStyle name="Comma 2 7 2 4 3" xfId="5494"/>
    <cellStyle name="Comma 2 7 2 4 4" xfId="3410"/>
    <cellStyle name="Comma 2 7 2 5" xfId="6536"/>
    <cellStyle name="Comma 2 7 2 6" xfId="4452"/>
    <cellStyle name="Comma 2 7 2 7" xfId="2368"/>
    <cellStyle name="Comma 2 7 3" xfId="433"/>
    <cellStyle name="Comma 2 7 3 2" xfId="947"/>
    <cellStyle name="Comma 2 7 3 2 2" xfId="1991"/>
    <cellStyle name="Comma 2 7 3 2 2 2" xfId="8243"/>
    <cellStyle name="Comma 2 7 3 2 2 3" xfId="6159"/>
    <cellStyle name="Comma 2 7 3 2 2 4" xfId="4075"/>
    <cellStyle name="Comma 2 7 3 2 3" xfId="7201"/>
    <cellStyle name="Comma 2 7 3 2 4" xfId="5117"/>
    <cellStyle name="Comma 2 7 3 2 5" xfId="3033"/>
    <cellStyle name="Comma 2 7 3 3" xfId="1477"/>
    <cellStyle name="Comma 2 7 3 3 2" xfId="7729"/>
    <cellStyle name="Comma 2 7 3 3 3" xfId="5645"/>
    <cellStyle name="Comma 2 7 3 3 4" xfId="3561"/>
    <cellStyle name="Comma 2 7 3 4" xfId="6687"/>
    <cellStyle name="Comma 2 7 3 5" xfId="4603"/>
    <cellStyle name="Comma 2 7 3 6" xfId="2519"/>
    <cellStyle name="Comma 2 7 4" xfId="690"/>
    <cellStyle name="Comma 2 7 4 2" xfId="1734"/>
    <cellStyle name="Comma 2 7 4 2 2" xfId="7986"/>
    <cellStyle name="Comma 2 7 4 2 3" xfId="5902"/>
    <cellStyle name="Comma 2 7 4 2 4" xfId="3818"/>
    <cellStyle name="Comma 2 7 4 3" xfId="6944"/>
    <cellStyle name="Comma 2 7 4 4" xfId="4860"/>
    <cellStyle name="Comma 2 7 4 5" xfId="2776"/>
    <cellStyle name="Comma 2 7 5" xfId="1212"/>
    <cellStyle name="Comma 2 7 5 2" xfId="7464"/>
    <cellStyle name="Comma 2 7 5 3" xfId="5380"/>
    <cellStyle name="Comma 2 7 5 4" xfId="3296"/>
    <cellStyle name="Comma 2 7 6" xfId="6422"/>
    <cellStyle name="Comma 2 7 7" xfId="4338"/>
    <cellStyle name="Comma 2 7 8" xfId="2254"/>
    <cellStyle name="Comma 2 8" xfId="116"/>
    <cellStyle name="Comma 2 8 2" xfId="238"/>
    <cellStyle name="Comma 2 8 2 2" xfId="505"/>
    <cellStyle name="Comma 2 8 2 2 2" xfId="1019"/>
    <cellStyle name="Comma 2 8 2 2 2 2" xfId="2063"/>
    <cellStyle name="Comma 2 8 2 2 2 2 2" xfId="8315"/>
    <cellStyle name="Comma 2 8 2 2 2 2 3" xfId="6231"/>
    <cellStyle name="Comma 2 8 2 2 2 2 4" xfId="4147"/>
    <cellStyle name="Comma 2 8 2 2 2 3" xfId="7273"/>
    <cellStyle name="Comma 2 8 2 2 2 4" xfId="5189"/>
    <cellStyle name="Comma 2 8 2 2 2 5" xfId="3105"/>
    <cellStyle name="Comma 2 8 2 2 3" xfId="1549"/>
    <cellStyle name="Comma 2 8 2 2 3 2" xfId="7801"/>
    <cellStyle name="Comma 2 8 2 2 3 3" xfId="5717"/>
    <cellStyle name="Comma 2 8 2 2 3 4" xfId="3633"/>
    <cellStyle name="Comma 2 8 2 2 4" xfId="6759"/>
    <cellStyle name="Comma 2 8 2 2 5" xfId="4675"/>
    <cellStyle name="Comma 2 8 2 2 6" xfId="2591"/>
    <cellStyle name="Comma 2 8 2 3" xfId="762"/>
    <cellStyle name="Comma 2 8 2 3 2" xfId="1806"/>
    <cellStyle name="Comma 2 8 2 3 2 2" xfId="8058"/>
    <cellStyle name="Comma 2 8 2 3 2 3" xfId="5974"/>
    <cellStyle name="Comma 2 8 2 3 2 4" xfId="3890"/>
    <cellStyle name="Comma 2 8 2 3 3" xfId="7016"/>
    <cellStyle name="Comma 2 8 2 3 4" xfId="4932"/>
    <cellStyle name="Comma 2 8 2 3 5" xfId="2848"/>
    <cellStyle name="Comma 2 8 2 4" xfId="1288"/>
    <cellStyle name="Comma 2 8 2 4 2" xfId="7540"/>
    <cellStyle name="Comma 2 8 2 4 3" xfId="5456"/>
    <cellStyle name="Comma 2 8 2 4 4" xfId="3372"/>
    <cellStyle name="Comma 2 8 2 5" xfId="6498"/>
    <cellStyle name="Comma 2 8 2 6" xfId="4414"/>
    <cellStyle name="Comma 2 8 2 7" xfId="2330"/>
    <cellStyle name="Comma 2 8 3" xfId="397"/>
    <cellStyle name="Comma 2 8 3 2" xfId="911"/>
    <cellStyle name="Comma 2 8 3 2 2" xfId="1955"/>
    <cellStyle name="Comma 2 8 3 2 2 2" xfId="8207"/>
    <cellStyle name="Comma 2 8 3 2 2 3" xfId="6123"/>
    <cellStyle name="Comma 2 8 3 2 2 4" xfId="4039"/>
    <cellStyle name="Comma 2 8 3 2 3" xfId="7165"/>
    <cellStyle name="Comma 2 8 3 2 4" xfId="5081"/>
    <cellStyle name="Comma 2 8 3 2 5" xfId="2997"/>
    <cellStyle name="Comma 2 8 3 3" xfId="1441"/>
    <cellStyle name="Comma 2 8 3 3 2" xfId="7693"/>
    <cellStyle name="Comma 2 8 3 3 3" xfId="5609"/>
    <cellStyle name="Comma 2 8 3 3 4" xfId="3525"/>
    <cellStyle name="Comma 2 8 3 4" xfId="6651"/>
    <cellStyle name="Comma 2 8 3 5" xfId="4567"/>
    <cellStyle name="Comma 2 8 3 6" xfId="2483"/>
    <cellStyle name="Comma 2 8 4" xfId="654"/>
    <cellStyle name="Comma 2 8 4 2" xfId="1698"/>
    <cellStyle name="Comma 2 8 4 2 2" xfId="7950"/>
    <cellStyle name="Comma 2 8 4 2 3" xfId="5866"/>
    <cellStyle name="Comma 2 8 4 2 4" xfId="3782"/>
    <cellStyle name="Comma 2 8 4 3" xfId="6908"/>
    <cellStyle name="Comma 2 8 4 4" xfId="4824"/>
    <cellStyle name="Comma 2 8 4 5" xfId="2740"/>
    <cellStyle name="Comma 2 8 5" xfId="1174"/>
    <cellStyle name="Comma 2 8 5 2" xfId="7426"/>
    <cellStyle name="Comma 2 8 5 3" xfId="5342"/>
    <cellStyle name="Comma 2 8 5 4" xfId="3258"/>
    <cellStyle name="Comma 2 8 6" xfId="6384"/>
    <cellStyle name="Comma 2 8 7" xfId="4300"/>
    <cellStyle name="Comma 2 8 8" xfId="2216"/>
    <cellStyle name="Comma 2 9" xfId="198"/>
    <cellStyle name="Comma 2 9 2" xfId="469"/>
    <cellStyle name="Comma 2 9 2 2" xfId="983"/>
    <cellStyle name="Comma 2 9 2 2 2" xfId="2027"/>
    <cellStyle name="Comma 2 9 2 2 2 2" xfId="8279"/>
    <cellStyle name="Comma 2 9 2 2 2 3" xfId="6195"/>
    <cellStyle name="Comma 2 9 2 2 2 4" xfId="4111"/>
    <cellStyle name="Comma 2 9 2 2 3" xfId="7237"/>
    <cellStyle name="Comma 2 9 2 2 4" xfId="5153"/>
    <cellStyle name="Comma 2 9 2 2 5" xfId="3069"/>
    <cellStyle name="Comma 2 9 2 3" xfId="1513"/>
    <cellStyle name="Comma 2 9 2 3 2" xfId="7765"/>
    <cellStyle name="Comma 2 9 2 3 3" xfId="5681"/>
    <cellStyle name="Comma 2 9 2 3 4" xfId="3597"/>
    <cellStyle name="Comma 2 9 2 4" xfId="6723"/>
    <cellStyle name="Comma 2 9 2 5" xfId="4639"/>
    <cellStyle name="Comma 2 9 2 6" xfId="2555"/>
    <cellStyle name="Comma 2 9 3" xfId="726"/>
    <cellStyle name="Comma 2 9 3 2" xfId="1770"/>
    <cellStyle name="Comma 2 9 3 2 2" xfId="8022"/>
    <cellStyle name="Comma 2 9 3 2 3" xfId="5938"/>
    <cellStyle name="Comma 2 9 3 2 4" xfId="3854"/>
    <cellStyle name="Comma 2 9 3 3" xfId="6980"/>
    <cellStyle name="Comma 2 9 3 4" xfId="4896"/>
    <cellStyle name="Comma 2 9 3 5" xfId="2812"/>
    <cellStyle name="Comma 2 9 4" xfId="1250"/>
    <cellStyle name="Comma 2 9 4 2" xfId="7502"/>
    <cellStyle name="Comma 2 9 4 3" xfId="5418"/>
    <cellStyle name="Comma 2 9 4 4" xfId="3334"/>
    <cellStyle name="Comma 2 9 5" xfId="6460"/>
    <cellStyle name="Comma 2 9 6" xfId="4376"/>
    <cellStyle name="Comma 2 9 7" xfId="2292"/>
    <cellStyle name="Comma 3" xfId="46"/>
    <cellStyle name="Comma 3 10" xfId="4234"/>
    <cellStyle name="Comma 3 11" xfId="2150"/>
    <cellStyle name="Comma 3 2" xfId="88"/>
    <cellStyle name="Comma 3 2 10" xfId="4274"/>
    <cellStyle name="Comma 3 2 11" xfId="2190"/>
    <cellStyle name="Comma 3 2 2" xfId="108"/>
    <cellStyle name="Comma 3 2 2 10" xfId="2209"/>
    <cellStyle name="Comma 3 2 2 2" xfId="186"/>
    <cellStyle name="Comma 3 2 2 2 2" xfId="308"/>
    <cellStyle name="Comma 3 2 2 2 2 2" xfId="570"/>
    <cellStyle name="Comma 3 2 2 2 2 2 2" xfId="1084"/>
    <cellStyle name="Comma 3 2 2 2 2 2 2 2" xfId="2128"/>
    <cellStyle name="Comma 3 2 2 2 2 2 2 2 2" xfId="8380"/>
    <cellStyle name="Comma 3 2 2 2 2 2 2 2 3" xfId="6296"/>
    <cellStyle name="Comma 3 2 2 2 2 2 2 2 4" xfId="4212"/>
    <cellStyle name="Comma 3 2 2 2 2 2 2 3" xfId="7338"/>
    <cellStyle name="Comma 3 2 2 2 2 2 2 4" xfId="5254"/>
    <cellStyle name="Comma 3 2 2 2 2 2 2 5" xfId="3170"/>
    <cellStyle name="Comma 3 2 2 2 2 2 3" xfId="1614"/>
    <cellStyle name="Comma 3 2 2 2 2 2 3 2" xfId="7866"/>
    <cellStyle name="Comma 3 2 2 2 2 2 3 3" xfId="5782"/>
    <cellStyle name="Comma 3 2 2 2 2 2 3 4" xfId="3698"/>
    <cellStyle name="Comma 3 2 2 2 2 2 4" xfId="6824"/>
    <cellStyle name="Comma 3 2 2 2 2 2 5" xfId="4740"/>
    <cellStyle name="Comma 3 2 2 2 2 2 6" xfId="2656"/>
    <cellStyle name="Comma 3 2 2 2 2 3" xfId="827"/>
    <cellStyle name="Comma 3 2 2 2 2 3 2" xfId="1871"/>
    <cellStyle name="Comma 3 2 2 2 2 3 2 2" xfId="8123"/>
    <cellStyle name="Comma 3 2 2 2 2 3 2 3" xfId="6039"/>
    <cellStyle name="Comma 3 2 2 2 2 3 2 4" xfId="3955"/>
    <cellStyle name="Comma 3 2 2 2 2 3 3" xfId="7081"/>
    <cellStyle name="Comma 3 2 2 2 2 3 4" xfId="4997"/>
    <cellStyle name="Comma 3 2 2 2 2 3 5" xfId="2913"/>
    <cellStyle name="Comma 3 2 2 2 2 4" xfId="1357"/>
    <cellStyle name="Comma 3 2 2 2 2 4 2" xfId="7609"/>
    <cellStyle name="Comma 3 2 2 2 2 4 3" xfId="5525"/>
    <cellStyle name="Comma 3 2 2 2 2 4 4" xfId="3441"/>
    <cellStyle name="Comma 3 2 2 2 2 5" xfId="6567"/>
    <cellStyle name="Comma 3 2 2 2 2 6" xfId="4483"/>
    <cellStyle name="Comma 3 2 2 2 2 7" xfId="2399"/>
    <cellStyle name="Comma 3 2 2 2 3" xfId="462"/>
    <cellStyle name="Comma 3 2 2 2 3 2" xfId="976"/>
    <cellStyle name="Comma 3 2 2 2 3 2 2" xfId="2020"/>
    <cellStyle name="Comma 3 2 2 2 3 2 2 2" xfId="8272"/>
    <cellStyle name="Comma 3 2 2 2 3 2 2 3" xfId="6188"/>
    <cellStyle name="Comma 3 2 2 2 3 2 2 4" xfId="4104"/>
    <cellStyle name="Comma 3 2 2 2 3 2 3" xfId="7230"/>
    <cellStyle name="Comma 3 2 2 2 3 2 4" xfId="5146"/>
    <cellStyle name="Comma 3 2 2 2 3 2 5" xfId="3062"/>
    <cellStyle name="Comma 3 2 2 2 3 3" xfId="1506"/>
    <cellStyle name="Comma 3 2 2 2 3 3 2" xfId="7758"/>
    <cellStyle name="Comma 3 2 2 2 3 3 3" xfId="5674"/>
    <cellStyle name="Comma 3 2 2 2 3 3 4" xfId="3590"/>
    <cellStyle name="Comma 3 2 2 2 3 4" xfId="6716"/>
    <cellStyle name="Comma 3 2 2 2 3 5" xfId="4632"/>
    <cellStyle name="Comma 3 2 2 2 3 6" xfId="2548"/>
    <cellStyle name="Comma 3 2 2 2 4" xfId="719"/>
    <cellStyle name="Comma 3 2 2 2 4 2" xfId="1763"/>
    <cellStyle name="Comma 3 2 2 2 4 2 2" xfId="8015"/>
    <cellStyle name="Comma 3 2 2 2 4 2 3" xfId="5931"/>
    <cellStyle name="Comma 3 2 2 2 4 2 4" xfId="3847"/>
    <cellStyle name="Comma 3 2 2 2 4 3" xfId="6973"/>
    <cellStyle name="Comma 3 2 2 2 4 4" xfId="4889"/>
    <cellStyle name="Comma 3 2 2 2 4 5" xfId="2805"/>
    <cellStyle name="Comma 3 2 2 2 5" xfId="1243"/>
    <cellStyle name="Comma 3 2 2 2 5 2" xfId="7495"/>
    <cellStyle name="Comma 3 2 2 2 5 3" xfId="5411"/>
    <cellStyle name="Comma 3 2 2 2 5 4" xfId="3327"/>
    <cellStyle name="Comma 3 2 2 2 6" xfId="6453"/>
    <cellStyle name="Comma 3 2 2 2 7" xfId="4369"/>
    <cellStyle name="Comma 3 2 2 2 8" xfId="2285"/>
    <cellStyle name="Comma 3 2 2 3" xfId="147"/>
    <cellStyle name="Comma 3 2 2 3 2" xfId="269"/>
    <cellStyle name="Comma 3 2 2 3 2 2" xfId="534"/>
    <cellStyle name="Comma 3 2 2 3 2 2 2" xfId="1048"/>
    <cellStyle name="Comma 3 2 2 3 2 2 2 2" xfId="2092"/>
    <cellStyle name="Comma 3 2 2 3 2 2 2 2 2" xfId="8344"/>
    <cellStyle name="Comma 3 2 2 3 2 2 2 2 3" xfId="6260"/>
    <cellStyle name="Comma 3 2 2 3 2 2 2 2 4" xfId="4176"/>
    <cellStyle name="Comma 3 2 2 3 2 2 2 3" xfId="7302"/>
    <cellStyle name="Comma 3 2 2 3 2 2 2 4" xfId="5218"/>
    <cellStyle name="Comma 3 2 2 3 2 2 2 5" xfId="3134"/>
    <cellStyle name="Comma 3 2 2 3 2 2 3" xfId="1578"/>
    <cellStyle name="Comma 3 2 2 3 2 2 3 2" xfId="7830"/>
    <cellStyle name="Comma 3 2 2 3 2 2 3 3" xfId="5746"/>
    <cellStyle name="Comma 3 2 2 3 2 2 3 4" xfId="3662"/>
    <cellStyle name="Comma 3 2 2 3 2 2 4" xfId="6788"/>
    <cellStyle name="Comma 3 2 2 3 2 2 5" xfId="4704"/>
    <cellStyle name="Comma 3 2 2 3 2 2 6" xfId="2620"/>
    <cellStyle name="Comma 3 2 2 3 2 3" xfId="791"/>
    <cellStyle name="Comma 3 2 2 3 2 3 2" xfId="1835"/>
    <cellStyle name="Comma 3 2 2 3 2 3 2 2" xfId="8087"/>
    <cellStyle name="Comma 3 2 2 3 2 3 2 3" xfId="6003"/>
    <cellStyle name="Comma 3 2 2 3 2 3 2 4" xfId="3919"/>
    <cellStyle name="Comma 3 2 2 3 2 3 3" xfId="7045"/>
    <cellStyle name="Comma 3 2 2 3 2 3 4" xfId="4961"/>
    <cellStyle name="Comma 3 2 2 3 2 3 5" xfId="2877"/>
    <cellStyle name="Comma 3 2 2 3 2 4" xfId="1319"/>
    <cellStyle name="Comma 3 2 2 3 2 4 2" xfId="7571"/>
    <cellStyle name="Comma 3 2 2 3 2 4 3" xfId="5487"/>
    <cellStyle name="Comma 3 2 2 3 2 4 4" xfId="3403"/>
    <cellStyle name="Comma 3 2 2 3 2 5" xfId="6529"/>
    <cellStyle name="Comma 3 2 2 3 2 6" xfId="4445"/>
    <cellStyle name="Comma 3 2 2 3 2 7" xfId="2361"/>
    <cellStyle name="Comma 3 2 2 3 3" xfId="426"/>
    <cellStyle name="Comma 3 2 2 3 3 2" xfId="940"/>
    <cellStyle name="Comma 3 2 2 3 3 2 2" xfId="1984"/>
    <cellStyle name="Comma 3 2 2 3 3 2 2 2" xfId="8236"/>
    <cellStyle name="Comma 3 2 2 3 3 2 2 3" xfId="6152"/>
    <cellStyle name="Comma 3 2 2 3 3 2 2 4" xfId="4068"/>
    <cellStyle name="Comma 3 2 2 3 3 2 3" xfId="7194"/>
    <cellStyle name="Comma 3 2 2 3 3 2 4" xfId="5110"/>
    <cellStyle name="Comma 3 2 2 3 3 2 5" xfId="3026"/>
    <cellStyle name="Comma 3 2 2 3 3 3" xfId="1470"/>
    <cellStyle name="Comma 3 2 2 3 3 3 2" xfId="7722"/>
    <cellStyle name="Comma 3 2 2 3 3 3 3" xfId="5638"/>
    <cellStyle name="Comma 3 2 2 3 3 3 4" xfId="3554"/>
    <cellStyle name="Comma 3 2 2 3 3 4" xfId="6680"/>
    <cellStyle name="Comma 3 2 2 3 3 5" xfId="4596"/>
    <cellStyle name="Comma 3 2 2 3 3 6" xfId="2512"/>
    <cellStyle name="Comma 3 2 2 3 4" xfId="683"/>
    <cellStyle name="Comma 3 2 2 3 4 2" xfId="1727"/>
    <cellStyle name="Comma 3 2 2 3 4 2 2" xfId="7979"/>
    <cellStyle name="Comma 3 2 2 3 4 2 3" xfId="5895"/>
    <cellStyle name="Comma 3 2 2 3 4 2 4" xfId="3811"/>
    <cellStyle name="Comma 3 2 2 3 4 3" xfId="6937"/>
    <cellStyle name="Comma 3 2 2 3 4 4" xfId="4853"/>
    <cellStyle name="Comma 3 2 2 3 4 5" xfId="2769"/>
    <cellStyle name="Comma 3 2 2 3 5" xfId="1205"/>
    <cellStyle name="Comma 3 2 2 3 5 2" xfId="7457"/>
    <cellStyle name="Comma 3 2 2 3 5 3" xfId="5373"/>
    <cellStyle name="Comma 3 2 2 3 5 4" xfId="3289"/>
    <cellStyle name="Comma 3 2 2 3 6" xfId="6415"/>
    <cellStyle name="Comma 3 2 2 3 7" xfId="4331"/>
    <cellStyle name="Comma 3 2 2 3 8" xfId="2247"/>
    <cellStyle name="Comma 3 2 2 4" xfId="230"/>
    <cellStyle name="Comma 3 2 2 4 2" xfId="498"/>
    <cellStyle name="Comma 3 2 2 4 2 2" xfId="1012"/>
    <cellStyle name="Comma 3 2 2 4 2 2 2" xfId="2056"/>
    <cellStyle name="Comma 3 2 2 4 2 2 2 2" xfId="8308"/>
    <cellStyle name="Comma 3 2 2 4 2 2 2 3" xfId="6224"/>
    <cellStyle name="Comma 3 2 2 4 2 2 2 4" xfId="4140"/>
    <cellStyle name="Comma 3 2 2 4 2 2 3" xfId="7266"/>
    <cellStyle name="Comma 3 2 2 4 2 2 4" xfId="5182"/>
    <cellStyle name="Comma 3 2 2 4 2 2 5" xfId="3098"/>
    <cellStyle name="Comma 3 2 2 4 2 3" xfId="1542"/>
    <cellStyle name="Comma 3 2 2 4 2 3 2" xfId="7794"/>
    <cellStyle name="Comma 3 2 2 4 2 3 3" xfId="5710"/>
    <cellStyle name="Comma 3 2 2 4 2 3 4" xfId="3626"/>
    <cellStyle name="Comma 3 2 2 4 2 4" xfId="6752"/>
    <cellStyle name="Comma 3 2 2 4 2 5" xfId="4668"/>
    <cellStyle name="Comma 3 2 2 4 2 6" xfId="2584"/>
    <cellStyle name="Comma 3 2 2 4 3" xfId="755"/>
    <cellStyle name="Comma 3 2 2 4 3 2" xfId="1799"/>
    <cellStyle name="Comma 3 2 2 4 3 2 2" xfId="8051"/>
    <cellStyle name="Comma 3 2 2 4 3 2 3" xfId="5967"/>
    <cellStyle name="Comma 3 2 2 4 3 2 4" xfId="3883"/>
    <cellStyle name="Comma 3 2 2 4 3 3" xfId="7009"/>
    <cellStyle name="Comma 3 2 2 4 3 4" xfId="4925"/>
    <cellStyle name="Comma 3 2 2 4 3 5" xfId="2841"/>
    <cellStyle name="Comma 3 2 2 4 4" xfId="1281"/>
    <cellStyle name="Comma 3 2 2 4 4 2" xfId="7533"/>
    <cellStyle name="Comma 3 2 2 4 4 3" xfId="5449"/>
    <cellStyle name="Comma 3 2 2 4 4 4" xfId="3365"/>
    <cellStyle name="Comma 3 2 2 4 5" xfId="6491"/>
    <cellStyle name="Comma 3 2 2 4 6" xfId="4407"/>
    <cellStyle name="Comma 3 2 2 4 7" xfId="2323"/>
    <cellStyle name="Comma 3 2 2 5" xfId="390"/>
    <cellStyle name="Comma 3 2 2 5 2" xfId="904"/>
    <cellStyle name="Comma 3 2 2 5 2 2" xfId="1948"/>
    <cellStyle name="Comma 3 2 2 5 2 2 2" xfId="8200"/>
    <cellStyle name="Comma 3 2 2 5 2 2 3" xfId="6116"/>
    <cellStyle name="Comma 3 2 2 5 2 2 4" xfId="4032"/>
    <cellStyle name="Comma 3 2 2 5 2 3" xfId="7158"/>
    <cellStyle name="Comma 3 2 2 5 2 4" xfId="5074"/>
    <cellStyle name="Comma 3 2 2 5 2 5" xfId="2990"/>
    <cellStyle name="Comma 3 2 2 5 3" xfId="1434"/>
    <cellStyle name="Comma 3 2 2 5 3 2" xfId="7686"/>
    <cellStyle name="Comma 3 2 2 5 3 3" xfId="5602"/>
    <cellStyle name="Comma 3 2 2 5 3 4" xfId="3518"/>
    <cellStyle name="Comma 3 2 2 5 4" xfId="6644"/>
    <cellStyle name="Comma 3 2 2 5 5" xfId="4560"/>
    <cellStyle name="Comma 3 2 2 5 6" xfId="2476"/>
    <cellStyle name="Comma 3 2 2 6" xfId="647"/>
    <cellStyle name="Comma 3 2 2 6 2" xfId="1691"/>
    <cellStyle name="Comma 3 2 2 6 2 2" xfId="7943"/>
    <cellStyle name="Comma 3 2 2 6 2 3" xfId="5859"/>
    <cellStyle name="Comma 3 2 2 6 2 4" xfId="3775"/>
    <cellStyle name="Comma 3 2 2 6 3" xfId="6901"/>
    <cellStyle name="Comma 3 2 2 6 4" xfId="4817"/>
    <cellStyle name="Comma 3 2 2 6 5" xfId="2733"/>
    <cellStyle name="Comma 3 2 2 7" xfId="1167"/>
    <cellStyle name="Comma 3 2 2 7 2" xfId="7419"/>
    <cellStyle name="Comma 3 2 2 7 3" xfId="5335"/>
    <cellStyle name="Comma 3 2 2 7 4" xfId="3251"/>
    <cellStyle name="Comma 3 2 2 8" xfId="6377"/>
    <cellStyle name="Comma 3 2 2 9" xfId="4293"/>
    <cellStyle name="Comma 3 2 3" xfId="166"/>
    <cellStyle name="Comma 3 2 3 2" xfId="288"/>
    <cellStyle name="Comma 3 2 3 2 2" xfId="552"/>
    <cellStyle name="Comma 3 2 3 2 2 2" xfId="1066"/>
    <cellStyle name="Comma 3 2 3 2 2 2 2" xfId="2110"/>
    <cellStyle name="Comma 3 2 3 2 2 2 2 2" xfId="8362"/>
    <cellStyle name="Comma 3 2 3 2 2 2 2 3" xfId="6278"/>
    <cellStyle name="Comma 3 2 3 2 2 2 2 4" xfId="4194"/>
    <cellStyle name="Comma 3 2 3 2 2 2 3" xfId="7320"/>
    <cellStyle name="Comma 3 2 3 2 2 2 4" xfId="5236"/>
    <cellStyle name="Comma 3 2 3 2 2 2 5" xfId="3152"/>
    <cellStyle name="Comma 3 2 3 2 2 3" xfId="1596"/>
    <cellStyle name="Comma 3 2 3 2 2 3 2" xfId="7848"/>
    <cellStyle name="Comma 3 2 3 2 2 3 3" xfId="5764"/>
    <cellStyle name="Comma 3 2 3 2 2 3 4" xfId="3680"/>
    <cellStyle name="Comma 3 2 3 2 2 4" xfId="6806"/>
    <cellStyle name="Comma 3 2 3 2 2 5" xfId="4722"/>
    <cellStyle name="Comma 3 2 3 2 2 6" xfId="2638"/>
    <cellStyle name="Comma 3 2 3 2 3" xfId="809"/>
    <cellStyle name="Comma 3 2 3 2 3 2" xfId="1853"/>
    <cellStyle name="Comma 3 2 3 2 3 2 2" xfId="8105"/>
    <cellStyle name="Comma 3 2 3 2 3 2 3" xfId="6021"/>
    <cellStyle name="Comma 3 2 3 2 3 2 4" xfId="3937"/>
    <cellStyle name="Comma 3 2 3 2 3 3" xfId="7063"/>
    <cellStyle name="Comma 3 2 3 2 3 4" xfId="4979"/>
    <cellStyle name="Comma 3 2 3 2 3 5" xfId="2895"/>
    <cellStyle name="Comma 3 2 3 2 4" xfId="1338"/>
    <cellStyle name="Comma 3 2 3 2 4 2" xfId="7590"/>
    <cellStyle name="Comma 3 2 3 2 4 3" xfId="5506"/>
    <cellStyle name="Comma 3 2 3 2 4 4" xfId="3422"/>
    <cellStyle name="Comma 3 2 3 2 5" xfId="6548"/>
    <cellStyle name="Comma 3 2 3 2 6" xfId="4464"/>
    <cellStyle name="Comma 3 2 3 2 7" xfId="2380"/>
    <cellStyle name="Comma 3 2 3 3" xfId="444"/>
    <cellStyle name="Comma 3 2 3 3 2" xfId="958"/>
    <cellStyle name="Comma 3 2 3 3 2 2" xfId="2002"/>
    <cellStyle name="Comma 3 2 3 3 2 2 2" xfId="8254"/>
    <cellStyle name="Comma 3 2 3 3 2 2 3" xfId="6170"/>
    <cellStyle name="Comma 3 2 3 3 2 2 4" xfId="4086"/>
    <cellStyle name="Comma 3 2 3 3 2 3" xfId="7212"/>
    <cellStyle name="Comma 3 2 3 3 2 4" xfId="5128"/>
    <cellStyle name="Comma 3 2 3 3 2 5" xfId="3044"/>
    <cellStyle name="Comma 3 2 3 3 3" xfId="1488"/>
    <cellStyle name="Comma 3 2 3 3 3 2" xfId="7740"/>
    <cellStyle name="Comma 3 2 3 3 3 3" xfId="5656"/>
    <cellStyle name="Comma 3 2 3 3 3 4" xfId="3572"/>
    <cellStyle name="Comma 3 2 3 3 4" xfId="6698"/>
    <cellStyle name="Comma 3 2 3 3 5" xfId="4614"/>
    <cellStyle name="Comma 3 2 3 3 6" xfId="2530"/>
    <cellStyle name="Comma 3 2 3 4" xfId="701"/>
    <cellStyle name="Comma 3 2 3 4 2" xfId="1745"/>
    <cellStyle name="Comma 3 2 3 4 2 2" xfId="7997"/>
    <cellStyle name="Comma 3 2 3 4 2 3" xfId="5913"/>
    <cellStyle name="Comma 3 2 3 4 2 4" xfId="3829"/>
    <cellStyle name="Comma 3 2 3 4 3" xfId="6955"/>
    <cellStyle name="Comma 3 2 3 4 4" xfId="4871"/>
    <cellStyle name="Comma 3 2 3 4 5" xfId="2787"/>
    <cellStyle name="Comma 3 2 3 5" xfId="1224"/>
    <cellStyle name="Comma 3 2 3 5 2" xfId="7476"/>
    <cellStyle name="Comma 3 2 3 5 3" xfId="5392"/>
    <cellStyle name="Comma 3 2 3 5 4" xfId="3308"/>
    <cellStyle name="Comma 3 2 3 6" xfId="6434"/>
    <cellStyle name="Comma 3 2 3 7" xfId="4350"/>
    <cellStyle name="Comma 3 2 3 8" xfId="2266"/>
    <cellStyle name="Comma 3 2 4" xfId="128"/>
    <cellStyle name="Comma 3 2 4 2" xfId="250"/>
    <cellStyle name="Comma 3 2 4 2 2" xfId="516"/>
    <cellStyle name="Comma 3 2 4 2 2 2" xfId="1030"/>
    <cellStyle name="Comma 3 2 4 2 2 2 2" xfId="2074"/>
    <cellStyle name="Comma 3 2 4 2 2 2 2 2" xfId="8326"/>
    <cellStyle name="Comma 3 2 4 2 2 2 2 3" xfId="6242"/>
    <cellStyle name="Comma 3 2 4 2 2 2 2 4" xfId="4158"/>
    <cellStyle name="Comma 3 2 4 2 2 2 3" xfId="7284"/>
    <cellStyle name="Comma 3 2 4 2 2 2 4" xfId="5200"/>
    <cellStyle name="Comma 3 2 4 2 2 2 5" xfId="3116"/>
    <cellStyle name="Comma 3 2 4 2 2 3" xfId="1560"/>
    <cellStyle name="Comma 3 2 4 2 2 3 2" xfId="7812"/>
    <cellStyle name="Comma 3 2 4 2 2 3 3" xfId="5728"/>
    <cellStyle name="Comma 3 2 4 2 2 3 4" xfId="3644"/>
    <cellStyle name="Comma 3 2 4 2 2 4" xfId="6770"/>
    <cellStyle name="Comma 3 2 4 2 2 5" xfId="4686"/>
    <cellStyle name="Comma 3 2 4 2 2 6" xfId="2602"/>
    <cellStyle name="Comma 3 2 4 2 3" xfId="773"/>
    <cellStyle name="Comma 3 2 4 2 3 2" xfId="1817"/>
    <cellStyle name="Comma 3 2 4 2 3 2 2" xfId="8069"/>
    <cellStyle name="Comma 3 2 4 2 3 2 3" xfId="5985"/>
    <cellStyle name="Comma 3 2 4 2 3 2 4" xfId="3901"/>
    <cellStyle name="Comma 3 2 4 2 3 3" xfId="7027"/>
    <cellStyle name="Comma 3 2 4 2 3 4" xfId="4943"/>
    <cellStyle name="Comma 3 2 4 2 3 5" xfId="2859"/>
    <cellStyle name="Comma 3 2 4 2 4" xfId="1300"/>
    <cellStyle name="Comma 3 2 4 2 4 2" xfId="7552"/>
    <cellStyle name="Comma 3 2 4 2 4 3" xfId="5468"/>
    <cellStyle name="Comma 3 2 4 2 4 4" xfId="3384"/>
    <cellStyle name="Comma 3 2 4 2 5" xfId="6510"/>
    <cellStyle name="Comma 3 2 4 2 6" xfId="4426"/>
    <cellStyle name="Comma 3 2 4 2 7" xfId="2342"/>
    <cellStyle name="Comma 3 2 4 3" xfId="408"/>
    <cellStyle name="Comma 3 2 4 3 2" xfId="922"/>
    <cellStyle name="Comma 3 2 4 3 2 2" xfId="1966"/>
    <cellStyle name="Comma 3 2 4 3 2 2 2" xfId="8218"/>
    <cellStyle name="Comma 3 2 4 3 2 2 3" xfId="6134"/>
    <cellStyle name="Comma 3 2 4 3 2 2 4" xfId="4050"/>
    <cellStyle name="Comma 3 2 4 3 2 3" xfId="7176"/>
    <cellStyle name="Comma 3 2 4 3 2 4" xfId="5092"/>
    <cellStyle name="Comma 3 2 4 3 2 5" xfId="3008"/>
    <cellStyle name="Comma 3 2 4 3 3" xfId="1452"/>
    <cellStyle name="Comma 3 2 4 3 3 2" xfId="7704"/>
    <cellStyle name="Comma 3 2 4 3 3 3" xfId="5620"/>
    <cellStyle name="Comma 3 2 4 3 3 4" xfId="3536"/>
    <cellStyle name="Comma 3 2 4 3 4" xfId="6662"/>
    <cellStyle name="Comma 3 2 4 3 5" xfId="4578"/>
    <cellStyle name="Comma 3 2 4 3 6" xfId="2494"/>
    <cellStyle name="Comma 3 2 4 4" xfId="665"/>
    <cellStyle name="Comma 3 2 4 4 2" xfId="1709"/>
    <cellStyle name="Comma 3 2 4 4 2 2" xfId="7961"/>
    <cellStyle name="Comma 3 2 4 4 2 3" xfId="5877"/>
    <cellStyle name="Comma 3 2 4 4 2 4" xfId="3793"/>
    <cellStyle name="Comma 3 2 4 4 3" xfId="6919"/>
    <cellStyle name="Comma 3 2 4 4 4" xfId="4835"/>
    <cellStyle name="Comma 3 2 4 4 5" xfId="2751"/>
    <cellStyle name="Comma 3 2 4 5" xfId="1186"/>
    <cellStyle name="Comma 3 2 4 5 2" xfId="7438"/>
    <cellStyle name="Comma 3 2 4 5 3" xfId="5354"/>
    <cellStyle name="Comma 3 2 4 5 4" xfId="3270"/>
    <cellStyle name="Comma 3 2 4 6" xfId="6396"/>
    <cellStyle name="Comma 3 2 4 7" xfId="4312"/>
    <cellStyle name="Comma 3 2 4 8" xfId="2228"/>
    <cellStyle name="Comma 3 2 5" xfId="210"/>
    <cellStyle name="Comma 3 2 5 2" xfId="480"/>
    <cellStyle name="Comma 3 2 5 2 2" xfId="994"/>
    <cellStyle name="Comma 3 2 5 2 2 2" xfId="2038"/>
    <cellStyle name="Comma 3 2 5 2 2 2 2" xfId="8290"/>
    <cellStyle name="Comma 3 2 5 2 2 2 3" xfId="6206"/>
    <cellStyle name="Comma 3 2 5 2 2 2 4" xfId="4122"/>
    <cellStyle name="Comma 3 2 5 2 2 3" xfId="7248"/>
    <cellStyle name="Comma 3 2 5 2 2 4" xfId="5164"/>
    <cellStyle name="Comma 3 2 5 2 2 5" xfId="3080"/>
    <cellStyle name="Comma 3 2 5 2 3" xfId="1524"/>
    <cellStyle name="Comma 3 2 5 2 3 2" xfId="7776"/>
    <cellStyle name="Comma 3 2 5 2 3 3" xfId="5692"/>
    <cellStyle name="Comma 3 2 5 2 3 4" xfId="3608"/>
    <cellStyle name="Comma 3 2 5 2 4" xfId="6734"/>
    <cellStyle name="Comma 3 2 5 2 5" xfId="4650"/>
    <cellStyle name="Comma 3 2 5 2 6" xfId="2566"/>
    <cellStyle name="Comma 3 2 5 3" xfId="737"/>
    <cellStyle name="Comma 3 2 5 3 2" xfId="1781"/>
    <cellStyle name="Comma 3 2 5 3 2 2" xfId="8033"/>
    <cellStyle name="Comma 3 2 5 3 2 3" xfId="5949"/>
    <cellStyle name="Comma 3 2 5 3 2 4" xfId="3865"/>
    <cellStyle name="Comma 3 2 5 3 3" xfId="6991"/>
    <cellStyle name="Comma 3 2 5 3 4" xfId="4907"/>
    <cellStyle name="Comma 3 2 5 3 5" xfId="2823"/>
    <cellStyle name="Comma 3 2 5 4" xfId="1262"/>
    <cellStyle name="Comma 3 2 5 4 2" xfId="7514"/>
    <cellStyle name="Comma 3 2 5 4 3" xfId="5430"/>
    <cellStyle name="Comma 3 2 5 4 4" xfId="3346"/>
    <cellStyle name="Comma 3 2 5 5" xfId="6472"/>
    <cellStyle name="Comma 3 2 5 6" xfId="4388"/>
    <cellStyle name="Comma 3 2 5 7" xfId="2304"/>
    <cellStyle name="Comma 3 2 6" xfId="372"/>
    <cellStyle name="Comma 3 2 6 2" xfId="886"/>
    <cellStyle name="Comma 3 2 6 2 2" xfId="1930"/>
    <cellStyle name="Comma 3 2 6 2 2 2" xfId="8182"/>
    <cellStyle name="Comma 3 2 6 2 2 3" xfId="6098"/>
    <cellStyle name="Comma 3 2 6 2 2 4" xfId="4014"/>
    <cellStyle name="Comma 3 2 6 2 3" xfId="7140"/>
    <cellStyle name="Comma 3 2 6 2 4" xfId="5056"/>
    <cellStyle name="Comma 3 2 6 2 5" xfId="2972"/>
    <cellStyle name="Comma 3 2 6 3" xfId="1416"/>
    <cellStyle name="Comma 3 2 6 3 2" xfId="7668"/>
    <cellStyle name="Comma 3 2 6 3 3" xfId="5584"/>
    <cellStyle name="Comma 3 2 6 3 4" xfId="3500"/>
    <cellStyle name="Comma 3 2 6 4" xfId="6626"/>
    <cellStyle name="Comma 3 2 6 5" xfId="4542"/>
    <cellStyle name="Comma 3 2 6 6" xfId="2458"/>
    <cellStyle name="Comma 3 2 7" xfId="629"/>
    <cellStyle name="Comma 3 2 7 2" xfId="1673"/>
    <cellStyle name="Comma 3 2 7 2 2" xfId="7925"/>
    <cellStyle name="Comma 3 2 7 2 3" xfId="5841"/>
    <cellStyle name="Comma 3 2 7 2 4" xfId="3757"/>
    <cellStyle name="Comma 3 2 7 3" xfId="6883"/>
    <cellStyle name="Comma 3 2 7 4" xfId="4799"/>
    <cellStyle name="Comma 3 2 7 5" xfId="2715"/>
    <cellStyle name="Comma 3 2 8" xfId="1148"/>
    <cellStyle name="Comma 3 2 8 2" xfId="7400"/>
    <cellStyle name="Comma 3 2 8 3" xfId="5316"/>
    <cellStyle name="Comma 3 2 8 4" xfId="3232"/>
    <cellStyle name="Comma 3 2 9" xfId="6358"/>
    <cellStyle name="Comma 3 3" xfId="98"/>
    <cellStyle name="Comma 3 3 10" xfId="2199"/>
    <cellStyle name="Comma 3 3 2" xfId="176"/>
    <cellStyle name="Comma 3 3 2 2" xfId="298"/>
    <cellStyle name="Comma 3 3 2 2 2" xfId="561"/>
    <cellStyle name="Comma 3 3 2 2 2 2" xfId="1075"/>
    <cellStyle name="Comma 3 3 2 2 2 2 2" xfId="2119"/>
    <cellStyle name="Comma 3 3 2 2 2 2 2 2" xfId="8371"/>
    <cellStyle name="Comma 3 3 2 2 2 2 2 3" xfId="6287"/>
    <cellStyle name="Comma 3 3 2 2 2 2 2 4" xfId="4203"/>
    <cellStyle name="Comma 3 3 2 2 2 2 3" xfId="7329"/>
    <cellStyle name="Comma 3 3 2 2 2 2 4" xfId="5245"/>
    <cellStyle name="Comma 3 3 2 2 2 2 5" xfId="3161"/>
    <cellStyle name="Comma 3 3 2 2 2 3" xfId="1605"/>
    <cellStyle name="Comma 3 3 2 2 2 3 2" xfId="7857"/>
    <cellStyle name="Comma 3 3 2 2 2 3 3" xfId="5773"/>
    <cellStyle name="Comma 3 3 2 2 2 3 4" xfId="3689"/>
    <cellStyle name="Comma 3 3 2 2 2 4" xfId="6815"/>
    <cellStyle name="Comma 3 3 2 2 2 5" xfId="4731"/>
    <cellStyle name="Comma 3 3 2 2 2 6" xfId="2647"/>
    <cellStyle name="Comma 3 3 2 2 3" xfId="818"/>
    <cellStyle name="Comma 3 3 2 2 3 2" xfId="1862"/>
    <cellStyle name="Comma 3 3 2 2 3 2 2" xfId="8114"/>
    <cellStyle name="Comma 3 3 2 2 3 2 3" xfId="6030"/>
    <cellStyle name="Comma 3 3 2 2 3 2 4" xfId="3946"/>
    <cellStyle name="Comma 3 3 2 2 3 3" xfId="7072"/>
    <cellStyle name="Comma 3 3 2 2 3 4" xfId="4988"/>
    <cellStyle name="Comma 3 3 2 2 3 5" xfId="2904"/>
    <cellStyle name="Comma 3 3 2 2 4" xfId="1347"/>
    <cellStyle name="Comma 3 3 2 2 4 2" xfId="7599"/>
    <cellStyle name="Comma 3 3 2 2 4 3" xfId="5515"/>
    <cellStyle name="Comma 3 3 2 2 4 4" xfId="3431"/>
    <cellStyle name="Comma 3 3 2 2 5" xfId="6557"/>
    <cellStyle name="Comma 3 3 2 2 6" xfId="4473"/>
    <cellStyle name="Comma 3 3 2 2 7" xfId="2389"/>
    <cellStyle name="Comma 3 3 2 3" xfId="453"/>
    <cellStyle name="Comma 3 3 2 3 2" xfId="967"/>
    <cellStyle name="Comma 3 3 2 3 2 2" xfId="2011"/>
    <cellStyle name="Comma 3 3 2 3 2 2 2" xfId="8263"/>
    <cellStyle name="Comma 3 3 2 3 2 2 3" xfId="6179"/>
    <cellStyle name="Comma 3 3 2 3 2 2 4" xfId="4095"/>
    <cellStyle name="Comma 3 3 2 3 2 3" xfId="7221"/>
    <cellStyle name="Comma 3 3 2 3 2 4" xfId="5137"/>
    <cellStyle name="Comma 3 3 2 3 2 5" xfId="3053"/>
    <cellStyle name="Comma 3 3 2 3 3" xfId="1497"/>
    <cellStyle name="Comma 3 3 2 3 3 2" xfId="7749"/>
    <cellStyle name="Comma 3 3 2 3 3 3" xfId="5665"/>
    <cellStyle name="Comma 3 3 2 3 3 4" xfId="3581"/>
    <cellStyle name="Comma 3 3 2 3 4" xfId="6707"/>
    <cellStyle name="Comma 3 3 2 3 5" xfId="4623"/>
    <cellStyle name="Comma 3 3 2 3 6" xfId="2539"/>
    <cellStyle name="Comma 3 3 2 4" xfId="710"/>
    <cellStyle name="Comma 3 3 2 4 2" xfId="1754"/>
    <cellStyle name="Comma 3 3 2 4 2 2" xfId="8006"/>
    <cellStyle name="Comma 3 3 2 4 2 3" xfId="5922"/>
    <cellStyle name="Comma 3 3 2 4 2 4" xfId="3838"/>
    <cellStyle name="Comma 3 3 2 4 3" xfId="6964"/>
    <cellStyle name="Comma 3 3 2 4 4" xfId="4880"/>
    <cellStyle name="Comma 3 3 2 4 5" xfId="2796"/>
    <cellStyle name="Comma 3 3 2 5" xfId="1233"/>
    <cellStyle name="Comma 3 3 2 5 2" xfId="7485"/>
    <cellStyle name="Comma 3 3 2 5 3" xfId="5401"/>
    <cellStyle name="Comma 3 3 2 5 4" xfId="3317"/>
    <cellStyle name="Comma 3 3 2 6" xfId="6443"/>
    <cellStyle name="Comma 3 3 2 7" xfId="4359"/>
    <cellStyle name="Comma 3 3 2 8" xfId="2275"/>
    <cellStyle name="Comma 3 3 3" xfId="137"/>
    <cellStyle name="Comma 3 3 3 2" xfId="259"/>
    <cellStyle name="Comma 3 3 3 2 2" xfId="525"/>
    <cellStyle name="Comma 3 3 3 2 2 2" xfId="1039"/>
    <cellStyle name="Comma 3 3 3 2 2 2 2" xfId="2083"/>
    <cellStyle name="Comma 3 3 3 2 2 2 2 2" xfId="8335"/>
    <cellStyle name="Comma 3 3 3 2 2 2 2 3" xfId="6251"/>
    <cellStyle name="Comma 3 3 3 2 2 2 2 4" xfId="4167"/>
    <cellStyle name="Comma 3 3 3 2 2 2 3" xfId="7293"/>
    <cellStyle name="Comma 3 3 3 2 2 2 4" xfId="5209"/>
    <cellStyle name="Comma 3 3 3 2 2 2 5" xfId="3125"/>
    <cellStyle name="Comma 3 3 3 2 2 3" xfId="1569"/>
    <cellStyle name="Comma 3 3 3 2 2 3 2" xfId="7821"/>
    <cellStyle name="Comma 3 3 3 2 2 3 3" xfId="5737"/>
    <cellStyle name="Comma 3 3 3 2 2 3 4" xfId="3653"/>
    <cellStyle name="Comma 3 3 3 2 2 4" xfId="6779"/>
    <cellStyle name="Comma 3 3 3 2 2 5" xfId="4695"/>
    <cellStyle name="Comma 3 3 3 2 2 6" xfId="2611"/>
    <cellStyle name="Comma 3 3 3 2 3" xfId="782"/>
    <cellStyle name="Comma 3 3 3 2 3 2" xfId="1826"/>
    <cellStyle name="Comma 3 3 3 2 3 2 2" xfId="8078"/>
    <cellStyle name="Comma 3 3 3 2 3 2 3" xfId="5994"/>
    <cellStyle name="Comma 3 3 3 2 3 2 4" xfId="3910"/>
    <cellStyle name="Comma 3 3 3 2 3 3" xfId="7036"/>
    <cellStyle name="Comma 3 3 3 2 3 4" xfId="4952"/>
    <cellStyle name="Comma 3 3 3 2 3 5" xfId="2868"/>
    <cellStyle name="Comma 3 3 3 2 4" xfId="1309"/>
    <cellStyle name="Comma 3 3 3 2 4 2" xfId="7561"/>
    <cellStyle name="Comma 3 3 3 2 4 3" xfId="5477"/>
    <cellStyle name="Comma 3 3 3 2 4 4" xfId="3393"/>
    <cellStyle name="Comma 3 3 3 2 5" xfId="6519"/>
    <cellStyle name="Comma 3 3 3 2 6" xfId="4435"/>
    <cellStyle name="Comma 3 3 3 2 7" xfId="2351"/>
    <cellStyle name="Comma 3 3 3 3" xfId="417"/>
    <cellStyle name="Comma 3 3 3 3 2" xfId="931"/>
    <cellStyle name="Comma 3 3 3 3 2 2" xfId="1975"/>
    <cellStyle name="Comma 3 3 3 3 2 2 2" xfId="8227"/>
    <cellStyle name="Comma 3 3 3 3 2 2 3" xfId="6143"/>
    <cellStyle name="Comma 3 3 3 3 2 2 4" xfId="4059"/>
    <cellStyle name="Comma 3 3 3 3 2 3" xfId="7185"/>
    <cellStyle name="Comma 3 3 3 3 2 4" xfId="5101"/>
    <cellStyle name="Comma 3 3 3 3 2 5" xfId="3017"/>
    <cellStyle name="Comma 3 3 3 3 3" xfId="1461"/>
    <cellStyle name="Comma 3 3 3 3 3 2" xfId="7713"/>
    <cellStyle name="Comma 3 3 3 3 3 3" xfId="5629"/>
    <cellStyle name="Comma 3 3 3 3 3 4" xfId="3545"/>
    <cellStyle name="Comma 3 3 3 3 4" xfId="6671"/>
    <cellStyle name="Comma 3 3 3 3 5" xfId="4587"/>
    <cellStyle name="Comma 3 3 3 3 6" xfId="2503"/>
    <cellStyle name="Comma 3 3 3 4" xfId="674"/>
    <cellStyle name="Comma 3 3 3 4 2" xfId="1718"/>
    <cellStyle name="Comma 3 3 3 4 2 2" xfId="7970"/>
    <cellStyle name="Comma 3 3 3 4 2 3" xfId="5886"/>
    <cellStyle name="Comma 3 3 3 4 2 4" xfId="3802"/>
    <cellStyle name="Comma 3 3 3 4 3" xfId="6928"/>
    <cellStyle name="Comma 3 3 3 4 4" xfId="4844"/>
    <cellStyle name="Comma 3 3 3 4 5" xfId="2760"/>
    <cellStyle name="Comma 3 3 3 5" xfId="1195"/>
    <cellStyle name="Comma 3 3 3 5 2" xfId="7447"/>
    <cellStyle name="Comma 3 3 3 5 3" xfId="5363"/>
    <cellStyle name="Comma 3 3 3 5 4" xfId="3279"/>
    <cellStyle name="Comma 3 3 3 6" xfId="6405"/>
    <cellStyle name="Comma 3 3 3 7" xfId="4321"/>
    <cellStyle name="Comma 3 3 3 8" xfId="2237"/>
    <cellStyle name="Comma 3 3 4" xfId="220"/>
    <cellStyle name="Comma 3 3 4 2" xfId="489"/>
    <cellStyle name="Comma 3 3 4 2 2" xfId="1003"/>
    <cellStyle name="Comma 3 3 4 2 2 2" xfId="2047"/>
    <cellStyle name="Comma 3 3 4 2 2 2 2" xfId="8299"/>
    <cellStyle name="Comma 3 3 4 2 2 2 3" xfId="6215"/>
    <cellStyle name="Comma 3 3 4 2 2 2 4" xfId="4131"/>
    <cellStyle name="Comma 3 3 4 2 2 3" xfId="7257"/>
    <cellStyle name="Comma 3 3 4 2 2 4" xfId="5173"/>
    <cellStyle name="Comma 3 3 4 2 2 5" xfId="3089"/>
    <cellStyle name="Comma 3 3 4 2 3" xfId="1533"/>
    <cellStyle name="Comma 3 3 4 2 3 2" xfId="7785"/>
    <cellStyle name="Comma 3 3 4 2 3 3" xfId="5701"/>
    <cellStyle name="Comma 3 3 4 2 3 4" xfId="3617"/>
    <cellStyle name="Comma 3 3 4 2 4" xfId="6743"/>
    <cellStyle name="Comma 3 3 4 2 5" xfId="4659"/>
    <cellStyle name="Comma 3 3 4 2 6" xfId="2575"/>
    <cellStyle name="Comma 3 3 4 3" xfId="746"/>
    <cellStyle name="Comma 3 3 4 3 2" xfId="1790"/>
    <cellStyle name="Comma 3 3 4 3 2 2" xfId="8042"/>
    <cellStyle name="Comma 3 3 4 3 2 3" xfId="5958"/>
    <cellStyle name="Comma 3 3 4 3 2 4" xfId="3874"/>
    <cellStyle name="Comma 3 3 4 3 3" xfId="7000"/>
    <cellStyle name="Comma 3 3 4 3 4" xfId="4916"/>
    <cellStyle name="Comma 3 3 4 3 5" xfId="2832"/>
    <cellStyle name="Comma 3 3 4 4" xfId="1271"/>
    <cellStyle name="Comma 3 3 4 4 2" xfId="7523"/>
    <cellStyle name="Comma 3 3 4 4 3" xfId="5439"/>
    <cellStyle name="Comma 3 3 4 4 4" xfId="3355"/>
    <cellStyle name="Comma 3 3 4 5" xfId="6481"/>
    <cellStyle name="Comma 3 3 4 6" xfId="4397"/>
    <cellStyle name="Comma 3 3 4 7" xfId="2313"/>
    <cellStyle name="Comma 3 3 5" xfId="381"/>
    <cellStyle name="Comma 3 3 5 2" xfId="895"/>
    <cellStyle name="Comma 3 3 5 2 2" xfId="1939"/>
    <cellStyle name="Comma 3 3 5 2 2 2" xfId="8191"/>
    <cellStyle name="Comma 3 3 5 2 2 3" xfId="6107"/>
    <cellStyle name="Comma 3 3 5 2 2 4" xfId="4023"/>
    <cellStyle name="Comma 3 3 5 2 3" xfId="7149"/>
    <cellStyle name="Comma 3 3 5 2 4" xfId="5065"/>
    <cellStyle name="Comma 3 3 5 2 5" xfId="2981"/>
    <cellStyle name="Comma 3 3 5 3" xfId="1425"/>
    <cellStyle name="Comma 3 3 5 3 2" xfId="7677"/>
    <cellStyle name="Comma 3 3 5 3 3" xfId="5593"/>
    <cellStyle name="Comma 3 3 5 3 4" xfId="3509"/>
    <cellStyle name="Comma 3 3 5 4" xfId="6635"/>
    <cellStyle name="Comma 3 3 5 5" xfId="4551"/>
    <cellStyle name="Comma 3 3 5 6" xfId="2467"/>
    <cellStyle name="Comma 3 3 6" xfId="638"/>
    <cellStyle name="Comma 3 3 6 2" xfId="1682"/>
    <cellStyle name="Comma 3 3 6 2 2" xfId="7934"/>
    <cellStyle name="Comma 3 3 6 2 3" xfId="5850"/>
    <cellStyle name="Comma 3 3 6 2 4" xfId="3766"/>
    <cellStyle name="Comma 3 3 6 3" xfId="6892"/>
    <cellStyle name="Comma 3 3 6 4" xfId="4808"/>
    <cellStyle name="Comma 3 3 6 5" xfId="2724"/>
    <cellStyle name="Comma 3 3 7" xfId="1157"/>
    <cellStyle name="Comma 3 3 7 2" xfId="7409"/>
    <cellStyle name="Comma 3 3 7 3" xfId="5325"/>
    <cellStyle name="Comma 3 3 7 4" xfId="3241"/>
    <cellStyle name="Comma 3 3 8" xfId="6367"/>
    <cellStyle name="Comma 3 3 9" xfId="4283"/>
    <cellStyle name="Comma 3 4" xfId="156"/>
    <cellStyle name="Comma 3 4 2" xfId="278"/>
    <cellStyle name="Comma 3 4 2 2" xfId="543"/>
    <cellStyle name="Comma 3 4 2 2 2" xfId="1057"/>
    <cellStyle name="Comma 3 4 2 2 2 2" xfId="2101"/>
    <cellStyle name="Comma 3 4 2 2 2 2 2" xfId="8353"/>
    <cellStyle name="Comma 3 4 2 2 2 2 3" xfId="6269"/>
    <cellStyle name="Comma 3 4 2 2 2 2 4" xfId="4185"/>
    <cellStyle name="Comma 3 4 2 2 2 3" xfId="7311"/>
    <cellStyle name="Comma 3 4 2 2 2 4" xfId="5227"/>
    <cellStyle name="Comma 3 4 2 2 2 5" xfId="3143"/>
    <cellStyle name="Comma 3 4 2 2 3" xfId="1587"/>
    <cellStyle name="Comma 3 4 2 2 3 2" xfId="7839"/>
    <cellStyle name="Comma 3 4 2 2 3 3" xfId="5755"/>
    <cellStyle name="Comma 3 4 2 2 3 4" xfId="3671"/>
    <cellStyle name="Comma 3 4 2 2 4" xfId="6797"/>
    <cellStyle name="Comma 3 4 2 2 5" xfId="4713"/>
    <cellStyle name="Comma 3 4 2 2 6" xfId="2629"/>
    <cellStyle name="Comma 3 4 2 3" xfId="800"/>
    <cellStyle name="Comma 3 4 2 3 2" xfId="1844"/>
    <cellStyle name="Comma 3 4 2 3 2 2" xfId="8096"/>
    <cellStyle name="Comma 3 4 2 3 2 3" xfId="6012"/>
    <cellStyle name="Comma 3 4 2 3 2 4" xfId="3928"/>
    <cellStyle name="Comma 3 4 2 3 3" xfId="7054"/>
    <cellStyle name="Comma 3 4 2 3 4" xfId="4970"/>
    <cellStyle name="Comma 3 4 2 3 5" xfId="2886"/>
    <cellStyle name="Comma 3 4 2 4" xfId="1328"/>
    <cellStyle name="Comma 3 4 2 4 2" xfId="7580"/>
    <cellStyle name="Comma 3 4 2 4 3" xfId="5496"/>
    <cellStyle name="Comma 3 4 2 4 4" xfId="3412"/>
    <cellStyle name="Comma 3 4 2 5" xfId="6538"/>
    <cellStyle name="Comma 3 4 2 6" xfId="4454"/>
    <cellStyle name="Comma 3 4 2 7" xfId="2370"/>
    <cellStyle name="Comma 3 4 3" xfId="435"/>
    <cellStyle name="Comma 3 4 3 2" xfId="949"/>
    <cellStyle name="Comma 3 4 3 2 2" xfId="1993"/>
    <cellStyle name="Comma 3 4 3 2 2 2" xfId="8245"/>
    <cellStyle name="Comma 3 4 3 2 2 3" xfId="6161"/>
    <cellStyle name="Comma 3 4 3 2 2 4" xfId="4077"/>
    <cellStyle name="Comma 3 4 3 2 3" xfId="7203"/>
    <cellStyle name="Comma 3 4 3 2 4" xfId="5119"/>
    <cellStyle name="Comma 3 4 3 2 5" xfId="3035"/>
    <cellStyle name="Comma 3 4 3 3" xfId="1479"/>
    <cellStyle name="Comma 3 4 3 3 2" xfId="7731"/>
    <cellStyle name="Comma 3 4 3 3 3" xfId="5647"/>
    <cellStyle name="Comma 3 4 3 3 4" xfId="3563"/>
    <cellStyle name="Comma 3 4 3 4" xfId="6689"/>
    <cellStyle name="Comma 3 4 3 5" xfId="4605"/>
    <cellStyle name="Comma 3 4 3 6" xfId="2521"/>
    <cellStyle name="Comma 3 4 4" xfId="692"/>
    <cellStyle name="Comma 3 4 4 2" xfId="1736"/>
    <cellStyle name="Comma 3 4 4 2 2" xfId="7988"/>
    <cellStyle name="Comma 3 4 4 2 3" xfId="5904"/>
    <cellStyle name="Comma 3 4 4 2 4" xfId="3820"/>
    <cellStyle name="Comma 3 4 4 3" xfId="6946"/>
    <cellStyle name="Comma 3 4 4 4" xfId="4862"/>
    <cellStyle name="Comma 3 4 4 5" xfId="2778"/>
    <cellStyle name="Comma 3 4 5" xfId="1214"/>
    <cellStyle name="Comma 3 4 5 2" xfId="7466"/>
    <cellStyle name="Comma 3 4 5 3" xfId="5382"/>
    <cellStyle name="Comma 3 4 5 4" xfId="3298"/>
    <cellStyle name="Comma 3 4 6" xfId="6424"/>
    <cellStyle name="Comma 3 4 7" xfId="4340"/>
    <cellStyle name="Comma 3 4 8" xfId="2256"/>
    <cellStyle name="Comma 3 5" xfId="118"/>
    <cellStyle name="Comma 3 5 2" xfId="240"/>
    <cellStyle name="Comma 3 5 2 2" xfId="507"/>
    <cellStyle name="Comma 3 5 2 2 2" xfId="1021"/>
    <cellStyle name="Comma 3 5 2 2 2 2" xfId="2065"/>
    <cellStyle name="Comma 3 5 2 2 2 2 2" xfId="8317"/>
    <cellStyle name="Comma 3 5 2 2 2 2 3" xfId="6233"/>
    <cellStyle name="Comma 3 5 2 2 2 2 4" xfId="4149"/>
    <cellStyle name="Comma 3 5 2 2 2 3" xfId="7275"/>
    <cellStyle name="Comma 3 5 2 2 2 4" xfId="5191"/>
    <cellStyle name="Comma 3 5 2 2 2 5" xfId="3107"/>
    <cellStyle name="Comma 3 5 2 2 3" xfId="1551"/>
    <cellStyle name="Comma 3 5 2 2 3 2" xfId="7803"/>
    <cellStyle name="Comma 3 5 2 2 3 3" xfId="5719"/>
    <cellStyle name="Comma 3 5 2 2 3 4" xfId="3635"/>
    <cellStyle name="Comma 3 5 2 2 4" xfId="6761"/>
    <cellStyle name="Comma 3 5 2 2 5" xfId="4677"/>
    <cellStyle name="Comma 3 5 2 2 6" xfId="2593"/>
    <cellStyle name="Comma 3 5 2 3" xfId="764"/>
    <cellStyle name="Comma 3 5 2 3 2" xfId="1808"/>
    <cellStyle name="Comma 3 5 2 3 2 2" xfId="8060"/>
    <cellStyle name="Comma 3 5 2 3 2 3" xfId="5976"/>
    <cellStyle name="Comma 3 5 2 3 2 4" xfId="3892"/>
    <cellStyle name="Comma 3 5 2 3 3" xfId="7018"/>
    <cellStyle name="Comma 3 5 2 3 4" xfId="4934"/>
    <cellStyle name="Comma 3 5 2 3 5" xfId="2850"/>
    <cellStyle name="Comma 3 5 2 4" xfId="1290"/>
    <cellStyle name="Comma 3 5 2 4 2" xfId="7542"/>
    <cellStyle name="Comma 3 5 2 4 3" xfId="5458"/>
    <cellStyle name="Comma 3 5 2 4 4" xfId="3374"/>
    <cellStyle name="Comma 3 5 2 5" xfId="6500"/>
    <cellStyle name="Comma 3 5 2 6" xfId="4416"/>
    <cellStyle name="Comma 3 5 2 7" xfId="2332"/>
    <cellStyle name="Comma 3 5 3" xfId="399"/>
    <cellStyle name="Comma 3 5 3 2" xfId="913"/>
    <cellStyle name="Comma 3 5 3 2 2" xfId="1957"/>
    <cellStyle name="Comma 3 5 3 2 2 2" xfId="8209"/>
    <cellStyle name="Comma 3 5 3 2 2 3" xfId="6125"/>
    <cellStyle name="Comma 3 5 3 2 2 4" xfId="4041"/>
    <cellStyle name="Comma 3 5 3 2 3" xfId="7167"/>
    <cellStyle name="Comma 3 5 3 2 4" xfId="5083"/>
    <cellStyle name="Comma 3 5 3 2 5" xfId="2999"/>
    <cellStyle name="Comma 3 5 3 3" xfId="1443"/>
    <cellStyle name="Comma 3 5 3 3 2" xfId="7695"/>
    <cellStyle name="Comma 3 5 3 3 3" xfId="5611"/>
    <cellStyle name="Comma 3 5 3 3 4" xfId="3527"/>
    <cellStyle name="Comma 3 5 3 4" xfId="6653"/>
    <cellStyle name="Comma 3 5 3 5" xfId="4569"/>
    <cellStyle name="Comma 3 5 3 6" xfId="2485"/>
    <cellStyle name="Comma 3 5 4" xfId="656"/>
    <cellStyle name="Comma 3 5 4 2" xfId="1700"/>
    <cellStyle name="Comma 3 5 4 2 2" xfId="7952"/>
    <cellStyle name="Comma 3 5 4 2 3" xfId="5868"/>
    <cellStyle name="Comma 3 5 4 2 4" xfId="3784"/>
    <cellStyle name="Comma 3 5 4 3" xfId="6910"/>
    <cellStyle name="Comma 3 5 4 4" xfId="4826"/>
    <cellStyle name="Comma 3 5 4 5" xfId="2742"/>
    <cellStyle name="Comma 3 5 5" xfId="1176"/>
    <cellStyle name="Comma 3 5 5 2" xfId="7428"/>
    <cellStyle name="Comma 3 5 5 3" xfId="5344"/>
    <cellStyle name="Comma 3 5 5 4" xfId="3260"/>
    <cellStyle name="Comma 3 5 6" xfId="6386"/>
    <cellStyle name="Comma 3 5 7" xfId="4302"/>
    <cellStyle name="Comma 3 5 8" xfId="2218"/>
    <cellStyle name="Comma 3 6" xfId="200"/>
    <cellStyle name="Comma 3 6 2" xfId="471"/>
    <cellStyle name="Comma 3 6 2 2" xfId="985"/>
    <cellStyle name="Comma 3 6 2 2 2" xfId="2029"/>
    <cellStyle name="Comma 3 6 2 2 2 2" xfId="8281"/>
    <cellStyle name="Comma 3 6 2 2 2 3" xfId="6197"/>
    <cellStyle name="Comma 3 6 2 2 2 4" xfId="4113"/>
    <cellStyle name="Comma 3 6 2 2 3" xfId="7239"/>
    <cellStyle name="Comma 3 6 2 2 4" xfId="5155"/>
    <cellStyle name="Comma 3 6 2 2 5" xfId="3071"/>
    <cellStyle name="Comma 3 6 2 3" xfId="1515"/>
    <cellStyle name="Comma 3 6 2 3 2" xfId="7767"/>
    <cellStyle name="Comma 3 6 2 3 3" xfId="5683"/>
    <cellStyle name="Comma 3 6 2 3 4" xfId="3599"/>
    <cellStyle name="Comma 3 6 2 4" xfId="6725"/>
    <cellStyle name="Comma 3 6 2 5" xfId="4641"/>
    <cellStyle name="Comma 3 6 2 6" xfId="2557"/>
    <cellStyle name="Comma 3 6 3" xfId="728"/>
    <cellStyle name="Comma 3 6 3 2" xfId="1772"/>
    <cellStyle name="Comma 3 6 3 2 2" xfId="8024"/>
    <cellStyle name="Comma 3 6 3 2 3" xfId="5940"/>
    <cellStyle name="Comma 3 6 3 2 4" xfId="3856"/>
    <cellStyle name="Comma 3 6 3 3" xfId="6982"/>
    <cellStyle name="Comma 3 6 3 4" xfId="4898"/>
    <cellStyle name="Comma 3 6 3 5" xfId="2814"/>
    <cellStyle name="Comma 3 6 4" xfId="1252"/>
    <cellStyle name="Comma 3 6 4 2" xfId="7504"/>
    <cellStyle name="Comma 3 6 4 3" xfId="5420"/>
    <cellStyle name="Comma 3 6 4 4" xfId="3336"/>
    <cellStyle name="Comma 3 6 5" xfId="6462"/>
    <cellStyle name="Comma 3 6 6" xfId="4378"/>
    <cellStyle name="Comma 3 6 7" xfId="2294"/>
    <cellStyle name="Comma 3 7" xfId="74"/>
    <cellStyle name="Comma 3 7 2" xfId="361"/>
    <cellStyle name="Comma 3 7 2 2" xfId="875"/>
    <cellStyle name="Comma 3 7 2 2 2" xfId="1919"/>
    <cellStyle name="Comma 3 7 2 2 2 2" xfId="8171"/>
    <cellStyle name="Comma 3 7 2 2 2 3" xfId="6087"/>
    <cellStyle name="Comma 3 7 2 2 2 4" xfId="4003"/>
    <cellStyle name="Comma 3 7 2 2 3" xfId="7129"/>
    <cellStyle name="Comma 3 7 2 2 4" xfId="5045"/>
    <cellStyle name="Comma 3 7 2 2 5" xfId="2961"/>
    <cellStyle name="Comma 3 7 2 3" xfId="1405"/>
    <cellStyle name="Comma 3 7 2 3 2" xfId="7657"/>
    <cellStyle name="Comma 3 7 2 3 3" xfId="5573"/>
    <cellStyle name="Comma 3 7 2 3 4" xfId="3489"/>
    <cellStyle name="Comma 3 7 2 4" xfId="6615"/>
    <cellStyle name="Comma 3 7 2 5" xfId="4531"/>
    <cellStyle name="Comma 3 7 2 6" xfId="2447"/>
    <cellStyle name="Comma 3 7 3" xfId="618"/>
    <cellStyle name="Comma 3 7 3 2" xfId="1662"/>
    <cellStyle name="Comma 3 7 3 2 2" xfId="7914"/>
    <cellStyle name="Comma 3 7 3 2 3" xfId="5830"/>
    <cellStyle name="Comma 3 7 3 2 4" xfId="3746"/>
    <cellStyle name="Comma 3 7 3 3" xfId="6872"/>
    <cellStyle name="Comma 3 7 3 4" xfId="4788"/>
    <cellStyle name="Comma 3 7 3 5" xfId="2704"/>
    <cellStyle name="Comma 3 7 4" xfId="1134"/>
    <cellStyle name="Comma 3 7 4 2" xfId="7388"/>
    <cellStyle name="Comma 3 7 4 3" xfId="5304"/>
    <cellStyle name="Comma 3 7 4 4" xfId="3220"/>
    <cellStyle name="Comma 3 7 5" xfId="6346"/>
    <cellStyle name="Comma 3 7 6" xfId="4262"/>
    <cellStyle name="Comma 3 7 7" xfId="2178"/>
    <cellStyle name="Comma 3 8" xfId="1106"/>
    <cellStyle name="Comma 3 8 2" xfId="7360"/>
    <cellStyle name="Comma 3 8 3" xfId="5276"/>
    <cellStyle name="Comma 3 8 4" xfId="3192"/>
    <cellStyle name="Comma 3 9" xfId="6318"/>
    <cellStyle name="Comma 4" xfId="57"/>
    <cellStyle name="Comma 4 10" xfId="1117"/>
    <cellStyle name="Comma 4 10 2" xfId="7371"/>
    <cellStyle name="Comma 4 10 3" xfId="5287"/>
    <cellStyle name="Comma 4 10 4" xfId="3203"/>
    <cellStyle name="Comma 4 11" xfId="6329"/>
    <cellStyle name="Comma 4 12" xfId="4245"/>
    <cellStyle name="Comma 4 13" xfId="2161"/>
    <cellStyle name="Comma 4 2" xfId="91"/>
    <cellStyle name="Comma 4 2 10" xfId="4277"/>
    <cellStyle name="Comma 4 2 11" xfId="2193"/>
    <cellStyle name="Comma 4 2 2" xfId="111"/>
    <cellStyle name="Comma 4 2 2 10" xfId="2212"/>
    <cellStyle name="Comma 4 2 2 2" xfId="189"/>
    <cellStyle name="Comma 4 2 2 2 2" xfId="311"/>
    <cellStyle name="Comma 4 2 2 2 2 2" xfId="573"/>
    <cellStyle name="Comma 4 2 2 2 2 2 2" xfId="1087"/>
    <cellStyle name="Comma 4 2 2 2 2 2 2 2" xfId="2131"/>
    <cellStyle name="Comma 4 2 2 2 2 2 2 2 2" xfId="8383"/>
    <cellStyle name="Comma 4 2 2 2 2 2 2 2 3" xfId="6299"/>
    <cellStyle name="Comma 4 2 2 2 2 2 2 2 4" xfId="4215"/>
    <cellStyle name="Comma 4 2 2 2 2 2 2 3" xfId="7341"/>
    <cellStyle name="Comma 4 2 2 2 2 2 2 4" xfId="5257"/>
    <cellStyle name="Comma 4 2 2 2 2 2 2 5" xfId="3173"/>
    <cellStyle name="Comma 4 2 2 2 2 2 3" xfId="1617"/>
    <cellStyle name="Comma 4 2 2 2 2 2 3 2" xfId="7869"/>
    <cellStyle name="Comma 4 2 2 2 2 2 3 3" xfId="5785"/>
    <cellStyle name="Comma 4 2 2 2 2 2 3 4" xfId="3701"/>
    <cellStyle name="Comma 4 2 2 2 2 2 4" xfId="6827"/>
    <cellStyle name="Comma 4 2 2 2 2 2 5" xfId="4743"/>
    <cellStyle name="Comma 4 2 2 2 2 2 6" xfId="2659"/>
    <cellStyle name="Comma 4 2 2 2 2 3" xfId="830"/>
    <cellStyle name="Comma 4 2 2 2 2 3 2" xfId="1874"/>
    <cellStyle name="Comma 4 2 2 2 2 3 2 2" xfId="8126"/>
    <cellStyle name="Comma 4 2 2 2 2 3 2 3" xfId="6042"/>
    <cellStyle name="Comma 4 2 2 2 2 3 2 4" xfId="3958"/>
    <cellStyle name="Comma 4 2 2 2 2 3 3" xfId="7084"/>
    <cellStyle name="Comma 4 2 2 2 2 3 4" xfId="5000"/>
    <cellStyle name="Comma 4 2 2 2 2 3 5" xfId="2916"/>
    <cellStyle name="Comma 4 2 2 2 2 4" xfId="1360"/>
    <cellStyle name="Comma 4 2 2 2 2 4 2" xfId="7612"/>
    <cellStyle name="Comma 4 2 2 2 2 4 3" xfId="5528"/>
    <cellStyle name="Comma 4 2 2 2 2 4 4" xfId="3444"/>
    <cellStyle name="Comma 4 2 2 2 2 5" xfId="6570"/>
    <cellStyle name="Comma 4 2 2 2 2 6" xfId="4486"/>
    <cellStyle name="Comma 4 2 2 2 2 7" xfId="2402"/>
    <cellStyle name="Comma 4 2 2 2 3" xfId="465"/>
    <cellStyle name="Comma 4 2 2 2 3 2" xfId="979"/>
    <cellStyle name="Comma 4 2 2 2 3 2 2" xfId="2023"/>
    <cellStyle name="Comma 4 2 2 2 3 2 2 2" xfId="8275"/>
    <cellStyle name="Comma 4 2 2 2 3 2 2 3" xfId="6191"/>
    <cellStyle name="Comma 4 2 2 2 3 2 2 4" xfId="4107"/>
    <cellStyle name="Comma 4 2 2 2 3 2 3" xfId="7233"/>
    <cellStyle name="Comma 4 2 2 2 3 2 4" xfId="5149"/>
    <cellStyle name="Comma 4 2 2 2 3 2 5" xfId="3065"/>
    <cellStyle name="Comma 4 2 2 2 3 3" xfId="1509"/>
    <cellStyle name="Comma 4 2 2 2 3 3 2" xfId="7761"/>
    <cellStyle name="Comma 4 2 2 2 3 3 3" xfId="5677"/>
    <cellStyle name="Comma 4 2 2 2 3 3 4" xfId="3593"/>
    <cellStyle name="Comma 4 2 2 2 3 4" xfId="6719"/>
    <cellStyle name="Comma 4 2 2 2 3 5" xfId="4635"/>
    <cellStyle name="Comma 4 2 2 2 3 6" xfId="2551"/>
    <cellStyle name="Comma 4 2 2 2 4" xfId="722"/>
    <cellStyle name="Comma 4 2 2 2 4 2" xfId="1766"/>
    <cellStyle name="Comma 4 2 2 2 4 2 2" xfId="8018"/>
    <cellStyle name="Comma 4 2 2 2 4 2 3" xfId="5934"/>
    <cellStyle name="Comma 4 2 2 2 4 2 4" xfId="3850"/>
    <cellStyle name="Comma 4 2 2 2 4 3" xfId="6976"/>
    <cellStyle name="Comma 4 2 2 2 4 4" xfId="4892"/>
    <cellStyle name="Comma 4 2 2 2 4 5" xfId="2808"/>
    <cellStyle name="Comma 4 2 2 2 5" xfId="1246"/>
    <cellStyle name="Comma 4 2 2 2 5 2" xfId="7498"/>
    <cellStyle name="Comma 4 2 2 2 5 3" xfId="5414"/>
    <cellStyle name="Comma 4 2 2 2 5 4" xfId="3330"/>
    <cellStyle name="Comma 4 2 2 2 6" xfId="6456"/>
    <cellStyle name="Comma 4 2 2 2 7" xfId="4372"/>
    <cellStyle name="Comma 4 2 2 2 8" xfId="2288"/>
    <cellStyle name="Comma 4 2 2 3" xfId="150"/>
    <cellStyle name="Comma 4 2 2 3 2" xfId="272"/>
    <cellStyle name="Comma 4 2 2 3 2 2" xfId="537"/>
    <cellStyle name="Comma 4 2 2 3 2 2 2" xfId="1051"/>
    <cellStyle name="Comma 4 2 2 3 2 2 2 2" xfId="2095"/>
    <cellStyle name="Comma 4 2 2 3 2 2 2 2 2" xfId="8347"/>
    <cellStyle name="Comma 4 2 2 3 2 2 2 2 3" xfId="6263"/>
    <cellStyle name="Comma 4 2 2 3 2 2 2 2 4" xfId="4179"/>
    <cellStyle name="Comma 4 2 2 3 2 2 2 3" xfId="7305"/>
    <cellStyle name="Comma 4 2 2 3 2 2 2 4" xfId="5221"/>
    <cellStyle name="Comma 4 2 2 3 2 2 2 5" xfId="3137"/>
    <cellStyle name="Comma 4 2 2 3 2 2 3" xfId="1581"/>
    <cellStyle name="Comma 4 2 2 3 2 2 3 2" xfId="7833"/>
    <cellStyle name="Comma 4 2 2 3 2 2 3 3" xfId="5749"/>
    <cellStyle name="Comma 4 2 2 3 2 2 3 4" xfId="3665"/>
    <cellStyle name="Comma 4 2 2 3 2 2 4" xfId="6791"/>
    <cellStyle name="Comma 4 2 2 3 2 2 5" xfId="4707"/>
    <cellStyle name="Comma 4 2 2 3 2 2 6" xfId="2623"/>
    <cellStyle name="Comma 4 2 2 3 2 3" xfId="794"/>
    <cellStyle name="Comma 4 2 2 3 2 3 2" xfId="1838"/>
    <cellStyle name="Comma 4 2 2 3 2 3 2 2" xfId="8090"/>
    <cellStyle name="Comma 4 2 2 3 2 3 2 3" xfId="6006"/>
    <cellStyle name="Comma 4 2 2 3 2 3 2 4" xfId="3922"/>
    <cellStyle name="Comma 4 2 2 3 2 3 3" xfId="7048"/>
    <cellStyle name="Comma 4 2 2 3 2 3 4" xfId="4964"/>
    <cellStyle name="Comma 4 2 2 3 2 3 5" xfId="2880"/>
    <cellStyle name="Comma 4 2 2 3 2 4" xfId="1322"/>
    <cellStyle name="Comma 4 2 2 3 2 4 2" xfId="7574"/>
    <cellStyle name="Comma 4 2 2 3 2 4 3" xfId="5490"/>
    <cellStyle name="Comma 4 2 2 3 2 4 4" xfId="3406"/>
    <cellStyle name="Comma 4 2 2 3 2 5" xfId="6532"/>
    <cellStyle name="Comma 4 2 2 3 2 6" xfId="4448"/>
    <cellStyle name="Comma 4 2 2 3 2 7" xfId="2364"/>
    <cellStyle name="Comma 4 2 2 3 3" xfId="429"/>
    <cellStyle name="Comma 4 2 2 3 3 2" xfId="943"/>
    <cellStyle name="Comma 4 2 2 3 3 2 2" xfId="1987"/>
    <cellStyle name="Comma 4 2 2 3 3 2 2 2" xfId="8239"/>
    <cellStyle name="Comma 4 2 2 3 3 2 2 3" xfId="6155"/>
    <cellStyle name="Comma 4 2 2 3 3 2 2 4" xfId="4071"/>
    <cellStyle name="Comma 4 2 2 3 3 2 3" xfId="7197"/>
    <cellStyle name="Comma 4 2 2 3 3 2 4" xfId="5113"/>
    <cellStyle name="Comma 4 2 2 3 3 2 5" xfId="3029"/>
    <cellStyle name="Comma 4 2 2 3 3 3" xfId="1473"/>
    <cellStyle name="Comma 4 2 2 3 3 3 2" xfId="7725"/>
    <cellStyle name="Comma 4 2 2 3 3 3 3" xfId="5641"/>
    <cellStyle name="Comma 4 2 2 3 3 3 4" xfId="3557"/>
    <cellStyle name="Comma 4 2 2 3 3 4" xfId="6683"/>
    <cellStyle name="Comma 4 2 2 3 3 5" xfId="4599"/>
    <cellStyle name="Comma 4 2 2 3 3 6" xfId="2515"/>
    <cellStyle name="Comma 4 2 2 3 4" xfId="686"/>
    <cellStyle name="Comma 4 2 2 3 4 2" xfId="1730"/>
    <cellStyle name="Comma 4 2 2 3 4 2 2" xfId="7982"/>
    <cellStyle name="Comma 4 2 2 3 4 2 3" xfId="5898"/>
    <cellStyle name="Comma 4 2 2 3 4 2 4" xfId="3814"/>
    <cellStyle name="Comma 4 2 2 3 4 3" xfId="6940"/>
    <cellStyle name="Comma 4 2 2 3 4 4" xfId="4856"/>
    <cellStyle name="Comma 4 2 2 3 4 5" xfId="2772"/>
    <cellStyle name="Comma 4 2 2 3 5" xfId="1208"/>
    <cellStyle name="Comma 4 2 2 3 5 2" xfId="7460"/>
    <cellStyle name="Comma 4 2 2 3 5 3" xfId="5376"/>
    <cellStyle name="Comma 4 2 2 3 5 4" xfId="3292"/>
    <cellStyle name="Comma 4 2 2 3 6" xfId="6418"/>
    <cellStyle name="Comma 4 2 2 3 7" xfId="4334"/>
    <cellStyle name="Comma 4 2 2 3 8" xfId="2250"/>
    <cellStyle name="Comma 4 2 2 4" xfId="233"/>
    <cellStyle name="Comma 4 2 2 4 2" xfId="501"/>
    <cellStyle name="Comma 4 2 2 4 2 2" xfId="1015"/>
    <cellStyle name="Comma 4 2 2 4 2 2 2" xfId="2059"/>
    <cellStyle name="Comma 4 2 2 4 2 2 2 2" xfId="8311"/>
    <cellStyle name="Comma 4 2 2 4 2 2 2 3" xfId="6227"/>
    <cellStyle name="Comma 4 2 2 4 2 2 2 4" xfId="4143"/>
    <cellStyle name="Comma 4 2 2 4 2 2 3" xfId="7269"/>
    <cellStyle name="Comma 4 2 2 4 2 2 4" xfId="5185"/>
    <cellStyle name="Comma 4 2 2 4 2 2 5" xfId="3101"/>
    <cellStyle name="Comma 4 2 2 4 2 3" xfId="1545"/>
    <cellStyle name="Comma 4 2 2 4 2 3 2" xfId="7797"/>
    <cellStyle name="Comma 4 2 2 4 2 3 3" xfId="5713"/>
    <cellStyle name="Comma 4 2 2 4 2 3 4" xfId="3629"/>
    <cellStyle name="Comma 4 2 2 4 2 4" xfId="6755"/>
    <cellStyle name="Comma 4 2 2 4 2 5" xfId="4671"/>
    <cellStyle name="Comma 4 2 2 4 2 6" xfId="2587"/>
    <cellStyle name="Comma 4 2 2 4 3" xfId="758"/>
    <cellStyle name="Comma 4 2 2 4 3 2" xfId="1802"/>
    <cellStyle name="Comma 4 2 2 4 3 2 2" xfId="8054"/>
    <cellStyle name="Comma 4 2 2 4 3 2 3" xfId="5970"/>
    <cellStyle name="Comma 4 2 2 4 3 2 4" xfId="3886"/>
    <cellStyle name="Comma 4 2 2 4 3 3" xfId="7012"/>
    <cellStyle name="Comma 4 2 2 4 3 4" xfId="4928"/>
    <cellStyle name="Comma 4 2 2 4 3 5" xfId="2844"/>
    <cellStyle name="Comma 4 2 2 4 4" xfId="1284"/>
    <cellStyle name="Comma 4 2 2 4 4 2" xfId="7536"/>
    <cellStyle name="Comma 4 2 2 4 4 3" xfId="5452"/>
    <cellStyle name="Comma 4 2 2 4 4 4" xfId="3368"/>
    <cellStyle name="Comma 4 2 2 4 5" xfId="6494"/>
    <cellStyle name="Comma 4 2 2 4 6" xfId="4410"/>
    <cellStyle name="Comma 4 2 2 4 7" xfId="2326"/>
    <cellStyle name="Comma 4 2 2 5" xfId="393"/>
    <cellStyle name="Comma 4 2 2 5 2" xfId="907"/>
    <cellStyle name="Comma 4 2 2 5 2 2" xfId="1951"/>
    <cellStyle name="Comma 4 2 2 5 2 2 2" xfId="8203"/>
    <cellStyle name="Comma 4 2 2 5 2 2 3" xfId="6119"/>
    <cellStyle name="Comma 4 2 2 5 2 2 4" xfId="4035"/>
    <cellStyle name="Comma 4 2 2 5 2 3" xfId="7161"/>
    <cellStyle name="Comma 4 2 2 5 2 4" xfId="5077"/>
    <cellStyle name="Comma 4 2 2 5 2 5" xfId="2993"/>
    <cellStyle name="Comma 4 2 2 5 3" xfId="1437"/>
    <cellStyle name="Comma 4 2 2 5 3 2" xfId="7689"/>
    <cellStyle name="Comma 4 2 2 5 3 3" xfId="5605"/>
    <cellStyle name="Comma 4 2 2 5 3 4" xfId="3521"/>
    <cellStyle name="Comma 4 2 2 5 4" xfId="6647"/>
    <cellStyle name="Comma 4 2 2 5 5" xfId="4563"/>
    <cellStyle name="Comma 4 2 2 5 6" xfId="2479"/>
    <cellStyle name="Comma 4 2 2 6" xfId="650"/>
    <cellStyle name="Comma 4 2 2 6 2" xfId="1694"/>
    <cellStyle name="Comma 4 2 2 6 2 2" xfId="7946"/>
    <cellStyle name="Comma 4 2 2 6 2 3" xfId="5862"/>
    <cellStyle name="Comma 4 2 2 6 2 4" xfId="3778"/>
    <cellStyle name="Comma 4 2 2 6 3" xfId="6904"/>
    <cellStyle name="Comma 4 2 2 6 4" xfId="4820"/>
    <cellStyle name="Comma 4 2 2 6 5" xfId="2736"/>
    <cellStyle name="Comma 4 2 2 7" xfId="1170"/>
    <cellStyle name="Comma 4 2 2 7 2" xfId="7422"/>
    <cellStyle name="Comma 4 2 2 7 3" xfId="5338"/>
    <cellStyle name="Comma 4 2 2 7 4" xfId="3254"/>
    <cellStyle name="Comma 4 2 2 8" xfId="6380"/>
    <cellStyle name="Comma 4 2 2 9" xfId="4296"/>
    <cellStyle name="Comma 4 2 3" xfId="169"/>
    <cellStyle name="Comma 4 2 3 2" xfId="291"/>
    <cellStyle name="Comma 4 2 3 2 2" xfId="555"/>
    <cellStyle name="Comma 4 2 3 2 2 2" xfId="1069"/>
    <cellStyle name="Comma 4 2 3 2 2 2 2" xfId="2113"/>
    <cellStyle name="Comma 4 2 3 2 2 2 2 2" xfId="8365"/>
    <cellStyle name="Comma 4 2 3 2 2 2 2 3" xfId="6281"/>
    <cellStyle name="Comma 4 2 3 2 2 2 2 4" xfId="4197"/>
    <cellStyle name="Comma 4 2 3 2 2 2 3" xfId="7323"/>
    <cellStyle name="Comma 4 2 3 2 2 2 4" xfId="5239"/>
    <cellStyle name="Comma 4 2 3 2 2 2 5" xfId="3155"/>
    <cellStyle name="Comma 4 2 3 2 2 3" xfId="1599"/>
    <cellStyle name="Comma 4 2 3 2 2 3 2" xfId="7851"/>
    <cellStyle name="Comma 4 2 3 2 2 3 3" xfId="5767"/>
    <cellStyle name="Comma 4 2 3 2 2 3 4" xfId="3683"/>
    <cellStyle name="Comma 4 2 3 2 2 4" xfId="6809"/>
    <cellStyle name="Comma 4 2 3 2 2 5" xfId="4725"/>
    <cellStyle name="Comma 4 2 3 2 2 6" xfId="2641"/>
    <cellStyle name="Comma 4 2 3 2 3" xfId="812"/>
    <cellStyle name="Comma 4 2 3 2 3 2" xfId="1856"/>
    <cellStyle name="Comma 4 2 3 2 3 2 2" xfId="8108"/>
    <cellStyle name="Comma 4 2 3 2 3 2 3" xfId="6024"/>
    <cellStyle name="Comma 4 2 3 2 3 2 4" xfId="3940"/>
    <cellStyle name="Comma 4 2 3 2 3 3" xfId="7066"/>
    <cellStyle name="Comma 4 2 3 2 3 4" xfId="4982"/>
    <cellStyle name="Comma 4 2 3 2 3 5" xfId="2898"/>
    <cellStyle name="Comma 4 2 3 2 4" xfId="1341"/>
    <cellStyle name="Comma 4 2 3 2 4 2" xfId="7593"/>
    <cellStyle name="Comma 4 2 3 2 4 3" xfId="5509"/>
    <cellStyle name="Comma 4 2 3 2 4 4" xfId="3425"/>
    <cellStyle name="Comma 4 2 3 2 5" xfId="6551"/>
    <cellStyle name="Comma 4 2 3 2 6" xfId="4467"/>
    <cellStyle name="Comma 4 2 3 2 7" xfId="2383"/>
    <cellStyle name="Comma 4 2 3 3" xfId="447"/>
    <cellStyle name="Comma 4 2 3 3 2" xfId="961"/>
    <cellStyle name="Comma 4 2 3 3 2 2" xfId="2005"/>
    <cellStyle name="Comma 4 2 3 3 2 2 2" xfId="8257"/>
    <cellStyle name="Comma 4 2 3 3 2 2 3" xfId="6173"/>
    <cellStyle name="Comma 4 2 3 3 2 2 4" xfId="4089"/>
    <cellStyle name="Comma 4 2 3 3 2 3" xfId="7215"/>
    <cellStyle name="Comma 4 2 3 3 2 4" xfId="5131"/>
    <cellStyle name="Comma 4 2 3 3 2 5" xfId="3047"/>
    <cellStyle name="Comma 4 2 3 3 3" xfId="1491"/>
    <cellStyle name="Comma 4 2 3 3 3 2" xfId="7743"/>
    <cellStyle name="Comma 4 2 3 3 3 3" xfId="5659"/>
    <cellStyle name="Comma 4 2 3 3 3 4" xfId="3575"/>
    <cellStyle name="Comma 4 2 3 3 4" xfId="6701"/>
    <cellStyle name="Comma 4 2 3 3 5" xfId="4617"/>
    <cellStyle name="Comma 4 2 3 3 6" xfId="2533"/>
    <cellStyle name="Comma 4 2 3 4" xfId="704"/>
    <cellStyle name="Comma 4 2 3 4 2" xfId="1748"/>
    <cellStyle name="Comma 4 2 3 4 2 2" xfId="8000"/>
    <cellStyle name="Comma 4 2 3 4 2 3" xfId="5916"/>
    <cellStyle name="Comma 4 2 3 4 2 4" xfId="3832"/>
    <cellStyle name="Comma 4 2 3 4 3" xfId="6958"/>
    <cellStyle name="Comma 4 2 3 4 4" xfId="4874"/>
    <cellStyle name="Comma 4 2 3 4 5" xfId="2790"/>
    <cellStyle name="Comma 4 2 3 5" xfId="1227"/>
    <cellStyle name="Comma 4 2 3 5 2" xfId="7479"/>
    <cellStyle name="Comma 4 2 3 5 3" xfId="5395"/>
    <cellStyle name="Comma 4 2 3 5 4" xfId="3311"/>
    <cellStyle name="Comma 4 2 3 6" xfId="6437"/>
    <cellStyle name="Comma 4 2 3 7" xfId="4353"/>
    <cellStyle name="Comma 4 2 3 8" xfId="2269"/>
    <cellStyle name="Comma 4 2 4" xfId="131"/>
    <cellStyle name="Comma 4 2 4 2" xfId="253"/>
    <cellStyle name="Comma 4 2 4 2 2" xfId="519"/>
    <cellStyle name="Comma 4 2 4 2 2 2" xfId="1033"/>
    <cellStyle name="Comma 4 2 4 2 2 2 2" xfId="2077"/>
    <cellStyle name="Comma 4 2 4 2 2 2 2 2" xfId="8329"/>
    <cellStyle name="Comma 4 2 4 2 2 2 2 3" xfId="6245"/>
    <cellStyle name="Comma 4 2 4 2 2 2 2 4" xfId="4161"/>
    <cellStyle name="Comma 4 2 4 2 2 2 3" xfId="7287"/>
    <cellStyle name="Comma 4 2 4 2 2 2 4" xfId="5203"/>
    <cellStyle name="Comma 4 2 4 2 2 2 5" xfId="3119"/>
    <cellStyle name="Comma 4 2 4 2 2 3" xfId="1563"/>
    <cellStyle name="Comma 4 2 4 2 2 3 2" xfId="7815"/>
    <cellStyle name="Comma 4 2 4 2 2 3 3" xfId="5731"/>
    <cellStyle name="Comma 4 2 4 2 2 3 4" xfId="3647"/>
    <cellStyle name="Comma 4 2 4 2 2 4" xfId="6773"/>
    <cellStyle name="Comma 4 2 4 2 2 5" xfId="4689"/>
    <cellStyle name="Comma 4 2 4 2 2 6" xfId="2605"/>
    <cellStyle name="Comma 4 2 4 2 3" xfId="776"/>
    <cellStyle name="Comma 4 2 4 2 3 2" xfId="1820"/>
    <cellStyle name="Comma 4 2 4 2 3 2 2" xfId="8072"/>
    <cellStyle name="Comma 4 2 4 2 3 2 3" xfId="5988"/>
    <cellStyle name="Comma 4 2 4 2 3 2 4" xfId="3904"/>
    <cellStyle name="Comma 4 2 4 2 3 3" xfId="7030"/>
    <cellStyle name="Comma 4 2 4 2 3 4" xfId="4946"/>
    <cellStyle name="Comma 4 2 4 2 3 5" xfId="2862"/>
    <cellStyle name="Comma 4 2 4 2 4" xfId="1303"/>
    <cellStyle name="Comma 4 2 4 2 4 2" xfId="7555"/>
    <cellStyle name="Comma 4 2 4 2 4 3" xfId="5471"/>
    <cellStyle name="Comma 4 2 4 2 4 4" xfId="3387"/>
    <cellStyle name="Comma 4 2 4 2 5" xfId="6513"/>
    <cellStyle name="Comma 4 2 4 2 6" xfId="4429"/>
    <cellStyle name="Comma 4 2 4 2 7" xfId="2345"/>
    <cellStyle name="Comma 4 2 4 3" xfId="411"/>
    <cellStyle name="Comma 4 2 4 3 2" xfId="925"/>
    <cellStyle name="Comma 4 2 4 3 2 2" xfId="1969"/>
    <cellStyle name="Comma 4 2 4 3 2 2 2" xfId="8221"/>
    <cellStyle name="Comma 4 2 4 3 2 2 3" xfId="6137"/>
    <cellStyle name="Comma 4 2 4 3 2 2 4" xfId="4053"/>
    <cellStyle name="Comma 4 2 4 3 2 3" xfId="7179"/>
    <cellStyle name="Comma 4 2 4 3 2 4" xfId="5095"/>
    <cellStyle name="Comma 4 2 4 3 2 5" xfId="3011"/>
    <cellStyle name="Comma 4 2 4 3 3" xfId="1455"/>
    <cellStyle name="Comma 4 2 4 3 3 2" xfId="7707"/>
    <cellStyle name="Comma 4 2 4 3 3 3" xfId="5623"/>
    <cellStyle name="Comma 4 2 4 3 3 4" xfId="3539"/>
    <cellStyle name="Comma 4 2 4 3 4" xfId="6665"/>
    <cellStyle name="Comma 4 2 4 3 5" xfId="4581"/>
    <cellStyle name="Comma 4 2 4 3 6" xfId="2497"/>
    <cellStyle name="Comma 4 2 4 4" xfId="668"/>
    <cellStyle name="Comma 4 2 4 4 2" xfId="1712"/>
    <cellStyle name="Comma 4 2 4 4 2 2" xfId="7964"/>
    <cellStyle name="Comma 4 2 4 4 2 3" xfId="5880"/>
    <cellStyle name="Comma 4 2 4 4 2 4" xfId="3796"/>
    <cellStyle name="Comma 4 2 4 4 3" xfId="6922"/>
    <cellStyle name="Comma 4 2 4 4 4" xfId="4838"/>
    <cellStyle name="Comma 4 2 4 4 5" xfId="2754"/>
    <cellStyle name="Comma 4 2 4 5" xfId="1189"/>
    <cellStyle name="Comma 4 2 4 5 2" xfId="7441"/>
    <cellStyle name="Comma 4 2 4 5 3" xfId="5357"/>
    <cellStyle name="Comma 4 2 4 5 4" xfId="3273"/>
    <cellStyle name="Comma 4 2 4 6" xfId="6399"/>
    <cellStyle name="Comma 4 2 4 7" xfId="4315"/>
    <cellStyle name="Comma 4 2 4 8" xfId="2231"/>
    <cellStyle name="Comma 4 2 5" xfId="213"/>
    <cellStyle name="Comma 4 2 5 2" xfId="483"/>
    <cellStyle name="Comma 4 2 5 2 2" xfId="997"/>
    <cellStyle name="Comma 4 2 5 2 2 2" xfId="2041"/>
    <cellStyle name="Comma 4 2 5 2 2 2 2" xfId="8293"/>
    <cellStyle name="Comma 4 2 5 2 2 2 3" xfId="6209"/>
    <cellStyle name="Comma 4 2 5 2 2 2 4" xfId="4125"/>
    <cellStyle name="Comma 4 2 5 2 2 3" xfId="7251"/>
    <cellStyle name="Comma 4 2 5 2 2 4" xfId="5167"/>
    <cellStyle name="Comma 4 2 5 2 2 5" xfId="3083"/>
    <cellStyle name="Comma 4 2 5 2 3" xfId="1527"/>
    <cellStyle name="Comma 4 2 5 2 3 2" xfId="7779"/>
    <cellStyle name="Comma 4 2 5 2 3 3" xfId="5695"/>
    <cellStyle name="Comma 4 2 5 2 3 4" xfId="3611"/>
    <cellStyle name="Comma 4 2 5 2 4" xfId="6737"/>
    <cellStyle name="Comma 4 2 5 2 5" xfId="4653"/>
    <cellStyle name="Comma 4 2 5 2 6" xfId="2569"/>
    <cellStyle name="Comma 4 2 5 3" xfId="740"/>
    <cellStyle name="Comma 4 2 5 3 2" xfId="1784"/>
    <cellStyle name="Comma 4 2 5 3 2 2" xfId="8036"/>
    <cellStyle name="Comma 4 2 5 3 2 3" xfId="5952"/>
    <cellStyle name="Comma 4 2 5 3 2 4" xfId="3868"/>
    <cellStyle name="Comma 4 2 5 3 3" xfId="6994"/>
    <cellStyle name="Comma 4 2 5 3 4" xfId="4910"/>
    <cellStyle name="Comma 4 2 5 3 5" xfId="2826"/>
    <cellStyle name="Comma 4 2 5 4" xfId="1265"/>
    <cellStyle name="Comma 4 2 5 4 2" xfId="7517"/>
    <cellStyle name="Comma 4 2 5 4 3" xfId="5433"/>
    <cellStyle name="Comma 4 2 5 4 4" xfId="3349"/>
    <cellStyle name="Comma 4 2 5 5" xfId="6475"/>
    <cellStyle name="Comma 4 2 5 6" xfId="4391"/>
    <cellStyle name="Comma 4 2 5 7" xfId="2307"/>
    <cellStyle name="Comma 4 2 6" xfId="375"/>
    <cellStyle name="Comma 4 2 6 2" xfId="889"/>
    <cellStyle name="Comma 4 2 6 2 2" xfId="1933"/>
    <cellStyle name="Comma 4 2 6 2 2 2" xfId="8185"/>
    <cellStyle name="Comma 4 2 6 2 2 3" xfId="6101"/>
    <cellStyle name="Comma 4 2 6 2 2 4" xfId="4017"/>
    <cellStyle name="Comma 4 2 6 2 3" xfId="7143"/>
    <cellStyle name="Comma 4 2 6 2 4" xfId="5059"/>
    <cellStyle name="Comma 4 2 6 2 5" xfId="2975"/>
    <cellStyle name="Comma 4 2 6 3" xfId="1419"/>
    <cellStyle name="Comma 4 2 6 3 2" xfId="7671"/>
    <cellStyle name="Comma 4 2 6 3 3" xfId="5587"/>
    <cellStyle name="Comma 4 2 6 3 4" xfId="3503"/>
    <cellStyle name="Comma 4 2 6 4" xfId="6629"/>
    <cellStyle name="Comma 4 2 6 5" xfId="4545"/>
    <cellStyle name="Comma 4 2 6 6" xfId="2461"/>
    <cellStyle name="Comma 4 2 7" xfId="632"/>
    <cellStyle name="Comma 4 2 7 2" xfId="1676"/>
    <cellStyle name="Comma 4 2 7 2 2" xfId="7928"/>
    <cellStyle name="Comma 4 2 7 2 3" xfId="5844"/>
    <cellStyle name="Comma 4 2 7 2 4" xfId="3760"/>
    <cellStyle name="Comma 4 2 7 3" xfId="6886"/>
    <cellStyle name="Comma 4 2 7 4" xfId="4802"/>
    <cellStyle name="Comma 4 2 7 5" xfId="2718"/>
    <cellStyle name="Comma 4 2 8" xfId="1151"/>
    <cellStyle name="Comma 4 2 8 2" xfId="7403"/>
    <cellStyle name="Comma 4 2 8 3" xfId="5319"/>
    <cellStyle name="Comma 4 2 8 4" xfId="3235"/>
    <cellStyle name="Comma 4 2 9" xfId="6361"/>
    <cellStyle name="Comma 4 3" xfId="101"/>
    <cellStyle name="Comma 4 3 10" xfId="2202"/>
    <cellStyle name="Comma 4 3 2" xfId="179"/>
    <cellStyle name="Comma 4 3 2 2" xfId="301"/>
    <cellStyle name="Comma 4 3 2 2 2" xfId="564"/>
    <cellStyle name="Comma 4 3 2 2 2 2" xfId="1078"/>
    <cellStyle name="Comma 4 3 2 2 2 2 2" xfId="2122"/>
    <cellStyle name="Comma 4 3 2 2 2 2 2 2" xfId="8374"/>
    <cellStyle name="Comma 4 3 2 2 2 2 2 3" xfId="6290"/>
    <cellStyle name="Comma 4 3 2 2 2 2 2 4" xfId="4206"/>
    <cellStyle name="Comma 4 3 2 2 2 2 3" xfId="7332"/>
    <cellStyle name="Comma 4 3 2 2 2 2 4" xfId="5248"/>
    <cellStyle name="Comma 4 3 2 2 2 2 5" xfId="3164"/>
    <cellStyle name="Comma 4 3 2 2 2 3" xfId="1608"/>
    <cellStyle name="Comma 4 3 2 2 2 3 2" xfId="7860"/>
    <cellStyle name="Comma 4 3 2 2 2 3 3" xfId="5776"/>
    <cellStyle name="Comma 4 3 2 2 2 3 4" xfId="3692"/>
    <cellStyle name="Comma 4 3 2 2 2 4" xfId="6818"/>
    <cellStyle name="Comma 4 3 2 2 2 5" xfId="4734"/>
    <cellStyle name="Comma 4 3 2 2 2 6" xfId="2650"/>
    <cellStyle name="Comma 4 3 2 2 3" xfId="821"/>
    <cellStyle name="Comma 4 3 2 2 3 2" xfId="1865"/>
    <cellStyle name="Comma 4 3 2 2 3 2 2" xfId="8117"/>
    <cellStyle name="Comma 4 3 2 2 3 2 3" xfId="6033"/>
    <cellStyle name="Comma 4 3 2 2 3 2 4" xfId="3949"/>
    <cellStyle name="Comma 4 3 2 2 3 3" xfId="7075"/>
    <cellStyle name="Comma 4 3 2 2 3 4" xfId="4991"/>
    <cellStyle name="Comma 4 3 2 2 3 5" xfId="2907"/>
    <cellStyle name="Comma 4 3 2 2 4" xfId="1350"/>
    <cellStyle name="Comma 4 3 2 2 4 2" xfId="7602"/>
    <cellStyle name="Comma 4 3 2 2 4 3" xfId="5518"/>
    <cellStyle name="Comma 4 3 2 2 4 4" xfId="3434"/>
    <cellStyle name="Comma 4 3 2 2 5" xfId="6560"/>
    <cellStyle name="Comma 4 3 2 2 6" xfId="4476"/>
    <cellStyle name="Comma 4 3 2 2 7" xfId="2392"/>
    <cellStyle name="Comma 4 3 2 3" xfId="456"/>
    <cellStyle name="Comma 4 3 2 3 2" xfId="970"/>
    <cellStyle name="Comma 4 3 2 3 2 2" xfId="2014"/>
    <cellStyle name="Comma 4 3 2 3 2 2 2" xfId="8266"/>
    <cellStyle name="Comma 4 3 2 3 2 2 3" xfId="6182"/>
    <cellStyle name="Comma 4 3 2 3 2 2 4" xfId="4098"/>
    <cellStyle name="Comma 4 3 2 3 2 3" xfId="7224"/>
    <cellStyle name="Comma 4 3 2 3 2 4" xfId="5140"/>
    <cellStyle name="Comma 4 3 2 3 2 5" xfId="3056"/>
    <cellStyle name="Comma 4 3 2 3 3" xfId="1500"/>
    <cellStyle name="Comma 4 3 2 3 3 2" xfId="7752"/>
    <cellStyle name="Comma 4 3 2 3 3 3" xfId="5668"/>
    <cellStyle name="Comma 4 3 2 3 3 4" xfId="3584"/>
    <cellStyle name="Comma 4 3 2 3 4" xfId="6710"/>
    <cellStyle name="Comma 4 3 2 3 5" xfId="4626"/>
    <cellStyle name="Comma 4 3 2 3 6" xfId="2542"/>
    <cellStyle name="Comma 4 3 2 4" xfId="713"/>
    <cellStyle name="Comma 4 3 2 4 2" xfId="1757"/>
    <cellStyle name="Comma 4 3 2 4 2 2" xfId="8009"/>
    <cellStyle name="Comma 4 3 2 4 2 3" xfId="5925"/>
    <cellStyle name="Comma 4 3 2 4 2 4" xfId="3841"/>
    <cellStyle name="Comma 4 3 2 4 3" xfId="6967"/>
    <cellStyle name="Comma 4 3 2 4 4" xfId="4883"/>
    <cellStyle name="Comma 4 3 2 4 5" xfId="2799"/>
    <cellStyle name="Comma 4 3 2 5" xfId="1236"/>
    <cellStyle name="Comma 4 3 2 5 2" xfId="7488"/>
    <cellStyle name="Comma 4 3 2 5 3" xfId="5404"/>
    <cellStyle name="Comma 4 3 2 5 4" xfId="3320"/>
    <cellStyle name="Comma 4 3 2 6" xfId="6446"/>
    <cellStyle name="Comma 4 3 2 7" xfId="4362"/>
    <cellStyle name="Comma 4 3 2 8" xfId="2278"/>
    <cellStyle name="Comma 4 3 3" xfId="140"/>
    <cellStyle name="Comma 4 3 3 2" xfId="262"/>
    <cellStyle name="Comma 4 3 3 2 2" xfId="528"/>
    <cellStyle name="Comma 4 3 3 2 2 2" xfId="1042"/>
    <cellStyle name="Comma 4 3 3 2 2 2 2" xfId="2086"/>
    <cellStyle name="Comma 4 3 3 2 2 2 2 2" xfId="8338"/>
    <cellStyle name="Comma 4 3 3 2 2 2 2 3" xfId="6254"/>
    <cellStyle name="Comma 4 3 3 2 2 2 2 4" xfId="4170"/>
    <cellStyle name="Comma 4 3 3 2 2 2 3" xfId="7296"/>
    <cellStyle name="Comma 4 3 3 2 2 2 4" xfId="5212"/>
    <cellStyle name="Comma 4 3 3 2 2 2 5" xfId="3128"/>
    <cellStyle name="Comma 4 3 3 2 2 3" xfId="1572"/>
    <cellStyle name="Comma 4 3 3 2 2 3 2" xfId="7824"/>
    <cellStyle name="Comma 4 3 3 2 2 3 3" xfId="5740"/>
    <cellStyle name="Comma 4 3 3 2 2 3 4" xfId="3656"/>
    <cellStyle name="Comma 4 3 3 2 2 4" xfId="6782"/>
    <cellStyle name="Comma 4 3 3 2 2 5" xfId="4698"/>
    <cellStyle name="Comma 4 3 3 2 2 6" xfId="2614"/>
    <cellStyle name="Comma 4 3 3 2 3" xfId="785"/>
    <cellStyle name="Comma 4 3 3 2 3 2" xfId="1829"/>
    <cellStyle name="Comma 4 3 3 2 3 2 2" xfId="8081"/>
    <cellStyle name="Comma 4 3 3 2 3 2 3" xfId="5997"/>
    <cellStyle name="Comma 4 3 3 2 3 2 4" xfId="3913"/>
    <cellStyle name="Comma 4 3 3 2 3 3" xfId="7039"/>
    <cellStyle name="Comma 4 3 3 2 3 4" xfId="4955"/>
    <cellStyle name="Comma 4 3 3 2 3 5" xfId="2871"/>
    <cellStyle name="Comma 4 3 3 2 4" xfId="1312"/>
    <cellStyle name="Comma 4 3 3 2 4 2" xfId="7564"/>
    <cellStyle name="Comma 4 3 3 2 4 3" xfId="5480"/>
    <cellStyle name="Comma 4 3 3 2 4 4" xfId="3396"/>
    <cellStyle name="Comma 4 3 3 2 5" xfId="6522"/>
    <cellStyle name="Comma 4 3 3 2 6" xfId="4438"/>
    <cellStyle name="Comma 4 3 3 2 7" xfId="2354"/>
    <cellStyle name="Comma 4 3 3 3" xfId="420"/>
    <cellStyle name="Comma 4 3 3 3 2" xfId="934"/>
    <cellStyle name="Comma 4 3 3 3 2 2" xfId="1978"/>
    <cellStyle name="Comma 4 3 3 3 2 2 2" xfId="8230"/>
    <cellStyle name="Comma 4 3 3 3 2 2 3" xfId="6146"/>
    <cellStyle name="Comma 4 3 3 3 2 2 4" xfId="4062"/>
    <cellStyle name="Comma 4 3 3 3 2 3" xfId="7188"/>
    <cellStyle name="Comma 4 3 3 3 2 4" xfId="5104"/>
    <cellStyle name="Comma 4 3 3 3 2 5" xfId="3020"/>
    <cellStyle name="Comma 4 3 3 3 3" xfId="1464"/>
    <cellStyle name="Comma 4 3 3 3 3 2" xfId="7716"/>
    <cellStyle name="Comma 4 3 3 3 3 3" xfId="5632"/>
    <cellStyle name="Comma 4 3 3 3 3 4" xfId="3548"/>
    <cellStyle name="Comma 4 3 3 3 4" xfId="6674"/>
    <cellStyle name="Comma 4 3 3 3 5" xfId="4590"/>
    <cellStyle name="Comma 4 3 3 3 6" xfId="2506"/>
    <cellStyle name="Comma 4 3 3 4" xfId="677"/>
    <cellStyle name="Comma 4 3 3 4 2" xfId="1721"/>
    <cellStyle name="Comma 4 3 3 4 2 2" xfId="7973"/>
    <cellStyle name="Comma 4 3 3 4 2 3" xfId="5889"/>
    <cellStyle name="Comma 4 3 3 4 2 4" xfId="3805"/>
    <cellStyle name="Comma 4 3 3 4 3" xfId="6931"/>
    <cellStyle name="Comma 4 3 3 4 4" xfId="4847"/>
    <cellStyle name="Comma 4 3 3 4 5" xfId="2763"/>
    <cellStyle name="Comma 4 3 3 5" xfId="1198"/>
    <cellStyle name="Comma 4 3 3 5 2" xfId="7450"/>
    <cellStyle name="Comma 4 3 3 5 3" xfId="5366"/>
    <cellStyle name="Comma 4 3 3 5 4" xfId="3282"/>
    <cellStyle name="Comma 4 3 3 6" xfId="6408"/>
    <cellStyle name="Comma 4 3 3 7" xfId="4324"/>
    <cellStyle name="Comma 4 3 3 8" xfId="2240"/>
    <cellStyle name="Comma 4 3 4" xfId="223"/>
    <cellStyle name="Comma 4 3 4 2" xfId="492"/>
    <cellStyle name="Comma 4 3 4 2 2" xfId="1006"/>
    <cellStyle name="Comma 4 3 4 2 2 2" xfId="2050"/>
    <cellStyle name="Comma 4 3 4 2 2 2 2" xfId="8302"/>
    <cellStyle name="Comma 4 3 4 2 2 2 3" xfId="6218"/>
    <cellStyle name="Comma 4 3 4 2 2 2 4" xfId="4134"/>
    <cellStyle name="Comma 4 3 4 2 2 3" xfId="7260"/>
    <cellStyle name="Comma 4 3 4 2 2 4" xfId="5176"/>
    <cellStyle name="Comma 4 3 4 2 2 5" xfId="3092"/>
    <cellStyle name="Comma 4 3 4 2 3" xfId="1536"/>
    <cellStyle name="Comma 4 3 4 2 3 2" xfId="7788"/>
    <cellStyle name="Comma 4 3 4 2 3 3" xfId="5704"/>
    <cellStyle name="Comma 4 3 4 2 3 4" xfId="3620"/>
    <cellStyle name="Comma 4 3 4 2 4" xfId="6746"/>
    <cellStyle name="Comma 4 3 4 2 5" xfId="4662"/>
    <cellStyle name="Comma 4 3 4 2 6" xfId="2578"/>
    <cellStyle name="Comma 4 3 4 3" xfId="749"/>
    <cellStyle name="Comma 4 3 4 3 2" xfId="1793"/>
    <cellStyle name="Comma 4 3 4 3 2 2" xfId="8045"/>
    <cellStyle name="Comma 4 3 4 3 2 3" xfId="5961"/>
    <cellStyle name="Comma 4 3 4 3 2 4" xfId="3877"/>
    <cellStyle name="Comma 4 3 4 3 3" xfId="7003"/>
    <cellStyle name="Comma 4 3 4 3 4" xfId="4919"/>
    <cellStyle name="Comma 4 3 4 3 5" xfId="2835"/>
    <cellStyle name="Comma 4 3 4 4" xfId="1274"/>
    <cellStyle name="Comma 4 3 4 4 2" xfId="7526"/>
    <cellStyle name="Comma 4 3 4 4 3" xfId="5442"/>
    <cellStyle name="Comma 4 3 4 4 4" xfId="3358"/>
    <cellStyle name="Comma 4 3 4 5" xfId="6484"/>
    <cellStyle name="Comma 4 3 4 6" xfId="4400"/>
    <cellStyle name="Comma 4 3 4 7" xfId="2316"/>
    <cellStyle name="Comma 4 3 5" xfId="384"/>
    <cellStyle name="Comma 4 3 5 2" xfId="898"/>
    <cellStyle name="Comma 4 3 5 2 2" xfId="1942"/>
    <cellStyle name="Comma 4 3 5 2 2 2" xfId="8194"/>
    <cellStyle name="Comma 4 3 5 2 2 3" xfId="6110"/>
    <cellStyle name="Comma 4 3 5 2 2 4" xfId="4026"/>
    <cellStyle name="Comma 4 3 5 2 3" xfId="7152"/>
    <cellStyle name="Comma 4 3 5 2 4" xfId="5068"/>
    <cellStyle name="Comma 4 3 5 2 5" xfId="2984"/>
    <cellStyle name="Comma 4 3 5 3" xfId="1428"/>
    <cellStyle name="Comma 4 3 5 3 2" xfId="7680"/>
    <cellStyle name="Comma 4 3 5 3 3" xfId="5596"/>
    <cellStyle name="Comma 4 3 5 3 4" xfId="3512"/>
    <cellStyle name="Comma 4 3 5 4" xfId="6638"/>
    <cellStyle name="Comma 4 3 5 5" xfId="4554"/>
    <cellStyle name="Comma 4 3 5 6" xfId="2470"/>
    <cellStyle name="Comma 4 3 6" xfId="641"/>
    <cellStyle name="Comma 4 3 6 2" xfId="1685"/>
    <cellStyle name="Comma 4 3 6 2 2" xfId="7937"/>
    <cellStyle name="Comma 4 3 6 2 3" xfId="5853"/>
    <cellStyle name="Comma 4 3 6 2 4" xfId="3769"/>
    <cellStyle name="Comma 4 3 6 3" xfId="6895"/>
    <cellStyle name="Comma 4 3 6 4" xfId="4811"/>
    <cellStyle name="Comma 4 3 6 5" xfId="2727"/>
    <cellStyle name="Comma 4 3 7" xfId="1160"/>
    <cellStyle name="Comma 4 3 7 2" xfId="7412"/>
    <cellStyle name="Comma 4 3 7 3" xfId="5328"/>
    <cellStyle name="Comma 4 3 7 4" xfId="3244"/>
    <cellStyle name="Comma 4 3 8" xfId="6370"/>
    <cellStyle name="Comma 4 3 9" xfId="4286"/>
    <cellStyle name="Comma 4 4" xfId="159"/>
    <cellStyle name="Comma 4 4 2" xfId="281"/>
    <cellStyle name="Comma 4 4 2 2" xfId="546"/>
    <cellStyle name="Comma 4 4 2 2 2" xfId="1060"/>
    <cellStyle name="Comma 4 4 2 2 2 2" xfId="2104"/>
    <cellStyle name="Comma 4 4 2 2 2 2 2" xfId="8356"/>
    <cellStyle name="Comma 4 4 2 2 2 2 3" xfId="6272"/>
    <cellStyle name="Comma 4 4 2 2 2 2 4" xfId="4188"/>
    <cellStyle name="Comma 4 4 2 2 2 3" xfId="7314"/>
    <cellStyle name="Comma 4 4 2 2 2 4" xfId="5230"/>
    <cellStyle name="Comma 4 4 2 2 2 5" xfId="3146"/>
    <cellStyle name="Comma 4 4 2 2 3" xfId="1590"/>
    <cellStyle name="Comma 4 4 2 2 3 2" xfId="7842"/>
    <cellStyle name="Comma 4 4 2 2 3 3" xfId="5758"/>
    <cellStyle name="Comma 4 4 2 2 3 4" xfId="3674"/>
    <cellStyle name="Comma 4 4 2 2 4" xfId="6800"/>
    <cellStyle name="Comma 4 4 2 2 5" xfId="4716"/>
    <cellStyle name="Comma 4 4 2 2 6" xfId="2632"/>
    <cellStyle name="Comma 4 4 2 3" xfId="803"/>
    <cellStyle name="Comma 4 4 2 3 2" xfId="1847"/>
    <cellStyle name="Comma 4 4 2 3 2 2" xfId="8099"/>
    <cellStyle name="Comma 4 4 2 3 2 3" xfId="6015"/>
    <cellStyle name="Comma 4 4 2 3 2 4" xfId="3931"/>
    <cellStyle name="Comma 4 4 2 3 3" xfId="7057"/>
    <cellStyle name="Comma 4 4 2 3 4" xfId="4973"/>
    <cellStyle name="Comma 4 4 2 3 5" xfId="2889"/>
    <cellStyle name="Comma 4 4 2 4" xfId="1331"/>
    <cellStyle name="Comma 4 4 2 4 2" xfId="7583"/>
    <cellStyle name="Comma 4 4 2 4 3" xfId="5499"/>
    <cellStyle name="Comma 4 4 2 4 4" xfId="3415"/>
    <cellStyle name="Comma 4 4 2 5" xfId="6541"/>
    <cellStyle name="Comma 4 4 2 6" xfId="4457"/>
    <cellStyle name="Comma 4 4 2 7" xfId="2373"/>
    <cellStyle name="Comma 4 4 3" xfId="438"/>
    <cellStyle name="Comma 4 4 3 2" xfId="952"/>
    <cellStyle name="Comma 4 4 3 2 2" xfId="1996"/>
    <cellStyle name="Comma 4 4 3 2 2 2" xfId="8248"/>
    <cellStyle name="Comma 4 4 3 2 2 3" xfId="6164"/>
    <cellStyle name="Comma 4 4 3 2 2 4" xfId="4080"/>
    <cellStyle name="Comma 4 4 3 2 3" xfId="7206"/>
    <cellStyle name="Comma 4 4 3 2 4" xfId="5122"/>
    <cellStyle name="Comma 4 4 3 2 5" xfId="3038"/>
    <cellStyle name="Comma 4 4 3 3" xfId="1482"/>
    <cellStyle name="Comma 4 4 3 3 2" xfId="7734"/>
    <cellStyle name="Comma 4 4 3 3 3" xfId="5650"/>
    <cellStyle name="Comma 4 4 3 3 4" xfId="3566"/>
    <cellStyle name="Comma 4 4 3 4" xfId="6692"/>
    <cellStyle name="Comma 4 4 3 5" xfId="4608"/>
    <cellStyle name="Comma 4 4 3 6" xfId="2524"/>
    <cellStyle name="Comma 4 4 4" xfId="695"/>
    <cellStyle name="Comma 4 4 4 2" xfId="1739"/>
    <cellStyle name="Comma 4 4 4 2 2" xfId="7991"/>
    <cellStyle name="Comma 4 4 4 2 3" xfId="5907"/>
    <cellStyle name="Comma 4 4 4 2 4" xfId="3823"/>
    <cellStyle name="Comma 4 4 4 3" xfId="6949"/>
    <cellStyle name="Comma 4 4 4 4" xfId="4865"/>
    <cellStyle name="Comma 4 4 4 5" xfId="2781"/>
    <cellStyle name="Comma 4 4 5" xfId="1217"/>
    <cellStyle name="Comma 4 4 5 2" xfId="7469"/>
    <cellStyle name="Comma 4 4 5 3" xfId="5385"/>
    <cellStyle name="Comma 4 4 5 4" xfId="3301"/>
    <cellStyle name="Comma 4 4 6" xfId="6427"/>
    <cellStyle name="Comma 4 4 7" xfId="4343"/>
    <cellStyle name="Comma 4 4 8" xfId="2259"/>
    <cellStyle name="Comma 4 5" xfId="121"/>
    <cellStyle name="Comma 4 5 2" xfId="243"/>
    <cellStyle name="Comma 4 5 2 2" xfId="510"/>
    <cellStyle name="Comma 4 5 2 2 2" xfId="1024"/>
    <cellStyle name="Comma 4 5 2 2 2 2" xfId="2068"/>
    <cellStyle name="Comma 4 5 2 2 2 2 2" xfId="8320"/>
    <cellStyle name="Comma 4 5 2 2 2 2 3" xfId="6236"/>
    <cellStyle name="Comma 4 5 2 2 2 2 4" xfId="4152"/>
    <cellStyle name="Comma 4 5 2 2 2 3" xfId="7278"/>
    <cellStyle name="Comma 4 5 2 2 2 4" xfId="5194"/>
    <cellStyle name="Comma 4 5 2 2 2 5" xfId="3110"/>
    <cellStyle name="Comma 4 5 2 2 3" xfId="1554"/>
    <cellStyle name="Comma 4 5 2 2 3 2" xfId="7806"/>
    <cellStyle name="Comma 4 5 2 2 3 3" xfId="5722"/>
    <cellStyle name="Comma 4 5 2 2 3 4" xfId="3638"/>
    <cellStyle name="Comma 4 5 2 2 4" xfId="6764"/>
    <cellStyle name="Comma 4 5 2 2 5" xfId="4680"/>
    <cellStyle name="Comma 4 5 2 2 6" xfId="2596"/>
    <cellStyle name="Comma 4 5 2 3" xfId="767"/>
    <cellStyle name="Comma 4 5 2 3 2" xfId="1811"/>
    <cellStyle name="Comma 4 5 2 3 2 2" xfId="8063"/>
    <cellStyle name="Comma 4 5 2 3 2 3" xfId="5979"/>
    <cellStyle name="Comma 4 5 2 3 2 4" xfId="3895"/>
    <cellStyle name="Comma 4 5 2 3 3" xfId="7021"/>
    <cellStyle name="Comma 4 5 2 3 4" xfId="4937"/>
    <cellStyle name="Comma 4 5 2 3 5" xfId="2853"/>
    <cellStyle name="Comma 4 5 2 4" xfId="1293"/>
    <cellStyle name="Comma 4 5 2 4 2" xfId="7545"/>
    <cellStyle name="Comma 4 5 2 4 3" xfId="5461"/>
    <cellStyle name="Comma 4 5 2 4 4" xfId="3377"/>
    <cellStyle name="Comma 4 5 2 5" xfId="6503"/>
    <cellStyle name="Comma 4 5 2 6" xfId="4419"/>
    <cellStyle name="Comma 4 5 2 7" xfId="2335"/>
    <cellStyle name="Comma 4 5 3" xfId="402"/>
    <cellStyle name="Comma 4 5 3 2" xfId="916"/>
    <cellStyle name="Comma 4 5 3 2 2" xfId="1960"/>
    <cellStyle name="Comma 4 5 3 2 2 2" xfId="8212"/>
    <cellStyle name="Comma 4 5 3 2 2 3" xfId="6128"/>
    <cellStyle name="Comma 4 5 3 2 2 4" xfId="4044"/>
    <cellStyle name="Comma 4 5 3 2 3" xfId="7170"/>
    <cellStyle name="Comma 4 5 3 2 4" xfId="5086"/>
    <cellStyle name="Comma 4 5 3 2 5" xfId="3002"/>
    <cellStyle name="Comma 4 5 3 3" xfId="1446"/>
    <cellStyle name="Comma 4 5 3 3 2" xfId="7698"/>
    <cellStyle name="Comma 4 5 3 3 3" xfId="5614"/>
    <cellStyle name="Comma 4 5 3 3 4" xfId="3530"/>
    <cellStyle name="Comma 4 5 3 4" xfId="6656"/>
    <cellStyle name="Comma 4 5 3 5" xfId="4572"/>
    <cellStyle name="Comma 4 5 3 6" xfId="2488"/>
    <cellStyle name="Comma 4 5 4" xfId="659"/>
    <cellStyle name="Comma 4 5 4 2" xfId="1703"/>
    <cellStyle name="Comma 4 5 4 2 2" xfId="7955"/>
    <cellStyle name="Comma 4 5 4 2 3" xfId="5871"/>
    <cellStyle name="Comma 4 5 4 2 4" xfId="3787"/>
    <cellStyle name="Comma 4 5 4 3" xfId="6913"/>
    <cellStyle name="Comma 4 5 4 4" xfId="4829"/>
    <cellStyle name="Comma 4 5 4 5" xfId="2745"/>
    <cellStyle name="Comma 4 5 5" xfId="1179"/>
    <cellStyle name="Comma 4 5 5 2" xfId="7431"/>
    <cellStyle name="Comma 4 5 5 3" xfId="5347"/>
    <cellStyle name="Comma 4 5 5 4" xfId="3263"/>
    <cellStyle name="Comma 4 5 6" xfId="6389"/>
    <cellStyle name="Comma 4 5 7" xfId="4305"/>
    <cellStyle name="Comma 4 5 8" xfId="2221"/>
    <cellStyle name="Comma 4 6" xfId="203"/>
    <cellStyle name="Comma 4 6 2" xfId="474"/>
    <cellStyle name="Comma 4 6 2 2" xfId="988"/>
    <cellStyle name="Comma 4 6 2 2 2" xfId="2032"/>
    <cellStyle name="Comma 4 6 2 2 2 2" xfId="8284"/>
    <cellStyle name="Comma 4 6 2 2 2 3" xfId="6200"/>
    <cellStyle name="Comma 4 6 2 2 2 4" xfId="4116"/>
    <cellStyle name="Comma 4 6 2 2 3" xfId="7242"/>
    <cellStyle name="Comma 4 6 2 2 4" xfId="5158"/>
    <cellStyle name="Comma 4 6 2 2 5" xfId="3074"/>
    <cellStyle name="Comma 4 6 2 3" xfId="1518"/>
    <cellStyle name="Comma 4 6 2 3 2" xfId="7770"/>
    <cellStyle name="Comma 4 6 2 3 3" xfId="5686"/>
    <cellStyle name="Comma 4 6 2 3 4" xfId="3602"/>
    <cellStyle name="Comma 4 6 2 4" xfId="6728"/>
    <cellStyle name="Comma 4 6 2 5" xfId="4644"/>
    <cellStyle name="Comma 4 6 2 6" xfId="2560"/>
    <cellStyle name="Comma 4 6 3" xfId="731"/>
    <cellStyle name="Comma 4 6 3 2" xfId="1775"/>
    <cellStyle name="Comma 4 6 3 2 2" xfId="8027"/>
    <cellStyle name="Comma 4 6 3 2 3" xfId="5943"/>
    <cellStyle name="Comma 4 6 3 2 4" xfId="3859"/>
    <cellStyle name="Comma 4 6 3 3" xfId="6985"/>
    <cellStyle name="Comma 4 6 3 4" xfId="4901"/>
    <cellStyle name="Comma 4 6 3 5" xfId="2817"/>
    <cellStyle name="Comma 4 6 4" xfId="1255"/>
    <cellStyle name="Comma 4 6 4 2" xfId="7507"/>
    <cellStyle name="Comma 4 6 4 3" xfId="5423"/>
    <cellStyle name="Comma 4 6 4 4" xfId="3339"/>
    <cellStyle name="Comma 4 6 5" xfId="6465"/>
    <cellStyle name="Comma 4 6 6" xfId="4381"/>
    <cellStyle name="Comma 4 6 7" xfId="2297"/>
    <cellStyle name="Comma 4 7" xfId="77"/>
    <cellStyle name="Comma 4 7 2" xfId="364"/>
    <cellStyle name="Comma 4 7 2 2" xfId="878"/>
    <cellStyle name="Comma 4 7 2 2 2" xfId="1922"/>
    <cellStyle name="Comma 4 7 2 2 2 2" xfId="8174"/>
    <cellStyle name="Comma 4 7 2 2 2 3" xfId="6090"/>
    <cellStyle name="Comma 4 7 2 2 2 4" xfId="4006"/>
    <cellStyle name="Comma 4 7 2 2 3" xfId="7132"/>
    <cellStyle name="Comma 4 7 2 2 4" xfId="5048"/>
    <cellStyle name="Comma 4 7 2 2 5" xfId="2964"/>
    <cellStyle name="Comma 4 7 2 3" xfId="1408"/>
    <cellStyle name="Comma 4 7 2 3 2" xfId="7660"/>
    <cellStyle name="Comma 4 7 2 3 3" xfId="5576"/>
    <cellStyle name="Comma 4 7 2 3 4" xfId="3492"/>
    <cellStyle name="Comma 4 7 2 4" xfId="6618"/>
    <cellStyle name="Comma 4 7 2 5" xfId="4534"/>
    <cellStyle name="Comma 4 7 2 6" xfId="2450"/>
    <cellStyle name="Comma 4 7 3" xfId="621"/>
    <cellStyle name="Comma 4 7 3 2" xfId="1665"/>
    <cellStyle name="Comma 4 7 3 2 2" xfId="7917"/>
    <cellStyle name="Comma 4 7 3 2 3" xfId="5833"/>
    <cellStyle name="Comma 4 7 3 2 4" xfId="3749"/>
    <cellStyle name="Comma 4 7 3 3" xfId="6875"/>
    <cellStyle name="Comma 4 7 3 4" xfId="4791"/>
    <cellStyle name="Comma 4 7 3 5" xfId="2707"/>
    <cellStyle name="Comma 4 7 4" xfId="1137"/>
    <cellStyle name="Comma 4 7 4 2" xfId="7391"/>
    <cellStyle name="Comma 4 7 4 3" xfId="5307"/>
    <cellStyle name="Comma 4 7 4 4" xfId="3223"/>
    <cellStyle name="Comma 4 7 5" xfId="6349"/>
    <cellStyle name="Comma 4 7 6" xfId="4265"/>
    <cellStyle name="Comma 4 7 7" xfId="2181"/>
    <cellStyle name="Comma 4 8" xfId="344"/>
    <cellStyle name="Comma 4 8 2" xfId="858"/>
    <cellStyle name="Comma 4 8 2 2" xfId="1902"/>
    <cellStyle name="Comma 4 8 2 2 2" xfId="8154"/>
    <cellStyle name="Comma 4 8 2 2 3" xfId="6070"/>
    <cellStyle name="Comma 4 8 2 2 4" xfId="3986"/>
    <cellStyle name="Comma 4 8 2 3" xfId="7112"/>
    <cellStyle name="Comma 4 8 2 4" xfId="5028"/>
    <cellStyle name="Comma 4 8 2 5" xfId="2944"/>
    <cellStyle name="Comma 4 8 3" xfId="1388"/>
    <cellStyle name="Comma 4 8 3 2" xfId="7640"/>
    <cellStyle name="Comma 4 8 3 3" xfId="5556"/>
    <cellStyle name="Comma 4 8 3 4" xfId="3472"/>
    <cellStyle name="Comma 4 8 4" xfId="6598"/>
    <cellStyle name="Comma 4 8 5" xfId="4514"/>
    <cellStyle name="Comma 4 8 6" xfId="2430"/>
    <cellStyle name="Comma 4 9" xfId="601"/>
    <cellStyle name="Comma 4 9 2" xfId="1645"/>
    <cellStyle name="Comma 4 9 2 2" xfId="7897"/>
    <cellStyle name="Comma 4 9 2 3" xfId="5813"/>
    <cellStyle name="Comma 4 9 2 4" xfId="3729"/>
    <cellStyle name="Comma 4 9 3" xfId="6855"/>
    <cellStyle name="Comma 4 9 4" xfId="4771"/>
    <cellStyle name="Comma 4 9 5" xfId="2687"/>
    <cellStyle name="Comma 5" xfId="84"/>
    <cellStyle name="Comma 5 10" xfId="4270"/>
    <cellStyle name="Comma 5 11" xfId="2186"/>
    <cellStyle name="Comma 5 2" xfId="105"/>
    <cellStyle name="Comma 5 2 10" xfId="2206"/>
    <cellStyle name="Comma 5 2 2" xfId="183"/>
    <cellStyle name="Comma 5 2 2 2" xfId="305"/>
    <cellStyle name="Comma 5 2 2 2 2" xfId="567"/>
    <cellStyle name="Comma 5 2 2 2 2 2" xfId="1081"/>
    <cellStyle name="Comma 5 2 2 2 2 2 2" xfId="2125"/>
    <cellStyle name="Comma 5 2 2 2 2 2 2 2" xfId="8377"/>
    <cellStyle name="Comma 5 2 2 2 2 2 2 3" xfId="6293"/>
    <cellStyle name="Comma 5 2 2 2 2 2 2 4" xfId="4209"/>
    <cellStyle name="Comma 5 2 2 2 2 2 3" xfId="7335"/>
    <cellStyle name="Comma 5 2 2 2 2 2 4" xfId="5251"/>
    <cellStyle name="Comma 5 2 2 2 2 2 5" xfId="3167"/>
    <cellStyle name="Comma 5 2 2 2 2 3" xfId="1611"/>
    <cellStyle name="Comma 5 2 2 2 2 3 2" xfId="7863"/>
    <cellStyle name="Comma 5 2 2 2 2 3 3" xfId="5779"/>
    <cellStyle name="Comma 5 2 2 2 2 3 4" xfId="3695"/>
    <cellStyle name="Comma 5 2 2 2 2 4" xfId="6821"/>
    <cellStyle name="Comma 5 2 2 2 2 5" xfId="4737"/>
    <cellStyle name="Comma 5 2 2 2 2 6" xfId="2653"/>
    <cellStyle name="Comma 5 2 2 2 3" xfId="824"/>
    <cellStyle name="Comma 5 2 2 2 3 2" xfId="1868"/>
    <cellStyle name="Comma 5 2 2 2 3 2 2" xfId="8120"/>
    <cellStyle name="Comma 5 2 2 2 3 2 3" xfId="6036"/>
    <cellStyle name="Comma 5 2 2 2 3 2 4" xfId="3952"/>
    <cellStyle name="Comma 5 2 2 2 3 3" xfId="7078"/>
    <cellStyle name="Comma 5 2 2 2 3 4" xfId="4994"/>
    <cellStyle name="Comma 5 2 2 2 3 5" xfId="2910"/>
    <cellStyle name="Comma 5 2 2 2 4" xfId="1354"/>
    <cellStyle name="Comma 5 2 2 2 4 2" xfId="7606"/>
    <cellStyle name="Comma 5 2 2 2 4 3" xfId="5522"/>
    <cellStyle name="Comma 5 2 2 2 4 4" xfId="3438"/>
    <cellStyle name="Comma 5 2 2 2 5" xfId="6564"/>
    <cellStyle name="Comma 5 2 2 2 6" xfId="4480"/>
    <cellStyle name="Comma 5 2 2 2 7" xfId="2396"/>
    <cellStyle name="Comma 5 2 2 3" xfId="459"/>
    <cellStyle name="Comma 5 2 2 3 2" xfId="973"/>
    <cellStyle name="Comma 5 2 2 3 2 2" xfId="2017"/>
    <cellStyle name="Comma 5 2 2 3 2 2 2" xfId="8269"/>
    <cellStyle name="Comma 5 2 2 3 2 2 3" xfId="6185"/>
    <cellStyle name="Comma 5 2 2 3 2 2 4" xfId="4101"/>
    <cellStyle name="Comma 5 2 2 3 2 3" xfId="7227"/>
    <cellStyle name="Comma 5 2 2 3 2 4" xfId="5143"/>
    <cellStyle name="Comma 5 2 2 3 2 5" xfId="3059"/>
    <cellStyle name="Comma 5 2 2 3 3" xfId="1503"/>
    <cellStyle name="Comma 5 2 2 3 3 2" xfId="7755"/>
    <cellStyle name="Comma 5 2 2 3 3 3" xfId="5671"/>
    <cellStyle name="Comma 5 2 2 3 3 4" xfId="3587"/>
    <cellStyle name="Comma 5 2 2 3 4" xfId="6713"/>
    <cellStyle name="Comma 5 2 2 3 5" xfId="4629"/>
    <cellStyle name="Comma 5 2 2 3 6" xfId="2545"/>
    <cellStyle name="Comma 5 2 2 4" xfId="716"/>
    <cellStyle name="Comma 5 2 2 4 2" xfId="1760"/>
    <cellStyle name="Comma 5 2 2 4 2 2" xfId="8012"/>
    <cellStyle name="Comma 5 2 2 4 2 3" xfId="5928"/>
    <cellStyle name="Comma 5 2 2 4 2 4" xfId="3844"/>
    <cellStyle name="Comma 5 2 2 4 3" xfId="6970"/>
    <cellStyle name="Comma 5 2 2 4 4" xfId="4886"/>
    <cellStyle name="Comma 5 2 2 4 5" xfId="2802"/>
    <cellStyle name="Comma 5 2 2 5" xfId="1240"/>
    <cellStyle name="Comma 5 2 2 5 2" xfId="7492"/>
    <cellStyle name="Comma 5 2 2 5 3" xfId="5408"/>
    <cellStyle name="Comma 5 2 2 5 4" xfId="3324"/>
    <cellStyle name="Comma 5 2 2 6" xfId="6450"/>
    <cellStyle name="Comma 5 2 2 7" xfId="4366"/>
    <cellStyle name="Comma 5 2 2 8" xfId="2282"/>
    <cellStyle name="Comma 5 2 3" xfId="144"/>
    <cellStyle name="Comma 5 2 3 2" xfId="266"/>
    <cellStyle name="Comma 5 2 3 2 2" xfId="531"/>
    <cellStyle name="Comma 5 2 3 2 2 2" xfId="1045"/>
    <cellStyle name="Comma 5 2 3 2 2 2 2" xfId="2089"/>
    <cellStyle name="Comma 5 2 3 2 2 2 2 2" xfId="8341"/>
    <cellStyle name="Comma 5 2 3 2 2 2 2 3" xfId="6257"/>
    <cellStyle name="Comma 5 2 3 2 2 2 2 4" xfId="4173"/>
    <cellStyle name="Comma 5 2 3 2 2 2 3" xfId="7299"/>
    <cellStyle name="Comma 5 2 3 2 2 2 4" xfId="5215"/>
    <cellStyle name="Comma 5 2 3 2 2 2 5" xfId="3131"/>
    <cellStyle name="Comma 5 2 3 2 2 3" xfId="1575"/>
    <cellStyle name="Comma 5 2 3 2 2 3 2" xfId="7827"/>
    <cellStyle name="Comma 5 2 3 2 2 3 3" xfId="5743"/>
    <cellStyle name="Comma 5 2 3 2 2 3 4" xfId="3659"/>
    <cellStyle name="Comma 5 2 3 2 2 4" xfId="6785"/>
    <cellStyle name="Comma 5 2 3 2 2 5" xfId="4701"/>
    <cellStyle name="Comma 5 2 3 2 2 6" xfId="2617"/>
    <cellStyle name="Comma 5 2 3 2 3" xfId="788"/>
    <cellStyle name="Comma 5 2 3 2 3 2" xfId="1832"/>
    <cellStyle name="Comma 5 2 3 2 3 2 2" xfId="8084"/>
    <cellStyle name="Comma 5 2 3 2 3 2 3" xfId="6000"/>
    <cellStyle name="Comma 5 2 3 2 3 2 4" xfId="3916"/>
    <cellStyle name="Comma 5 2 3 2 3 3" xfId="7042"/>
    <cellStyle name="Comma 5 2 3 2 3 4" xfId="4958"/>
    <cellStyle name="Comma 5 2 3 2 3 5" xfId="2874"/>
    <cellStyle name="Comma 5 2 3 2 4" xfId="1316"/>
    <cellStyle name="Comma 5 2 3 2 4 2" xfId="7568"/>
    <cellStyle name="Comma 5 2 3 2 4 3" xfId="5484"/>
    <cellStyle name="Comma 5 2 3 2 4 4" xfId="3400"/>
    <cellStyle name="Comma 5 2 3 2 5" xfId="6526"/>
    <cellStyle name="Comma 5 2 3 2 6" xfId="4442"/>
    <cellStyle name="Comma 5 2 3 2 7" xfId="2358"/>
    <cellStyle name="Comma 5 2 3 3" xfId="423"/>
    <cellStyle name="Comma 5 2 3 3 2" xfId="937"/>
    <cellStyle name="Comma 5 2 3 3 2 2" xfId="1981"/>
    <cellStyle name="Comma 5 2 3 3 2 2 2" xfId="8233"/>
    <cellStyle name="Comma 5 2 3 3 2 2 3" xfId="6149"/>
    <cellStyle name="Comma 5 2 3 3 2 2 4" xfId="4065"/>
    <cellStyle name="Comma 5 2 3 3 2 3" xfId="7191"/>
    <cellStyle name="Comma 5 2 3 3 2 4" xfId="5107"/>
    <cellStyle name="Comma 5 2 3 3 2 5" xfId="3023"/>
    <cellStyle name="Comma 5 2 3 3 3" xfId="1467"/>
    <cellStyle name="Comma 5 2 3 3 3 2" xfId="7719"/>
    <cellStyle name="Comma 5 2 3 3 3 3" xfId="5635"/>
    <cellStyle name="Comma 5 2 3 3 3 4" xfId="3551"/>
    <cellStyle name="Comma 5 2 3 3 4" xfId="6677"/>
    <cellStyle name="Comma 5 2 3 3 5" xfId="4593"/>
    <cellStyle name="Comma 5 2 3 3 6" xfId="2509"/>
    <cellStyle name="Comma 5 2 3 4" xfId="680"/>
    <cellStyle name="Comma 5 2 3 4 2" xfId="1724"/>
    <cellStyle name="Comma 5 2 3 4 2 2" xfId="7976"/>
    <cellStyle name="Comma 5 2 3 4 2 3" xfId="5892"/>
    <cellStyle name="Comma 5 2 3 4 2 4" xfId="3808"/>
    <cellStyle name="Comma 5 2 3 4 3" xfId="6934"/>
    <cellStyle name="Comma 5 2 3 4 4" xfId="4850"/>
    <cellStyle name="Comma 5 2 3 4 5" xfId="2766"/>
    <cellStyle name="Comma 5 2 3 5" xfId="1202"/>
    <cellStyle name="Comma 5 2 3 5 2" xfId="7454"/>
    <cellStyle name="Comma 5 2 3 5 3" xfId="5370"/>
    <cellStyle name="Comma 5 2 3 5 4" xfId="3286"/>
    <cellStyle name="Comma 5 2 3 6" xfId="6412"/>
    <cellStyle name="Comma 5 2 3 7" xfId="4328"/>
    <cellStyle name="Comma 5 2 3 8" xfId="2244"/>
    <cellStyle name="Comma 5 2 4" xfId="227"/>
    <cellStyle name="Comma 5 2 4 2" xfId="495"/>
    <cellStyle name="Comma 5 2 4 2 2" xfId="1009"/>
    <cellStyle name="Comma 5 2 4 2 2 2" xfId="2053"/>
    <cellStyle name="Comma 5 2 4 2 2 2 2" xfId="8305"/>
    <cellStyle name="Comma 5 2 4 2 2 2 3" xfId="6221"/>
    <cellStyle name="Comma 5 2 4 2 2 2 4" xfId="4137"/>
    <cellStyle name="Comma 5 2 4 2 2 3" xfId="7263"/>
    <cellStyle name="Comma 5 2 4 2 2 4" xfId="5179"/>
    <cellStyle name="Comma 5 2 4 2 2 5" xfId="3095"/>
    <cellStyle name="Comma 5 2 4 2 3" xfId="1539"/>
    <cellStyle name="Comma 5 2 4 2 3 2" xfId="7791"/>
    <cellStyle name="Comma 5 2 4 2 3 3" xfId="5707"/>
    <cellStyle name="Comma 5 2 4 2 3 4" xfId="3623"/>
    <cellStyle name="Comma 5 2 4 2 4" xfId="6749"/>
    <cellStyle name="Comma 5 2 4 2 5" xfId="4665"/>
    <cellStyle name="Comma 5 2 4 2 6" xfId="2581"/>
    <cellStyle name="Comma 5 2 4 3" xfId="752"/>
    <cellStyle name="Comma 5 2 4 3 2" xfId="1796"/>
    <cellStyle name="Comma 5 2 4 3 2 2" xfId="8048"/>
    <cellStyle name="Comma 5 2 4 3 2 3" xfId="5964"/>
    <cellStyle name="Comma 5 2 4 3 2 4" xfId="3880"/>
    <cellStyle name="Comma 5 2 4 3 3" xfId="7006"/>
    <cellStyle name="Comma 5 2 4 3 4" xfId="4922"/>
    <cellStyle name="Comma 5 2 4 3 5" xfId="2838"/>
    <cellStyle name="Comma 5 2 4 4" xfId="1278"/>
    <cellStyle name="Comma 5 2 4 4 2" xfId="7530"/>
    <cellStyle name="Comma 5 2 4 4 3" xfId="5446"/>
    <cellStyle name="Comma 5 2 4 4 4" xfId="3362"/>
    <cellStyle name="Comma 5 2 4 5" xfId="6488"/>
    <cellStyle name="Comma 5 2 4 6" xfId="4404"/>
    <cellStyle name="Comma 5 2 4 7" xfId="2320"/>
    <cellStyle name="Comma 5 2 5" xfId="387"/>
    <cellStyle name="Comma 5 2 5 2" xfId="901"/>
    <cellStyle name="Comma 5 2 5 2 2" xfId="1945"/>
    <cellStyle name="Comma 5 2 5 2 2 2" xfId="8197"/>
    <cellStyle name="Comma 5 2 5 2 2 3" xfId="6113"/>
    <cellStyle name="Comma 5 2 5 2 2 4" xfId="4029"/>
    <cellStyle name="Comma 5 2 5 2 3" xfId="7155"/>
    <cellStyle name="Comma 5 2 5 2 4" xfId="5071"/>
    <cellStyle name="Comma 5 2 5 2 5" xfId="2987"/>
    <cellStyle name="Comma 5 2 5 3" xfId="1431"/>
    <cellStyle name="Comma 5 2 5 3 2" xfId="7683"/>
    <cellStyle name="Comma 5 2 5 3 3" xfId="5599"/>
    <cellStyle name="Comma 5 2 5 3 4" xfId="3515"/>
    <cellStyle name="Comma 5 2 5 4" xfId="6641"/>
    <cellStyle name="Comma 5 2 5 5" xfId="4557"/>
    <cellStyle name="Comma 5 2 5 6" xfId="2473"/>
    <cellStyle name="Comma 5 2 6" xfId="644"/>
    <cellStyle name="Comma 5 2 6 2" xfId="1688"/>
    <cellStyle name="Comma 5 2 6 2 2" xfId="7940"/>
    <cellStyle name="Comma 5 2 6 2 3" xfId="5856"/>
    <cellStyle name="Comma 5 2 6 2 4" xfId="3772"/>
    <cellStyle name="Comma 5 2 6 3" xfId="6898"/>
    <cellStyle name="Comma 5 2 6 4" xfId="4814"/>
    <cellStyle name="Comma 5 2 6 5" xfId="2730"/>
    <cellStyle name="Comma 5 2 7" xfId="1164"/>
    <cellStyle name="Comma 5 2 7 2" xfId="7416"/>
    <cellStyle name="Comma 5 2 7 3" xfId="5332"/>
    <cellStyle name="Comma 5 2 7 4" xfId="3248"/>
    <cellStyle name="Comma 5 2 8" xfId="6374"/>
    <cellStyle name="Comma 5 2 9" xfId="4290"/>
    <cellStyle name="Comma 5 3" xfId="163"/>
    <cellStyle name="Comma 5 3 2" xfId="285"/>
    <cellStyle name="Comma 5 3 2 2" xfId="549"/>
    <cellStyle name="Comma 5 3 2 2 2" xfId="1063"/>
    <cellStyle name="Comma 5 3 2 2 2 2" xfId="2107"/>
    <cellStyle name="Comma 5 3 2 2 2 2 2" xfId="8359"/>
    <cellStyle name="Comma 5 3 2 2 2 2 3" xfId="6275"/>
    <cellStyle name="Comma 5 3 2 2 2 2 4" xfId="4191"/>
    <cellStyle name="Comma 5 3 2 2 2 3" xfId="7317"/>
    <cellStyle name="Comma 5 3 2 2 2 4" xfId="5233"/>
    <cellStyle name="Comma 5 3 2 2 2 5" xfId="3149"/>
    <cellStyle name="Comma 5 3 2 2 3" xfId="1593"/>
    <cellStyle name="Comma 5 3 2 2 3 2" xfId="7845"/>
    <cellStyle name="Comma 5 3 2 2 3 3" xfId="5761"/>
    <cellStyle name="Comma 5 3 2 2 3 4" xfId="3677"/>
    <cellStyle name="Comma 5 3 2 2 4" xfId="6803"/>
    <cellStyle name="Comma 5 3 2 2 5" xfId="4719"/>
    <cellStyle name="Comma 5 3 2 2 6" xfId="2635"/>
    <cellStyle name="Comma 5 3 2 3" xfId="806"/>
    <cellStyle name="Comma 5 3 2 3 2" xfId="1850"/>
    <cellStyle name="Comma 5 3 2 3 2 2" xfId="8102"/>
    <cellStyle name="Comma 5 3 2 3 2 3" xfId="6018"/>
    <cellStyle name="Comma 5 3 2 3 2 4" xfId="3934"/>
    <cellStyle name="Comma 5 3 2 3 3" xfId="7060"/>
    <cellStyle name="Comma 5 3 2 3 4" xfId="4976"/>
    <cellStyle name="Comma 5 3 2 3 5" xfId="2892"/>
    <cellStyle name="Comma 5 3 2 4" xfId="1335"/>
    <cellStyle name="Comma 5 3 2 4 2" xfId="7587"/>
    <cellStyle name="Comma 5 3 2 4 3" xfId="5503"/>
    <cellStyle name="Comma 5 3 2 4 4" xfId="3419"/>
    <cellStyle name="Comma 5 3 2 5" xfId="6545"/>
    <cellStyle name="Comma 5 3 2 6" xfId="4461"/>
    <cellStyle name="Comma 5 3 2 7" xfId="2377"/>
    <cellStyle name="Comma 5 3 3" xfId="441"/>
    <cellStyle name="Comma 5 3 3 2" xfId="955"/>
    <cellStyle name="Comma 5 3 3 2 2" xfId="1999"/>
    <cellStyle name="Comma 5 3 3 2 2 2" xfId="8251"/>
    <cellStyle name="Comma 5 3 3 2 2 3" xfId="6167"/>
    <cellStyle name="Comma 5 3 3 2 2 4" xfId="4083"/>
    <cellStyle name="Comma 5 3 3 2 3" xfId="7209"/>
    <cellStyle name="Comma 5 3 3 2 4" xfId="5125"/>
    <cellStyle name="Comma 5 3 3 2 5" xfId="3041"/>
    <cellStyle name="Comma 5 3 3 3" xfId="1485"/>
    <cellStyle name="Comma 5 3 3 3 2" xfId="7737"/>
    <cellStyle name="Comma 5 3 3 3 3" xfId="5653"/>
    <cellStyle name="Comma 5 3 3 3 4" xfId="3569"/>
    <cellStyle name="Comma 5 3 3 4" xfId="6695"/>
    <cellStyle name="Comma 5 3 3 5" xfId="4611"/>
    <cellStyle name="Comma 5 3 3 6" xfId="2527"/>
    <cellStyle name="Comma 5 3 4" xfId="698"/>
    <cellStyle name="Comma 5 3 4 2" xfId="1742"/>
    <cellStyle name="Comma 5 3 4 2 2" xfId="7994"/>
    <cellStyle name="Comma 5 3 4 2 3" xfId="5910"/>
    <cellStyle name="Comma 5 3 4 2 4" xfId="3826"/>
    <cellStyle name="Comma 5 3 4 3" xfId="6952"/>
    <cellStyle name="Comma 5 3 4 4" xfId="4868"/>
    <cellStyle name="Comma 5 3 4 5" xfId="2784"/>
    <cellStyle name="Comma 5 3 5" xfId="1221"/>
    <cellStyle name="Comma 5 3 5 2" xfId="7473"/>
    <cellStyle name="Comma 5 3 5 3" xfId="5389"/>
    <cellStyle name="Comma 5 3 5 4" xfId="3305"/>
    <cellStyle name="Comma 5 3 6" xfId="6431"/>
    <cellStyle name="Comma 5 3 7" xfId="4347"/>
    <cellStyle name="Comma 5 3 8" xfId="2263"/>
    <cellStyle name="Comma 5 4" xfId="125"/>
    <cellStyle name="Comma 5 4 2" xfId="247"/>
    <cellStyle name="Comma 5 4 2 2" xfId="513"/>
    <cellStyle name="Comma 5 4 2 2 2" xfId="1027"/>
    <cellStyle name="Comma 5 4 2 2 2 2" xfId="2071"/>
    <cellStyle name="Comma 5 4 2 2 2 2 2" xfId="8323"/>
    <cellStyle name="Comma 5 4 2 2 2 2 3" xfId="6239"/>
    <cellStyle name="Comma 5 4 2 2 2 2 4" xfId="4155"/>
    <cellStyle name="Comma 5 4 2 2 2 3" xfId="7281"/>
    <cellStyle name="Comma 5 4 2 2 2 4" xfId="5197"/>
    <cellStyle name="Comma 5 4 2 2 2 5" xfId="3113"/>
    <cellStyle name="Comma 5 4 2 2 3" xfId="1557"/>
    <cellStyle name="Comma 5 4 2 2 3 2" xfId="7809"/>
    <cellStyle name="Comma 5 4 2 2 3 3" xfId="5725"/>
    <cellStyle name="Comma 5 4 2 2 3 4" xfId="3641"/>
    <cellStyle name="Comma 5 4 2 2 4" xfId="6767"/>
    <cellStyle name="Comma 5 4 2 2 5" xfId="4683"/>
    <cellStyle name="Comma 5 4 2 2 6" xfId="2599"/>
    <cellStyle name="Comma 5 4 2 3" xfId="770"/>
    <cellStyle name="Comma 5 4 2 3 2" xfId="1814"/>
    <cellStyle name="Comma 5 4 2 3 2 2" xfId="8066"/>
    <cellStyle name="Comma 5 4 2 3 2 3" xfId="5982"/>
    <cellStyle name="Comma 5 4 2 3 2 4" xfId="3898"/>
    <cellStyle name="Comma 5 4 2 3 3" xfId="7024"/>
    <cellStyle name="Comma 5 4 2 3 4" xfId="4940"/>
    <cellStyle name="Comma 5 4 2 3 5" xfId="2856"/>
    <cellStyle name="Comma 5 4 2 4" xfId="1297"/>
    <cellStyle name="Comma 5 4 2 4 2" xfId="7549"/>
    <cellStyle name="Comma 5 4 2 4 3" xfId="5465"/>
    <cellStyle name="Comma 5 4 2 4 4" xfId="3381"/>
    <cellStyle name="Comma 5 4 2 5" xfId="6507"/>
    <cellStyle name="Comma 5 4 2 6" xfId="4423"/>
    <cellStyle name="Comma 5 4 2 7" xfId="2339"/>
    <cellStyle name="Comma 5 4 3" xfId="405"/>
    <cellStyle name="Comma 5 4 3 2" xfId="919"/>
    <cellStyle name="Comma 5 4 3 2 2" xfId="1963"/>
    <cellStyle name="Comma 5 4 3 2 2 2" xfId="8215"/>
    <cellStyle name="Comma 5 4 3 2 2 3" xfId="6131"/>
    <cellStyle name="Comma 5 4 3 2 2 4" xfId="4047"/>
    <cellStyle name="Comma 5 4 3 2 3" xfId="7173"/>
    <cellStyle name="Comma 5 4 3 2 4" xfId="5089"/>
    <cellStyle name="Comma 5 4 3 2 5" xfId="3005"/>
    <cellStyle name="Comma 5 4 3 3" xfId="1449"/>
    <cellStyle name="Comma 5 4 3 3 2" xfId="7701"/>
    <cellStyle name="Comma 5 4 3 3 3" xfId="5617"/>
    <cellStyle name="Comma 5 4 3 3 4" xfId="3533"/>
    <cellStyle name="Comma 5 4 3 4" xfId="6659"/>
    <cellStyle name="Comma 5 4 3 5" xfId="4575"/>
    <cellStyle name="Comma 5 4 3 6" xfId="2491"/>
    <cellStyle name="Comma 5 4 4" xfId="662"/>
    <cellStyle name="Comma 5 4 4 2" xfId="1706"/>
    <cellStyle name="Comma 5 4 4 2 2" xfId="7958"/>
    <cellStyle name="Comma 5 4 4 2 3" xfId="5874"/>
    <cellStyle name="Comma 5 4 4 2 4" xfId="3790"/>
    <cellStyle name="Comma 5 4 4 3" xfId="6916"/>
    <cellStyle name="Comma 5 4 4 4" xfId="4832"/>
    <cellStyle name="Comma 5 4 4 5" xfId="2748"/>
    <cellStyle name="Comma 5 4 5" xfId="1183"/>
    <cellStyle name="Comma 5 4 5 2" xfId="7435"/>
    <cellStyle name="Comma 5 4 5 3" xfId="5351"/>
    <cellStyle name="Comma 5 4 5 4" xfId="3267"/>
    <cellStyle name="Comma 5 4 6" xfId="6393"/>
    <cellStyle name="Comma 5 4 7" xfId="4309"/>
    <cellStyle name="Comma 5 4 8" xfId="2225"/>
    <cellStyle name="Comma 5 5" xfId="207"/>
    <cellStyle name="Comma 5 5 2" xfId="477"/>
    <cellStyle name="Comma 5 5 2 2" xfId="991"/>
    <cellStyle name="Comma 5 5 2 2 2" xfId="2035"/>
    <cellStyle name="Comma 5 5 2 2 2 2" xfId="8287"/>
    <cellStyle name="Comma 5 5 2 2 2 3" xfId="6203"/>
    <cellStyle name="Comma 5 5 2 2 2 4" xfId="4119"/>
    <cellStyle name="Comma 5 5 2 2 3" xfId="7245"/>
    <cellStyle name="Comma 5 5 2 2 4" xfId="5161"/>
    <cellStyle name="Comma 5 5 2 2 5" xfId="3077"/>
    <cellStyle name="Comma 5 5 2 3" xfId="1521"/>
    <cellStyle name="Comma 5 5 2 3 2" xfId="7773"/>
    <cellStyle name="Comma 5 5 2 3 3" xfId="5689"/>
    <cellStyle name="Comma 5 5 2 3 4" xfId="3605"/>
    <cellStyle name="Comma 5 5 2 4" xfId="6731"/>
    <cellStyle name="Comma 5 5 2 5" xfId="4647"/>
    <cellStyle name="Comma 5 5 2 6" xfId="2563"/>
    <cellStyle name="Comma 5 5 3" xfId="734"/>
    <cellStyle name="Comma 5 5 3 2" xfId="1778"/>
    <cellStyle name="Comma 5 5 3 2 2" xfId="8030"/>
    <cellStyle name="Comma 5 5 3 2 3" xfId="5946"/>
    <cellStyle name="Comma 5 5 3 2 4" xfId="3862"/>
    <cellStyle name="Comma 5 5 3 3" xfId="6988"/>
    <cellStyle name="Comma 5 5 3 4" xfId="4904"/>
    <cellStyle name="Comma 5 5 3 5" xfId="2820"/>
    <cellStyle name="Comma 5 5 4" xfId="1259"/>
    <cellStyle name="Comma 5 5 4 2" xfId="7511"/>
    <cellStyle name="Comma 5 5 4 3" xfId="5427"/>
    <cellStyle name="Comma 5 5 4 4" xfId="3343"/>
    <cellStyle name="Comma 5 5 5" xfId="6469"/>
    <cellStyle name="Comma 5 5 6" xfId="4385"/>
    <cellStyle name="Comma 5 5 7" xfId="2301"/>
    <cellStyle name="Comma 5 6" xfId="368"/>
    <cellStyle name="Comma 5 6 2" xfId="882"/>
    <cellStyle name="Comma 5 6 2 2" xfId="1926"/>
    <cellStyle name="Comma 5 6 2 2 2" xfId="8178"/>
    <cellStyle name="Comma 5 6 2 2 3" xfId="6094"/>
    <cellStyle name="Comma 5 6 2 2 4" xfId="4010"/>
    <cellStyle name="Comma 5 6 2 3" xfId="7136"/>
    <cellStyle name="Comma 5 6 2 4" xfId="5052"/>
    <cellStyle name="Comma 5 6 2 5" xfId="2968"/>
    <cellStyle name="Comma 5 6 3" xfId="1412"/>
    <cellStyle name="Comma 5 6 3 2" xfId="7664"/>
    <cellStyle name="Comma 5 6 3 3" xfId="5580"/>
    <cellStyle name="Comma 5 6 3 4" xfId="3496"/>
    <cellStyle name="Comma 5 6 4" xfId="6622"/>
    <cellStyle name="Comma 5 6 5" xfId="4538"/>
    <cellStyle name="Comma 5 6 6" xfId="2454"/>
    <cellStyle name="Comma 5 7" xfId="625"/>
    <cellStyle name="Comma 5 7 2" xfId="1669"/>
    <cellStyle name="Comma 5 7 2 2" xfId="7921"/>
    <cellStyle name="Comma 5 7 2 3" xfId="5837"/>
    <cellStyle name="Comma 5 7 2 4" xfId="3753"/>
    <cellStyle name="Comma 5 7 3" xfId="6879"/>
    <cellStyle name="Comma 5 7 4" xfId="4795"/>
    <cellStyle name="Comma 5 7 5" xfId="2711"/>
    <cellStyle name="Comma 5 8" xfId="1144"/>
    <cellStyle name="Comma 5 8 2" xfId="7396"/>
    <cellStyle name="Comma 5 8 3" xfId="5312"/>
    <cellStyle name="Comma 5 8 4" xfId="3228"/>
    <cellStyle name="Comma 5 9" xfId="6354"/>
    <cellStyle name="Comma 6" xfId="81"/>
    <cellStyle name="Comma 6 2" xfId="104"/>
    <cellStyle name="Comma 6 2 2" xfId="182"/>
    <cellStyle name="Comma 6 2 2 2" xfId="304"/>
    <cellStyle name="Comma 6 2 2 2 2" xfId="1353"/>
    <cellStyle name="Comma 6 2 2 2 2 2" xfId="7605"/>
    <cellStyle name="Comma 6 2 2 2 2 3" xfId="5521"/>
    <cellStyle name="Comma 6 2 2 2 2 4" xfId="3437"/>
    <cellStyle name="Comma 6 2 2 2 3" xfId="6563"/>
    <cellStyle name="Comma 6 2 2 2 4" xfId="4479"/>
    <cellStyle name="Comma 6 2 2 2 5" xfId="2395"/>
    <cellStyle name="Comma 6 2 2 3" xfId="1239"/>
    <cellStyle name="Comma 6 2 2 3 2" xfId="7491"/>
    <cellStyle name="Comma 6 2 2 3 3" xfId="5407"/>
    <cellStyle name="Comma 6 2 2 3 4" xfId="3323"/>
    <cellStyle name="Comma 6 2 2 4" xfId="6449"/>
    <cellStyle name="Comma 6 2 2 5" xfId="4365"/>
    <cellStyle name="Comma 6 2 2 6" xfId="2281"/>
    <cellStyle name="Comma 6 2 3" xfId="143"/>
    <cellStyle name="Comma 6 2 3 2" xfId="265"/>
    <cellStyle name="Comma 6 2 3 2 2" xfId="1315"/>
    <cellStyle name="Comma 6 2 3 2 2 2" xfId="7567"/>
    <cellStyle name="Comma 6 2 3 2 2 3" xfId="5483"/>
    <cellStyle name="Comma 6 2 3 2 2 4" xfId="3399"/>
    <cellStyle name="Comma 6 2 3 2 3" xfId="6525"/>
    <cellStyle name="Comma 6 2 3 2 4" xfId="4441"/>
    <cellStyle name="Comma 6 2 3 2 5" xfId="2357"/>
    <cellStyle name="Comma 6 2 3 3" xfId="1201"/>
    <cellStyle name="Comma 6 2 3 3 2" xfId="7453"/>
    <cellStyle name="Comma 6 2 3 3 3" xfId="5369"/>
    <cellStyle name="Comma 6 2 3 3 4" xfId="3285"/>
    <cellStyle name="Comma 6 2 3 4" xfId="6411"/>
    <cellStyle name="Comma 6 2 3 5" xfId="4327"/>
    <cellStyle name="Comma 6 2 3 6" xfId="2243"/>
    <cellStyle name="Comma 6 2 4" xfId="226"/>
    <cellStyle name="Comma 6 2 4 2" xfId="1277"/>
    <cellStyle name="Comma 6 2 4 2 2" xfId="7529"/>
    <cellStyle name="Comma 6 2 4 2 3" xfId="5445"/>
    <cellStyle name="Comma 6 2 4 2 4" xfId="3361"/>
    <cellStyle name="Comma 6 2 4 3" xfId="6487"/>
    <cellStyle name="Comma 6 2 4 4" xfId="4403"/>
    <cellStyle name="Comma 6 2 4 5" xfId="2319"/>
    <cellStyle name="Comma 6 2 5" xfId="1163"/>
    <cellStyle name="Comma 6 2 5 2" xfId="7415"/>
    <cellStyle name="Comma 6 2 5 3" xfId="5331"/>
    <cellStyle name="Comma 6 2 5 4" xfId="3247"/>
    <cellStyle name="Comma 6 2 6" xfId="6373"/>
    <cellStyle name="Comma 6 2 7" xfId="4289"/>
    <cellStyle name="Comma 6 2 8" xfId="2205"/>
    <cellStyle name="Comma 6 3" xfId="162"/>
    <cellStyle name="Comma 6 3 2" xfId="284"/>
    <cellStyle name="Comma 6 3 2 2" xfId="1334"/>
    <cellStyle name="Comma 6 3 2 2 2" xfId="7586"/>
    <cellStyle name="Comma 6 3 2 2 3" xfId="5502"/>
    <cellStyle name="Comma 6 3 2 2 4" xfId="3418"/>
    <cellStyle name="Comma 6 3 2 3" xfId="6544"/>
    <cellStyle name="Comma 6 3 2 4" xfId="4460"/>
    <cellStyle name="Comma 6 3 2 5" xfId="2376"/>
    <cellStyle name="Comma 6 3 3" xfId="1220"/>
    <cellStyle name="Comma 6 3 3 2" xfId="7472"/>
    <cellStyle name="Comma 6 3 3 3" xfId="5388"/>
    <cellStyle name="Comma 6 3 3 4" xfId="3304"/>
    <cellStyle name="Comma 6 3 4" xfId="6430"/>
    <cellStyle name="Comma 6 3 5" xfId="4346"/>
    <cellStyle name="Comma 6 3 6" xfId="2262"/>
    <cellStyle name="Comma 6 4" xfId="124"/>
    <cellStyle name="Comma 6 4 2" xfId="246"/>
    <cellStyle name="Comma 6 4 2 2" xfId="1296"/>
    <cellStyle name="Comma 6 4 2 2 2" xfId="7548"/>
    <cellStyle name="Comma 6 4 2 2 3" xfId="5464"/>
    <cellStyle name="Comma 6 4 2 2 4" xfId="3380"/>
    <cellStyle name="Comma 6 4 2 3" xfId="6506"/>
    <cellStyle name="Comma 6 4 2 4" xfId="4422"/>
    <cellStyle name="Comma 6 4 2 5" xfId="2338"/>
    <cellStyle name="Comma 6 4 3" xfId="1182"/>
    <cellStyle name="Comma 6 4 3 2" xfId="7434"/>
    <cellStyle name="Comma 6 4 3 3" xfId="5350"/>
    <cellStyle name="Comma 6 4 3 4" xfId="3266"/>
    <cellStyle name="Comma 6 4 4" xfId="6392"/>
    <cellStyle name="Comma 6 4 5" xfId="4308"/>
    <cellStyle name="Comma 6 4 6" xfId="2224"/>
    <cellStyle name="Comma 6 5" xfId="206"/>
    <cellStyle name="Comma 6 5 2" xfId="1258"/>
    <cellStyle name="Comma 6 5 2 2" xfId="7510"/>
    <cellStyle name="Comma 6 5 2 3" xfId="5426"/>
    <cellStyle name="Comma 6 5 2 4" xfId="3342"/>
    <cellStyle name="Comma 6 5 3" xfId="6468"/>
    <cellStyle name="Comma 6 5 4" xfId="4384"/>
    <cellStyle name="Comma 6 5 5" xfId="2300"/>
    <cellStyle name="Comma 6 6" xfId="1141"/>
    <cellStyle name="Comma 6 6 2" xfId="7394"/>
    <cellStyle name="Comma 6 6 3" xfId="5310"/>
    <cellStyle name="Comma 6 6 4" xfId="3226"/>
    <cellStyle name="Comma 6 7" xfId="6352"/>
    <cellStyle name="Comma 6 8" xfId="4268"/>
    <cellStyle name="Comma 6 9" xfId="2184"/>
    <cellStyle name="Comma 7" xfId="95"/>
    <cellStyle name="Comma 7 10" xfId="2196"/>
    <cellStyle name="Comma 7 2" xfId="173"/>
    <cellStyle name="Comma 7 2 2" xfId="295"/>
    <cellStyle name="Comma 7 2 2 2" xfId="558"/>
    <cellStyle name="Comma 7 2 2 2 2" xfId="1072"/>
    <cellStyle name="Comma 7 2 2 2 2 2" xfId="2116"/>
    <cellStyle name="Comma 7 2 2 2 2 2 2" xfId="8368"/>
    <cellStyle name="Comma 7 2 2 2 2 2 3" xfId="6284"/>
    <cellStyle name="Comma 7 2 2 2 2 2 4" xfId="4200"/>
    <cellStyle name="Comma 7 2 2 2 2 3" xfId="7326"/>
    <cellStyle name="Comma 7 2 2 2 2 4" xfId="5242"/>
    <cellStyle name="Comma 7 2 2 2 2 5" xfId="3158"/>
    <cellStyle name="Comma 7 2 2 2 3" xfId="1602"/>
    <cellStyle name="Comma 7 2 2 2 3 2" xfId="7854"/>
    <cellStyle name="Comma 7 2 2 2 3 3" xfId="5770"/>
    <cellStyle name="Comma 7 2 2 2 3 4" xfId="3686"/>
    <cellStyle name="Comma 7 2 2 2 4" xfId="6812"/>
    <cellStyle name="Comma 7 2 2 2 5" xfId="4728"/>
    <cellStyle name="Comma 7 2 2 2 6" xfId="2644"/>
    <cellStyle name="Comma 7 2 2 3" xfId="815"/>
    <cellStyle name="Comma 7 2 2 3 2" xfId="1859"/>
    <cellStyle name="Comma 7 2 2 3 2 2" xfId="8111"/>
    <cellStyle name="Comma 7 2 2 3 2 3" xfId="6027"/>
    <cellStyle name="Comma 7 2 2 3 2 4" xfId="3943"/>
    <cellStyle name="Comma 7 2 2 3 3" xfId="7069"/>
    <cellStyle name="Comma 7 2 2 3 4" xfId="4985"/>
    <cellStyle name="Comma 7 2 2 3 5" xfId="2901"/>
    <cellStyle name="Comma 7 2 2 4" xfId="1344"/>
    <cellStyle name="Comma 7 2 2 4 2" xfId="7596"/>
    <cellStyle name="Comma 7 2 2 4 3" xfId="5512"/>
    <cellStyle name="Comma 7 2 2 4 4" xfId="3428"/>
    <cellStyle name="Comma 7 2 2 5" xfId="6554"/>
    <cellStyle name="Comma 7 2 2 6" xfId="4470"/>
    <cellStyle name="Comma 7 2 2 7" xfId="2386"/>
    <cellStyle name="Comma 7 2 3" xfId="450"/>
    <cellStyle name="Comma 7 2 3 2" xfId="964"/>
    <cellStyle name="Comma 7 2 3 2 2" xfId="2008"/>
    <cellStyle name="Comma 7 2 3 2 2 2" xfId="8260"/>
    <cellStyle name="Comma 7 2 3 2 2 3" xfId="6176"/>
    <cellStyle name="Comma 7 2 3 2 2 4" xfId="4092"/>
    <cellStyle name="Comma 7 2 3 2 3" xfId="7218"/>
    <cellStyle name="Comma 7 2 3 2 4" xfId="5134"/>
    <cellStyle name="Comma 7 2 3 2 5" xfId="3050"/>
    <cellStyle name="Comma 7 2 3 3" xfId="1494"/>
    <cellStyle name="Comma 7 2 3 3 2" xfId="7746"/>
    <cellStyle name="Comma 7 2 3 3 3" xfId="5662"/>
    <cellStyle name="Comma 7 2 3 3 4" xfId="3578"/>
    <cellStyle name="Comma 7 2 3 4" xfId="6704"/>
    <cellStyle name="Comma 7 2 3 5" xfId="4620"/>
    <cellStyle name="Comma 7 2 3 6" xfId="2536"/>
    <cellStyle name="Comma 7 2 4" xfId="707"/>
    <cellStyle name="Comma 7 2 4 2" xfId="1751"/>
    <cellStyle name="Comma 7 2 4 2 2" xfId="8003"/>
    <cellStyle name="Comma 7 2 4 2 3" xfId="5919"/>
    <cellStyle name="Comma 7 2 4 2 4" xfId="3835"/>
    <cellStyle name="Comma 7 2 4 3" xfId="6961"/>
    <cellStyle name="Comma 7 2 4 4" xfId="4877"/>
    <cellStyle name="Comma 7 2 4 5" xfId="2793"/>
    <cellStyle name="Comma 7 2 5" xfId="1230"/>
    <cellStyle name="Comma 7 2 5 2" xfId="7482"/>
    <cellStyle name="Comma 7 2 5 3" xfId="5398"/>
    <cellStyle name="Comma 7 2 5 4" xfId="3314"/>
    <cellStyle name="Comma 7 2 6" xfId="6440"/>
    <cellStyle name="Comma 7 2 7" xfId="4356"/>
    <cellStyle name="Comma 7 2 8" xfId="2272"/>
    <cellStyle name="Comma 7 3" xfId="134"/>
    <cellStyle name="Comma 7 3 2" xfId="256"/>
    <cellStyle name="Comma 7 3 2 2" xfId="522"/>
    <cellStyle name="Comma 7 3 2 2 2" xfId="1036"/>
    <cellStyle name="Comma 7 3 2 2 2 2" xfId="2080"/>
    <cellStyle name="Comma 7 3 2 2 2 2 2" xfId="8332"/>
    <cellStyle name="Comma 7 3 2 2 2 2 3" xfId="6248"/>
    <cellStyle name="Comma 7 3 2 2 2 2 4" xfId="4164"/>
    <cellStyle name="Comma 7 3 2 2 2 3" xfId="7290"/>
    <cellStyle name="Comma 7 3 2 2 2 4" xfId="5206"/>
    <cellStyle name="Comma 7 3 2 2 2 5" xfId="3122"/>
    <cellStyle name="Comma 7 3 2 2 3" xfId="1566"/>
    <cellStyle name="Comma 7 3 2 2 3 2" xfId="7818"/>
    <cellStyle name="Comma 7 3 2 2 3 3" xfId="5734"/>
    <cellStyle name="Comma 7 3 2 2 3 4" xfId="3650"/>
    <cellStyle name="Comma 7 3 2 2 4" xfId="6776"/>
    <cellStyle name="Comma 7 3 2 2 5" xfId="4692"/>
    <cellStyle name="Comma 7 3 2 2 6" xfId="2608"/>
    <cellStyle name="Comma 7 3 2 3" xfId="779"/>
    <cellStyle name="Comma 7 3 2 3 2" xfId="1823"/>
    <cellStyle name="Comma 7 3 2 3 2 2" xfId="8075"/>
    <cellStyle name="Comma 7 3 2 3 2 3" xfId="5991"/>
    <cellStyle name="Comma 7 3 2 3 2 4" xfId="3907"/>
    <cellStyle name="Comma 7 3 2 3 3" xfId="7033"/>
    <cellStyle name="Comma 7 3 2 3 4" xfId="4949"/>
    <cellStyle name="Comma 7 3 2 3 5" xfId="2865"/>
    <cellStyle name="Comma 7 3 2 4" xfId="1306"/>
    <cellStyle name="Comma 7 3 2 4 2" xfId="7558"/>
    <cellStyle name="Comma 7 3 2 4 3" xfId="5474"/>
    <cellStyle name="Comma 7 3 2 4 4" xfId="3390"/>
    <cellStyle name="Comma 7 3 2 5" xfId="6516"/>
    <cellStyle name="Comma 7 3 2 6" xfId="4432"/>
    <cellStyle name="Comma 7 3 2 7" xfId="2348"/>
    <cellStyle name="Comma 7 3 3" xfId="414"/>
    <cellStyle name="Comma 7 3 3 2" xfId="928"/>
    <cellStyle name="Comma 7 3 3 2 2" xfId="1972"/>
    <cellStyle name="Comma 7 3 3 2 2 2" xfId="8224"/>
    <cellStyle name="Comma 7 3 3 2 2 3" xfId="6140"/>
    <cellStyle name="Comma 7 3 3 2 2 4" xfId="4056"/>
    <cellStyle name="Comma 7 3 3 2 3" xfId="7182"/>
    <cellStyle name="Comma 7 3 3 2 4" xfId="5098"/>
    <cellStyle name="Comma 7 3 3 2 5" xfId="3014"/>
    <cellStyle name="Comma 7 3 3 3" xfId="1458"/>
    <cellStyle name="Comma 7 3 3 3 2" xfId="7710"/>
    <cellStyle name="Comma 7 3 3 3 3" xfId="5626"/>
    <cellStyle name="Comma 7 3 3 3 4" xfId="3542"/>
    <cellStyle name="Comma 7 3 3 4" xfId="6668"/>
    <cellStyle name="Comma 7 3 3 5" xfId="4584"/>
    <cellStyle name="Comma 7 3 3 6" xfId="2500"/>
    <cellStyle name="Comma 7 3 4" xfId="671"/>
    <cellStyle name="Comma 7 3 4 2" xfId="1715"/>
    <cellStyle name="Comma 7 3 4 2 2" xfId="7967"/>
    <cellStyle name="Comma 7 3 4 2 3" xfId="5883"/>
    <cellStyle name="Comma 7 3 4 2 4" xfId="3799"/>
    <cellStyle name="Comma 7 3 4 3" xfId="6925"/>
    <cellStyle name="Comma 7 3 4 4" xfId="4841"/>
    <cellStyle name="Comma 7 3 4 5" xfId="2757"/>
    <cellStyle name="Comma 7 3 5" xfId="1192"/>
    <cellStyle name="Comma 7 3 5 2" xfId="7444"/>
    <cellStyle name="Comma 7 3 5 3" xfId="5360"/>
    <cellStyle name="Comma 7 3 5 4" xfId="3276"/>
    <cellStyle name="Comma 7 3 6" xfId="6402"/>
    <cellStyle name="Comma 7 3 7" xfId="4318"/>
    <cellStyle name="Comma 7 3 8" xfId="2234"/>
    <cellStyle name="Comma 7 4" xfId="217"/>
    <cellStyle name="Comma 7 4 2" xfId="486"/>
    <cellStyle name="Comma 7 4 2 2" xfId="1000"/>
    <cellStyle name="Comma 7 4 2 2 2" xfId="2044"/>
    <cellStyle name="Comma 7 4 2 2 2 2" xfId="8296"/>
    <cellStyle name="Comma 7 4 2 2 2 3" xfId="6212"/>
    <cellStyle name="Comma 7 4 2 2 2 4" xfId="4128"/>
    <cellStyle name="Comma 7 4 2 2 3" xfId="7254"/>
    <cellStyle name="Comma 7 4 2 2 4" xfId="5170"/>
    <cellStyle name="Comma 7 4 2 2 5" xfId="3086"/>
    <cellStyle name="Comma 7 4 2 3" xfId="1530"/>
    <cellStyle name="Comma 7 4 2 3 2" xfId="7782"/>
    <cellStyle name="Comma 7 4 2 3 3" xfId="5698"/>
    <cellStyle name="Comma 7 4 2 3 4" xfId="3614"/>
    <cellStyle name="Comma 7 4 2 4" xfId="6740"/>
    <cellStyle name="Comma 7 4 2 5" xfId="4656"/>
    <cellStyle name="Comma 7 4 2 6" xfId="2572"/>
    <cellStyle name="Comma 7 4 3" xfId="743"/>
    <cellStyle name="Comma 7 4 3 2" xfId="1787"/>
    <cellStyle name="Comma 7 4 3 2 2" xfId="8039"/>
    <cellStyle name="Comma 7 4 3 2 3" xfId="5955"/>
    <cellStyle name="Comma 7 4 3 2 4" xfId="3871"/>
    <cellStyle name="Comma 7 4 3 3" xfId="6997"/>
    <cellStyle name="Comma 7 4 3 4" xfId="4913"/>
    <cellStyle name="Comma 7 4 3 5" xfId="2829"/>
    <cellStyle name="Comma 7 4 4" xfId="1268"/>
    <cellStyle name="Comma 7 4 4 2" xfId="7520"/>
    <cellStyle name="Comma 7 4 4 3" xfId="5436"/>
    <cellStyle name="Comma 7 4 4 4" xfId="3352"/>
    <cellStyle name="Comma 7 4 5" xfId="6478"/>
    <cellStyle name="Comma 7 4 6" xfId="4394"/>
    <cellStyle name="Comma 7 4 7" xfId="2310"/>
    <cellStyle name="Comma 7 5" xfId="378"/>
    <cellStyle name="Comma 7 5 2" xfId="892"/>
    <cellStyle name="Comma 7 5 2 2" xfId="1936"/>
    <cellStyle name="Comma 7 5 2 2 2" xfId="8188"/>
    <cellStyle name="Comma 7 5 2 2 3" xfId="6104"/>
    <cellStyle name="Comma 7 5 2 2 4" xfId="4020"/>
    <cellStyle name="Comma 7 5 2 3" xfId="7146"/>
    <cellStyle name="Comma 7 5 2 4" xfId="5062"/>
    <cellStyle name="Comma 7 5 2 5" xfId="2978"/>
    <cellStyle name="Comma 7 5 3" xfId="1422"/>
    <cellStyle name="Comma 7 5 3 2" xfId="7674"/>
    <cellStyle name="Comma 7 5 3 3" xfId="5590"/>
    <cellStyle name="Comma 7 5 3 4" xfId="3506"/>
    <cellStyle name="Comma 7 5 4" xfId="6632"/>
    <cellStyle name="Comma 7 5 5" xfId="4548"/>
    <cellStyle name="Comma 7 5 6" xfId="2464"/>
    <cellStyle name="Comma 7 6" xfId="635"/>
    <cellStyle name="Comma 7 6 2" xfId="1679"/>
    <cellStyle name="Comma 7 6 2 2" xfId="7931"/>
    <cellStyle name="Comma 7 6 2 3" xfId="5847"/>
    <cellStyle name="Comma 7 6 2 4" xfId="3763"/>
    <cellStyle name="Comma 7 6 3" xfId="6889"/>
    <cellStyle name="Comma 7 6 4" xfId="4805"/>
    <cellStyle name="Comma 7 6 5" xfId="2721"/>
    <cellStyle name="Comma 7 7" xfId="1154"/>
    <cellStyle name="Comma 7 7 2" xfId="7406"/>
    <cellStyle name="Comma 7 7 3" xfId="5322"/>
    <cellStyle name="Comma 7 7 4" xfId="3238"/>
    <cellStyle name="Comma 7 8" xfId="6364"/>
    <cellStyle name="Comma 7 9" xfId="4280"/>
    <cellStyle name="Comma 8" xfId="153"/>
    <cellStyle name="Comma 8 2" xfId="275"/>
    <cellStyle name="Comma 8 2 2" xfId="540"/>
    <cellStyle name="Comma 8 2 2 2" xfId="1054"/>
    <cellStyle name="Comma 8 2 2 2 2" xfId="2098"/>
    <cellStyle name="Comma 8 2 2 2 2 2" xfId="8350"/>
    <cellStyle name="Comma 8 2 2 2 2 3" xfId="6266"/>
    <cellStyle name="Comma 8 2 2 2 2 4" xfId="4182"/>
    <cellStyle name="Comma 8 2 2 2 3" xfId="7308"/>
    <cellStyle name="Comma 8 2 2 2 4" xfId="5224"/>
    <cellStyle name="Comma 8 2 2 2 5" xfId="3140"/>
    <cellStyle name="Comma 8 2 2 3" xfId="1584"/>
    <cellStyle name="Comma 8 2 2 3 2" xfId="7836"/>
    <cellStyle name="Comma 8 2 2 3 3" xfId="5752"/>
    <cellStyle name="Comma 8 2 2 3 4" xfId="3668"/>
    <cellStyle name="Comma 8 2 2 4" xfId="6794"/>
    <cellStyle name="Comma 8 2 2 5" xfId="4710"/>
    <cellStyle name="Comma 8 2 2 6" xfId="2626"/>
    <cellStyle name="Comma 8 2 3" xfId="797"/>
    <cellStyle name="Comma 8 2 3 2" xfId="1841"/>
    <cellStyle name="Comma 8 2 3 2 2" xfId="8093"/>
    <cellStyle name="Comma 8 2 3 2 3" xfId="6009"/>
    <cellStyle name="Comma 8 2 3 2 4" xfId="3925"/>
    <cellStyle name="Comma 8 2 3 3" xfId="7051"/>
    <cellStyle name="Comma 8 2 3 4" xfId="4967"/>
    <cellStyle name="Comma 8 2 3 5" xfId="2883"/>
    <cellStyle name="Comma 8 2 4" xfId="1325"/>
    <cellStyle name="Comma 8 2 4 2" xfId="7577"/>
    <cellStyle name="Comma 8 2 4 3" xfId="5493"/>
    <cellStyle name="Comma 8 2 4 4" xfId="3409"/>
    <cellStyle name="Comma 8 2 5" xfId="6535"/>
    <cellStyle name="Comma 8 2 6" xfId="4451"/>
    <cellStyle name="Comma 8 2 7" xfId="2367"/>
    <cellStyle name="Comma 8 3" xfId="432"/>
    <cellStyle name="Comma 8 3 2" xfId="946"/>
    <cellStyle name="Comma 8 3 2 2" xfId="1990"/>
    <cellStyle name="Comma 8 3 2 2 2" xfId="8242"/>
    <cellStyle name="Comma 8 3 2 2 3" xfId="6158"/>
    <cellStyle name="Comma 8 3 2 2 4" xfId="4074"/>
    <cellStyle name="Comma 8 3 2 3" xfId="7200"/>
    <cellStyle name="Comma 8 3 2 4" xfId="5116"/>
    <cellStyle name="Comma 8 3 2 5" xfId="3032"/>
    <cellStyle name="Comma 8 3 3" xfId="1476"/>
    <cellStyle name="Comma 8 3 3 2" xfId="7728"/>
    <cellStyle name="Comma 8 3 3 3" xfId="5644"/>
    <cellStyle name="Comma 8 3 3 4" xfId="3560"/>
    <cellStyle name="Comma 8 3 4" xfId="6686"/>
    <cellStyle name="Comma 8 3 5" xfId="4602"/>
    <cellStyle name="Comma 8 3 6" xfId="2518"/>
    <cellStyle name="Comma 8 4" xfId="689"/>
    <cellStyle name="Comma 8 4 2" xfId="1733"/>
    <cellStyle name="Comma 8 4 2 2" xfId="7985"/>
    <cellStyle name="Comma 8 4 2 3" xfId="5901"/>
    <cellStyle name="Comma 8 4 2 4" xfId="3817"/>
    <cellStyle name="Comma 8 4 3" xfId="6943"/>
    <cellStyle name="Comma 8 4 4" xfId="4859"/>
    <cellStyle name="Comma 8 4 5" xfId="2775"/>
    <cellStyle name="Comma 8 5" xfId="1211"/>
    <cellStyle name="Comma 8 5 2" xfId="7463"/>
    <cellStyle name="Comma 8 5 3" xfId="5379"/>
    <cellStyle name="Comma 8 5 4" xfId="3295"/>
    <cellStyle name="Comma 8 6" xfId="6421"/>
    <cellStyle name="Comma 8 7" xfId="4337"/>
    <cellStyle name="Comma 8 8" xfId="2253"/>
    <cellStyle name="Comma 9" xfId="115"/>
    <cellStyle name="Comma 9 2" xfId="237"/>
    <cellStyle name="Comma 9 2 2" xfId="504"/>
    <cellStyle name="Comma 9 2 2 2" xfId="1018"/>
    <cellStyle name="Comma 9 2 2 2 2" xfId="2062"/>
    <cellStyle name="Comma 9 2 2 2 2 2" xfId="8314"/>
    <cellStyle name="Comma 9 2 2 2 2 3" xfId="6230"/>
    <cellStyle name="Comma 9 2 2 2 2 4" xfId="4146"/>
    <cellStyle name="Comma 9 2 2 2 3" xfId="7272"/>
    <cellStyle name="Comma 9 2 2 2 4" xfId="5188"/>
    <cellStyle name="Comma 9 2 2 2 5" xfId="3104"/>
    <cellStyle name="Comma 9 2 2 3" xfId="1548"/>
    <cellStyle name="Comma 9 2 2 3 2" xfId="7800"/>
    <cellStyle name="Comma 9 2 2 3 3" xfId="5716"/>
    <cellStyle name="Comma 9 2 2 3 4" xfId="3632"/>
    <cellStyle name="Comma 9 2 2 4" xfId="6758"/>
    <cellStyle name="Comma 9 2 2 5" xfId="4674"/>
    <cellStyle name="Comma 9 2 2 6" xfId="2590"/>
    <cellStyle name="Comma 9 2 3" xfId="761"/>
    <cellStyle name="Comma 9 2 3 2" xfId="1805"/>
    <cellStyle name="Comma 9 2 3 2 2" xfId="8057"/>
    <cellStyle name="Comma 9 2 3 2 3" xfId="5973"/>
    <cellStyle name="Comma 9 2 3 2 4" xfId="3889"/>
    <cellStyle name="Comma 9 2 3 3" xfId="7015"/>
    <cellStyle name="Comma 9 2 3 4" xfId="4931"/>
    <cellStyle name="Comma 9 2 3 5" xfId="2847"/>
    <cellStyle name="Comma 9 2 4" xfId="1287"/>
    <cellStyle name="Comma 9 2 4 2" xfId="7539"/>
    <cellStyle name="Comma 9 2 4 3" xfId="5455"/>
    <cellStyle name="Comma 9 2 4 4" xfId="3371"/>
    <cellStyle name="Comma 9 2 5" xfId="6497"/>
    <cellStyle name="Comma 9 2 6" xfId="4413"/>
    <cellStyle name="Comma 9 2 7" xfId="2329"/>
    <cellStyle name="Comma 9 3" xfId="396"/>
    <cellStyle name="Comma 9 3 2" xfId="910"/>
    <cellStyle name="Comma 9 3 2 2" xfId="1954"/>
    <cellStyle name="Comma 9 3 2 2 2" xfId="8206"/>
    <cellStyle name="Comma 9 3 2 2 3" xfId="6122"/>
    <cellStyle name="Comma 9 3 2 2 4" xfId="4038"/>
    <cellStyle name="Comma 9 3 2 3" xfId="7164"/>
    <cellStyle name="Comma 9 3 2 4" xfId="5080"/>
    <cellStyle name="Comma 9 3 2 5" xfId="2996"/>
    <cellStyle name="Comma 9 3 3" xfId="1440"/>
    <cellStyle name="Comma 9 3 3 2" xfId="7692"/>
    <cellStyle name="Comma 9 3 3 3" xfId="5608"/>
    <cellStyle name="Comma 9 3 3 4" xfId="3524"/>
    <cellStyle name="Comma 9 3 4" xfId="6650"/>
    <cellStyle name="Comma 9 3 5" xfId="4566"/>
    <cellStyle name="Comma 9 3 6" xfId="2482"/>
    <cellStyle name="Comma 9 4" xfId="653"/>
    <cellStyle name="Comma 9 4 2" xfId="1697"/>
    <cellStyle name="Comma 9 4 2 2" xfId="7949"/>
    <cellStyle name="Comma 9 4 2 3" xfId="5865"/>
    <cellStyle name="Comma 9 4 2 4" xfId="3781"/>
    <cellStyle name="Comma 9 4 3" xfId="6907"/>
    <cellStyle name="Comma 9 4 4" xfId="4823"/>
    <cellStyle name="Comma 9 4 5" xfId="2739"/>
    <cellStyle name="Comma 9 5" xfId="1173"/>
    <cellStyle name="Comma 9 5 2" xfId="7425"/>
    <cellStyle name="Comma 9 5 3" xfId="5341"/>
    <cellStyle name="Comma 9 5 4" xfId="3257"/>
    <cellStyle name="Comma 9 6" xfId="6383"/>
    <cellStyle name="Comma 9 7" xfId="4299"/>
    <cellStyle name="Comma 9 8" xfId="2215"/>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8399" builtinId="8"/>
    <cellStyle name="Input" xfId="10" builtinId="20" customBuiltin="1"/>
    <cellStyle name="Linked Cell" xfId="13" builtinId="24" customBuiltin="1"/>
    <cellStyle name="Neutral" xfId="9" builtinId="28" customBuiltin="1"/>
    <cellStyle name="Normal" xfId="0" builtinId="0"/>
    <cellStyle name="Normal 2" xfId="44"/>
    <cellStyle name="Normal 2 10" xfId="4232"/>
    <cellStyle name="Normal 2 11" xfId="2148"/>
    <cellStyle name="Normal 2 2" xfId="47"/>
    <cellStyle name="Normal 2 2 10" xfId="2151"/>
    <cellStyle name="Normal 2 2 2" xfId="52"/>
    <cellStyle name="Normal 2 2 2 2" xfId="65"/>
    <cellStyle name="Normal 2 2 2 2 2" xfId="329"/>
    <cellStyle name="Normal 2 2 2 2 2 2" xfId="586"/>
    <cellStyle name="Normal 2 2 2 2 2 2 2" xfId="1100"/>
    <cellStyle name="Normal 2 2 2 2 2 2 2 2" xfId="2144"/>
    <cellStyle name="Normal 2 2 2 2 2 2 2 2 2" xfId="8396"/>
    <cellStyle name="Normal 2 2 2 2 2 2 2 2 3" xfId="6312"/>
    <cellStyle name="Normal 2 2 2 2 2 2 2 2 4" xfId="4228"/>
    <cellStyle name="Normal 2 2 2 2 2 2 2 3" xfId="7354"/>
    <cellStyle name="Normal 2 2 2 2 2 2 2 4" xfId="5270"/>
    <cellStyle name="Normal 2 2 2 2 2 2 2 5" xfId="3186"/>
    <cellStyle name="Normal 2 2 2 2 2 2 3" xfId="1630"/>
    <cellStyle name="Normal 2 2 2 2 2 2 3 2" xfId="7882"/>
    <cellStyle name="Normal 2 2 2 2 2 2 3 3" xfId="5798"/>
    <cellStyle name="Normal 2 2 2 2 2 2 3 4" xfId="3714"/>
    <cellStyle name="Normal 2 2 2 2 2 2 4" xfId="6840"/>
    <cellStyle name="Normal 2 2 2 2 2 2 5" xfId="4756"/>
    <cellStyle name="Normal 2 2 2 2 2 2 6" xfId="2672"/>
    <cellStyle name="Normal 2 2 2 2 2 3" xfId="843"/>
    <cellStyle name="Normal 2 2 2 2 2 3 2" xfId="1887"/>
    <cellStyle name="Normal 2 2 2 2 2 3 2 2" xfId="8139"/>
    <cellStyle name="Normal 2 2 2 2 2 3 2 3" xfId="6055"/>
    <cellStyle name="Normal 2 2 2 2 2 3 2 4" xfId="3971"/>
    <cellStyle name="Normal 2 2 2 2 2 3 3" xfId="7097"/>
    <cellStyle name="Normal 2 2 2 2 2 3 4" xfId="5013"/>
    <cellStyle name="Normal 2 2 2 2 2 3 5" xfId="2929"/>
    <cellStyle name="Normal 2 2 2 2 2 4" xfId="1373"/>
    <cellStyle name="Normal 2 2 2 2 2 4 2" xfId="7625"/>
    <cellStyle name="Normal 2 2 2 2 2 4 3" xfId="5541"/>
    <cellStyle name="Normal 2 2 2 2 2 4 4" xfId="3457"/>
    <cellStyle name="Normal 2 2 2 2 2 5" xfId="6583"/>
    <cellStyle name="Normal 2 2 2 2 2 6" xfId="4499"/>
    <cellStyle name="Normal 2 2 2 2 2 7" xfId="2415"/>
    <cellStyle name="Normal 2 2 2 2 3" xfId="352"/>
    <cellStyle name="Normal 2 2 2 2 3 2" xfId="866"/>
    <cellStyle name="Normal 2 2 2 2 3 2 2" xfId="1910"/>
    <cellStyle name="Normal 2 2 2 2 3 2 2 2" xfId="8162"/>
    <cellStyle name="Normal 2 2 2 2 3 2 2 3" xfId="6078"/>
    <cellStyle name="Normal 2 2 2 2 3 2 2 4" xfId="3994"/>
    <cellStyle name="Normal 2 2 2 2 3 2 3" xfId="7120"/>
    <cellStyle name="Normal 2 2 2 2 3 2 4" xfId="5036"/>
    <cellStyle name="Normal 2 2 2 2 3 2 5" xfId="2952"/>
    <cellStyle name="Normal 2 2 2 2 3 3" xfId="1396"/>
    <cellStyle name="Normal 2 2 2 2 3 3 2" xfId="7648"/>
    <cellStyle name="Normal 2 2 2 2 3 3 3" xfId="5564"/>
    <cellStyle name="Normal 2 2 2 2 3 3 4" xfId="3480"/>
    <cellStyle name="Normal 2 2 2 2 3 4" xfId="6606"/>
    <cellStyle name="Normal 2 2 2 2 3 5" xfId="4522"/>
    <cellStyle name="Normal 2 2 2 2 3 6" xfId="2438"/>
    <cellStyle name="Normal 2 2 2 2 4" xfId="609"/>
    <cellStyle name="Normal 2 2 2 2 4 2" xfId="1653"/>
    <cellStyle name="Normal 2 2 2 2 4 2 2" xfId="7905"/>
    <cellStyle name="Normal 2 2 2 2 4 2 3" xfId="5821"/>
    <cellStyle name="Normal 2 2 2 2 4 2 4" xfId="3737"/>
    <cellStyle name="Normal 2 2 2 2 4 3" xfId="6863"/>
    <cellStyle name="Normal 2 2 2 2 4 4" xfId="4779"/>
    <cellStyle name="Normal 2 2 2 2 4 5" xfId="2695"/>
    <cellStyle name="Normal 2 2 2 2 5" xfId="1125"/>
    <cellStyle name="Normal 2 2 2 2 5 2" xfId="7379"/>
    <cellStyle name="Normal 2 2 2 2 5 3" xfId="5295"/>
    <cellStyle name="Normal 2 2 2 2 5 4" xfId="3211"/>
    <cellStyle name="Normal 2 2 2 2 6" xfId="6337"/>
    <cellStyle name="Normal 2 2 2 2 7" xfId="4253"/>
    <cellStyle name="Normal 2 2 2 2 8" xfId="2169"/>
    <cellStyle name="Normal 2 2 2 3" xfId="321"/>
    <cellStyle name="Normal 2 2 2 3 2" xfId="578"/>
    <cellStyle name="Normal 2 2 2 3 2 2" xfId="1092"/>
    <cellStyle name="Normal 2 2 2 3 2 2 2" xfId="2136"/>
    <cellStyle name="Normal 2 2 2 3 2 2 2 2" xfId="8388"/>
    <cellStyle name="Normal 2 2 2 3 2 2 2 3" xfId="6304"/>
    <cellStyle name="Normal 2 2 2 3 2 2 2 4" xfId="4220"/>
    <cellStyle name="Normal 2 2 2 3 2 2 3" xfId="7346"/>
    <cellStyle name="Normal 2 2 2 3 2 2 4" xfId="5262"/>
    <cellStyle name="Normal 2 2 2 3 2 2 5" xfId="3178"/>
    <cellStyle name="Normal 2 2 2 3 2 3" xfId="1622"/>
    <cellStyle name="Normal 2 2 2 3 2 3 2" xfId="7874"/>
    <cellStyle name="Normal 2 2 2 3 2 3 3" xfId="5790"/>
    <cellStyle name="Normal 2 2 2 3 2 3 4" xfId="3706"/>
    <cellStyle name="Normal 2 2 2 3 2 4" xfId="6832"/>
    <cellStyle name="Normal 2 2 2 3 2 5" xfId="4748"/>
    <cellStyle name="Normal 2 2 2 3 2 6" xfId="2664"/>
    <cellStyle name="Normal 2 2 2 3 3" xfId="835"/>
    <cellStyle name="Normal 2 2 2 3 3 2" xfId="1879"/>
    <cellStyle name="Normal 2 2 2 3 3 2 2" xfId="8131"/>
    <cellStyle name="Normal 2 2 2 3 3 2 3" xfId="6047"/>
    <cellStyle name="Normal 2 2 2 3 3 2 4" xfId="3963"/>
    <cellStyle name="Normal 2 2 2 3 3 3" xfId="7089"/>
    <cellStyle name="Normal 2 2 2 3 3 4" xfId="5005"/>
    <cellStyle name="Normal 2 2 2 3 3 5" xfId="2921"/>
    <cellStyle name="Normal 2 2 2 3 4" xfId="1365"/>
    <cellStyle name="Normal 2 2 2 3 4 2" xfId="7617"/>
    <cellStyle name="Normal 2 2 2 3 4 3" xfId="5533"/>
    <cellStyle name="Normal 2 2 2 3 4 4" xfId="3449"/>
    <cellStyle name="Normal 2 2 2 3 5" xfId="6575"/>
    <cellStyle name="Normal 2 2 2 3 6" xfId="4491"/>
    <cellStyle name="Normal 2 2 2 3 7" xfId="2407"/>
    <cellStyle name="Normal 2 2 2 4" xfId="339"/>
    <cellStyle name="Normal 2 2 2 4 2" xfId="853"/>
    <cellStyle name="Normal 2 2 2 4 2 2" xfId="1897"/>
    <cellStyle name="Normal 2 2 2 4 2 2 2" xfId="8149"/>
    <cellStyle name="Normal 2 2 2 4 2 2 3" xfId="6065"/>
    <cellStyle name="Normal 2 2 2 4 2 2 4" xfId="3981"/>
    <cellStyle name="Normal 2 2 2 4 2 3" xfId="7107"/>
    <cellStyle name="Normal 2 2 2 4 2 4" xfId="5023"/>
    <cellStyle name="Normal 2 2 2 4 2 5" xfId="2939"/>
    <cellStyle name="Normal 2 2 2 4 3" xfId="1383"/>
    <cellStyle name="Normal 2 2 2 4 3 2" xfId="7635"/>
    <cellStyle name="Normal 2 2 2 4 3 3" xfId="5551"/>
    <cellStyle name="Normal 2 2 2 4 3 4" xfId="3467"/>
    <cellStyle name="Normal 2 2 2 4 4" xfId="6593"/>
    <cellStyle name="Normal 2 2 2 4 5" xfId="4509"/>
    <cellStyle name="Normal 2 2 2 4 6" xfId="2425"/>
    <cellStyle name="Normal 2 2 2 5" xfId="596"/>
    <cellStyle name="Normal 2 2 2 5 2" xfId="1640"/>
    <cellStyle name="Normal 2 2 2 5 2 2" xfId="7892"/>
    <cellStyle name="Normal 2 2 2 5 2 3" xfId="5808"/>
    <cellStyle name="Normal 2 2 2 5 2 4" xfId="3724"/>
    <cellStyle name="Normal 2 2 2 5 3" xfId="6850"/>
    <cellStyle name="Normal 2 2 2 5 4" xfId="4766"/>
    <cellStyle name="Normal 2 2 2 5 5" xfId="2682"/>
    <cellStyle name="Normal 2 2 2 6" xfId="1112"/>
    <cellStyle name="Normal 2 2 2 6 2" xfId="7366"/>
    <cellStyle name="Normal 2 2 2 6 3" xfId="5282"/>
    <cellStyle name="Normal 2 2 2 6 4" xfId="3198"/>
    <cellStyle name="Normal 2 2 2 7" xfId="6324"/>
    <cellStyle name="Normal 2 2 2 8" xfId="4240"/>
    <cellStyle name="Normal 2 2 2 9" xfId="2156"/>
    <cellStyle name="Normal 2 2 3" xfId="60"/>
    <cellStyle name="Normal 2 2 3 2" xfId="326"/>
    <cellStyle name="Normal 2 2 3 2 2" xfId="583"/>
    <cellStyle name="Normal 2 2 3 2 2 2" xfId="1097"/>
    <cellStyle name="Normal 2 2 3 2 2 2 2" xfId="2141"/>
    <cellStyle name="Normal 2 2 3 2 2 2 2 2" xfId="8393"/>
    <cellStyle name="Normal 2 2 3 2 2 2 2 3" xfId="6309"/>
    <cellStyle name="Normal 2 2 3 2 2 2 2 4" xfId="4225"/>
    <cellStyle name="Normal 2 2 3 2 2 2 3" xfId="7351"/>
    <cellStyle name="Normal 2 2 3 2 2 2 4" xfId="5267"/>
    <cellStyle name="Normal 2 2 3 2 2 2 5" xfId="3183"/>
    <cellStyle name="Normal 2 2 3 2 2 3" xfId="1627"/>
    <cellStyle name="Normal 2 2 3 2 2 3 2" xfId="7879"/>
    <cellStyle name="Normal 2 2 3 2 2 3 3" xfId="5795"/>
    <cellStyle name="Normal 2 2 3 2 2 3 4" xfId="3711"/>
    <cellStyle name="Normal 2 2 3 2 2 4" xfId="6837"/>
    <cellStyle name="Normal 2 2 3 2 2 5" xfId="4753"/>
    <cellStyle name="Normal 2 2 3 2 2 6" xfId="2669"/>
    <cellStyle name="Normal 2 2 3 2 3" xfId="840"/>
    <cellStyle name="Normal 2 2 3 2 3 2" xfId="1884"/>
    <cellStyle name="Normal 2 2 3 2 3 2 2" xfId="8136"/>
    <cellStyle name="Normal 2 2 3 2 3 2 3" xfId="6052"/>
    <cellStyle name="Normal 2 2 3 2 3 2 4" xfId="3968"/>
    <cellStyle name="Normal 2 2 3 2 3 3" xfId="7094"/>
    <cellStyle name="Normal 2 2 3 2 3 4" xfId="5010"/>
    <cellStyle name="Normal 2 2 3 2 3 5" xfId="2926"/>
    <cellStyle name="Normal 2 2 3 2 4" xfId="1370"/>
    <cellStyle name="Normal 2 2 3 2 4 2" xfId="7622"/>
    <cellStyle name="Normal 2 2 3 2 4 3" xfId="5538"/>
    <cellStyle name="Normal 2 2 3 2 4 4" xfId="3454"/>
    <cellStyle name="Normal 2 2 3 2 5" xfId="6580"/>
    <cellStyle name="Normal 2 2 3 2 6" xfId="4496"/>
    <cellStyle name="Normal 2 2 3 2 7" xfId="2412"/>
    <cellStyle name="Normal 2 2 3 3" xfId="347"/>
    <cellStyle name="Normal 2 2 3 3 2" xfId="861"/>
    <cellStyle name="Normal 2 2 3 3 2 2" xfId="1905"/>
    <cellStyle name="Normal 2 2 3 3 2 2 2" xfId="8157"/>
    <cellStyle name="Normal 2 2 3 3 2 2 3" xfId="6073"/>
    <cellStyle name="Normal 2 2 3 3 2 2 4" xfId="3989"/>
    <cellStyle name="Normal 2 2 3 3 2 3" xfId="7115"/>
    <cellStyle name="Normal 2 2 3 3 2 4" xfId="5031"/>
    <cellStyle name="Normal 2 2 3 3 2 5" xfId="2947"/>
    <cellStyle name="Normal 2 2 3 3 3" xfId="1391"/>
    <cellStyle name="Normal 2 2 3 3 3 2" xfId="7643"/>
    <cellStyle name="Normal 2 2 3 3 3 3" xfId="5559"/>
    <cellStyle name="Normal 2 2 3 3 3 4" xfId="3475"/>
    <cellStyle name="Normal 2 2 3 3 4" xfId="6601"/>
    <cellStyle name="Normal 2 2 3 3 5" xfId="4517"/>
    <cellStyle name="Normal 2 2 3 3 6" xfId="2433"/>
    <cellStyle name="Normal 2 2 3 4" xfId="604"/>
    <cellStyle name="Normal 2 2 3 4 2" xfId="1648"/>
    <cellStyle name="Normal 2 2 3 4 2 2" xfId="7900"/>
    <cellStyle name="Normal 2 2 3 4 2 3" xfId="5816"/>
    <cellStyle name="Normal 2 2 3 4 2 4" xfId="3732"/>
    <cellStyle name="Normal 2 2 3 4 3" xfId="6858"/>
    <cellStyle name="Normal 2 2 3 4 4" xfId="4774"/>
    <cellStyle name="Normal 2 2 3 4 5" xfId="2690"/>
    <cellStyle name="Normal 2 2 3 5" xfId="1120"/>
    <cellStyle name="Normal 2 2 3 5 2" xfId="7374"/>
    <cellStyle name="Normal 2 2 3 5 3" xfId="5290"/>
    <cellStyle name="Normal 2 2 3 5 4" xfId="3206"/>
    <cellStyle name="Normal 2 2 3 6" xfId="6332"/>
    <cellStyle name="Normal 2 2 3 7" xfId="4248"/>
    <cellStyle name="Normal 2 2 3 8" xfId="2164"/>
    <cellStyle name="Normal 2 2 4" xfId="83"/>
    <cellStyle name="Normal 2 2 4 2" xfId="367"/>
    <cellStyle name="Normal 2 2 4 2 2" xfId="881"/>
    <cellStyle name="Normal 2 2 4 2 2 2" xfId="1925"/>
    <cellStyle name="Normal 2 2 4 2 2 2 2" xfId="8177"/>
    <cellStyle name="Normal 2 2 4 2 2 2 3" xfId="6093"/>
    <cellStyle name="Normal 2 2 4 2 2 2 4" xfId="4009"/>
    <cellStyle name="Normal 2 2 4 2 2 3" xfId="7135"/>
    <cellStyle name="Normal 2 2 4 2 2 4" xfId="5051"/>
    <cellStyle name="Normal 2 2 4 2 2 5" xfId="2967"/>
    <cellStyle name="Normal 2 2 4 2 3" xfId="1411"/>
    <cellStyle name="Normal 2 2 4 2 3 2" xfId="7663"/>
    <cellStyle name="Normal 2 2 4 2 3 3" xfId="5579"/>
    <cellStyle name="Normal 2 2 4 2 3 4" xfId="3495"/>
    <cellStyle name="Normal 2 2 4 2 4" xfId="6621"/>
    <cellStyle name="Normal 2 2 4 2 5" xfId="4537"/>
    <cellStyle name="Normal 2 2 4 2 6" xfId="2453"/>
    <cellStyle name="Normal 2 2 4 3" xfId="624"/>
    <cellStyle name="Normal 2 2 4 3 2" xfId="1668"/>
    <cellStyle name="Normal 2 2 4 3 2 2" xfId="7920"/>
    <cellStyle name="Normal 2 2 4 3 2 3" xfId="5836"/>
    <cellStyle name="Normal 2 2 4 3 2 4" xfId="3752"/>
    <cellStyle name="Normal 2 2 4 3 3" xfId="6878"/>
    <cellStyle name="Normal 2 2 4 3 4" xfId="4794"/>
    <cellStyle name="Normal 2 2 4 3 5" xfId="2710"/>
    <cellStyle name="Normal 2 2 4 4" xfId="1143"/>
    <cellStyle name="Normal 2 2 4 4 2" xfId="7395"/>
    <cellStyle name="Normal 2 2 4 4 3" xfId="5311"/>
    <cellStyle name="Normal 2 2 4 4 4" xfId="3227"/>
    <cellStyle name="Normal 2 2 4 5" xfId="6353"/>
    <cellStyle name="Normal 2 2 4 6" xfId="4269"/>
    <cellStyle name="Normal 2 2 4 7" xfId="2185"/>
    <cellStyle name="Normal 2 2 5" xfId="334"/>
    <cellStyle name="Normal 2 2 5 2" xfId="848"/>
    <cellStyle name="Normal 2 2 5 2 2" xfId="1892"/>
    <cellStyle name="Normal 2 2 5 2 2 2" xfId="8144"/>
    <cellStyle name="Normal 2 2 5 2 2 3" xfId="6060"/>
    <cellStyle name="Normal 2 2 5 2 2 4" xfId="3976"/>
    <cellStyle name="Normal 2 2 5 2 3" xfId="7102"/>
    <cellStyle name="Normal 2 2 5 2 4" xfId="5018"/>
    <cellStyle name="Normal 2 2 5 2 5" xfId="2934"/>
    <cellStyle name="Normal 2 2 5 3" xfId="1378"/>
    <cellStyle name="Normal 2 2 5 3 2" xfId="7630"/>
    <cellStyle name="Normal 2 2 5 3 3" xfId="5546"/>
    <cellStyle name="Normal 2 2 5 3 4" xfId="3462"/>
    <cellStyle name="Normal 2 2 5 4" xfId="6588"/>
    <cellStyle name="Normal 2 2 5 5" xfId="4504"/>
    <cellStyle name="Normal 2 2 5 6" xfId="2420"/>
    <cellStyle name="Normal 2 2 6" xfId="591"/>
    <cellStyle name="Normal 2 2 6 2" xfId="1635"/>
    <cellStyle name="Normal 2 2 6 2 2" xfId="7887"/>
    <cellStyle name="Normal 2 2 6 2 3" xfId="5803"/>
    <cellStyle name="Normal 2 2 6 2 4" xfId="3719"/>
    <cellStyle name="Normal 2 2 6 3" xfId="6845"/>
    <cellStyle name="Normal 2 2 6 4" xfId="4761"/>
    <cellStyle name="Normal 2 2 6 5" xfId="2677"/>
    <cellStyle name="Normal 2 2 7" xfId="1107"/>
    <cellStyle name="Normal 2 2 7 2" xfId="7361"/>
    <cellStyle name="Normal 2 2 7 3" xfId="5277"/>
    <cellStyle name="Normal 2 2 7 4" xfId="3193"/>
    <cellStyle name="Normal 2 2 8" xfId="6319"/>
    <cellStyle name="Normal 2 2 9" xfId="4235"/>
    <cellStyle name="Normal 2 3" xfId="50"/>
    <cellStyle name="Normal 2 3 2" xfId="63"/>
    <cellStyle name="Normal 2 3 2 2" xfId="328"/>
    <cellStyle name="Normal 2 3 2 2 2" xfId="585"/>
    <cellStyle name="Normal 2 3 2 2 2 2" xfId="1099"/>
    <cellStyle name="Normal 2 3 2 2 2 2 2" xfId="2143"/>
    <cellStyle name="Normal 2 3 2 2 2 2 2 2" xfId="8395"/>
    <cellStyle name="Normal 2 3 2 2 2 2 2 3" xfId="6311"/>
    <cellStyle name="Normal 2 3 2 2 2 2 2 4" xfId="4227"/>
    <cellStyle name="Normal 2 3 2 2 2 2 3" xfId="7353"/>
    <cellStyle name="Normal 2 3 2 2 2 2 4" xfId="5269"/>
    <cellStyle name="Normal 2 3 2 2 2 2 5" xfId="3185"/>
    <cellStyle name="Normal 2 3 2 2 2 3" xfId="1629"/>
    <cellStyle name="Normal 2 3 2 2 2 3 2" xfId="7881"/>
    <cellStyle name="Normal 2 3 2 2 2 3 3" xfId="5797"/>
    <cellStyle name="Normal 2 3 2 2 2 3 4" xfId="3713"/>
    <cellStyle name="Normal 2 3 2 2 2 4" xfId="6839"/>
    <cellStyle name="Normal 2 3 2 2 2 5" xfId="4755"/>
    <cellStyle name="Normal 2 3 2 2 2 6" xfId="2671"/>
    <cellStyle name="Normal 2 3 2 2 3" xfId="842"/>
    <cellStyle name="Normal 2 3 2 2 3 2" xfId="1886"/>
    <cellStyle name="Normal 2 3 2 2 3 2 2" xfId="8138"/>
    <cellStyle name="Normal 2 3 2 2 3 2 3" xfId="6054"/>
    <cellStyle name="Normal 2 3 2 2 3 2 4" xfId="3970"/>
    <cellStyle name="Normal 2 3 2 2 3 3" xfId="7096"/>
    <cellStyle name="Normal 2 3 2 2 3 4" xfId="5012"/>
    <cellStyle name="Normal 2 3 2 2 3 5" xfId="2928"/>
    <cellStyle name="Normal 2 3 2 2 4" xfId="1372"/>
    <cellStyle name="Normal 2 3 2 2 4 2" xfId="7624"/>
    <cellStyle name="Normal 2 3 2 2 4 3" xfId="5540"/>
    <cellStyle name="Normal 2 3 2 2 4 4" xfId="3456"/>
    <cellStyle name="Normal 2 3 2 2 5" xfId="6582"/>
    <cellStyle name="Normal 2 3 2 2 6" xfId="4498"/>
    <cellStyle name="Normal 2 3 2 2 7" xfId="2414"/>
    <cellStyle name="Normal 2 3 2 3" xfId="350"/>
    <cellStyle name="Normal 2 3 2 3 2" xfId="864"/>
    <cellStyle name="Normal 2 3 2 3 2 2" xfId="1908"/>
    <cellStyle name="Normal 2 3 2 3 2 2 2" xfId="8160"/>
    <cellStyle name="Normal 2 3 2 3 2 2 3" xfId="6076"/>
    <cellStyle name="Normal 2 3 2 3 2 2 4" xfId="3992"/>
    <cellStyle name="Normal 2 3 2 3 2 3" xfId="7118"/>
    <cellStyle name="Normal 2 3 2 3 2 4" xfId="5034"/>
    <cellStyle name="Normal 2 3 2 3 2 5" xfId="2950"/>
    <cellStyle name="Normal 2 3 2 3 3" xfId="1394"/>
    <cellStyle name="Normal 2 3 2 3 3 2" xfId="7646"/>
    <cellStyle name="Normal 2 3 2 3 3 3" xfId="5562"/>
    <cellStyle name="Normal 2 3 2 3 3 4" xfId="3478"/>
    <cellStyle name="Normal 2 3 2 3 4" xfId="6604"/>
    <cellStyle name="Normal 2 3 2 3 5" xfId="4520"/>
    <cellStyle name="Normal 2 3 2 3 6" xfId="2436"/>
    <cellStyle name="Normal 2 3 2 4" xfId="607"/>
    <cellStyle name="Normal 2 3 2 4 2" xfId="1651"/>
    <cellStyle name="Normal 2 3 2 4 2 2" xfId="7903"/>
    <cellStyle name="Normal 2 3 2 4 2 3" xfId="5819"/>
    <cellStyle name="Normal 2 3 2 4 2 4" xfId="3735"/>
    <cellStyle name="Normal 2 3 2 4 3" xfId="6861"/>
    <cellStyle name="Normal 2 3 2 4 4" xfId="4777"/>
    <cellStyle name="Normal 2 3 2 4 5" xfId="2693"/>
    <cellStyle name="Normal 2 3 2 5" xfId="1123"/>
    <cellStyle name="Normal 2 3 2 5 2" xfId="7377"/>
    <cellStyle name="Normal 2 3 2 5 3" xfId="5293"/>
    <cellStyle name="Normal 2 3 2 5 4" xfId="3209"/>
    <cellStyle name="Normal 2 3 2 6" xfId="6335"/>
    <cellStyle name="Normal 2 3 2 7" xfId="4251"/>
    <cellStyle name="Normal 2 3 2 8" xfId="2167"/>
    <cellStyle name="Normal 2 3 3" xfId="320"/>
    <cellStyle name="Normal 2 3 3 2" xfId="577"/>
    <cellStyle name="Normal 2 3 3 2 2" xfId="1091"/>
    <cellStyle name="Normal 2 3 3 2 2 2" xfId="2135"/>
    <cellStyle name="Normal 2 3 3 2 2 2 2" xfId="8387"/>
    <cellStyle name="Normal 2 3 3 2 2 2 3" xfId="6303"/>
    <cellStyle name="Normal 2 3 3 2 2 2 4" xfId="4219"/>
    <cellStyle name="Normal 2 3 3 2 2 3" xfId="7345"/>
    <cellStyle name="Normal 2 3 3 2 2 4" xfId="5261"/>
    <cellStyle name="Normal 2 3 3 2 2 5" xfId="3177"/>
    <cellStyle name="Normal 2 3 3 2 3" xfId="1621"/>
    <cellStyle name="Normal 2 3 3 2 3 2" xfId="7873"/>
    <cellStyle name="Normal 2 3 3 2 3 3" xfId="5789"/>
    <cellStyle name="Normal 2 3 3 2 3 4" xfId="3705"/>
    <cellStyle name="Normal 2 3 3 2 4" xfId="6831"/>
    <cellStyle name="Normal 2 3 3 2 5" xfId="4747"/>
    <cellStyle name="Normal 2 3 3 2 6" xfId="2663"/>
    <cellStyle name="Normal 2 3 3 3" xfId="834"/>
    <cellStyle name="Normal 2 3 3 3 2" xfId="1878"/>
    <cellStyle name="Normal 2 3 3 3 2 2" xfId="8130"/>
    <cellStyle name="Normal 2 3 3 3 2 3" xfId="6046"/>
    <cellStyle name="Normal 2 3 3 3 2 4" xfId="3962"/>
    <cellStyle name="Normal 2 3 3 3 3" xfId="7088"/>
    <cellStyle name="Normal 2 3 3 3 4" xfId="5004"/>
    <cellStyle name="Normal 2 3 3 3 5" xfId="2920"/>
    <cellStyle name="Normal 2 3 3 4" xfId="1364"/>
    <cellStyle name="Normal 2 3 3 4 2" xfId="7616"/>
    <cellStyle name="Normal 2 3 3 4 3" xfId="5532"/>
    <cellStyle name="Normal 2 3 3 4 4" xfId="3448"/>
    <cellStyle name="Normal 2 3 3 5" xfId="6574"/>
    <cellStyle name="Normal 2 3 3 6" xfId="4490"/>
    <cellStyle name="Normal 2 3 3 7" xfId="2406"/>
    <cellStyle name="Normal 2 3 4" xfId="337"/>
    <cellStyle name="Normal 2 3 4 2" xfId="851"/>
    <cellStyle name="Normal 2 3 4 2 2" xfId="1895"/>
    <cellStyle name="Normal 2 3 4 2 2 2" xfId="8147"/>
    <cellStyle name="Normal 2 3 4 2 2 3" xfId="6063"/>
    <cellStyle name="Normal 2 3 4 2 2 4" xfId="3979"/>
    <cellStyle name="Normal 2 3 4 2 3" xfId="7105"/>
    <cellStyle name="Normal 2 3 4 2 4" xfId="5021"/>
    <cellStyle name="Normal 2 3 4 2 5" xfId="2937"/>
    <cellStyle name="Normal 2 3 4 3" xfId="1381"/>
    <cellStyle name="Normal 2 3 4 3 2" xfId="7633"/>
    <cellStyle name="Normal 2 3 4 3 3" xfId="5549"/>
    <cellStyle name="Normal 2 3 4 3 4" xfId="3465"/>
    <cellStyle name="Normal 2 3 4 4" xfId="6591"/>
    <cellStyle name="Normal 2 3 4 5" xfId="4507"/>
    <cellStyle name="Normal 2 3 4 6" xfId="2423"/>
    <cellStyle name="Normal 2 3 5" xfId="594"/>
    <cellStyle name="Normal 2 3 5 2" xfId="1638"/>
    <cellStyle name="Normal 2 3 5 2 2" xfId="7890"/>
    <cellStyle name="Normal 2 3 5 2 3" xfId="5806"/>
    <cellStyle name="Normal 2 3 5 2 4" xfId="3722"/>
    <cellStyle name="Normal 2 3 5 3" xfId="6848"/>
    <cellStyle name="Normal 2 3 5 4" xfId="4764"/>
    <cellStyle name="Normal 2 3 5 5" xfId="2680"/>
    <cellStyle name="Normal 2 3 6" xfId="1110"/>
    <cellStyle name="Normal 2 3 6 2" xfId="7364"/>
    <cellStyle name="Normal 2 3 6 3" xfId="5280"/>
    <cellStyle name="Normal 2 3 6 4" xfId="3196"/>
    <cellStyle name="Normal 2 3 7" xfId="6322"/>
    <cellStyle name="Normal 2 3 8" xfId="4238"/>
    <cellStyle name="Normal 2 3 9" xfId="2154"/>
    <cellStyle name="Normal 2 4" xfId="58"/>
    <cellStyle name="Normal 2 4 2" xfId="325"/>
    <cellStyle name="Normal 2 4 2 2" xfId="582"/>
    <cellStyle name="Normal 2 4 2 2 2" xfId="1096"/>
    <cellStyle name="Normal 2 4 2 2 2 2" xfId="2140"/>
    <cellStyle name="Normal 2 4 2 2 2 2 2" xfId="8392"/>
    <cellStyle name="Normal 2 4 2 2 2 2 3" xfId="6308"/>
    <cellStyle name="Normal 2 4 2 2 2 2 4" xfId="4224"/>
    <cellStyle name="Normal 2 4 2 2 2 3" xfId="7350"/>
    <cellStyle name="Normal 2 4 2 2 2 4" xfId="5266"/>
    <cellStyle name="Normal 2 4 2 2 2 5" xfId="3182"/>
    <cellStyle name="Normal 2 4 2 2 3" xfId="1626"/>
    <cellStyle name="Normal 2 4 2 2 3 2" xfId="7878"/>
    <cellStyle name="Normal 2 4 2 2 3 3" xfId="5794"/>
    <cellStyle name="Normal 2 4 2 2 3 4" xfId="3710"/>
    <cellStyle name="Normal 2 4 2 2 4" xfId="6836"/>
    <cellStyle name="Normal 2 4 2 2 5" xfId="4752"/>
    <cellStyle name="Normal 2 4 2 2 6" xfId="2668"/>
    <cellStyle name="Normal 2 4 2 3" xfId="839"/>
    <cellStyle name="Normal 2 4 2 3 2" xfId="1883"/>
    <cellStyle name="Normal 2 4 2 3 2 2" xfId="8135"/>
    <cellStyle name="Normal 2 4 2 3 2 3" xfId="6051"/>
    <cellStyle name="Normal 2 4 2 3 2 4" xfId="3967"/>
    <cellStyle name="Normal 2 4 2 3 3" xfId="7093"/>
    <cellStyle name="Normal 2 4 2 3 4" xfId="5009"/>
    <cellStyle name="Normal 2 4 2 3 5" xfId="2925"/>
    <cellStyle name="Normal 2 4 2 4" xfId="1369"/>
    <cellStyle name="Normal 2 4 2 4 2" xfId="7621"/>
    <cellStyle name="Normal 2 4 2 4 3" xfId="5537"/>
    <cellStyle name="Normal 2 4 2 4 4" xfId="3453"/>
    <cellStyle name="Normal 2 4 2 5" xfId="6579"/>
    <cellStyle name="Normal 2 4 2 6" xfId="4495"/>
    <cellStyle name="Normal 2 4 2 7" xfId="2411"/>
    <cellStyle name="Normal 2 4 3" xfId="345"/>
    <cellStyle name="Normal 2 4 3 2" xfId="859"/>
    <cellStyle name="Normal 2 4 3 2 2" xfId="1903"/>
    <cellStyle name="Normal 2 4 3 2 2 2" xfId="8155"/>
    <cellStyle name="Normal 2 4 3 2 2 3" xfId="6071"/>
    <cellStyle name="Normal 2 4 3 2 2 4" xfId="3987"/>
    <cellStyle name="Normal 2 4 3 2 3" xfId="7113"/>
    <cellStyle name="Normal 2 4 3 2 4" xfId="5029"/>
    <cellStyle name="Normal 2 4 3 2 5" xfId="2945"/>
    <cellStyle name="Normal 2 4 3 3" xfId="1389"/>
    <cellStyle name="Normal 2 4 3 3 2" xfId="7641"/>
    <cellStyle name="Normal 2 4 3 3 3" xfId="5557"/>
    <cellStyle name="Normal 2 4 3 3 4" xfId="3473"/>
    <cellStyle name="Normal 2 4 3 4" xfId="6599"/>
    <cellStyle name="Normal 2 4 3 5" xfId="4515"/>
    <cellStyle name="Normal 2 4 3 6" xfId="2431"/>
    <cellStyle name="Normal 2 4 4" xfId="602"/>
    <cellStyle name="Normal 2 4 4 2" xfId="1646"/>
    <cellStyle name="Normal 2 4 4 2 2" xfId="7898"/>
    <cellStyle name="Normal 2 4 4 2 3" xfId="5814"/>
    <cellStyle name="Normal 2 4 4 2 4" xfId="3730"/>
    <cellStyle name="Normal 2 4 4 3" xfId="6856"/>
    <cellStyle name="Normal 2 4 4 4" xfId="4772"/>
    <cellStyle name="Normal 2 4 4 5" xfId="2688"/>
    <cellStyle name="Normal 2 4 5" xfId="1118"/>
    <cellStyle name="Normal 2 4 5 2" xfId="7372"/>
    <cellStyle name="Normal 2 4 5 3" xfId="5288"/>
    <cellStyle name="Normal 2 4 5 4" xfId="3204"/>
    <cellStyle name="Normal 2 4 6" xfId="6330"/>
    <cellStyle name="Normal 2 4 7" xfId="4246"/>
    <cellStyle name="Normal 2 4 8" xfId="2162"/>
    <cellStyle name="Normal 2 5" xfId="80"/>
    <cellStyle name="Normal 2 5 2" xfId="1140"/>
    <cellStyle name="Normal 2 6" xfId="332"/>
    <cellStyle name="Normal 2 6 2" xfId="846"/>
    <cellStyle name="Normal 2 6 2 2" xfId="1890"/>
    <cellStyle name="Normal 2 6 2 2 2" xfId="8142"/>
    <cellStyle name="Normal 2 6 2 2 3" xfId="6058"/>
    <cellStyle name="Normal 2 6 2 2 4" xfId="3974"/>
    <cellStyle name="Normal 2 6 2 3" xfId="7100"/>
    <cellStyle name="Normal 2 6 2 4" xfId="5016"/>
    <cellStyle name="Normal 2 6 2 5" xfId="2932"/>
    <cellStyle name="Normal 2 6 3" xfId="1376"/>
    <cellStyle name="Normal 2 6 3 2" xfId="7628"/>
    <cellStyle name="Normal 2 6 3 3" xfId="5544"/>
    <cellStyle name="Normal 2 6 3 4" xfId="3460"/>
    <cellStyle name="Normal 2 6 4" xfId="6586"/>
    <cellStyle name="Normal 2 6 5" xfId="4502"/>
    <cellStyle name="Normal 2 6 6" xfId="2418"/>
    <cellStyle name="Normal 2 7" xfId="589"/>
    <cellStyle name="Normal 2 7 2" xfId="1633"/>
    <cellStyle name="Normal 2 7 2 2" xfId="7885"/>
    <cellStyle name="Normal 2 7 2 3" xfId="5801"/>
    <cellStyle name="Normal 2 7 2 4" xfId="3717"/>
    <cellStyle name="Normal 2 7 3" xfId="6843"/>
    <cellStyle name="Normal 2 7 4" xfId="4759"/>
    <cellStyle name="Normal 2 7 5" xfId="2675"/>
    <cellStyle name="Normal 2 8" xfId="1104"/>
    <cellStyle name="Normal 2 8 2" xfId="7358"/>
    <cellStyle name="Normal 2 8 3" xfId="5274"/>
    <cellStyle name="Normal 2 8 4" xfId="3190"/>
    <cellStyle name="Normal 2 9" xfId="6316"/>
    <cellStyle name="Normal 3" xfId="49"/>
    <cellStyle name="Normal 3 10" xfId="1109"/>
    <cellStyle name="Normal 3 10 2" xfId="7363"/>
    <cellStyle name="Normal 3 10 3" xfId="5279"/>
    <cellStyle name="Normal 3 10 4" xfId="3195"/>
    <cellStyle name="Normal 3 11" xfId="6321"/>
    <cellStyle name="Normal 3 12" xfId="4237"/>
    <cellStyle name="Normal 3 13" xfId="2153"/>
    <cellStyle name="Normal 3 2" xfId="54"/>
    <cellStyle name="Normal 3 2 10" xfId="6326"/>
    <cellStyle name="Normal 3 2 11" xfId="4242"/>
    <cellStyle name="Normal 3 2 12" xfId="2158"/>
    <cellStyle name="Normal 3 2 2" xfId="67"/>
    <cellStyle name="Normal 3 2 2 10" xfId="4255"/>
    <cellStyle name="Normal 3 2 2 11" xfId="2171"/>
    <cellStyle name="Normal 3 2 2 2" xfId="196"/>
    <cellStyle name="Normal 3 2 2 2 2" xfId="318"/>
    <cellStyle name="Normal 3 2 2 3" xfId="314"/>
    <cellStyle name="Normal 3 2 2 4" xfId="192"/>
    <cellStyle name="Normal 3 2 2 5" xfId="330"/>
    <cellStyle name="Normal 3 2 2 5 2" xfId="587"/>
    <cellStyle name="Normal 3 2 2 5 2 2" xfId="1101"/>
    <cellStyle name="Normal 3 2 2 5 2 2 2" xfId="2145"/>
    <cellStyle name="Normal 3 2 2 5 2 2 2 2" xfId="8397"/>
    <cellStyle name="Normal 3 2 2 5 2 2 2 3" xfId="6313"/>
    <cellStyle name="Normal 3 2 2 5 2 2 2 4" xfId="4229"/>
    <cellStyle name="Normal 3 2 2 5 2 2 3" xfId="7355"/>
    <cellStyle name="Normal 3 2 2 5 2 2 4" xfId="5271"/>
    <cellStyle name="Normal 3 2 2 5 2 2 5" xfId="3187"/>
    <cellStyle name="Normal 3 2 2 5 2 3" xfId="1631"/>
    <cellStyle name="Normal 3 2 2 5 2 3 2" xfId="7883"/>
    <cellStyle name="Normal 3 2 2 5 2 3 3" xfId="5799"/>
    <cellStyle name="Normal 3 2 2 5 2 3 4" xfId="3715"/>
    <cellStyle name="Normal 3 2 2 5 2 4" xfId="6841"/>
    <cellStyle name="Normal 3 2 2 5 2 5" xfId="4757"/>
    <cellStyle name="Normal 3 2 2 5 2 6" xfId="2673"/>
    <cellStyle name="Normal 3 2 2 5 3" xfId="844"/>
    <cellStyle name="Normal 3 2 2 5 3 2" xfId="1888"/>
    <cellStyle name="Normal 3 2 2 5 3 2 2" xfId="8140"/>
    <cellStyle name="Normal 3 2 2 5 3 2 3" xfId="6056"/>
    <cellStyle name="Normal 3 2 2 5 3 2 4" xfId="3972"/>
    <cellStyle name="Normal 3 2 2 5 3 3" xfId="7098"/>
    <cellStyle name="Normal 3 2 2 5 3 4" xfId="5014"/>
    <cellStyle name="Normal 3 2 2 5 3 5" xfId="2930"/>
    <cellStyle name="Normal 3 2 2 5 4" xfId="1374"/>
    <cellStyle name="Normal 3 2 2 5 4 2" xfId="7626"/>
    <cellStyle name="Normal 3 2 2 5 4 3" xfId="5542"/>
    <cellStyle name="Normal 3 2 2 5 4 4" xfId="3458"/>
    <cellStyle name="Normal 3 2 2 5 5" xfId="6584"/>
    <cellStyle name="Normal 3 2 2 5 6" xfId="4500"/>
    <cellStyle name="Normal 3 2 2 5 7" xfId="2416"/>
    <cellStyle name="Normal 3 2 2 6" xfId="354"/>
    <cellStyle name="Normal 3 2 2 6 2" xfId="868"/>
    <cellStyle name="Normal 3 2 2 6 2 2" xfId="1912"/>
    <cellStyle name="Normal 3 2 2 6 2 2 2" xfId="8164"/>
    <cellStyle name="Normal 3 2 2 6 2 2 3" xfId="6080"/>
    <cellStyle name="Normal 3 2 2 6 2 2 4" xfId="3996"/>
    <cellStyle name="Normal 3 2 2 6 2 3" xfId="7122"/>
    <cellStyle name="Normal 3 2 2 6 2 4" xfId="5038"/>
    <cellStyle name="Normal 3 2 2 6 2 5" xfId="2954"/>
    <cellStyle name="Normal 3 2 2 6 3" xfId="1398"/>
    <cellStyle name="Normal 3 2 2 6 3 2" xfId="7650"/>
    <cellStyle name="Normal 3 2 2 6 3 3" xfId="5566"/>
    <cellStyle name="Normal 3 2 2 6 3 4" xfId="3482"/>
    <cellStyle name="Normal 3 2 2 6 4" xfId="6608"/>
    <cellStyle name="Normal 3 2 2 6 5" xfId="4524"/>
    <cellStyle name="Normal 3 2 2 6 6" xfId="2440"/>
    <cellStyle name="Normal 3 2 2 7" xfId="611"/>
    <cellStyle name="Normal 3 2 2 7 2" xfId="1655"/>
    <cellStyle name="Normal 3 2 2 7 2 2" xfId="7907"/>
    <cellStyle name="Normal 3 2 2 7 2 3" xfId="5823"/>
    <cellStyle name="Normal 3 2 2 7 2 4" xfId="3739"/>
    <cellStyle name="Normal 3 2 2 7 3" xfId="6865"/>
    <cellStyle name="Normal 3 2 2 7 4" xfId="4781"/>
    <cellStyle name="Normal 3 2 2 7 5" xfId="2697"/>
    <cellStyle name="Normal 3 2 2 8" xfId="1127"/>
    <cellStyle name="Normal 3 2 2 8 2" xfId="7381"/>
    <cellStyle name="Normal 3 2 2 8 3" xfId="5297"/>
    <cellStyle name="Normal 3 2 2 8 4" xfId="3213"/>
    <cellStyle name="Normal 3 2 2 9" xfId="6339"/>
    <cellStyle name="Normal 3 2 3" xfId="194"/>
    <cellStyle name="Normal 3 2 3 2" xfId="316"/>
    <cellStyle name="Normal 3 2 4" xfId="236"/>
    <cellStyle name="Normal 3 2 5" xfId="114"/>
    <cellStyle name="Normal 3 2 6" xfId="322"/>
    <cellStyle name="Normal 3 2 6 2" xfId="579"/>
    <cellStyle name="Normal 3 2 6 2 2" xfId="1093"/>
    <cellStyle name="Normal 3 2 6 2 2 2" xfId="2137"/>
    <cellStyle name="Normal 3 2 6 2 2 2 2" xfId="8389"/>
    <cellStyle name="Normal 3 2 6 2 2 2 3" xfId="6305"/>
    <cellStyle name="Normal 3 2 6 2 2 2 4" xfId="4221"/>
    <cellStyle name="Normal 3 2 6 2 2 3" xfId="7347"/>
    <cellStyle name="Normal 3 2 6 2 2 4" xfId="5263"/>
    <cellStyle name="Normal 3 2 6 2 2 5" xfId="3179"/>
    <cellStyle name="Normal 3 2 6 2 3" xfId="1623"/>
    <cellStyle name="Normal 3 2 6 2 3 2" xfId="7875"/>
    <cellStyle name="Normal 3 2 6 2 3 3" xfId="5791"/>
    <cellStyle name="Normal 3 2 6 2 3 4" xfId="3707"/>
    <cellStyle name="Normal 3 2 6 2 4" xfId="6833"/>
    <cellStyle name="Normal 3 2 6 2 5" xfId="4749"/>
    <cellStyle name="Normal 3 2 6 2 6" xfId="2665"/>
    <cellStyle name="Normal 3 2 6 3" xfId="836"/>
    <cellStyle name="Normal 3 2 6 3 2" xfId="1880"/>
    <cellStyle name="Normal 3 2 6 3 2 2" xfId="8132"/>
    <cellStyle name="Normal 3 2 6 3 2 3" xfId="6048"/>
    <cellStyle name="Normal 3 2 6 3 2 4" xfId="3964"/>
    <cellStyle name="Normal 3 2 6 3 3" xfId="7090"/>
    <cellStyle name="Normal 3 2 6 3 4" xfId="5006"/>
    <cellStyle name="Normal 3 2 6 3 5" xfId="2922"/>
    <cellStyle name="Normal 3 2 6 4" xfId="1366"/>
    <cellStyle name="Normal 3 2 6 4 2" xfId="7618"/>
    <cellStyle name="Normal 3 2 6 4 3" xfId="5534"/>
    <cellStyle name="Normal 3 2 6 4 4" xfId="3450"/>
    <cellStyle name="Normal 3 2 6 5" xfId="6576"/>
    <cellStyle name="Normal 3 2 6 6" xfId="4492"/>
    <cellStyle name="Normal 3 2 6 7" xfId="2408"/>
    <cellStyle name="Normal 3 2 7" xfId="341"/>
    <cellStyle name="Normal 3 2 7 2" xfId="855"/>
    <cellStyle name="Normal 3 2 7 2 2" xfId="1899"/>
    <cellStyle name="Normal 3 2 7 2 2 2" xfId="8151"/>
    <cellStyle name="Normal 3 2 7 2 2 3" xfId="6067"/>
    <cellStyle name="Normal 3 2 7 2 2 4" xfId="3983"/>
    <cellStyle name="Normal 3 2 7 2 3" xfId="7109"/>
    <cellStyle name="Normal 3 2 7 2 4" xfId="5025"/>
    <cellStyle name="Normal 3 2 7 2 5" xfId="2941"/>
    <cellStyle name="Normal 3 2 7 3" xfId="1385"/>
    <cellStyle name="Normal 3 2 7 3 2" xfId="7637"/>
    <cellStyle name="Normal 3 2 7 3 3" xfId="5553"/>
    <cellStyle name="Normal 3 2 7 3 4" xfId="3469"/>
    <cellStyle name="Normal 3 2 7 4" xfId="6595"/>
    <cellStyle name="Normal 3 2 7 5" xfId="4511"/>
    <cellStyle name="Normal 3 2 7 6" xfId="2427"/>
    <cellStyle name="Normal 3 2 8" xfId="598"/>
    <cellStyle name="Normal 3 2 8 2" xfId="1642"/>
    <cellStyle name="Normal 3 2 8 2 2" xfId="7894"/>
    <cellStyle name="Normal 3 2 8 2 3" xfId="5810"/>
    <cellStyle name="Normal 3 2 8 2 4" xfId="3726"/>
    <cellStyle name="Normal 3 2 8 3" xfId="6852"/>
    <cellStyle name="Normal 3 2 8 4" xfId="4768"/>
    <cellStyle name="Normal 3 2 8 5" xfId="2684"/>
    <cellStyle name="Normal 3 2 9" xfId="1114"/>
    <cellStyle name="Normal 3 2 9 2" xfId="7368"/>
    <cellStyle name="Normal 3 2 9 3" xfId="5284"/>
    <cellStyle name="Normal 3 2 9 4" xfId="3200"/>
    <cellStyle name="Normal 3 3" xfId="62"/>
    <cellStyle name="Normal 3 3 10" xfId="4250"/>
    <cellStyle name="Normal 3 3 11" xfId="2166"/>
    <cellStyle name="Normal 3 3 2" xfId="195"/>
    <cellStyle name="Normal 3 3 2 2" xfId="317"/>
    <cellStyle name="Normal 3 3 3" xfId="294"/>
    <cellStyle name="Normal 3 3 4" xfId="172"/>
    <cellStyle name="Normal 3 3 5" xfId="327"/>
    <cellStyle name="Normal 3 3 5 2" xfId="584"/>
    <cellStyle name="Normal 3 3 5 2 2" xfId="1098"/>
    <cellStyle name="Normal 3 3 5 2 2 2" xfId="2142"/>
    <cellStyle name="Normal 3 3 5 2 2 2 2" xfId="8394"/>
    <cellStyle name="Normal 3 3 5 2 2 2 3" xfId="6310"/>
    <cellStyle name="Normal 3 3 5 2 2 2 4" xfId="4226"/>
    <cellStyle name="Normal 3 3 5 2 2 3" xfId="7352"/>
    <cellStyle name="Normal 3 3 5 2 2 4" xfId="5268"/>
    <cellStyle name="Normal 3 3 5 2 2 5" xfId="3184"/>
    <cellStyle name="Normal 3 3 5 2 3" xfId="1628"/>
    <cellStyle name="Normal 3 3 5 2 3 2" xfId="7880"/>
    <cellStyle name="Normal 3 3 5 2 3 3" xfId="5796"/>
    <cellStyle name="Normal 3 3 5 2 3 4" xfId="3712"/>
    <cellStyle name="Normal 3 3 5 2 4" xfId="6838"/>
    <cellStyle name="Normal 3 3 5 2 5" xfId="4754"/>
    <cellStyle name="Normal 3 3 5 2 6" xfId="2670"/>
    <cellStyle name="Normal 3 3 5 3" xfId="841"/>
    <cellStyle name="Normal 3 3 5 3 2" xfId="1885"/>
    <cellStyle name="Normal 3 3 5 3 2 2" xfId="8137"/>
    <cellStyle name="Normal 3 3 5 3 2 3" xfId="6053"/>
    <cellStyle name="Normal 3 3 5 3 2 4" xfId="3969"/>
    <cellStyle name="Normal 3 3 5 3 3" xfId="7095"/>
    <cellStyle name="Normal 3 3 5 3 4" xfId="5011"/>
    <cellStyle name="Normal 3 3 5 3 5" xfId="2927"/>
    <cellStyle name="Normal 3 3 5 4" xfId="1371"/>
    <cellStyle name="Normal 3 3 5 4 2" xfId="7623"/>
    <cellStyle name="Normal 3 3 5 4 3" xfId="5539"/>
    <cellStyle name="Normal 3 3 5 4 4" xfId="3455"/>
    <cellStyle name="Normal 3 3 5 5" xfId="6581"/>
    <cellStyle name="Normal 3 3 5 6" xfId="4497"/>
    <cellStyle name="Normal 3 3 5 7" xfId="2413"/>
    <cellStyle name="Normal 3 3 6" xfId="349"/>
    <cellStyle name="Normal 3 3 6 2" xfId="863"/>
    <cellStyle name="Normal 3 3 6 2 2" xfId="1907"/>
    <cellStyle name="Normal 3 3 6 2 2 2" xfId="8159"/>
    <cellStyle name="Normal 3 3 6 2 2 3" xfId="6075"/>
    <cellStyle name="Normal 3 3 6 2 2 4" xfId="3991"/>
    <cellStyle name="Normal 3 3 6 2 3" xfId="7117"/>
    <cellStyle name="Normal 3 3 6 2 4" xfId="5033"/>
    <cellStyle name="Normal 3 3 6 2 5" xfId="2949"/>
    <cellStyle name="Normal 3 3 6 3" xfId="1393"/>
    <cellStyle name="Normal 3 3 6 3 2" xfId="7645"/>
    <cellStyle name="Normal 3 3 6 3 3" xfId="5561"/>
    <cellStyle name="Normal 3 3 6 3 4" xfId="3477"/>
    <cellStyle name="Normal 3 3 6 4" xfId="6603"/>
    <cellStyle name="Normal 3 3 6 5" xfId="4519"/>
    <cellStyle name="Normal 3 3 6 6" xfId="2435"/>
    <cellStyle name="Normal 3 3 7" xfId="606"/>
    <cellStyle name="Normal 3 3 7 2" xfId="1650"/>
    <cellStyle name="Normal 3 3 7 2 2" xfId="7902"/>
    <cellStyle name="Normal 3 3 7 2 3" xfId="5818"/>
    <cellStyle name="Normal 3 3 7 2 4" xfId="3734"/>
    <cellStyle name="Normal 3 3 7 3" xfId="6860"/>
    <cellStyle name="Normal 3 3 7 4" xfId="4776"/>
    <cellStyle name="Normal 3 3 7 5" xfId="2692"/>
    <cellStyle name="Normal 3 3 8" xfId="1122"/>
    <cellStyle name="Normal 3 3 8 2" xfId="7376"/>
    <cellStyle name="Normal 3 3 8 3" xfId="5292"/>
    <cellStyle name="Normal 3 3 8 4" xfId="3208"/>
    <cellStyle name="Normal 3 3 9" xfId="6334"/>
    <cellStyle name="Normal 3 4" xfId="193"/>
    <cellStyle name="Normal 3 4 2" xfId="315"/>
    <cellStyle name="Normal 3 5" xfId="216"/>
    <cellStyle name="Normal 3 6" xfId="94"/>
    <cellStyle name="Normal 3 7" xfId="319"/>
    <cellStyle name="Normal 3 7 2" xfId="576"/>
    <cellStyle name="Normal 3 7 2 2" xfId="1090"/>
    <cellStyle name="Normal 3 7 2 2 2" xfId="2134"/>
    <cellStyle name="Normal 3 7 2 2 2 2" xfId="8386"/>
    <cellStyle name="Normal 3 7 2 2 2 3" xfId="6302"/>
    <cellStyle name="Normal 3 7 2 2 2 4" xfId="4218"/>
    <cellStyle name="Normal 3 7 2 2 3" xfId="7344"/>
    <cellStyle name="Normal 3 7 2 2 4" xfId="5260"/>
    <cellStyle name="Normal 3 7 2 2 5" xfId="3176"/>
    <cellStyle name="Normal 3 7 2 3" xfId="1620"/>
    <cellStyle name="Normal 3 7 2 3 2" xfId="7872"/>
    <cellStyle name="Normal 3 7 2 3 3" xfId="5788"/>
    <cellStyle name="Normal 3 7 2 3 4" xfId="3704"/>
    <cellStyle name="Normal 3 7 2 4" xfId="6830"/>
    <cellStyle name="Normal 3 7 2 5" xfId="4746"/>
    <cellStyle name="Normal 3 7 2 6" xfId="2662"/>
    <cellStyle name="Normal 3 7 3" xfId="833"/>
    <cellStyle name="Normal 3 7 3 2" xfId="1877"/>
    <cellStyle name="Normal 3 7 3 2 2" xfId="8129"/>
    <cellStyle name="Normal 3 7 3 2 3" xfId="6045"/>
    <cellStyle name="Normal 3 7 3 2 4" xfId="3961"/>
    <cellStyle name="Normal 3 7 3 3" xfId="7087"/>
    <cellStyle name="Normal 3 7 3 4" xfId="5003"/>
    <cellStyle name="Normal 3 7 3 5" xfId="2919"/>
    <cellStyle name="Normal 3 7 4" xfId="1363"/>
    <cellStyle name="Normal 3 7 4 2" xfId="7615"/>
    <cellStyle name="Normal 3 7 4 3" xfId="5531"/>
    <cellStyle name="Normal 3 7 4 4" xfId="3447"/>
    <cellStyle name="Normal 3 7 5" xfId="6573"/>
    <cellStyle name="Normal 3 7 6" xfId="4489"/>
    <cellStyle name="Normal 3 7 7" xfId="2405"/>
    <cellStyle name="Normal 3 8" xfId="336"/>
    <cellStyle name="Normal 3 8 2" xfId="850"/>
    <cellStyle name="Normal 3 8 2 2" xfId="1894"/>
    <cellStyle name="Normal 3 8 2 2 2" xfId="8146"/>
    <cellStyle name="Normal 3 8 2 2 3" xfId="6062"/>
    <cellStyle name="Normal 3 8 2 2 4" xfId="3978"/>
    <cellStyle name="Normal 3 8 2 3" xfId="7104"/>
    <cellStyle name="Normal 3 8 2 4" xfId="5020"/>
    <cellStyle name="Normal 3 8 2 5" xfId="2936"/>
    <cellStyle name="Normal 3 8 3" xfId="1380"/>
    <cellStyle name="Normal 3 8 3 2" xfId="7632"/>
    <cellStyle name="Normal 3 8 3 3" xfId="5548"/>
    <cellStyle name="Normal 3 8 3 4" xfId="3464"/>
    <cellStyle name="Normal 3 8 4" xfId="6590"/>
    <cellStyle name="Normal 3 8 5" xfId="4506"/>
    <cellStyle name="Normal 3 8 6" xfId="2422"/>
    <cellStyle name="Normal 3 9" xfId="593"/>
    <cellStyle name="Normal 3 9 2" xfId="1637"/>
    <cellStyle name="Normal 3 9 2 2" xfId="7889"/>
    <cellStyle name="Normal 3 9 2 3" xfId="5805"/>
    <cellStyle name="Normal 3 9 2 4" xfId="3721"/>
    <cellStyle name="Normal 3 9 3" xfId="6847"/>
    <cellStyle name="Normal 3 9 4" xfId="4763"/>
    <cellStyle name="Normal 3 9 5" xfId="2679"/>
    <cellStyle name="Normal 4" xfId="55"/>
    <cellStyle name="Normal 4 2" xfId="68"/>
    <cellStyle name="Normal 4 2 2" xfId="331"/>
    <cellStyle name="Normal 4 2 2 2" xfId="588"/>
    <cellStyle name="Normal 4 2 2 2 2" xfId="1102"/>
    <cellStyle name="Normal 4 2 2 2 2 2" xfId="2146"/>
    <cellStyle name="Normal 4 2 2 2 2 2 2" xfId="8398"/>
    <cellStyle name="Normal 4 2 2 2 2 2 3" xfId="6314"/>
    <cellStyle name="Normal 4 2 2 2 2 2 4" xfId="4230"/>
    <cellStyle name="Normal 4 2 2 2 2 3" xfId="7356"/>
    <cellStyle name="Normal 4 2 2 2 2 4" xfId="5272"/>
    <cellStyle name="Normal 4 2 2 2 2 5" xfId="3188"/>
    <cellStyle name="Normal 4 2 2 2 3" xfId="1632"/>
    <cellStyle name="Normal 4 2 2 2 3 2" xfId="7884"/>
    <cellStyle name="Normal 4 2 2 2 3 3" xfId="5800"/>
    <cellStyle name="Normal 4 2 2 2 3 4" xfId="3716"/>
    <cellStyle name="Normal 4 2 2 2 4" xfId="6842"/>
    <cellStyle name="Normal 4 2 2 2 5" xfId="4758"/>
    <cellStyle name="Normal 4 2 2 2 6" xfId="2674"/>
    <cellStyle name="Normal 4 2 2 3" xfId="845"/>
    <cellStyle name="Normal 4 2 2 3 2" xfId="1889"/>
    <cellStyle name="Normal 4 2 2 3 2 2" xfId="8141"/>
    <cellStyle name="Normal 4 2 2 3 2 3" xfId="6057"/>
    <cellStyle name="Normal 4 2 2 3 2 4" xfId="3973"/>
    <cellStyle name="Normal 4 2 2 3 3" xfId="7099"/>
    <cellStyle name="Normal 4 2 2 3 4" xfId="5015"/>
    <cellStyle name="Normal 4 2 2 3 5" xfId="2931"/>
    <cellStyle name="Normal 4 2 2 4" xfId="1375"/>
    <cellStyle name="Normal 4 2 2 4 2" xfId="7627"/>
    <cellStyle name="Normal 4 2 2 4 3" xfId="5543"/>
    <cellStyle name="Normal 4 2 2 4 4" xfId="3459"/>
    <cellStyle name="Normal 4 2 2 5" xfId="6585"/>
    <cellStyle name="Normal 4 2 2 6" xfId="4501"/>
    <cellStyle name="Normal 4 2 2 7" xfId="2417"/>
    <cellStyle name="Normal 4 2 3" xfId="355"/>
    <cellStyle name="Normal 4 2 3 2" xfId="869"/>
    <cellStyle name="Normal 4 2 3 2 2" xfId="1913"/>
    <cellStyle name="Normal 4 2 3 2 2 2" xfId="8165"/>
    <cellStyle name="Normal 4 2 3 2 2 3" xfId="6081"/>
    <cellStyle name="Normal 4 2 3 2 2 4" xfId="3997"/>
    <cellStyle name="Normal 4 2 3 2 3" xfId="7123"/>
    <cellStyle name="Normal 4 2 3 2 4" xfId="5039"/>
    <cellStyle name="Normal 4 2 3 2 5" xfId="2955"/>
    <cellStyle name="Normal 4 2 3 3" xfId="1399"/>
    <cellStyle name="Normal 4 2 3 3 2" xfId="7651"/>
    <cellStyle name="Normal 4 2 3 3 3" xfId="5567"/>
    <cellStyle name="Normal 4 2 3 3 4" xfId="3483"/>
    <cellStyle name="Normal 4 2 3 4" xfId="6609"/>
    <cellStyle name="Normal 4 2 3 5" xfId="4525"/>
    <cellStyle name="Normal 4 2 3 6" xfId="2441"/>
    <cellStyle name="Normal 4 2 4" xfId="612"/>
    <cellStyle name="Normal 4 2 4 2" xfId="1656"/>
    <cellStyle name="Normal 4 2 4 2 2" xfId="7908"/>
    <cellStyle name="Normal 4 2 4 2 3" xfId="5824"/>
    <cellStyle name="Normal 4 2 4 2 4" xfId="3740"/>
    <cellStyle name="Normal 4 2 4 3" xfId="6866"/>
    <cellStyle name="Normal 4 2 4 4" xfId="4782"/>
    <cellStyle name="Normal 4 2 4 5" xfId="2698"/>
    <cellStyle name="Normal 4 2 5" xfId="1128"/>
    <cellStyle name="Normal 4 2 5 2" xfId="7382"/>
    <cellStyle name="Normal 4 2 5 3" xfId="5298"/>
    <cellStyle name="Normal 4 2 5 4" xfId="3214"/>
    <cellStyle name="Normal 4 2 6" xfId="6340"/>
    <cellStyle name="Normal 4 2 7" xfId="4256"/>
    <cellStyle name="Normal 4 2 8" xfId="2172"/>
    <cellStyle name="Normal 4 3" xfId="323"/>
    <cellStyle name="Normal 4 3 2" xfId="580"/>
    <cellStyle name="Normal 4 3 2 2" xfId="1094"/>
    <cellStyle name="Normal 4 3 2 2 2" xfId="2138"/>
    <cellStyle name="Normal 4 3 2 2 2 2" xfId="8390"/>
    <cellStyle name="Normal 4 3 2 2 2 3" xfId="6306"/>
    <cellStyle name="Normal 4 3 2 2 2 4" xfId="4222"/>
    <cellStyle name="Normal 4 3 2 2 3" xfId="7348"/>
    <cellStyle name="Normal 4 3 2 2 4" xfId="5264"/>
    <cellStyle name="Normal 4 3 2 2 5" xfId="3180"/>
    <cellStyle name="Normal 4 3 2 3" xfId="1624"/>
    <cellStyle name="Normal 4 3 2 3 2" xfId="7876"/>
    <cellStyle name="Normal 4 3 2 3 3" xfId="5792"/>
    <cellStyle name="Normal 4 3 2 3 4" xfId="3708"/>
    <cellStyle name="Normal 4 3 2 4" xfId="6834"/>
    <cellStyle name="Normal 4 3 2 5" xfId="4750"/>
    <cellStyle name="Normal 4 3 2 6" xfId="2666"/>
    <cellStyle name="Normal 4 3 3" xfId="837"/>
    <cellStyle name="Normal 4 3 3 2" xfId="1881"/>
    <cellStyle name="Normal 4 3 3 2 2" xfId="8133"/>
    <cellStyle name="Normal 4 3 3 2 3" xfId="6049"/>
    <cellStyle name="Normal 4 3 3 2 4" xfId="3965"/>
    <cellStyle name="Normal 4 3 3 3" xfId="7091"/>
    <cellStyle name="Normal 4 3 3 4" xfId="5007"/>
    <cellStyle name="Normal 4 3 3 5" xfId="2923"/>
    <cellStyle name="Normal 4 3 4" xfId="1367"/>
    <cellStyle name="Normal 4 3 4 2" xfId="7619"/>
    <cellStyle name="Normal 4 3 4 3" xfId="5535"/>
    <cellStyle name="Normal 4 3 4 4" xfId="3451"/>
    <cellStyle name="Normal 4 3 5" xfId="6577"/>
    <cellStyle name="Normal 4 3 6" xfId="4493"/>
    <cellStyle name="Normal 4 3 7" xfId="2409"/>
    <cellStyle name="Normal 4 4" xfId="342"/>
    <cellStyle name="Normal 4 4 2" xfId="856"/>
    <cellStyle name="Normal 4 4 2 2" xfId="1900"/>
    <cellStyle name="Normal 4 4 2 2 2" xfId="8152"/>
    <cellStyle name="Normal 4 4 2 2 3" xfId="6068"/>
    <cellStyle name="Normal 4 4 2 2 4" xfId="3984"/>
    <cellStyle name="Normal 4 4 2 3" xfId="7110"/>
    <cellStyle name="Normal 4 4 2 4" xfId="5026"/>
    <cellStyle name="Normal 4 4 2 5" xfId="2942"/>
    <cellStyle name="Normal 4 4 3" xfId="1386"/>
    <cellStyle name="Normal 4 4 3 2" xfId="7638"/>
    <cellStyle name="Normal 4 4 3 3" xfId="5554"/>
    <cellStyle name="Normal 4 4 3 4" xfId="3470"/>
    <cellStyle name="Normal 4 4 4" xfId="6596"/>
    <cellStyle name="Normal 4 4 5" xfId="4512"/>
    <cellStyle name="Normal 4 4 6" xfId="2428"/>
    <cellStyle name="Normal 4 5" xfId="599"/>
    <cellStyle name="Normal 4 5 2" xfId="1643"/>
    <cellStyle name="Normal 4 5 2 2" xfId="7895"/>
    <cellStyle name="Normal 4 5 2 3" xfId="5811"/>
    <cellStyle name="Normal 4 5 2 4" xfId="3727"/>
    <cellStyle name="Normal 4 5 3" xfId="6853"/>
    <cellStyle name="Normal 4 5 4" xfId="4769"/>
    <cellStyle name="Normal 4 5 5" xfId="2685"/>
    <cellStyle name="Normal 4 6" xfId="1115"/>
    <cellStyle name="Normal 4 6 2" xfId="7369"/>
    <cellStyle name="Normal 4 6 3" xfId="5285"/>
    <cellStyle name="Normal 4 6 4" xfId="3201"/>
    <cellStyle name="Normal 4 7" xfId="6327"/>
    <cellStyle name="Normal 4 8" xfId="4243"/>
    <cellStyle name="Normal 4 9" xfId="2159"/>
    <cellStyle name="Normal 5" xfId="56"/>
    <cellStyle name="Normal 5 2" xfId="324"/>
    <cellStyle name="Normal 5 2 2" xfId="581"/>
    <cellStyle name="Normal 5 2 2 2" xfId="1095"/>
    <cellStyle name="Normal 5 2 2 2 2" xfId="2139"/>
    <cellStyle name="Normal 5 2 2 2 2 2" xfId="8391"/>
    <cellStyle name="Normal 5 2 2 2 2 3" xfId="6307"/>
    <cellStyle name="Normal 5 2 2 2 2 4" xfId="4223"/>
    <cellStyle name="Normal 5 2 2 2 3" xfId="7349"/>
    <cellStyle name="Normal 5 2 2 2 4" xfId="5265"/>
    <cellStyle name="Normal 5 2 2 2 5" xfId="3181"/>
    <cellStyle name="Normal 5 2 2 3" xfId="1625"/>
    <cellStyle name="Normal 5 2 2 3 2" xfId="7877"/>
    <cellStyle name="Normal 5 2 2 3 3" xfId="5793"/>
    <cellStyle name="Normal 5 2 2 3 4" xfId="3709"/>
    <cellStyle name="Normal 5 2 2 4" xfId="6835"/>
    <cellStyle name="Normal 5 2 2 5" xfId="4751"/>
    <cellStyle name="Normal 5 2 2 6" xfId="2667"/>
    <cellStyle name="Normal 5 2 3" xfId="838"/>
    <cellStyle name="Normal 5 2 3 2" xfId="1882"/>
    <cellStyle name="Normal 5 2 3 2 2" xfId="8134"/>
    <cellStyle name="Normal 5 2 3 2 3" xfId="6050"/>
    <cellStyle name="Normal 5 2 3 2 4" xfId="3966"/>
    <cellStyle name="Normal 5 2 3 3" xfId="7092"/>
    <cellStyle name="Normal 5 2 3 4" xfId="5008"/>
    <cellStyle name="Normal 5 2 3 5" xfId="2924"/>
    <cellStyle name="Normal 5 2 4" xfId="1368"/>
    <cellStyle name="Normal 5 2 4 2" xfId="7620"/>
    <cellStyle name="Normal 5 2 4 3" xfId="5536"/>
    <cellStyle name="Normal 5 2 4 4" xfId="3452"/>
    <cellStyle name="Normal 5 2 5" xfId="6578"/>
    <cellStyle name="Normal 5 2 6" xfId="4494"/>
    <cellStyle name="Normal 5 2 7" xfId="2410"/>
    <cellStyle name="Normal 5 3" xfId="343"/>
    <cellStyle name="Normal 5 3 2" xfId="857"/>
    <cellStyle name="Normal 5 3 2 2" xfId="1901"/>
    <cellStyle name="Normal 5 3 2 2 2" xfId="8153"/>
    <cellStyle name="Normal 5 3 2 2 3" xfId="6069"/>
    <cellStyle name="Normal 5 3 2 2 4" xfId="3985"/>
    <cellStyle name="Normal 5 3 2 3" xfId="7111"/>
    <cellStyle name="Normal 5 3 2 4" xfId="5027"/>
    <cellStyle name="Normal 5 3 2 5" xfId="2943"/>
    <cellStyle name="Normal 5 3 3" xfId="1387"/>
    <cellStyle name="Normal 5 3 3 2" xfId="7639"/>
    <cellStyle name="Normal 5 3 3 3" xfId="5555"/>
    <cellStyle name="Normal 5 3 3 4" xfId="3471"/>
    <cellStyle name="Normal 5 3 4" xfId="6597"/>
    <cellStyle name="Normal 5 3 5" xfId="4513"/>
    <cellStyle name="Normal 5 3 6" xfId="2429"/>
    <cellStyle name="Normal 5 4" xfId="600"/>
    <cellStyle name="Normal 5 4 2" xfId="1644"/>
    <cellStyle name="Normal 5 4 2 2" xfId="7896"/>
    <cellStyle name="Normal 5 4 2 3" xfId="5812"/>
    <cellStyle name="Normal 5 4 2 4" xfId="3728"/>
    <cellStyle name="Normal 5 4 3" xfId="6854"/>
    <cellStyle name="Normal 5 4 4" xfId="4770"/>
    <cellStyle name="Normal 5 4 5" xfId="2686"/>
    <cellStyle name="Normal 5 5" xfId="1116"/>
    <cellStyle name="Normal 5 5 2" xfId="7370"/>
    <cellStyle name="Normal 5 5 3" xfId="5286"/>
    <cellStyle name="Normal 5 5 4" xfId="3202"/>
    <cellStyle name="Normal 5 6" xfId="6328"/>
    <cellStyle name="Normal 5 7" xfId="4244"/>
    <cellStyle name="Normal 5 8" xfId="2160"/>
    <cellStyle name="Normal 6" xfId="69"/>
    <cellStyle name="Normal 6 2" xfId="356"/>
    <cellStyle name="Normal 6 2 2" xfId="870"/>
    <cellStyle name="Normal 6 2 2 2" xfId="1914"/>
    <cellStyle name="Normal 6 2 2 2 2" xfId="8166"/>
    <cellStyle name="Normal 6 2 2 2 3" xfId="6082"/>
    <cellStyle name="Normal 6 2 2 2 4" xfId="3998"/>
    <cellStyle name="Normal 6 2 2 3" xfId="7124"/>
    <cellStyle name="Normal 6 2 2 4" xfId="5040"/>
    <cellStyle name="Normal 6 2 2 5" xfId="2956"/>
    <cellStyle name="Normal 6 2 3" xfId="1400"/>
    <cellStyle name="Normal 6 2 3 2" xfId="7652"/>
    <cellStyle name="Normal 6 2 3 3" xfId="5568"/>
    <cellStyle name="Normal 6 2 3 4" xfId="3484"/>
    <cellStyle name="Normal 6 2 4" xfId="6610"/>
    <cellStyle name="Normal 6 2 5" xfId="4526"/>
    <cellStyle name="Normal 6 2 6" xfId="2442"/>
    <cellStyle name="Normal 6 3" xfId="613"/>
    <cellStyle name="Normal 6 3 2" xfId="1657"/>
    <cellStyle name="Normal 6 3 2 2" xfId="7909"/>
    <cellStyle name="Normal 6 3 2 3" xfId="5825"/>
    <cellStyle name="Normal 6 3 2 4" xfId="3741"/>
    <cellStyle name="Normal 6 3 3" xfId="6867"/>
    <cellStyle name="Normal 6 3 4" xfId="4783"/>
    <cellStyle name="Normal 6 3 5" xfId="2699"/>
    <cellStyle name="Normal 6 4" xfId="1129"/>
    <cellStyle name="Normal 6 4 2" xfId="7383"/>
    <cellStyle name="Normal 6 4 3" xfId="5299"/>
    <cellStyle name="Normal 6 4 4" xfId="3215"/>
    <cellStyle name="Normal 6 5" xfId="6341"/>
    <cellStyle name="Normal 6 6" xfId="4257"/>
    <cellStyle name="Normal 6 7" xfId="2173"/>
    <cellStyle name="Note" xfId="16" builtinId="10" customBuiltin="1"/>
    <cellStyle name="Output" xfId="11" builtinId="21" customBuiltin="1"/>
    <cellStyle name="Percent" xfId="43" builtinId="5"/>
    <cellStyle name="Percent 2" xfId="85"/>
    <cellStyle name="Percent 2 2" xfId="369"/>
    <cellStyle name="Percent 2 2 2" xfId="883"/>
    <cellStyle name="Percent 2 2 2 2" xfId="1927"/>
    <cellStyle name="Percent 2 2 2 2 2" xfId="8179"/>
    <cellStyle name="Percent 2 2 2 2 3" xfId="6095"/>
    <cellStyle name="Percent 2 2 2 2 4" xfId="4011"/>
    <cellStyle name="Percent 2 2 2 3" xfId="7137"/>
    <cellStyle name="Percent 2 2 2 4" xfId="5053"/>
    <cellStyle name="Percent 2 2 2 5" xfId="2969"/>
    <cellStyle name="Percent 2 2 3" xfId="1413"/>
    <cellStyle name="Percent 2 2 3 2" xfId="7665"/>
    <cellStyle name="Percent 2 2 3 3" xfId="5581"/>
    <cellStyle name="Percent 2 2 3 4" xfId="3497"/>
    <cellStyle name="Percent 2 2 4" xfId="6623"/>
    <cellStyle name="Percent 2 2 5" xfId="4539"/>
    <cellStyle name="Percent 2 2 6" xfId="2455"/>
    <cellStyle name="Percent 2 3" xfId="626"/>
    <cellStyle name="Percent 2 3 2" xfId="1670"/>
    <cellStyle name="Percent 2 3 2 2" xfId="7922"/>
    <cellStyle name="Percent 2 3 2 3" xfId="5838"/>
    <cellStyle name="Percent 2 3 2 4" xfId="3754"/>
    <cellStyle name="Percent 2 3 3" xfId="6880"/>
    <cellStyle name="Percent 2 3 4" xfId="4796"/>
    <cellStyle name="Percent 2 3 5" xfId="2712"/>
    <cellStyle name="Percent 2 4" xfId="1145"/>
    <cellStyle name="Percent 2 4 2" xfId="7397"/>
    <cellStyle name="Percent 2 4 3" xfId="5313"/>
    <cellStyle name="Percent 2 4 4" xfId="3229"/>
    <cellStyle name="Percent 2 5" xfId="6355"/>
    <cellStyle name="Percent 2 6" xfId="4271"/>
    <cellStyle name="Percent 2 7" xfId="2187"/>
    <cellStyle name="Percent 3" xfId="82"/>
    <cellStyle name="Percent 3 2" xfId="1142"/>
    <cellStyle name="Percent 4" xfId="71"/>
    <cellStyle name="Percent 4 2" xfId="358"/>
    <cellStyle name="Percent 4 2 2" xfId="872"/>
    <cellStyle name="Percent 4 2 2 2" xfId="1916"/>
    <cellStyle name="Percent 4 2 2 2 2" xfId="8168"/>
    <cellStyle name="Percent 4 2 2 2 3" xfId="6084"/>
    <cellStyle name="Percent 4 2 2 2 4" xfId="4000"/>
    <cellStyle name="Percent 4 2 2 3" xfId="7126"/>
    <cellStyle name="Percent 4 2 2 4" xfId="5042"/>
    <cellStyle name="Percent 4 2 2 5" xfId="2958"/>
    <cellStyle name="Percent 4 2 3" xfId="1402"/>
    <cellStyle name="Percent 4 2 3 2" xfId="7654"/>
    <cellStyle name="Percent 4 2 3 3" xfId="5570"/>
    <cellStyle name="Percent 4 2 3 4" xfId="3486"/>
    <cellStyle name="Percent 4 2 4" xfId="6612"/>
    <cellStyle name="Percent 4 2 5" xfId="4528"/>
    <cellStyle name="Percent 4 2 6" xfId="2444"/>
    <cellStyle name="Percent 4 3" xfId="615"/>
    <cellStyle name="Percent 4 3 2" xfId="1659"/>
    <cellStyle name="Percent 4 3 2 2" xfId="7911"/>
    <cellStyle name="Percent 4 3 2 3" xfId="5827"/>
    <cellStyle name="Percent 4 3 2 4" xfId="3743"/>
    <cellStyle name="Percent 4 3 3" xfId="6869"/>
    <cellStyle name="Percent 4 3 4" xfId="4785"/>
    <cellStyle name="Percent 4 3 5" xfId="2701"/>
    <cellStyle name="Percent 4 4" xfId="1131"/>
    <cellStyle name="Percent 4 4 2" xfId="7385"/>
    <cellStyle name="Percent 4 4 3" xfId="5301"/>
    <cellStyle name="Percent 4 4 4" xfId="3217"/>
    <cellStyle name="Percent 4 5" xfId="6343"/>
    <cellStyle name="Percent 4 6" xfId="4259"/>
    <cellStyle name="Percent 4 7" xfId="2175"/>
    <cellStyle name="Title" xfId="2" builtinId="15" customBuiltin="1"/>
    <cellStyle name="Total" xfId="18" builtinId="25" customBuiltin="1"/>
    <cellStyle name="Warning Text" xfId="15"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8</xdr:col>
      <xdr:colOff>1028699</xdr:colOff>
      <xdr:row>6</xdr:row>
      <xdr:rowOff>0</xdr:rowOff>
    </xdr:to>
    <xdr:pic>
      <xdr:nvPicPr>
        <xdr:cNvPr id="14" name="Picture 13"/>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10163174" cy="952500"/>
        </a:xfrm>
        <a:prstGeom prst="rect">
          <a:avLst/>
        </a:prstGeom>
      </xdr:spPr>
    </xdr:pic>
    <xdr:clientData/>
  </xdr:twoCellAnchor>
  <xdr:twoCellAnchor editAs="oneCell">
    <xdr:from>
      <xdr:col>0</xdr:col>
      <xdr:colOff>0</xdr:colOff>
      <xdr:row>136</xdr:row>
      <xdr:rowOff>28575</xdr:rowOff>
    </xdr:from>
    <xdr:to>
      <xdr:col>8</xdr:col>
      <xdr:colOff>1028699</xdr:colOff>
      <xdr:row>142</xdr:row>
      <xdr:rowOff>9525</xdr:rowOff>
    </xdr:to>
    <xdr:pic>
      <xdr:nvPicPr>
        <xdr:cNvPr id="16" name="Picture 15"/>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9279850"/>
          <a:ext cx="10163174" cy="952500"/>
        </a:xfrm>
        <a:prstGeom prst="rect">
          <a:avLst/>
        </a:prstGeom>
      </xdr:spPr>
    </xdr:pic>
    <xdr:clientData/>
  </xdr:twoCellAnchor>
  <xdr:twoCellAnchor editAs="oneCell">
    <xdr:from>
      <xdr:col>0</xdr:col>
      <xdr:colOff>0</xdr:colOff>
      <xdr:row>222</xdr:row>
      <xdr:rowOff>19049</xdr:rowOff>
    </xdr:from>
    <xdr:to>
      <xdr:col>8</xdr:col>
      <xdr:colOff>1028699</xdr:colOff>
      <xdr:row>227</xdr:row>
      <xdr:rowOff>133349</xdr:rowOff>
    </xdr:to>
    <xdr:pic>
      <xdr:nvPicPr>
        <xdr:cNvPr id="17" name="Picture 16"/>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4195999"/>
          <a:ext cx="10163174" cy="923925"/>
        </a:xfrm>
        <a:prstGeom prst="rect">
          <a:avLst/>
        </a:prstGeom>
      </xdr:spPr>
    </xdr:pic>
    <xdr:clientData/>
  </xdr:twoCellAnchor>
  <xdr:twoCellAnchor editAs="oneCell">
    <xdr:from>
      <xdr:col>0</xdr:col>
      <xdr:colOff>0</xdr:colOff>
      <xdr:row>333</xdr:row>
      <xdr:rowOff>19050</xdr:rowOff>
    </xdr:from>
    <xdr:to>
      <xdr:col>8</xdr:col>
      <xdr:colOff>1028699</xdr:colOff>
      <xdr:row>339</xdr:row>
      <xdr:rowOff>76200</xdr:rowOff>
    </xdr:to>
    <xdr:pic>
      <xdr:nvPicPr>
        <xdr:cNvPr id="18" name="Picture 17"/>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9026425"/>
          <a:ext cx="10163174" cy="952500"/>
        </a:xfrm>
        <a:prstGeom prst="rect">
          <a:avLst/>
        </a:prstGeom>
      </xdr:spPr>
    </xdr:pic>
    <xdr:clientData/>
  </xdr:twoCellAnchor>
  <xdr:twoCellAnchor editAs="oneCell">
    <xdr:from>
      <xdr:col>0</xdr:col>
      <xdr:colOff>0</xdr:colOff>
      <xdr:row>334</xdr:row>
      <xdr:rowOff>0</xdr:rowOff>
    </xdr:from>
    <xdr:to>
      <xdr:col>8</xdr:col>
      <xdr:colOff>1028699</xdr:colOff>
      <xdr:row>339</xdr:row>
      <xdr:rowOff>171450</xdr:rowOff>
    </xdr:to>
    <xdr:pic>
      <xdr:nvPicPr>
        <xdr:cNvPr id="19" name="Picture 18"/>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3885425"/>
          <a:ext cx="10163174"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jse.co.za/trade/derivative-market/currency-derivatives/reports" TargetMode="External"/><Relationship Id="rId1" Type="http://schemas.openxmlformats.org/officeDocument/2006/relationships/hyperlink" Target="https://www.jse.co.za/trade/derivative-market/equity-derivatives/report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3:N426"/>
  <sheetViews>
    <sheetView showGridLines="0" tabSelected="1" zoomScaleNormal="100" workbookViewId="0">
      <selection activeCell="K9" sqref="K9"/>
    </sheetView>
  </sheetViews>
  <sheetFormatPr defaultColWidth="9.109375" defaultRowHeight="13.2" x14ac:dyDescent="0.25"/>
  <cols>
    <col min="1" max="1" width="35" style="10" customWidth="1"/>
    <col min="2" max="2" width="14" style="10" customWidth="1"/>
    <col min="3" max="3" width="16.44140625" style="10" customWidth="1"/>
    <col min="4" max="4" width="13.33203125" style="10" customWidth="1"/>
    <col min="5" max="5" width="10.6640625" style="10" customWidth="1"/>
    <col min="6" max="6" width="15.5546875" style="10" bestFit="1" customWidth="1"/>
    <col min="7" max="8" width="16" style="10" bestFit="1" customWidth="1"/>
    <col min="9" max="9" width="15.5546875" style="10" bestFit="1" customWidth="1"/>
    <col min="10" max="10" width="18.6640625" style="10" bestFit="1" customWidth="1"/>
    <col min="11" max="11" width="18.6640625" style="177" bestFit="1" customWidth="1"/>
    <col min="12" max="12" width="17.109375" style="177" customWidth="1"/>
    <col min="13" max="16384" width="9.109375" style="10"/>
  </cols>
  <sheetData>
    <row r="3" spans="1:12" x14ac:dyDescent="0.25">
      <c r="H3" s="126">
        <v>43707</v>
      </c>
    </row>
    <row r="7" spans="1:12" x14ac:dyDescent="0.25">
      <c r="A7" s="107" t="str">
        <f>"Market Profile - "&amp; TEXT($H$3,"MMM")&amp;" "&amp;TEXT($H$3,"YYYY")</f>
        <v>Market Profile - Aug 2019</v>
      </c>
    </row>
    <row r="8" spans="1:12" x14ac:dyDescent="0.25">
      <c r="A8" s="107"/>
      <c r="G8" s="377" t="s">
        <v>192</v>
      </c>
      <c r="H8" s="377"/>
      <c r="I8" s="377"/>
    </row>
    <row r="9" spans="1:12" x14ac:dyDescent="0.25">
      <c r="A9" s="107"/>
      <c r="G9" s="377"/>
      <c r="H9" s="377"/>
      <c r="I9" s="377"/>
    </row>
    <row r="10" spans="1:12" x14ac:dyDescent="0.25">
      <c r="A10" s="107"/>
    </row>
    <row r="11" spans="1:12" x14ac:dyDescent="0.25">
      <c r="K11" s="173"/>
    </row>
    <row r="12" spans="1:12" s="107" customFormat="1" ht="12.75" customHeight="1" thickBot="1" x14ac:dyDescent="0.3">
      <c r="A12" s="116" t="s">
        <v>0</v>
      </c>
      <c r="B12" s="117"/>
      <c r="C12" s="117"/>
      <c r="D12" s="117"/>
      <c r="E12" s="117"/>
      <c r="F12" s="117"/>
      <c r="G12" s="117"/>
      <c r="H12" s="117"/>
      <c r="I12" s="117"/>
      <c r="K12" s="171"/>
      <c r="L12" s="171"/>
    </row>
    <row r="13" spans="1:12" s="107" customFormat="1" ht="12.75" customHeight="1" x14ac:dyDescent="0.25">
      <c r="A13" s="391" t="s">
        <v>160</v>
      </c>
      <c r="B13" s="276" t="s">
        <v>1</v>
      </c>
      <c r="C13" s="276" t="s">
        <v>172</v>
      </c>
      <c r="D13" s="276" t="s">
        <v>172</v>
      </c>
      <c r="E13" s="276" t="s">
        <v>2</v>
      </c>
      <c r="F13" s="276"/>
      <c r="G13" s="276"/>
      <c r="H13" s="276"/>
      <c r="I13" s="277"/>
      <c r="K13" s="171"/>
      <c r="L13" s="171"/>
    </row>
    <row r="14" spans="1:12" s="107" customFormat="1" ht="12.75" customHeight="1" x14ac:dyDescent="0.25">
      <c r="A14" s="391"/>
      <c r="B14" s="276" t="s">
        <v>3</v>
      </c>
      <c r="C14" s="276" t="s">
        <v>4</v>
      </c>
      <c r="D14" s="276" t="s">
        <v>4</v>
      </c>
      <c r="E14" s="276" t="s">
        <v>5</v>
      </c>
      <c r="F14" s="276"/>
      <c r="G14" s="276"/>
      <c r="H14" s="276"/>
      <c r="I14" s="277"/>
      <c r="K14" s="171"/>
      <c r="L14" s="171"/>
    </row>
    <row r="15" spans="1:12" s="107" customFormat="1" ht="12.75" customHeight="1" thickBot="1" x14ac:dyDescent="0.3">
      <c r="A15" s="392"/>
      <c r="B15" s="278" t="str">
        <f>TEXT($H$3,"MMM")&amp;" "&amp;TEXT($H$3,"YYYY")</f>
        <v>Aug 2019</v>
      </c>
      <c r="C15" s="278" t="str">
        <f>TEXT($H$3,"YYYY")</f>
        <v>2019</v>
      </c>
      <c r="D15" s="279">
        <f>TEXT($H$3,"YYYY")-1</f>
        <v>2018</v>
      </c>
      <c r="E15" s="280" t="s">
        <v>6</v>
      </c>
      <c r="F15" s="281">
        <f>TEXT($H$3,"YYYY")-1</f>
        <v>2018</v>
      </c>
      <c r="G15" s="281">
        <f>TEXT($H$3,"YYYY")-2</f>
        <v>2017</v>
      </c>
      <c r="H15" s="281">
        <f>TEXT($H$3,"YYYY")-3</f>
        <v>2016</v>
      </c>
      <c r="I15" s="281">
        <f>TEXT($H$3,"YYYY")-4</f>
        <v>2015</v>
      </c>
      <c r="J15" s="16"/>
      <c r="K15" s="171"/>
      <c r="L15" s="171"/>
    </row>
    <row r="16" spans="1:12" ht="12.75" customHeight="1" x14ac:dyDescent="0.25">
      <c r="A16" s="244" t="s">
        <v>116</v>
      </c>
      <c r="B16" s="127">
        <f>Data!D2</f>
        <v>6856118</v>
      </c>
      <c r="C16" s="127">
        <f>Data!D5</f>
        <v>48411098</v>
      </c>
      <c r="D16" s="245">
        <f>Data!D8</f>
        <v>44285230</v>
      </c>
      <c r="E16" s="282">
        <f>(C16-D16)/ABS(D16)</f>
        <v>9.3165780103208223E-2</v>
      </c>
      <c r="F16" s="358">
        <v>70356164</v>
      </c>
      <c r="G16" s="358">
        <v>67786095</v>
      </c>
      <c r="H16" s="358">
        <v>71179762</v>
      </c>
      <c r="I16" s="358">
        <v>61894253</v>
      </c>
      <c r="J16" s="3"/>
      <c r="K16" s="170"/>
      <c r="L16" s="170"/>
    </row>
    <row r="17" spans="1:12" ht="12.75" customHeight="1" x14ac:dyDescent="0.25">
      <c r="A17" s="244" t="s">
        <v>117</v>
      </c>
      <c r="B17" s="127">
        <f>Data!B2/1000000</f>
        <v>7466.3510509999996</v>
      </c>
      <c r="C17" s="127">
        <f>Data!B5/1000000</f>
        <v>51002.324582000001</v>
      </c>
      <c r="D17" s="245">
        <f>Data!B8/1000000</f>
        <v>57955.591972000002</v>
      </c>
      <c r="E17" s="282">
        <f t="shared" ref="E17:E18" si="0">(C17-D17)/ABS(D17)</f>
        <v>-0.11997578065218145</v>
      </c>
      <c r="F17" s="358">
        <v>91717</v>
      </c>
      <c r="G17" s="358">
        <v>85958</v>
      </c>
      <c r="H17" s="358">
        <v>79501</v>
      </c>
      <c r="I17" s="358">
        <v>74406</v>
      </c>
      <c r="J17" s="3"/>
      <c r="K17" s="170"/>
      <c r="L17" s="170"/>
    </row>
    <row r="18" spans="1:12" ht="12.75" customHeight="1" x14ac:dyDescent="0.25">
      <c r="A18" s="244" t="s">
        <v>118</v>
      </c>
      <c r="B18" s="127">
        <f>Data!C2/1000000</f>
        <v>452717.42217415996</v>
      </c>
      <c r="C18" s="127">
        <f>Data!C5/1000000</f>
        <v>3280819.7519509168</v>
      </c>
      <c r="D18" s="245">
        <f>Data!C8/1000000</f>
        <v>3763010.9948245711</v>
      </c>
      <c r="E18" s="282">
        <f t="shared" si="0"/>
        <v>-0.1281397379749441</v>
      </c>
      <c r="F18" s="358">
        <v>5537665</v>
      </c>
      <c r="G18" s="358">
        <v>5479433</v>
      </c>
      <c r="H18" s="358">
        <v>5892768</v>
      </c>
      <c r="I18" s="358">
        <v>5015419</v>
      </c>
      <c r="J18" s="3"/>
      <c r="K18" s="173"/>
      <c r="L18" s="170"/>
    </row>
    <row r="19" spans="1:12" ht="12.75" customHeight="1" x14ac:dyDescent="0.25">
      <c r="A19" s="244"/>
      <c r="B19" s="201"/>
      <c r="C19" s="127"/>
      <c r="D19" s="245"/>
      <c r="E19" s="244"/>
      <c r="F19" s="358"/>
      <c r="G19" s="358"/>
      <c r="H19" s="358"/>
      <c r="I19" s="358"/>
      <c r="J19" s="3"/>
      <c r="K19" s="170"/>
      <c r="L19" s="170"/>
    </row>
    <row r="20" spans="1:12" s="107" customFormat="1" ht="12.75" customHeight="1" x14ac:dyDescent="0.25">
      <c r="A20" s="284" t="s">
        <v>161</v>
      </c>
      <c r="B20" s="199"/>
      <c r="C20" s="199"/>
      <c r="D20" s="246"/>
      <c r="E20" s="244"/>
      <c r="F20" s="358"/>
      <c r="G20" s="358"/>
      <c r="H20" s="364"/>
      <c r="I20" s="364"/>
      <c r="J20" s="3"/>
      <c r="K20" s="170"/>
      <c r="L20" s="170"/>
    </row>
    <row r="21" spans="1:12" ht="12.75" customHeight="1" x14ac:dyDescent="0.25">
      <c r="A21" s="244" t="s">
        <v>116</v>
      </c>
      <c r="B21" s="127">
        <f>Data!F2</f>
        <v>1256</v>
      </c>
      <c r="C21" s="127">
        <f>Data!F5</f>
        <v>9140</v>
      </c>
      <c r="D21" s="245">
        <f>Data!F8</f>
        <v>17244</v>
      </c>
      <c r="E21" s="282">
        <f>(C21-D21)/ABS(D21)</f>
        <v>-0.4699605659939689</v>
      </c>
      <c r="F21" s="358">
        <v>21951</v>
      </c>
      <c r="G21" s="358">
        <v>36150</v>
      </c>
      <c r="H21" s="358">
        <v>38735</v>
      </c>
      <c r="I21" s="358">
        <v>30897</v>
      </c>
      <c r="J21" s="3"/>
      <c r="K21" s="170"/>
      <c r="L21" s="170"/>
    </row>
    <row r="22" spans="1:12" ht="12.75" customHeight="1" x14ac:dyDescent="0.25">
      <c r="A22" s="244" t="s">
        <v>117</v>
      </c>
      <c r="B22" s="127">
        <f>Data!G2/1000000</f>
        <v>893.49310200000002</v>
      </c>
      <c r="C22" s="127">
        <f>Data!G5/1000000</f>
        <v>4614.3648640000001</v>
      </c>
      <c r="D22" s="245">
        <f>Data!G8/1000000</f>
        <v>5809.2851819999996</v>
      </c>
      <c r="E22" s="282">
        <f t="shared" ref="E22:E23" si="1">(C22-D22)/ABS(D22)</f>
        <v>-0.20569145438107356</v>
      </c>
      <c r="F22" s="358">
        <v>8350</v>
      </c>
      <c r="G22" s="358">
        <v>10343</v>
      </c>
      <c r="H22" s="358">
        <v>6935</v>
      </c>
      <c r="I22" s="358">
        <v>7273</v>
      </c>
      <c r="J22" s="3"/>
      <c r="K22" s="170"/>
      <c r="L22" s="170"/>
    </row>
    <row r="23" spans="1:12" ht="12.75" customHeight="1" thickBot="1" x14ac:dyDescent="0.3">
      <c r="A23" s="285" t="s">
        <v>118</v>
      </c>
      <c r="B23" s="128">
        <f>Data!H2/1000000</f>
        <v>25916.021300889985</v>
      </c>
      <c r="C23" s="128">
        <f>Data!H5/1000000</f>
        <v>160738.90289321227</v>
      </c>
      <c r="D23" s="286">
        <f>Data!H8/1000000</f>
        <v>252376.83691047641</v>
      </c>
      <c r="E23" s="287">
        <f t="shared" si="1"/>
        <v>-0.36309962173656263</v>
      </c>
      <c r="F23" s="359">
        <v>328909</v>
      </c>
      <c r="G23" s="359">
        <v>417329</v>
      </c>
      <c r="H23" s="359">
        <v>379199</v>
      </c>
      <c r="I23" s="359">
        <v>336258</v>
      </c>
    </row>
    <row r="24" spans="1:12" ht="12.75" customHeight="1" thickTop="1" x14ac:dyDescent="0.25">
      <c r="B24" s="3"/>
      <c r="C24" s="3"/>
      <c r="D24" s="3"/>
      <c r="E24" s="3"/>
      <c r="F24" s="27"/>
      <c r="G24" s="27"/>
      <c r="H24" s="27"/>
      <c r="I24" s="27"/>
    </row>
    <row r="25" spans="1:12" s="107" customFormat="1" ht="12.75" customHeight="1" thickBot="1" x14ac:dyDescent="0.3">
      <c r="A25" s="116" t="s">
        <v>7</v>
      </c>
      <c r="B25" s="117"/>
      <c r="C25" s="117"/>
      <c r="D25" s="117"/>
      <c r="E25" s="117"/>
      <c r="F25" s="117"/>
      <c r="G25" s="118"/>
      <c r="H25" s="117"/>
      <c r="I25" s="117"/>
      <c r="K25" s="171"/>
      <c r="L25" s="171"/>
    </row>
    <row r="26" spans="1:12" s="107" customFormat="1" ht="12.75" customHeight="1" x14ac:dyDescent="0.25">
      <c r="A26" s="277"/>
      <c r="B26" s="276" t="s">
        <v>1</v>
      </c>
      <c r="C26" s="276" t="s">
        <v>172</v>
      </c>
      <c r="D26" s="276" t="s">
        <v>172</v>
      </c>
      <c r="E26" s="276" t="s">
        <v>8</v>
      </c>
      <c r="F26" s="276"/>
      <c r="G26" s="288"/>
      <c r="H26" s="277"/>
      <c r="I26" s="277"/>
      <c r="K26" s="171"/>
      <c r="L26" s="171"/>
    </row>
    <row r="27" spans="1:12" s="107" customFormat="1" ht="12.75" customHeight="1" x14ac:dyDescent="0.25">
      <c r="A27" s="289"/>
      <c r="B27" s="276" t="s">
        <v>3</v>
      </c>
      <c r="C27" s="276" t="s">
        <v>4</v>
      </c>
      <c r="D27" s="276" t="s">
        <v>4</v>
      </c>
      <c r="E27" s="276" t="s">
        <v>9</v>
      </c>
      <c r="F27" s="276"/>
      <c r="G27" s="276"/>
      <c r="H27" s="276"/>
      <c r="I27" s="277"/>
      <c r="K27" s="171"/>
      <c r="L27" s="171"/>
    </row>
    <row r="28" spans="1:12" s="107" customFormat="1" ht="12.75" customHeight="1" thickBot="1" x14ac:dyDescent="0.3">
      <c r="A28" s="290"/>
      <c r="B28" s="278" t="str">
        <f>TEXT($H$3,"MMM")&amp;" "&amp;TEXT($H$3,"YYYY")</f>
        <v>Aug 2019</v>
      </c>
      <c r="C28" s="278" t="str">
        <f>$C$15</f>
        <v>2019</v>
      </c>
      <c r="D28" s="278">
        <f>$D$15</f>
        <v>2018</v>
      </c>
      <c r="E28" s="280" t="s">
        <v>6</v>
      </c>
      <c r="F28" s="280">
        <f>$F$15</f>
        <v>2018</v>
      </c>
      <c r="G28" s="290">
        <f>$G$15</f>
        <v>2017</v>
      </c>
      <c r="H28" s="290">
        <f>$H$15</f>
        <v>2016</v>
      </c>
      <c r="I28" s="290">
        <f>$I$15</f>
        <v>2015</v>
      </c>
      <c r="K28" s="171"/>
      <c r="L28" s="171"/>
    </row>
    <row r="29" spans="1:12" ht="12.75" customHeight="1" x14ac:dyDescent="0.25">
      <c r="A29" s="244" t="s">
        <v>10</v>
      </c>
      <c r="B29" s="245">
        <f>Data!O2/1000000</f>
        <v>70966.744163350013</v>
      </c>
      <c r="C29" s="245">
        <f>Data!O5/1000000</f>
        <v>600583.57024226</v>
      </c>
      <c r="D29" s="245">
        <f>Data!O8/1000000</f>
        <v>767924.38668644999</v>
      </c>
      <c r="E29" s="193">
        <f>C29-D29</f>
        <v>-167340.81644418999</v>
      </c>
      <c r="F29" s="355">
        <v>1074516</v>
      </c>
      <c r="G29" s="355">
        <v>992119</v>
      </c>
      <c r="H29" s="291">
        <v>1010947</v>
      </c>
      <c r="I29" s="291">
        <v>969468</v>
      </c>
      <c r="J29" s="129"/>
    </row>
    <row r="30" spans="1:12" ht="12.75" customHeight="1" x14ac:dyDescent="0.25">
      <c r="A30" s="244" t="s">
        <v>11</v>
      </c>
      <c r="B30" s="245">
        <f>Data!P2/1000000</f>
        <v>-92858.119928979999</v>
      </c>
      <c r="C30" s="245">
        <f>Data!P5/1000000</f>
        <v>-664105.55905268993</v>
      </c>
      <c r="D30" s="245">
        <f>Data!P8/1000000</f>
        <v>-767492.55209681008</v>
      </c>
      <c r="E30" s="193">
        <f>C30-D30</f>
        <v>103386.99304412014</v>
      </c>
      <c r="F30" s="355">
        <v>-1127559</v>
      </c>
      <c r="G30" s="355">
        <v>-1039685</v>
      </c>
      <c r="H30" s="291">
        <v>-1134812</v>
      </c>
      <c r="I30" s="291">
        <v>-970485</v>
      </c>
      <c r="J30" s="129"/>
    </row>
    <row r="31" spans="1:12" s="107" customFormat="1" ht="12.75" customHeight="1" thickBot="1" x14ac:dyDescent="0.3">
      <c r="A31" s="292" t="s">
        <v>12</v>
      </c>
      <c r="B31" s="293">
        <f>Data!Q2/1000000</f>
        <v>-21891.37576563</v>
      </c>
      <c r="C31" s="293">
        <f>Data!Q5/1000000</f>
        <v>-63521.988810429997</v>
      </c>
      <c r="D31" s="293">
        <f>Data!Q8/1000000</f>
        <v>431.83458963999999</v>
      </c>
      <c r="E31" s="294">
        <f>C31-D31</f>
        <v>-63953.823400069996</v>
      </c>
      <c r="F31" s="360">
        <v>-53042</v>
      </c>
      <c r="G31" s="360">
        <v>-47566</v>
      </c>
      <c r="H31" s="360">
        <v>-123865</v>
      </c>
      <c r="I31" s="360">
        <v>-1017</v>
      </c>
      <c r="J31" s="129"/>
      <c r="K31" s="171"/>
      <c r="L31" s="171"/>
    </row>
    <row r="32" spans="1:12" ht="12.75" customHeight="1" thickTop="1" x14ac:dyDescent="0.25">
      <c r="B32" s="27"/>
      <c r="C32" s="27"/>
      <c r="D32" s="27"/>
      <c r="E32" s="27"/>
      <c r="F32" s="27"/>
      <c r="G32" s="27"/>
      <c r="H32" s="27"/>
      <c r="I32" s="27"/>
      <c r="J32" s="129"/>
    </row>
    <row r="33" spans="1:14" ht="12.75" customHeight="1" thickBot="1" x14ac:dyDescent="0.3">
      <c r="A33" s="123" t="s">
        <v>156</v>
      </c>
      <c r="B33" s="119"/>
      <c r="C33" s="119"/>
      <c r="D33" s="119"/>
      <c r="E33" s="119"/>
      <c r="F33" s="119"/>
      <c r="G33" s="118"/>
      <c r="H33" s="119"/>
      <c r="I33" s="119"/>
    </row>
    <row r="34" spans="1:14" s="107" customFormat="1" ht="12.75" customHeight="1" x14ac:dyDescent="0.25">
      <c r="A34" s="295"/>
      <c r="B34" s="276" t="s">
        <v>1</v>
      </c>
      <c r="C34" s="276" t="s">
        <v>172</v>
      </c>
      <c r="D34" s="276" t="s">
        <v>172</v>
      </c>
      <c r="E34" s="296" t="s">
        <v>2</v>
      </c>
      <c r="F34" s="296"/>
      <c r="G34" s="288"/>
      <c r="H34" s="296"/>
      <c r="I34" s="295"/>
      <c r="K34" s="170"/>
      <c r="L34" s="171"/>
    </row>
    <row r="35" spans="1:14" s="107" customFormat="1" ht="12.75" customHeight="1" x14ac:dyDescent="0.25">
      <c r="A35" s="295"/>
      <c r="B35" s="276" t="s">
        <v>3</v>
      </c>
      <c r="C35" s="276" t="s">
        <v>4</v>
      </c>
      <c r="D35" s="276" t="s">
        <v>4</v>
      </c>
      <c r="E35" s="296" t="s">
        <v>5</v>
      </c>
      <c r="F35" s="276"/>
      <c r="G35" s="288"/>
      <c r="H35" s="296"/>
      <c r="I35" s="295"/>
      <c r="K35" s="170"/>
      <c r="L35" s="171"/>
    </row>
    <row r="36" spans="1:14" s="107" customFormat="1" ht="12.75" customHeight="1" thickBot="1" x14ac:dyDescent="0.3">
      <c r="A36" s="297"/>
      <c r="B36" s="278" t="str">
        <f>TEXT($H$3,"MMM")&amp;" "&amp;TEXT($H$3,"YYYY")</f>
        <v>Aug 2019</v>
      </c>
      <c r="C36" s="278" t="str">
        <f>$C$15</f>
        <v>2019</v>
      </c>
      <c r="D36" s="278">
        <f>$D$15</f>
        <v>2018</v>
      </c>
      <c r="E36" s="280" t="s">
        <v>6</v>
      </c>
      <c r="F36" s="280">
        <f>$F$15</f>
        <v>2018</v>
      </c>
      <c r="G36" s="290">
        <f>$G$15</f>
        <v>2017</v>
      </c>
      <c r="H36" s="290">
        <f>$H$15</f>
        <v>2016</v>
      </c>
      <c r="I36" s="290">
        <f>$I$15</f>
        <v>2015</v>
      </c>
      <c r="K36" s="172"/>
      <c r="L36" s="177"/>
    </row>
    <row r="37" spans="1:14" ht="12.75" customHeight="1" x14ac:dyDescent="0.25">
      <c r="A37" s="298" t="s">
        <v>145</v>
      </c>
      <c r="B37" s="299"/>
      <c r="C37" s="299"/>
      <c r="D37" s="299"/>
      <c r="E37" s="298"/>
      <c r="F37" s="298"/>
      <c r="G37" s="283"/>
      <c r="H37" s="298"/>
      <c r="I37" s="298"/>
      <c r="K37" s="170"/>
      <c r="M37" s="19"/>
      <c r="N37" s="19"/>
    </row>
    <row r="38" spans="1:14" ht="12.75" customHeight="1" x14ac:dyDescent="0.25">
      <c r="A38" s="300" t="s">
        <v>116</v>
      </c>
      <c r="B38" s="283">
        <f>Data!CK1</f>
        <v>23894</v>
      </c>
      <c r="C38" s="283">
        <f>Data!CK6</f>
        <v>197942</v>
      </c>
      <c r="D38" s="283">
        <f>Data!CK11</f>
        <v>210608</v>
      </c>
      <c r="E38" s="282">
        <f t="shared" ref="E38:E40" si="2">IFERROR(IF(OR(AND(D38="",C38=""),AND(D38=0,C38=0)),"",
IF(OR(D38="",D38=0),1,
IF(OR(D38&lt;&gt;"",D38&lt;&gt;0),(C38-D38)/ABS(D38)))),-1)</f>
        <v>-6.0140165615741092E-2</v>
      </c>
      <c r="F38" s="358">
        <v>302385</v>
      </c>
      <c r="G38" s="358">
        <v>291730</v>
      </c>
      <c r="H38" s="358">
        <v>283127</v>
      </c>
      <c r="I38" s="358">
        <v>290607</v>
      </c>
      <c r="J38" s="29"/>
      <c r="K38" s="170"/>
      <c r="M38" s="19"/>
      <c r="N38" s="19"/>
    </row>
    <row r="39" spans="1:14" ht="12.75" customHeight="1" x14ac:dyDescent="0.25">
      <c r="A39" s="300" t="s">
        <v>146</v>
      </c>
      <c r="B39" s="283">
        <f>Data!CK2/1000000</f>
        <v>873776.81761699996</v>
      </c>
      <c r="C39" s="283">
        <f>Data!CK7/1000000</f>
        <v>6931484.4131779997</v>
      </c>
      <c r="D39" s="283">
        <f>Data!CK12/1000000</f>
        <v>6320825.1601029998</v>
      </c>
      <c r="E39" s="282">
        <f t="shared" si="2"/>
        <v>9.6610685726521345E-2</v>
      </c>
      <c r="F39" s="358">
        <v>9185860</v>
      </c>
      <c r="G39" s="358">
        <v>7876304</v>
      </c>
      <c r="H39" s="358">
        <v>7321629</v>
      </c>
      <c r="I39" s="358">
        <v>6653964</v>
      </c>
      <c r="J39" s="27"/>
      <c r="K39" s="170"/>
    </row>
    <row r="40" spans="1:14" ht="12.75" customHeight="1" x14ac:dyDescent="0.25">
      <c r="A40" s="300" t="s">
        <v>147</v>
      </c>
      <c r="B40" s="283">
        <f>Data!CK3/1000000</f>
        <v>872615.35569283785</v>
      </c>
      <c r="C40" s="283">
        <f>Data!CK8/1000000</f>
        <v>6977808.9700471833</v>
      </c>
      <c r="D40" s="283">
        <f>Data!CK13/1000000</f>
        <v>6572648.6844442831</v>
      </c>
      <c r="E40" s="282">
        <f t="shared" si="2"/>
        <v>6.1643380782211467E-2</v>
      </c>
      <c r="F40" s="358">
        <v>9451509</v>
      </c>
      <c r="G40" s="358">
        <v>8198143</v>
      </c>
      <c r="H40" s="358">
        <v>7580050</v>
      </c>
      <c r="I40" s="358">
        <v>7166248</v>
      </c>
      <c r="J40" s="29"/>
      <c r="L40" s="175"/>
    </row>
    <row r="41" spans="1:14" ht="12.75" customHeight="1" x14ac:dyDescent="0.25">
      <c r="A41" s="300"/>
      <c r="B41" s="245"/>
      <c r="C41" s="301"/>
      <c r="D41" s="301"/>
      <c r="E41" s="182"/>
      <c r="F41" s="358"/>
      <c r="G41" s="358"/>
      <c r="H41" s="358"/>
      <c r="I41" s="301"/>
      <c r="M41" s="19"/>
      <c r="N41" s="19"/>
    </row>
    <row r="42" spans="1:14" s="107" customFormat="1" ht="12.75" customHeight="1" x14ac:dyDescent="0.25">
      <c r="A42" s="298" t="s">
        <v>148</v>
      </c>
      <c r="B42" s="283"/>
      <c r="C42" s="283"/>
      <c r="D42" s="283"/>
      <c r="E42" s="182"/>
      <c r="F42" s="358"/>
      <c r="G42" s="358"/>
      <c r="H42" s="302"/>
      <c r="I42" s="302"/>
      <c r="K42" s="171"/>
      <c r="L42" s="171"/>
      <c r="M42" s="16"/>
      <c r="N42" s="16"/>
    </row>
    <row r="43" spans="1:14" ht="12.75" customHeight="1" x14ac:dyDescent="0.25">
      <c r="A43" s="300" t="s">
        <v>116</v>
      </c>
      <c r="B43" s="283">
        <f>Data!CN1</f>
        <v>14375</v>
      </c>
      <c r="C43" s="283">
        <f>Data!CN6</f>
        <v>121845</v>
      </c>
      <c r="D43" s="283">
        <f>Data!CN11</f>
        <v>106400</v>
      </c>
      <c r="E43" s="282">
        <f t="shared" ref="E43:E45" si="3">IFERROR(IF(OR(AND(D43="",C43=""),AND(D43=0,C43=0)),"",
IF(OR(D43="",D43=0),1,
IF(OR(D43&lt;&gt;"",D43&lt;&gt;0),(C43-D43)/ABS(D43)))),-1)</f>
        <v>0.14515977443609024</v>
      </c>
      <c r="F43" s="358">
        <v>161055</v>
      </c>
      <c r="G43" s="358">
        <v>153015</v>
      </c>
      <c r="H43" s="358">
        <v>170507</v>
      </c>
      <c r="I43" s="358">
        <v>157998</v>
      </c>
      <c r="J43" s="27"/>
      <c r="L43" s="171"/>
      <c r="M43" s="19"/>
      <c r="N43" s="19"/>
    </row>
    <row r="44" spans="1:14" ht="12.75" customHeight="1" x14ac:dyDescent="0.25">
      <c r="A44" s="300" t="s">
        <v>149</v>
      </c>
      <c r="B44" s="283">
        <f>Data!CN2/1000000</f>
        <v>2166197.5634019999</v>
      </c>
      <c r="C44" s="283">
        <f>Data!CN7/1000000</f>
        <v>17802651.084453002</v>
      </c>
      <c r="D44" s="283">
        <f>Data!CN12/1000000</f>
        <v>13752346.276145</v>
      </c>
      <c r="E44" s="282">
        <f t="shared" si="3"/>
        <v>0.29451736648994314</v>
      </c>
      <c r="F44" s="358">
        <v>20951365</v>
      </c>
      <c r="G44" s="358">
        <v>19085335</v>
      </c>
      <c r="H44" s="358">
        <v>19586029</v>
      </c>
      <c r="I44" s="358">
        <v>15650220</v>
      </c>
      <c r="J44" s="29"/>
      <c r="L44" s="171"/>
    </row>
    <row r="45" spans="1:14" ht="12.75" customHeight="1" x14ac:dyDescent="0.25">
      <c r="A45" s="300" t="s">
        <v>147</v>
      </c>
      <c r="B45" s="283">
        <f>Data!CN3/1000000</f>
        <v>2137166.7948829285</v>
      </c>
      <c r="C45" s="283">
        <f>Data!CN8/1000000</f>
        <v>17510529.005653184</v>
      </c>
      <c r="D45" s="283">
        <f>Data!CN13/1000000</f>
        <v>13617306.746951748</v>
      </c>
      <c r="E45" s="282">
        <f t="shared" si="3"/>
        <v>0.28590251589749488</v>
      </c>
      <c r="F45" s="358">
        <v>20334924</v>
      </c>
      <c r="G45" s="358">
        <v>18571364</v>
      </c>
      <c r="H45" s="358">
        <v>19133372</v>
      </c>
      <c r="I45" s="358">
        <v>16112281</v>
      </c>
      <c r="J45" s="29"/>
      <c r="L45" s="171"/>
    </row>
    <row r="46" spans="1:14" ht="12.75" customHeight="1" x14ac:dyDescent="0.25">
      <c r="A46" s="300"/>
      <c r="B46" s="245"/>
      <c r="C46" s="301"/>
      <c r="D46" s="301"/>
      <c r="E46" s="182"/>
      <c r="F46" s="358"/>
      <c r="G46" s="358"/>
      <c r="H46" s="358"/>
      <c r="I46" s="358"/>
      <c r="L46" s="171"/>
    </row>
    <row r="47" spans="1:14" ht="12.75" customHeight="1" x14ac:dyDescent="0.25">
      <c r="A47" s="303" t="s">
        <v>155</v>
      </c>
      <c r="B47" s="245"/>
      <c r="C47" s="301"/>
      <c r="D47" s="301"/>
      <c r="E47" s="182"/>
      <c r="F47" s="358"/>
      <c r="G47" s="358"/>
      <c r="H47" s="358"/>
      <c r="I47" s="358"/>
      <c r="J47" s="27"/>
      <c r="L47" s="171"/>
    </row>
    <row r="48" spans="1:14" s="107" customFormat="1" ht="12.75" customHeight="1" x14ac:dyDescent="0.25">
      <c r="A48" s="300" t="s">
        <v>116</v>
      </c>
      <c r="B48" s="127">
        <f>Data!CQ1</f>
        <v>867</v>
      </c>
      <c r="C48" s="127">
        <f>Data!CQ6</f>
        <v>6323</v>
      </c>
      <c r="D48" s="245">
        <f>Data!CQ11</f>
        <v>5624</v>
      </c>
      <c r="E48" s="282">
        <f t="shared" ref="E48:E50" si="4">IFERROR(IF(OR(AND(D48="",C48=""),AND(D48=0,C48=0)),"",
IF(OR(D48="",D48=0),1,
IF(OR(D48&lt;&gt;"",D48&lt;&gt;0),(C48-D48)/ABS(D48)))),-1)</f>
        <v>0.12428876244665718</v>
      </c>
      <c r="F48" s="358">
        <v>8603</v>
      </c>
      <c r="G48" s="358">
        <v>8729</v>
      </c>
      <c r="H48" s="358">
        <v>7665</v>
      </c>
      <c r="I48" s="358">
        <v>5572</v>
      </c>
      <c r="J48" s="27"/>
      <c r="K48" s="171"/>
      <c r="L48" s="175"/>
    </row>
    <row r="49" spans="1:12" s="107" customFormat="1" ht="12.75" customHeight="1" x14ac:dyDescent="0.25">
      <c r="A49" s="300" t="s">
        <v>149</v>
      </c>
      <c r="B49" s="127">
        <f>Data!CQ2/1000000</f>
        <v>64620.635843999997</v>
      </c>
      <c r="C49" s="127">
        <f>Data!CQ7/1000000</f>
        <v>473972.31542699999</v>
      </c>
      <c r="D49" s="245">
        <f>Data!CQ12/1000000</f>
        <v>402063.09574100003</v>
      </c>
      <c r="E49" s="282">
        <f t="shared" si="4"/>
        <v>0.17885058451701885</v>
      </c>
      <c r="F49" s="358">
        <v>658610</v>
      </c>
      <c r="G49" s="358">
        <v>737277</v>
      </c>
      <c r="H49" s="358">
        <v>747909</v>
      </c>
      <c r="I49" s="358">
        <v>434632</v>
      </c>
      <c r="J49" s="32"/>
      <c r="K49" s="171"/>
      <c r="L49" s="175"/>
    </row>
    <row r="50" spans="1:12" s="107" customFormat="1" ht="12.75" customHeight="1" thickBot="1" x14ac:dyDescent="0.3">
      <c r="A50" s="304" t="s">
        <v>147</v>
      </c>
      <c r="B50" s="128">
        <f>Data!CQ3/1000000</f>
        <v>24344.275624190002</v>
      </c>
      <c r="C50" s="128">
        <f>Data!CQ8/1000000</f>
        <v>163527.54846846001</v>
      </c>
      <c r="D50" s="286">
        <f>Data!CQ13/1000000</f>
        <v>124276.98731608002</v>
      </c>
      <c r="E50" s="287">
        <f t="shared" si="4"/>
        <v>0.31583128944502031</v>
      </c>
      <c r="F50" s="359">
        <v>206820</v>
      </c>
      <c r="G50" s="359">
        <v>305414</v>
      </c>
      <c r="H50" s="359">
        <v>370548</v>
      </c>
      <c r="I50" s="359">
        <v>240709</v>
      </c>
      <c r="J50" s="32"/>
      <c r="K50" s="16"/>
      <c r="L50" s="175"/>
    </row>
    <row r="51" spans="1:12" s="107" customFormat="1" ht="12.75" customHeight="1" thickTop="1" x14ac:dyDescent="0.25">
      <c r="A51" s="8" t="s">
        <v>150</v>
      </c>
      <c r="B51" s="130"/>
      <c r="C51" s="130"/>
      <c r="D51" s="130"/>
      <c r="E51" s="130"/>
      <c r="F51" s="32"/>
      <c r="G51" s="27"/>
      <c r="H51" s="130"/>
      <c r="I51" s="130"/>
      <c r="K51" s="171"/>
      <c r="L51" s="171"/>
    </row>
    <row r="52" spans="1:12" s="107" customFormat="1" ht="12.75" customHeight="1" x14ac:dyDescent="0.25">
      <c r="A52" s="8"/>
      <c r="B52" s="131"/>
      <c r="C52" s="131"/>
      <c r="D52" s="131"/>
      <c r="E52" s="28"/>
      <c r="F52" s="32"/>
      <c r="G52" s="27"/>
      <c r="H52" s="130"/>
      <c r="I52" s="130"/>
      <c r="K52" s="171"/>
      <c r="L52" s="171"/>
    </row>
    <row r="53" spans="1:12" ht="12.75" customHeight="1" thickBot="1" x14ac:dyDescent="0.3">
      <c r="A53" s="123" t="s">
        <v>151</v>
      </c>
      <c r="B53" s="119"/>
      <c r="C53" s="120"/>
      <c r="D53" s="119"/>
      <c r="E53" s="119"/>
      <c r="F53" s="116"/>
      <c r="G53" s="118"/>
      <c r="H53" s="119"/>
      <c r="I53" s="119"/>
      <c r="J53" s="30"/>
    </row>
    <row r="54" spans="1:12" ht="12.75" customHeight="1" x14ac:dyDescent="0.25">
      <c r="A54" s="295"/>
      <c r="B54" s="276" t="s">
        <v>1</v>
      </c>
      <c r="C54" s="276" t="s">
        <v>172</v>
      </c>
      <c r="D54" s="276" t="s">
        <v>172</v>
      </c>
      <c r="E54" s="296" t="s">
        <v>8</v>
      </c>
      <c r="F54" s="305"/>
      <c r="G54" s="288"/>
      <c r="H54" s="295"/>
      <c r="I54" s="295"/>
      <c r="J54" s="30"/>
    </row>
    <row r="55" spans="1:12" ht="12.75" customHeight="1" x14ac:dyDescent="0.25">
      <c r="A55" s="295"/>
      <c r="B55" s="276" t="s">
        <v>3</v>
      </c>
      <c r="C55" s="276" t="s">
        <v>4</v>
      </c>
      <c r="D55" s="276" t="s">
        <v>4</v>
      </c>
      <c r="E55" s="296" t="s">
        <v>9</v>
      </c>
      <c r="F55" s="305"/>
      <c r="G55" s="288"/>
      <c r="H55" s="295"/>
      <c r="I55" s="295"/>
      <c r="J55" s="30"/>
    </row>
    <row r="56" spans="1:12" ht="12.75" customHeight="1" thickBot="1" x14ac:dyDescent="0.3">
      <c r="A56" s="297"/>
      <c r="B56" s="278" t="str">
        <f>TEXT($H$3,"MMM")&amp;" "&amp;TEXT($H$3,"YYYY")</f>
        <v>Aug 2019</v>
      </c>
      <c r="C56" s="278" t="str">
        <f>$C$15</f>
        <v>2019</v>
      </c>
      <c r="D56" s="278">
        <f>$D$15</f>
        <v>2018</v>
      </c>
      <c r="E56" s="280" t="s">
        <v>6</v>
      </c>
      <c r="F56" s="280">
        <f>$F$15</f>
        <v>2018</v>
      </c>
      <c r="G56" s="290">
        <f>$G$15</f>
        <v>2017</v>
      </c>
      <c r="H56" s="290">
        <f>$H$15</f>
        <v>2016</v>
      </c>
      <c r="I56" s="290">
        <f>$I$15</f>
        <v>2015</v>
      </c>
      <c r="J56" s="107"/>
      <c r="L56" s="175"/>
    </row>
    <row r="57" spans="1:12" ht="12.75" customHeight="1" x14ac:dyDescent="0.25">
      <c r="A57" s="300" t="s">
        <v>152</v>
      </c>
      <c r="B57" s="283">
        <f>(SUMIFS(Data!$CZ$14:$CZ$25,Data!$CU$14:$CU$25,"Standard Trade")+SUMIFS(Data!$CZ$14:$CZ$25,Data!$CU$14:$CU$25,"Standard Trade (Spot)"))/1000000</f>
        <v>95637.589655999996</v>
      </c>
      <c r="C57" s="283">
        <f>(SUMIFS(Data!$CZ$1:$CZ$12,Data!$CU$1:$CU$12,"Standard Trade")+SUMIFS(Data!$CZ$1:$CZ$12,Data!$CU$1:$CU$12,"Standard Trade (Spot)"))/1000000</f>
        <v>884749.04746100004</v>
      </c>
      <c r="D57" s="283">
        <f>(SUMIFS(Data!$CZ$27:$CZ$38,Data!$CU$27:$CU$38,"Standard Trade")+SUMIFS(Data!$CZ$27:$CZ$38,Data!$CU$27:$CU$38,"Standard Trade (Spot)"))/1000000</f>
        <v>787171.37547099998</v>
      </c>
      <c r="E57" s="193">
        <f>C57-D57</f>
        <v>97577.671990000061</v>
      </c>
      <c r="F57" s="358">
        <v>1118355</v>
      </c>
      <c r="G57" s="358">
        <v>1072127</v>
      </c>
      <c r="H57" s="301">
        <v>954436</v>
      </c>
      <c r="I57" s="301">
        <v>821507</v>
      </c>
      <c r="J57" s="27"/>
      <c r="L57" s="175"/>
    </row>
    <row r="58" spans="1:12" ht="12.75" customHeight="1" x14ac:dyDescent="0.25">
      <c r="A58" s="300" t="s">
        <v>153</v>
      </c>
      <c r="B58" s="283">
        <f>(SUMIFS(Data!$DC$14:$DC$25,Data!$CU$14:$CU$25,"Standard Trade")+SUMIFS(Data!$DC$14:$DC$25,Data!$CU$14:$CU$25,"Standard Trade (Spot)"))/1000000</f>
        <v>111832.646433</v>
      </c>
      <c r="C58" s="283">
        <f>(SUMIFS(Data!$DC$1:$DC$12,Data!$CU$1:$CU$12,"Standard Trade")+SUMIFS(Data!$DC$1:$DC$12,Data!$CU$1:$CU$12,"Standard Trade (Spot)"))/1000000</f>
        <v>889121.08572099998</v>
      </c>
      <c r="D58" s="283">
        <f>(SUMIFS(Data!$DC$27:$DC$38,Data!$CU$27:$CU$38,"Standard Trade")+SUMIFS(Data!$DC$27:$DC$38,Data!$CU$27:$CU$38,"Standard Trade (Spot)"))/1000000</f>
        <v>834799.43796899996</v>
      </c>
      <c r="E58" s="193">
        <f>C58-D58</f>
        <v>54321.647752000019</v>
      </c>
      <c r="F58" s="358">
        <v>1183484</v>
      </c>
      <c r="G58" s="358">
        <v>1016544</v>
      </c>
      <c r="H58" s="301">
        <v>922129</v>
      </c>
      <c r="I58" s="301">
        <v>820729</v>
      </c>
      <c r="J58" s="27"/>
      <c r="L58" s="175"/>
    </row>
    <row r="59" spans="1:12" ht="12.75" customHeight="1" thickBot="1" x14ac:dyDescent="0.3">
      <c r="A59" s="306" t="s">
        <v>12</v>
      </c>
      <c r="B59" s="293">
        <f>B57-B58</f>
        <v>-16195.056777000005</v>
      </c>
      <c r="C59" s="293">
        <f t="shared" ref="C59" si="5">C57-C58</f>
        <v>-4372.038259999943</v>
      </c>
      <c r="D59" s="293">
        <f>D57-D58</f>
        <v>-47628.062497999985</v>
      </c>
      <c r="E59" s="293">
        <f>E57-E58</f>
        <v>43256.024238000042</v>
      </c>
      <c r="F59" s="360">
        <v>-65129</v>
      </c>
      <c r="G59" s="360">
        <v>55583</v>
      </c>
      <c r="H59" s="360">
        <v>32307</v>
      </c>
      <c r="I59" s="360">
        <v>778</v>
      </c>
      <c r="J59" s="33"/>
      <c r="L59" s="175"/>
    </row>
    <row r="60" spans="1:12" ht="12.75" customHeight="1" thickTop="1" x14ac:dyDescent="0.25">
      <c r="A60" s="9" t="s">
        <v>176</v>
      </c>
      <c r="B60" s="31"/>
      <c r="C60" s="31"/>
      <c r="D60" s="31"/>
      <c r="E60" s="31"/>
      <c r="F60" s="107"/>
      <c r="G60" s="27"/>
      <c r="H60" s="31"/>
      <c r="I60" s="31"/>
      <c r="J60" s="30"/>
    </row>
    <row r="61" spans="1:12" x14ac:dyDescent="0.25">
      <c r="B61" s="19"/>
      <c r="F61" s="24"/>
      <c r="G61" s="27"/>
    </row>
    <row r="62" spans="1:12" ht="13.8" thickBot="1" x14ac:dyDescent="0.3">
      <c r="A62" s="122" t="s">
        <v>154</v>
      </c>
      <c r="B62" s="117"/>
      <c r="C62" s="117"/>
      <c r="D62" s="117"/>
      <c r="E62" s="117"/>
      <c r="F62" s="116"/>
      <c r="G62" s="118"/>
      <c r="H62" s="117"/>
      <c r="I62" s="117"/>
    </row>
    <row r="63" spans="1:12" ht="13.8" x14ac:dyDescent="0.25">
      <c r="A63" s="295"/>
      <c r="B63" s="276" t="s">
        <v>1</v>
      </c>
      <c r="C63" s="276" t="s">
        <v>172</v>
      </c>
      <c r="D63" s="276" t="s">
        <v>172</v>
      </c>
      <c r="E63" s="296" t="s">
        <v>13</v>
      </c>
      <c r="F63" s="305"/>
      <c r="G63" s="288"/>
      <c r="H63" s="295"/>
      <c r="I63" s="295"/>
    </row>
    <row r="64" spans="1:12" ht="13.8" x14ac:dyDescent="0.25">
      <c r="A64" s="295"/>
      <c r="B64" s="276" t="s">
        <v>3</v>
      </c>
      <c r="C64" s="276" t="s">
        <v>4</v>
      </c>
      <c r="D64" s="276" t="s">
        <v>4</v>
      </c>
      <c r="E64" s="296" t="s">
        <v>9</v>
      </c>
      <c r="F64" s="305"/>
      <c r="G64" s="288"/>
      <c r="H64" s="295"/>
      <c r="I64" s="295"/>
    </row>
    <row r="65" spans="1:9" ht="14.4" thickBot="1" x14ac:dyDescent="0.3">
      <c r="A65" s="297"/>
      <c r="B65" s="278" t="str">
        <f>TEXT($H$3,"MMM")&amp;" "&amp;TEXT($H$3,"YYYY")</f>
        <v>Aug 2019</v>
      </c>
      <c r="C65" s="278" t="str">
        <f>TEXT($H$3,"YYYY")</f>
        <v>2019</v>
      </c>
      <c r="D65" s="279">
        <f>TEXT($H$3,"YYYY")-1</f>
        <v>2018</v>
      </c>
      <c r="E65" s="280" t="s">
        <v>6</v>
      </c>
      <c r="F65" s="280">
        <f>$F$15</f>
        <v>2018</v>
      </c>
      <c r="G65" s="290">
        <f>$G$15</f>
        <v>2017</v>
      </c>
      <c r="H65" s="290">
        <f>$H$15</f>
        <v>2016</v>
      </c>
      <c r="I65" s="290">
        <f>$I$15</f>
        <v>2015</v>
      </c>
    </row>
    <row r="66" spans="1:9" ht="13.8" x14ac:dyDescent="0.25">
      <c r="A66" s="284" t="s">
        <v>14</v>
      </c>
      <c r="B66" s="244"/>
      <c r="C66" s="244"/>
      <c r="D66" s="244"/>
      <c r="E66" s="244"/>
      <c r="F66" s="244"/>
      <c r="G66" s="244"/>
      <c r="H66" s="244"/>
      <c r="I66" s="244"/>
    </row>
    <row r="67" spans="1:9" ht="13.8" x14ac:dyDescent="0.25">
      <c r="A67" s="244" t="s">
        <v>116</v>
      </c>
      <c r="B67" s="127">
        <f>Data!BR20</f>
        <v>837</v>
      </c>
      <c r="C67" s="245">
        <f>Data!BR32</f>
        <v>9022</v>
      </c>
      <c r="D67" s="245">
        <f>Data!BR38</f>
        <v>9233</v>
      </c>
      <c r="E67" s="282">
        <f t="shared" ref="E67:E70" si="6">IFERROR(IF(OR(AND(D67="",C67=""),AND(D67=0,C67=0)),"",
IF(OR(D67="",D67=0),1,
IF(OR(D67&lt;&gt;"",D67&lt;&gt;0),(C67-D67)/ABS(D67)))),-1)</f>
        <v>-2.2852810570778728E-2</v>
      </c>
      <c r="F67" s="355">
        <v>12477</v>
      </c>
      <c r="G67" s="355">
        <v>12791</v>
      </c>
      <c r="H67" s="355">
        <v>14410</v>
      </c>
      <c r="I67" s="355">
        <v>9505</v>
      </c>
    </row>
    <row r="68" spans="1:9" ht="13.8" x14ac:dyDescent="0.25">
      <c r="A68" s="244" t="s">
        <v>142</v>
      </c>
      <c r="B68" s="127">
        <f>Data!BQ20</f>
        <v>550623</v>
      </c>
      <c r="C68" s="245">
        <f>Data!BQ32</f>
        <v>7730566</v>
      </c>
      <c r="D68" s="245">
        <f>Data!BQ38</f>
        <v>9038089</v>
      </c>
      <c r="E68" s="282">
        <f t="shared" si="6"/>
        <v>-0.14466808193634739</v>
      </c>
      <c r="F68" s="355">
        <v>11788350</v>
      </c>
      <c r="G68" s="355">
        <v>11946344</v>
      </c>
      <c r="H68" s="355">
        <v>9230179</v>
      </c>
      <c r="I68" s="355">
        <v>5344460</v>
      </c>
    </row>
    <row r="69" spans="1:9" ht="13.8" x14ac:dyDescent="0.25">
      <c r="A69" s="244" t="s">
        <v>118</v>
      </c>
      <c r="B69" s="127">
        <f>Data!BP20/1000000</f>
        <v>54960.067278690003</v>
      </c>
      <c r="C69" s="245">
        <f>Data!BP32/1000000</f>
        <v>851124.63051230006</v>
      </c>
      <c r="D69" s="245">
        <f>Data!BP38/1000000</f>
        <v>1003951.6484644399</v>
      </c>
      <c r="E69" s="282">
        <f t="shared" si="6"/>
        <v>-0.1522254763821457</v>
      </c>
      <c r="F69" s="355">
        <v>1282927</v>
      </c>
      <c r="G69" s="355">
        <v>1329270</v>
      </c>
      <c r="H69" s="355">
        <v>1073119</v>
      </c>
      <c r="I69" s="355">
        <v>698663</v>
      </c>
    </row>
    <row r="70" spans="1:9" ht="13.8" x14ac:dyDescent="0.25">
      <c r="A70" s="244" t="s">
        <v>141</v>
      </c>
      <c r="B70" s="127">
        <f>Data!BP26</f>
        <v>852035</v>
      </c>
      <c r="C70" s="245">
        <f>B70</f>
        <v>852035</v>
      </c>
      <c r="D70" s="245">
        <f>Data!BP44</f>
        <v>836037</v>
      </c>
      <c r="E70" s="282">
        <f t="shared" si="6"/>
        <v>1.9135516729522736E-2</v>
      </c>
      <c r="F70" s="355">
        <v>829599</v>
      </c>
      <c r="G70" s="355">
        <v>1021723</v>
      </c>
      <c r="H70" s="355">
        <v>802030</v>
      </c>
      <c r="I70" s="355">
        <v>621382</v>
      </c>
    </row>
    <row r="71" spans="1:9" ht="13.8" x14ac:dyDescent="0.25">
      <c r="A71" s="244"/>
      <c r="B71" s="127"/>
      <c r="C71" s="245"/>
      <c r="D71" s="245"/>
      <c r="E71" s="244"/>
      <c r="F71" s="355"/>
      <c r="G71" s="355"/>
      <c r="H71" s="355"/>
      <c r="I71" s="355"/>
    </row>
    <row r="72" spans="1:9" ht="13.8" x14ac:dyDescent="0.25">
      <c r="A72" s="284" t="s">
        <v>15</v>
      </c>
      <c r="B72" s="127"/>
      <c r="C72" s="245"/>
      <c r="D72" s="245"/>
      <c r="E72" s="244"/>
      <c r="F72" s="355"/>
      <c r="G72" s="355"/>
      <c r="H72" s="355"/>
      <c r="I72" s="355"/>
    </row>
    <row r="73" spans="1:9" ht="13.8" x14ac:dyDescent="0.25">
      <c r="A73" s="244" t="s">
        <v>116</v>
      </c>
      <c r="B73" s="127">
        <f>Data!BR23</f>
        <v>341</v>
      </c>
      <c r="C73" s="127">
        <f>Data!BR35</f>
        <v>1163</v>
      </c>
      <c r="D73" s="127">
        <f>Data!BR41</f>
        <v>520</v>
      </c>
      <c r="E73" s="282">
        <f t="shared" ref="E73:E76" si="7">IFERROR(IF(OR(AND(D73="",C73=""),AND(D73=0,C73=0)),"",
IF(OR(D73="",D73=0),1,
IF(OR(D73&lt;&gt;"",D73&lt;&gt;0),(C73-D73)/ABS(D73)))),-1)</f>
        <v>1.2365384615384616</v>
      </c>
      <c r="F73" s="127">
        <v>949</v>
      </c>
      <c r="G73" s="127">
        <v>809</v>
      </c>
      <c r="H73" s="127">
        <v>825</v>
      </c>
      <c r="I73" s="127">
        <v>1013</v>
      </c>
    </row>
    <row r="74" spans="1:9" ht="13.8" x14ac:dyDescent="0.25">
      <c r="A74" s="244" t="s">
        <v>142</v>
      </c>
      <c r="B74" s="127">
        <f>Data!BQ23</f>
        <v>131864</v>
      </c>
      <c r="C74" s="127">
        <f>Data!BQ35</f>
        <v>720670</v>
      </c>
      <c r="D74" s="127">
        <f>Data!BQ41</f>
        <v>250269</v>
      </c>
      <c r="E74" s="282">
        <f t="shared" si="7"/>
        <v>1.8795815702304322</v>
      </c>
      <c r="F74" s="127">
        <v>428713</v>
      </c>
      <c r="G74" s="127">
        <v>307322</v>
      </c>
      <c r="H74" s="127">
        <v>205539</v>
      </c>
      <c r="I74" s="127">
        <v>348297</v>
      </c>
    </row>
    <row r="75" spans="1:9" ht="13.8" x14ac:dyDescent="0.25">
      <c r="A75" s="244" t="s">
        <v>189</v>
      </c>
      <c r="B75" s="127">
        <f>Data!BP23/1000000</f>
        <v>12416.090619690001</v>
      </c>
      <c r="C75" s="127">
        <f>Data!BP35/1000000</f>
        <v>71155.121540990003</v>
      </c>
      <c r="D75" s="127">
        <f>Data!BP41/1000000</f>
        <v>25048.871635919997</v>
      </c>
      <c r="E75" s="282">
        <f t="shared" si="7"/>
        <v>1.8406517696770739</v>
      </c>
      <c r="F75" s="127">
        <v>42643</v>
      </c>
      <c r="G75" s="127">
        <v>29060</v>
      </c>
      <c r="H75" s="127">
        <v>21987</v>
      </c>
      <c r="I75" s="127">
        <v>37202</v>
      </c>
    </row>
    <row r="76" spans="1:9" ht="14.4" thickBot="1" x14ac:dyDescent="0.3">
      <c r="A76" s="285" t="s">
        <v>141</v>
      </c>
      <c r="B76" s="128">
        <f>Data!BP29</f>
        <v>201261</v>
      </c>
      <c r="C76" s="128">
        <f>B76</f>
        <v>201261</v>
      </c>
      <c r="D76" s="128">
        <f>Data!BP47</f>
        <v>61660</v>
      </c>
      <c r="E76" s="287">
        <f t="shared" si="7"/>
        <v>2.2640447615958483</v>
      </c>
      <c r="F76" s="128">
        <v>140000</v>
      </c>
      <c r="G76" s="128">
        <v>97761</v>
      </c>
      <c r="H76" s="128">
        <v>36955</v>
      </c>
      <c r="I76" s="128">
        <v>75609</v>
      </c>
    </row>
    <row r="77" spans="1:9" ht="13.8" thickTop="1" x14ac:dyDescent="0.25">
      <c r="A77" s="9" t="s">
        <v>190</v>
      </c>
      <c r="B77" s="3"/>
      <c r="C77" s="15"/>
      <c r="D77" s="15"/>
      <c r="E77" s="28"/>
      <c r="F77" s="24"/>
      <c r="G77" s="27"/>
      <c r="H77" s="27"/>
      <c r="I77" s="27"/>
    </row>
    <row r="78" spans="1:9" x14ac:dyDescent="0.25">
      <c r="A78" s="9" t="s">
        <v>191</v>
      </c>
      <c r="B78" s="3"/>
      <c r="C78" s="15"/>
      <c r="D78" s="15"/>
      <c r="E78" s="28"/>
      <c r="F78" s="24"/>
      <c r="G78" s="27"/>
      <c r="H78" s="27"/>
      <c r="I78" s="27"/>
    </row>
    <row r="79" spans="1:9" x14ac:dyDescent="0.25">
      <c r="A79" s="35"/>
      <c r="B79" s="19"/>
      <c r="F79" s="24"/>
      <c r="G79" s="27"/>
    </row>
    <row r="80" spans="1:9" ht="13.8" thickBot="1" x14ac:dyDescent="0.3">
      <c r="A80" s="122" t="s">
        <v>164</v>
      </c>
      <c r="B80" s="134"/>
      <c r="C80" s="116"/>
      <c r="D80" s="116"/>
      <c r="E80" s="116"/>
      <c r="F80" s="115"/>
      <c r="G80" s="118"/>
      <c r="H80" s="116"/>
      <c r="I80" s="116"/>
    </row>
    <row r="81" spans="1:12" ht="13.8" x14ac:dyDescent="0.25">
      <c r="A81" s="295"/>
      <c r="B81" s="276" t="s">
        <v>1</v>
      </c>
      <c r="C81" s="276" t="s">
        <v>172</v>
      </c>
      <c r="D81" s="276" t="s">
        <v>172</v>
      </c>
      <c r="E81" s="296" t="s">
        <v>13</v>
      </c>
      <c r="F81" s="305"/>
      <c r="G81" s="288"/>
      <c r="H81" s="295"/>
      <c r="I81" s="295"/>
    </row>
    <row r="82" spans="1:12" ht="13.8" x14ac:dyDescent="0.25">
      <c r="A82" s="295"/>
      <c r="B82" s="276" t="s">
        <v>3</v>
      </c>
      <c r="C82" s="276" t="s">
        <v>4</v>
      </c>
      <c r="D82" s="276" t="s">
        <v>4</v>
      </c>
      <c r="E82" s="296" t="s">
        <v>9</v>
      </c>
      <c r="F82" s="305"/>
      <c r="G82" s="288"/>
      <c r="H82" s="295"/>
      <c r="I82" s="295"/>
    </row>
    <row r="83" spans="1:12" ht="14.4" thickBot="1" x14ac:dyDescent="0.3">
      <c r="A83" s="297"/>
      <c r="B83" s="278" t="str">
        <f>TEXT($H$3,"MMM")&amp;" "&amp;TEXT($H$3,"YYYY")</f>
        <v>Aug 2019</v>
      </c>
      <c r="C83" s="278" t="str">
        <f>TEXT($H$3,"YYYY")</f>
        <v>2019</v>
      </c>
      <c r="D83" s="278">
        <f>TEXT($H$3,"YYYY")-1</f>
        <v>2018</v>
      </c>
      <c r="E83" s="280" t="s">
        <v>6</v>
      </c>
      <c r="F83" s="280">
        <f>TEXT($H$3,"YYYY")-1</f>
        <v>2018</v>
      </c>
      <c r="G83" s="290">
        <f>TEXT($H$3,"YYYY")-2</f>
        <v>2017</v>
      </c>
      <c r="H83" s="290">
        <f>TEXT($H$3,"YYYY")-3</f>
        <v>2016</v>
      </c>
      <c r="I83" s="290">
        <f>TEXT($H$3,"YYYY")-4</f>
        <v>2015</v>
      </c>
      <c r="J83" s="135"/>
      <c r="K83" s="169"/>
      <c r="L83" s="169"/>
    </row>
    <row r="84" spans="1:12" ht="13.8" x14ac:dyDescent="0.25">
      <c r="A84" s="284" t="s">
        <v>14</v>
      </c>
      <c r="B84" s="244"/>
      <c r="C84" s="244"/>
      <c r="D84" s="244"/>
      <c r="E84" s="244"/>
      <c r="F84" s="244"/>
      <c r="G84" s="244"/>
      <c r="H84" s="244"/>
      <c r="I84" s="244"/>
      <c r="J84" s="62"/>
    </row>
    <row r="85" spans="1:12" ht="13.8" x14ac:dyDescent="0.25">
      <c r="A85" s="244" t="s">
        <v>116</v>
      </c>
      <c r="B85" s="245">
        <f>Data!BR50</f>
        <v>0</v>
      </c>
      <c r="C85" s="245">
        <f>Data!BR60</f>
        <v>14434</v>
      </c>
      <c r="D85" s="245">
        <f>Data!BR66</f>
        <v>33206</v>
      </c>
      <c r="E85" s="282">
        <f t="shared" ref="E85:E87" si="8">IFERROR(IF(OR(AND(D85="",C85=""),AND(D85=0,C85=0)),"",
IF(OR(D85="",D85=0),1,
IF(OR(D85&lt;&gt;"",D85&lt;&gt;0),(C85-D85)/ABS(D85)))),-1)</f>
        <v>-0.56531952056857193</v>
      </c>
      <c r="F85" s="355">
        <v>51664</v>
      </c>
      <c r="G85" s="355">
        <v>65590</v>
      </c>
      <c r="H85" s="355">
        <v>66920</v>
      </c>
      <c r="I85" s="355">
        <v>57891</v>
      </c>
      <c r="J85" s="62"/>
    </row>
    <row r="86" spans="1:12" ht="13.8" x14ac:dyDescent="0.25">
      <c r="A86" s="244" t="s">
        <v>142</v>
      </c>
      <c r="B86" s="245">
        <f>Data!BQ50</f>
        <v>0</v>
      </c>
      <c r="C86" s="245">
        <f>Data!BQ60</f>
        <v>13463662</v>
      </c>
      <c r="D86" s="245">
        <f>Data!BQ66</f>
        <v>27622964</v>
      </c>
      <c r="E86" s="282">
        <f t="shared" si="8"/>
        <v>-0.51259169725594977</v>
      </c>
      <c r="F86" s="355">
        <v>41807458</v>
      </c>
      <c r="G86" s="355">
        <v>47794037</v>
      </c>
      <c r="H86" s="355">
        <v>34293431</v>
      </c>
      <c r="I86" s="355">
        <v>33917069</v>
      </c>
      <c r="J86" s="62"/>
    </row>
    <row r="87" spans="1:12" ht="13.8" x14ac:dyDescent="0.25">
      <c r="A87" s="244" t="s">
        <v>118</v>
      </c>
      <c r="B87" s="245">
        <f>Data!BP50/1000000</f>
        <v>0</v>
      </c>
      <c r="C87" s="245">
        <f>Data!BP60/1000000</f>
        <v>195922.3981583</v>
      </c>
      <c r="D87" s="245">
        <f>Data!BP66/1000000</f>
        <v>367427.67295152892</v>
      </c>
      <c r="E87" s="282">
        <f t="shared" si="8"/>
        <v>-0.46677288462116978</v>
      </c>
      <c r="F87" s="355">
        <v>581025</v>
      </c>
      <c r="G87" s="355">
        <v>656092</v>
      </c>
      <c r="H87" s="355">
        <v>522169</v>
      </c>
      <c r="I87" s="355">
        <v>446203</v>
      </c>
      <c r="J87" s="62"/>
    </row>
    <row r="88" spans="1:12" ht="13.8" x14ac:dyDescent="0.25">
      <c r="A88" s="244" t="s">
        <v>141</v>
      </c>
      <c r="B88" s="245">
        <f>VLOOKUP("Future",Data!$BP$55:$BQ$57,2,FALSE)</f>
        <v>0</v>
      </c>
      <c r="C88" s="245">
        <f>B88</f>
        <v>0</v>
      </c>
      <c r="D88" s="245">
        <f>VLOOKUP("Future",Data!$BP$71:$BQ$73,2,FALSE)</f>
        <v>1664596</v>
      </c>
      <c r="E88" s="282">
        <f>IFERROR(IF(OR(AND(D88="",C88=""),AND(D88=0,C88=0)),"",
IF(OR(D88="",D88=0),1,
IF(OR(D88&lt;&gt;"",D88&lt;&gt;0),(C88-D88)/ABS(D88)))),-1)</f>
        <v>-1</v>
      </c>
      <c r="F88" s="355">
        <v>1408969</v>
      </c>
      <c r="G88" s="355">
        <v>2066426</v>
      </c>
      <c r="H88" s="355">
        <v>1090978</v>
      </c>
      <c r="I88" s="355">
        <v>1414841</v>
      </c>
      <c r="J88" s="62"/>
    </row>
    <row r="89" spans="1:12" ht="13.8" x14ac:dyDescent="0.25">
      <c r="A89" s="244"/>
      <c r="B89" s="309"/>
      <c r="C89" s="309"/>
      <c r="D89" s="309"/>
      <c r="E89" s="244"/>
      <c r="F89" s="355"/>
      <c r="G89" s="355"/>
      <c r="H89" s="309"/>
      <c r="I89" s="309"/>
      <c r="J89" s="107"/>
      <c r="K89" s="171"/>
      <c r="L89" s="171"/>
    </row>
    <row r="90" spans="1:12" ht="13.8" x14ac:dyDescent="0.25">
      <c r="A90" s="284" t="s">
        <v>15</v>
      </c>
      <c r="B90" s="244"/>
      <c r="C90" s="309"/>
      <c r="D90" s="309"/>
      <c r="E90" s="284"/>
      <c r="F90" s="356"/>
      <c r="G90" s="355"/>
      <c r="H90" s="309"/>
      <c r="I90" s="310"/>
      <c r="J90" s="107"/>
      <c r="K90" s="171"/>
      <c r="L90" s="171"/>
    </row>
    <row r="91" spans="1:12" ht="13.8" x14ac:dyDescent="0.25">
      <c r="A91" s="244" t="s">
        <v>116</v>
      </c>
      <c r="B91" s="245">
        <f>Data!BR53</f>
        <v>0</v>
      </c>
      <c r="C91" s="245">
        <f>Data!BR63</f>
        <v>1138</v>
      </c>
      <c r="D91" s="245">
        <f>Data!BR69</f>
        <v>2222</v>
      </c>
      <c r="E91" s="282">
        <f t="shared" ref="E91:E93" si="9">IFERROR(IF(OR(AND(D91="",C91=""),AND(D91=0,C91=0)),"",
IF(OR(D91="",D91=0),1,
IF(OR(D91&lt;&gt;"",D91&lt;&gt;0),(C91-D91)/ABS(D91)))),-1)</f>
        <v>-0.48784878487848787</v>
      </c>
      <c r="F91" s="355">
        <v>3561</v>
      </c>
      <c r="G91" s="355">
        <v>4441</v>
      </c>
      <c r="H91" s="355">
        <v>3271</v>
      </c>
      <c r="I91" s="355">
        <v>2622</v>
      </c>
      <c r="J91" s="132"/>
      <c r="K91" s="176"/>
      <c r="L91" s="171"/>
    </row>
    <row r="92" spans="1:12" ht="13.8" x14ac:dyDescent="0.25">
      <c r="A92" s="244" t="s">
        <v>142</v>
      </c>
      <c r="B92" s="245">
        <f>Data!BQ53</f>
        <v>0</v>
      </c>
      <c r="C92" s="245">
        <f>Data!BQ63</f>
        <v>12228057</v>
      </c>
      <c r="D92" s="245">
        <f>Data!BQ69</f>
        <v>18497398</v>
      </c>
      <c r="E92" s="282">
        <f t="shared" si="9"/>
        <v>-0.33893096747985851</v>
      </c>
      <c r="F92" s="355">
        <v>32395827</v>
      </c>
      <c r="G92" s="355">
        <v>20574664</v>
      </c>
      <c r="H92" s="355">
        <v>14030889</v>
      </c>
      <c r="I92" s="355">
        <v>11251621</v>
      </c>
      <c r="J92" s="133"/>
      <c r="K92" s="176"/>
      <c r="L92" s="171"/>
    </row>
    <row r="93" spans="1:12" ht="13.8" x14ac:dyDescent="0.25">
      <c r="A93" s="244" t="s">
        <v>170</v>
      </c>
      <c r="B93" s="245">
        <f>Data!BP53/1000000</f>
        <v>0</v>
      </c>
      <c r="C93" s="245">
        <f>Data!BP63/1000000</f>
        <v>181695.64710470001</v>
      </c>
      <c r="D93" s="245">
        <f>Data!BP69/1000000</f>
        <v>318700.00003562501</v>
      </c>
      <c r="E93" s="282">
        <f t="shared" si="9"/>
        <v>-0.42988501071732144</v>
      </c>
      <c r="F93" s="355">
        <v>534906</v>
      </c>
      <c r="G93" s="355">
        <v>290641</v>
      </c>
      <c r="H93" s="355">
        <v>212036</v>
      </c>
      <c r="I93" s="355">
        <v>157773</v>
      </c>
      <c r="J93" s="133"/>
      <c r="K93" s="171"/>
      <c r="L93" s="171"/>
    </row>
    <row r="94" spans="1:12" ht="13.8" x14ac:dyDescent="0.25">
      <c r="A94" s="244" t="s">
        <v>141</v>
      </c>
      <c r="B94" s="245">
        <f>VLOOKUP("Option",Data!$BP$55:$BQ$57,2,FALSE)</f>
        <v>0</v>
      </c>
      <c r="C94" s="245">
        <f>MarketProfile!B94</f>
        <v>0</v>
      </c>
      <c r="D94" s="245">
        <f>VLOOKUP("Option",Data!$BP$71:$BQ$73,2,FALSE)</f>
        <v>5936737</v>
      </c>
      <c r="E94" s="282">
        <f>IFERROR(IF(OR(AND(D94="",C94=""),AND(D94=0,C94=0)),"",
IF(OR(D94="",D94=0),1,
IF(OR(D94&lt;&gt;"",D94&lt;&gt;0),(C94-D94)/ABS(D94)))),-1)</f>
        <v>-1</v>
      </c>
      <c r="F94" s="355">
        <v>5489721</v>
      </c>
      <c r="G94" s="355">
        <v>4526266</v>
      </c>
      <c r="H94" s="355">
        <v>1240499</v>
      </c>
      <c r="I94" s="355">
        <v>1917456</v>
      </c>
      <c r="J94" s="107"/>
      <c r="K94" s="171"/>
      <c r="L94" s="171"/>
    </row>
    <row r="95" spans="1:12" x14ac:dyDescent="0.25">
      <c r="A95" s="59" t="s">
        <v>171</v>
      </c>
      <c r="B95" s="62"/>
      <c r="C95" s="62"/>
      <c r="D95" s="62"/>
      <c r="H95" s="62"/>
      <c r="J95" s="107"/>
    </row>
    <row r="96" spans="1:12" x14ac:dyDescent="0.25">
      <c r="B96" s="3"/>
      <c r="C96" s="3"/>
      <c r="D96" s="3"/>
      <c r="J96" s="107"/>
    </row>
    <row r="97" spans="1:12" ht="13.8" thickBot="1" x14ac:dyDescent="0.3">
      <c r="A97" s="122" t="s">
        <v>157</v>
      </c>
      <c r="B97" s="117"/>
      <c r="C97" s="117"/>
      <c r="D97" s="117"/>
      <c r="E97" s="117"/>
      <c r="F97" s="118"/>
      <c r="G97" s="118"/>
      <c r="H97" s="117"/>
      <c r="I97" s="117"/>
    </row>
    <row r="98" spans="1:12" ht="13.8" x14ac:dyDescent="0.25">
      <c r="A98" s="295"/>
      <c r="B98" s="276" t="s">
        <v>1</v>
      </c>
      <c r="C98" s="276" t="s">
        <v>172</v>
      </c>
      <c r="D98" s="276" t="s">
        <v>172</v>
      </c>
      <c r="E98" s="296" t="s">
        <v>13</v>
      </c>
      <c r="F98" s="305"/>
      <c r="G98" s="288"/>
      <c r="H98" s="295"/>
      <c r="I98" s="295"/>
    </row>
    <row r="99" spans="1:12" ht="13.8" x14ac:dyDescent="0.25">
      <c r="A99" s="295"/>
      <c r="B99" s="276" t="s">
        <v>3</v>
      </c>
      <c r="C99" s="276" t="s">
        <v>4</v>
      </c>
      <c r="D99" s="276" t="s">
        <v>4</v>
      </c>
      <c r="E99" s="296" t="s">
        <v>9</v>
      </c>
      <c r="F99" s="305"/>
      <c r="G99" s="288"/>
      <c r="H99" s="295"/>
      <c r="I99" s="295"/>
    </row>
    <row r="100" spans="1:12" ht="14.4" thickBot="1" x14ac:dyDescent="0.3">
      <c r="A100" s="297"/>
      <c r="B100" s="278" t="str">
        <f>TEXT($H$3,"MMM")&amp;" "&amp;TEXT($H$3,"YYYY")</f>
        <v>Aug 2019</v>
      </c>
      <c r="C100" s="278" t="str">
        <f>TEXT($H$3,"YYYY")</f>
        <v>2019</v>
      </c>
      <c r="D100" s="278">
        <f>TEXT($H$3,"YYYY")-1</f>
        <v>2018</v>
      </c>
      <c r="E100" s="280" t="s">
        <v>6</v>
      </c>
      <c r="F100" s="280">
        <f>TEXT($H$3,"YYYY")-1</f>
        <v>2018</v>
      </c>
      <c r="G100" s="290">
        <f>TEXT($H$3,"YYYY")-2</f>
        <v>2017</v>
      </c>
      <c r="H100" s="290">
        <f>TEXT($H$3,"YYYY")-3</f>
        <v>2016</v>
      </c>
      <c r="I100" s="290">
        <f>TEXT($H$3,"YYYY")-4</f>
        <v>2015</v>
      </c>
    </row>
    <row r="101" spans="1:12" ht="13.8" x14ac:dyDescent="0.25">
      <c r="A101" s="284" t="s">
        <v>14</v>
      </c>
      <c r="B101" s="311"/>
      <c r="C101" s="311"/>
      <c r="D101" s="311"/>
      <c r="E101" s="307"/>
      <c r="F101" s="307"/>
      <c r="G101" s="312"/>
      <c r="H101" s="312"/>
      <c r="I101" s="312"/>
    </row>
    <row r="102" spans="1:12" ht="13.8" x14ac:dyDescent="0.25">
      <c r="A102" s="244" t="s">
        <v>116</v>
      </c>
      <c r="B102" s="245">
        <f>SUMIFS(Data!$AC:$AC,Data!$AE:$AE,"1")</f>
        <v>44290</v>
      </c>
      <c r="C102" s="245">
        <f>Data!BR76</f>
        <v>280557</v>
      </c>
      <c r="D102" s="245">
        <f>Data!BR82</f>
        <v>265051</v>
      </c>
      <c r="E102" s="282">
        <f>IFERROR(IF(OR(AND(D102="",C102=""),AND(D102=0,C102=0)),"",
IF(OR(D102="",D102=0),1,
IF(OR(D102&lt;&gt;"",D102&lt;&gt;0),(C102-D102)/ABS(D102)))),-1)</f>
        <v>5.8501948681574489E-2</v>
      </c>
      <c r="F102" s="355">
        <v>401483</v>
      </c>
      <c r="G102" s="355">
        <v>345698</v>
      </c>
      <c r="H102" s="355">
        <v>343265</v>
      </c>
      <c r="I102" s="355">
        <v>319935</v>
      </c>
    </row>
    <row r="103" spans="1:12" ht="13.8" x14ac:dyDescent="0.25">
      <c r="A103" s="244" t="s">
        <v>140</v>
      </c>
      <c r="B103" s="245">
        <f>SUMIFS(Data!$AB:$AB,Data!$AE:$AE,"1")/1000</f>
        <v>328.053</v>
      </c>
      <c r="C103" s="245">
        <f>Data!BQ76</f>
        <v>2168151</v>
      </c>
      <c r="D103" s="245">
        <f>Data!BQ82</f>
        <v>2022276</v>
      </c>
      <c r="E103" s="282">
        <f t="shared" ref="E103:E105" si="10">IFERROR(IF(OR(AND(D103="",C103=""),AND(D103=0,C103=0)),"",
IF(OR(D103="",D103=0),1,
IF(OR(D103&lt;&gt;"",D103&lt;&gt;0),(C103-D103)/ABS(D103)))),-1)</f>
        <v>7.2134070720317106E-2</v>
      </c>
      <c r="F103" s="355">
        <v>3080836</v>
      </c>
      <c r="G103" s="355">
        <v>2718</v>
      </c>
      <c r="H103" s="355">
        <v>2955</v>
      </c>
      <c r="I103" s="355">
        <v>2956</v>
      </c>
    </row>
    <row r="104" spans="1:12" ht="13.8" x14ac:dyDescent="0.25">
      <c r="A104" s="244" t="s">
        <v>118</v>
      </c>
      <c r="B104" s="245">
        <f>SUMIFS(Data!$AA:$AA,Data!$AE:$AE,"1")/1000000</f>
        <v>80760.996489676996</v>
      </c>
      <c r="C104" s="245">
        <f>Data!BP76/1000000</f>
        <v>540778.28492342797</v>
      </c>
      <c r="D104" s="245">
        <f>Data!BP82/1000000</f>
        <v>424269.13519029896</v>
      </c>
      <c r="E104" s="282">
        <f t="shared" si="10"/>
        <v>0.27461142013281442</v>
      </c>
      <c r="F104" s="355">
        <v>674379</v>
      </c>
      <c r="G104" s="355">
        <v>566037</v>
      </c>
      <c r="H104" s="355">
        <v>943312</v>
      </c>
      <c r="I104" s="355">
        <v>736984</v>
      </c>
    </row>
    <row r="105" spans="1:12" ht="13.8" x14ac:dyDescent="0.25">
      <c r="A105" s="244" t="s">
        <v>141</v>
      </c>
      <c r="B105" s="245">
        <f>SUMIFS(Data!$AK:$AK,Data!$AL:$AL,"1")</f>
        <v>138016</v>
      </c>
      <c r="C105" s="245">
        <f>B105</f>
        <v>138016</v>
      </c>
      <c r="D105" s="245">
        <f>Data!BP88</f>
        <v>148208</v>
      </c>
      <c r="E105" s="282">
        <f t="shared" si="10"/>
        <v>-6.8768217640073404E-2</v>
      </c>
      <c r="F105" s="355">
        <v>111034</v>
      </c>
      <c r="G105" s="355">
        <v>117783</v>
      </c>
      <c r="H105" s="355">
        <v>65553</v>
      </c>
      <c r="I105" s="355">
        <v>89089</v>
      </c>
    </row>
    <row r="106" spans="1:12" ht="13.8" x14ac:dyDescent="0.25">
      <c r="A106" s="244"/>
      <c r="B106" s="245"/>
      <c r="C106" s="245"/>
      <c r="D106" s="245"/>
      <c r="E106" s="244"/>
      <c r="F106" s="355"/>
      <c r="G106" s="355"/>
      <c r="H106" s="355"/>
      <c r="I106" s="355"/>
    </row>
    <row r="107" spans="1:12" ht="13.8" x14ac:dyDescent="0.25">
      <c r="A107" s="284" t="s">
        <v>15</v>
      </c>
      <c r="B107" s="245"/>
      <c r="C107" s="245"/>
      <c r="D107" s="245"/>
      <c r="E107" s="244"/>
      <c r="F107" s="355"/>
      <c r="G107" s="355"/>
      <c r="H107" s="355"/>
      <c r="I107" s="355"/>
    </row>
    <row r="108" spans="1:12" ht="13.8" x14ac:dyDescent="0.25">
      <c r="A108" s="244" t="s">
        <v>116</v>
      </c>
      <c r="B108" s="245">
        <f>SUMIFS(Data!$AC:$AC,Data!$AE:$AE,"0")</f>
        <v>1932</v>
      </c>
      <c r="C108" s="245">
        <f>Data!BR79</f>
        <v>20683</v>
      </c>
      <c r="D108" s="245">
        <f>Data!BR85</f>
        <v>19257</v>
      </c>
      <c r="E108" s="282">
        <f>IFERROR(IF(OR(AND(D108="",C108=""),AND(D108=0,C108=0)),"",
IF(OR(D108="",D108=0),1,
IF(OR(D108&lt;&gt;"",D108&lt;&gt;0),(C108-D108)/ABS(D108)))),-1)</f>
        <v>7.405099444357896E-2</v>
      </c>
      <c r="F108" s="355">
        <v>34033</v>
      </c>
      <c r="G108" s="355">
        <v>30024</v>
      </c>
      <c r="H108" s="355">
        <v>43815</v>
      </c>
      <c r="I108" s="355">
        <v>42966</v>
      </c>
    </row>
    <row r="109" spans="1:12" ht="13.8" x14ac:dyDescent="0.25">
      <c r="A109" s="244" t="s">
        <v>140</v>
      </c>
      <c r="B109" s="245">
        <f>SUMIFS(Data!$AB:$AB,Data!$AE:$AE,"0")/1000</f>
        <v>26.216000000000001</v>
      </c>
      <c r="C109" s="245">
        <f>Data!BQ79</f>
        <v>223797</v>
      </c>
      <c r="D109" s="245">
        <f>Data!BQ85</f>
        <v>203482</v>
      </c>
      <c r="E109" s="282">
        <f t="shared" ref="E109:E110" si="11">IFERROR(IF(OR(AND(D109="",C109=""),AND(D109=0,C109=0)),"",
IF(OR(D109="",D109=0),1,
IF(OR(D109&lt;&gt;"",D109&lt;&gt;0),(C109-D109)/ABS(D109)))),-1)</f>
        <v>9.9836840605065799E-2</v>
      </c>
      <c r="F109" s="355">
        <v>351110</v>
      </c>
      <c r="G109" s="355">
        <v>291</v>
      </c>
      <c r="H109" s="355">
        <v>471</v>
      </c>
      <c r="I109" s="355">
        <v>544</v>
      </c>
    </row>
    <row r="110" spans="1:12" ht="13.8" x14ac:dyDescent="0.25">
      <c r="A110" s="244" t="s">
        <v>118</v>
      </c>
      <c r="B110" s="245">
        <f>SUMIFS(Data!$AA:$AA,Data!$AE:$AE,"0")/1000000</f>
        <v>417.88161995000007</v>
      </c>
      <c r="C110" s="245">
        <f>Data!BP79/1000000</f>
        <v>3929.3490565799898</v>
      </c>
      <c r="D110" s="245">
        <f>Data!BP85/1000000</f>
        <v>1624.80432242999</v>
      </c>
      <c r="E110" s="282">
        <f t="shared" si="11"/>
        <v>1.4183521685266189</v>
      </c>
      <c r="F110" s="355">
        <v>4094</v>
      </c>
      <c r="G110" s="355">
        <v>3233</v>
      </c>
      <c r="H110" s="355">
        <v>14527</v>
      </c>
      <c r="I110" s="355">
        <v>12378</v>
      </c>
    </row>
    <row r="111" spans="1:12" ht="13.8" x14ac:dyDescent="0.25">
      <c r="A111" s="244" t="s">
        <v>141</v>
      </c>
      <c r="B111" s="245">
        <f>SUMIFS(Data!$AK:$AK,Data!$AL:$AL,"0")</f>
        <v>42056</v>
      </c>
      <c r="C111" s="245">
        <f>B111</f>
        <v>42056</v>
      </c>
      <c r="D111" s="245">
        <f>Data!BP91</f>
        <v>57272</v>
      </c>
      <c r="E111" s="282">
        <f>IFERROR(IF(OR(AND(D111="",C111=""),AND(D111=0,C111=0)),"",
IF(OR(D111="",D111=0),1,
IF(OR(D111&lt;&gt;"",D111&lt;&gt;0),(C111-D111)/ABS(D111)))),-1)</f>
        <v>-0.26567956418494204</v>
      </c>
      <c r="F111" s="355">
        <v>71176</v>
      </c>
      <c r="G111" s="355">
        <v>50578</v>
      </c>
      <c r="H111" s="355">
        <v>36968</v>
      </c>
      <c r="I111" s="355">
        <v>87294</v>
      </c>
    </row>
    <row r="112" spans="1:12" s="243" customFormat="1" ht="13.8" x14ac:dyDescent="0.25">
      <c r="A112" s="244"/>
      <c r="B112" s="355"/>
      <c r="C112" s="355"/>
      <c r="D112" s="355"/>
      <c r="E112" s="282"/>
      <c r="F112" s="355"/>
      <c r="G112" s="355"/>
      <c r="H112" s="355"/>
      <c r="I112" s="355"/>
      <c r="K112" s="258"/>
      <c r="L112" s="258"/>
    </row>
    <row r="113" spans="1:12" s="243" customFormat="1" ht="13.8" x14ac:dyDescent="0.25">
      <c r="A113" s="244"/>
      <c r="B113" s="355"/>
      <c r="C113" s="355"/>
      <c r="D113" s="355"/>
      <c r="E113" s="282"/>
      <c r="F113" s="355"/>
      <c r="G113" s="355"/>
      <c r="H113" s="355"/>
      <c r="I113" s="355"/>
      <c r="K113" s="258"/>
      <c r="L113" s="258"/>
    </row>
    <row r="114" spans="1:12" x14ac:dyDescent="0.25">
      <c r="B114" s="3"/>
    </row>
    <row r="115" spans="1:12" ht="12.75" customHeight="1" x14ac:dyDescent="0.25">
      <c r="A115" s="242" t="str">
        <f>"Market Profile - "&amp; TEXT($H$3,"MMM")&amp;" "&amp;TEXT($H$3,"YYYY")</f>
        <v>Market Profile - Aug 2019</v>
      </c>
      <c r="B115" s="3"/>
      <c r="F115" s="377" t="s">
        <v>193</v>
      </c>
      <c r="G115" s="377"/>
      <c r="H115" s="377"/>
      <c r="I115" s="125"/>
    </row>
    <row r="116" spans="1:12" ht="12.75" customHeight="1" x14ac:dyDescent="0.25">
      <c r="B116" s="3"/>
      <c r="F116" s="377"/>
      <c r="G116" s="377"/>
      <c r="H116" s="377"/>
      <c r="I116" s="125"/>
      <c r="J116" s="160"/>
    </row>
    <row r="117" spans="1:12" ht="13.8" thickBot="1" x14ac:dyDescent="0.3">
      <c r="A117" s="122" t="s">
        <v>119</v>
      </c>
      <c r="B117" s="117"/>
      <c r="C117" s="116"/>
      <c r="D117" s="117"/>
      <c r="E117" s="117"/>
      <c r="F117" s="116"/>
      <c r="G117" s="117"/>
      <c r="H117" s="116"/>
      <c r="I117" s="116"/>
      <c r="J117" s="160"/>
    </row>
    <row r="118" spans="1:12" ht="13.8" x14ac:dyDescent="0.25">
      <c r="A118" s="305"/>
      <c r="B118" s="200" t="s">
        <v>162</v>
      </c>
      <c r="C118" s="277"/>
      <c r="D118" s="194"/>
      <c r="E118" s="277"/>
      <c r="F118" s="277"/>
      <c r="G118" s="277" t="s">
        <v>163</v>
      </c>
      <c r="H118" s="277"/>
      <c r="I118" s="277"/>
      <c r="J118" s="160"/>
    </row>
    <row r="119" spans="1:12" ht="14.4" thickBot="1" x14ac:dyDescent="0.3">
      <c r="A119" s="290"/>
      <c r="B119" s="278" t="str">
        <f>TEXT($H$3,"MMM")&amp;" "&amp;TEXT($H$3,"YYYY")</f>
        <v>Aug 2019</v>
      </c>
      <c r="C119" s="278" t="str">
        <f>TEXT(DATE(2000,TEXT(H3,"M")-1,1),"mmm")&amp; " "&amp; TEXT(H3,"YYYY")</f>
        <v>Jul 2019</v>
      </c>
      <c r="D119" s="280" t="s">
        <v>120</v>
      </c>
      <c r="E119" s="278"/>
      <c r="F119" s="278"/>
      <c r="G119" s="278" t="str">
        <f>TEXT($H$3,"MMM")&amp;" "&amp;TEXT($H$3,"YYYY")</f>
        <v>Aug 2019</v>
      </c>
      <c r="H119" s="278" t="str">
        <f>TEXT($H$3,"MMM")&amp;" "&amp;TEXT($H$3,"YYYY")-1</f>
        <v>Aug 2018</v>
      </c>
      <c r="I119" s="280" t="s">
        <v>120</v>
      </c>
      <c r="J119" s="160"/>
    </row>
    <row r="120" spans="1:12" ht="13.8" x14ac:dyDescent="0.25">
      <c r="A120" s="244" t="s">
        <v>121</v>
      </c>
      <c r="B120" s="316">
        <f>VLOOKUP("ABuy",Data!$J$1:$M$5,4,FALSE)/1000000</f>
        <v>146381.2602864092</v>
      </c>
      <c r="C120" s="316">
        <f>VLOOKUP("ABuy",Data!$J$7:$M$11,4,FALSE)/1000000</f>
        <v>130352.36427432376</v>
      </c>
      <c r="D120" s="184">
        <f>((B120/C120)-1)</f>
        <v>0.12296590170281063</v>
      </c>
      <c r="E120" s="316"/>
      <c r="F120" s="316"/>
      <c r="G120" s="316">
        <f>VLOOKUP("Abuy",Data!$J$13:$M$17,4,FALSE)/1000000</f>
        <v>136972.87435316</v>
      </c>
      <c r="H120" s="316">
        <f>VLOOKUP("Abuy",Data!$J$19:$M$23,4,FALSE)/1000000</f>
        <v>118298.03951325</v>
      </c>
      <c r="I120" s="198">
        <f>((G120/H120)-1)</f>
        <v>0.15786258941187548</v>
      </c>
      <c r="J120" s="160"/>
    </row>
    <row r="121" spans="1:12" ht="13.8" x14ac:dyDescent="0.25">
      <c r="A121" s="244" t="s">
        <v>122</v>
      </c>
      <c r="B121" s="316">
        <f>VLOOKUP("ASell",Data!$J$1:$M$5,4,FALSE)/1000000</f>
        <v>153134.70985270155</v>
      </c>
      <c r="C121" s="316">
        <f>VLOOKUP("Asell",Data!$J$7:$M$11,4,FALSE)/1000000</f>
        <v>135281.10570308863</v>
      </c>
      <c r="D121" s="198">
        <f t="shared" ref="D121:D123" si="12">((B121/C121)-1)</f>
        <v>0.13197411461728836</v>
      </c>
      <c r="E121" s="316"/>
      <c r="F121" s="316"/>
      <c r="G121" s="316">
        <f>VLOOKUP("Asell",Data!$J$13:$M$17,4,FALSE)/1000000</f>
        <v>143186.84682498002</v>
      </c>
      <c r="H121" s="316">
        <f>VLOOKUP("Asell",Data!$J$19:$M$23,4,FALSE)/1000000</f>
        <v>124391.24957013001</v>
      </c>
      <c r="I121" s="198">
        <f t="shared" ref="I121:I123" si="13">((G121/H121)-1)</f>
        <v>0.1511006386687459</v>
      </c>
      <c r="J121" s="160"/>
    </row>
    <row r="122" spans="1:12" ht="13.8" x14ac:dyDescent="0.25">
      <c r="A122" s="244" t="s">
        <v>123</v>
      </c>
      <c r="B122" s="316">
        <f>VLOOKUP("PBuy",Data!$J$1:$M$5,4,FALSE)/1000000</f>
        <v>306336.16188775079</v>
      </c>
      <c r="C122" s="316">
        <f>VLOOKUP("Pbuy",Data!$J$7:$M$11,4,FALSE)/1000000</f>
        <v>263786.51200576278</v>
      </c>
      <c r="D122" s="198">
        <f t="shared" si="12"/>
        <v>0.16130335686404784</v>
      </c>
      <c r="E122" s="316"/>
      <c r="F122" s="316"/>
      <c r="G122" s="316">
        <f>VLOOKUP("Pbuy",Data!$J$13:$M$17,4,FALSE)/1000000</f>
        <v>289828.52652011003</v>
      </c>
      <c r="H122" s="316">
        <f>VLOOKUP("Pbuy",Data!$J$19:$M$23,4,FALSE)/1000000</f>
        <v>252158.30516856999</v>
      </c>
      <c r="I122" s="198">
        <f t="shared" si="13"/>
        <v>0.14939115856746099</v>
      </c>
      <c r="J122" s="160"/>
    </row>
    <row r="123" spans="1:12" ht="13.8" x14ac:dyDescent="0.25">
      <c r="A123" s="244" t="s">
        <v>124</v>
      </c>
      <c r="B123" s="316">
        <f>VLOOKUP("PSell",Data!$J$1:$M$5,4,FALSE)/1000000</f>
        <v>299582.71232145844</v>
      </c>
      <c r="C123" s="316">
        <f>VLOOKUP("Psell",Data!$J$7:$M$11,4,FALSE)/1000000</f>
        <v>258857.77057699789</v>
      </c>
      <c r="D123" s="198">
        <f t="shared" si="12"/>
        <v>0.157325552382237</v>
      </c>
      <c r="E123" s="316"/>
      <c r="F123" s="316"/>
      <c r="G123" s="316">
        <f>VLOOKUP("Psell",Data!$J$13:$M$17,4,FALSE)/1000000</f>
        <v>283614.55404828995</v>
      </c>
      <c r="H123" s="316">
        <f>VLOOKUP("Psell",Data!$J$19:$M$23,4,FALSE)/1000000</f>
        <v>246065.09511168997</v>
      </c>
      <c r="I123" s="198">
        <f t="shared" si="13"/>
        <v>0.1525996969198582</v>
      </c>
      <c r="J123" s="160"/>
    </row>
    <row r="124" spans="1:12" ht="13.8" x14ac:dyDescent="0.25">
      <c r="A124" s="244"/>
      <c r="B124" s="245"/>
      <c r="C124" s="245"/>
      <c r="D124" s="244"/>
      <c r="E124" s="245"/>
      <c r="F124" s="245"/>
      <c r="G124" s="244"/>
      <c r="H124" s="244"/>
      <c r="I124" s="244"/>
      <c r="J124" s="160"/>
    </row>
    <row r="125" spans="1:12" ht="14.4" thickBot="1" x14ac:dyDescent="0.3">
      <c r="A125" s="274" t="s">
        <v>125</v>
      </c>
      <c r="B125" s="275"/>
      <c r="C125" s="275"/>
      <c r="D125" s="275"/>
      <c r="E125" s="275"/>
      <c r="F125" s="275"/>
      <c r="G125" s="275"/>
      <c r="H125" s="274"/>
      <c r="I125" s="274"/>
      <c r="J125" s="160"/>
    </row>
    <row r="126" spans="1:12" ht="14.4" thickBot="1" x14ac:dyDescent="0.3">
      <c r="A126" s="290"/>
      <c r="B126" s="280" t="s">
        <v>126</v>
      </c>
      <c r="C126" s="280" t="s">
        <v>4</v>
      </c>
      <c r="D126" s="394" t="s">
        <v>127</v>
      </c>
      <c r="E126" s="394"/>
      <c r="F126" s="280" t="s">
        <v>128</v>
      </c>
      <c r="G126" s="390" t="s">
        <v>129</v>
      </c>
      <c r="H126" s="390"/>
      <c r="I126" s="280" t="s">
        <v>28</v>
      </c>
      <c r="J126" s="160"/>
    </row>
    <row r="127" spans="1:12" ht="13.8" x14ac:dyDescent="0.25">
      <c r="A127" s="284"/>
      <c r="B127" s="307"/>
      <c r="C127" s="307"/>
      <c r="D127" s="307"/>
      <c r="E127" s="307"/>
      <c r="F127" s="307"/>
      <c r="G127" s="307"/>
      <c r="H127" s="244"/>
      <c r="I127" s="307"/>
      <c r="J127" s="160"/>
    </row>
    <row r="128" spans="1:12" ht="13.8" x14ac:dyDescent="0.25">
      <c r="A128" s="244" t="s">
        <v>116</v>
      </c>
      <c r="B128" s="203">
        <v>667996</v>
      </c>
      <c r="C128" s="328">
        <v>42349</v>
      </c>
      <c r="D128" s="393">
        <v>1959547</v>
      </c>
      <c r="E128" s="393"/>
      <c r="F128" s="328">
        <v>42349</v>
      </c>
      <c r="G128" s="393">
        <v>7331360</v>
      </c>
      <c r="H128" s="393"/>
      <c r="I128" s="196" t="s">
        <v>523</v>
      </c>
    </row>
    <row r="129" spans="1:9" ht="13.8" x14ac:dyDescent="0.25">
      <c r="A129" s="244" t="s">
        <v>512</v>
      </c>
      <c r="B129" s="357">
        <v>1391491</v>
      </c>
      <c r="C129" s="363">
        <v>43012</v>
      </c>
      <c r="D129" s="393">
        <f>2513652909/1000000</f>
        <v>2513.6529089999999</v>
      </c>
      <c r="E129" s="393"/>
      <c r="F129" s="328">
        <v>42349</v>
      </c>
      <c r="G129" s="393">
        <v>9748834</v>
      </c>
      <c r="H129" s="393"/>
      <c r="I129" s="202" t="s">
        <v>130</v>
      </c>
    </row>
    <row r="130" spans="1:9" ht="13.8" x14ac:dyDescent="0.25">
      <c r="A130" s="244" t="s">
        <v>511</v>
      </c>
      <c r="B130" s="357">
        <v>74815</v>
      </c>
      <c r="C130" s="363">
        <v>43090</v>
      </c>
      <c r="D130" s="393">
        <v>165827</v>
      </c>
      <c r="E130" s="393"/>
      <c r="F130" s="328">
        <v>42631</v>
      </c>
      <c r="G130" s="393">
        <v>612552</v>
      </c>
      <c r="H130" s="393"/>
      <c r="I130" s="202" t="s">
        <v>523</v>
      </c>
    </row>
    <row r="131" spans="1:9" ht="13.8" x14ac:dyDescent="0.25">
      <c r="A131" s="244" t="s">
        <v>487</v>
      </c>
      <c r="B131" s="197">
        <v>16176.59</v>
      </c>
      <c r="C131" s="363">
        <v>43039</v>
      </c>
      <c r="D131" s="203"/>
      <c r="E131" s="202"/>
      <c r="F131" s="203"/>
      <c r="G131" s="202"/>
      <c r="H131" s="300"/>
      <c r="I131" s="300"/>
    </row>
    <row r="132" spans="1:9" ht="13.8" thickBot="1" x14ac:dyDescent="0.3">
      <c r="A132" s="108"/>
      <c r="B132" s="108"/>
      <c r="C132" s="108"/>
      <c r="D132" s="108"/>
      <c r="E132" s="108"/>
      <c r="F132" s="108"/>
      <c r="G132" s="108"/>
      <c r="H132" s="108"/>
      <c r="I132" s="108"/>
    </row>
    <row r="133" spans="1:9" ht="13.8" thickTop="1" x14ac:dyDescent="0.25"/>
    <row r="143" spans="1:9" ht="12.75" customHeight="1" x14ac:dyDescent="0.25">
      <c r="A143" s="107" t="str">
        <f>"Market Profile - "&amp; TEXT($H$3,"MMM")&amp;" "&amp;TEXT($H$3,"YYYY")</f>
        <v>Market Profile - Aug 2019</v>
      </c>
      <c r="G143" s="125"/>
      <c r="H143" s="125"/>
    </row>
    <row r="144" spans="1:9" ht="12.75" customHeight="1" x14ac:dyDescent="0.25">
      <c r="F144" s="377" t="s">
        <v>193</v>
      </c>
      <c r="G144" s="377"/>
      <c r="H144" s="377"/>
    </row>
    <row r="145" spans="1:11" x14ac:dyDescent="0.25">
      <c r="F145" s="377"/>
      <c r="G145" s="377"/>
      <c r="H145" s="377"/>
    </row>
    <row r="146" spans="1:11" x14ac:dyDescent="0.25">
      <c r="K146" s="126"/>
    </row>
    <row r="147" spans="1:11" ht="13.8" thickBot="1" x14ac:dyDescent="0.3">
      <c r="A147" s="116" t="str">
        <f>"Position in the world league in "&amp;TEXT(DATE(YEAR(H3),MONTH(H3)-1,DAY(H3)),"MMMM") &amp;" "&amp; TEXT(H3,"YYYY")&amp;" (based on the WFE statistics)"</f>
        <v>Position in the world league in July 2019 (based on the WFE statistics)</v>
      </c>
      <c r="B147" s="121"/>
      <c r="C147" s="121"/>
      <c r="D147" s="121"/>
      <c r="E147" s="121"/>
      <c r="F147" s="121"/>
      <c r="G147" s="121"/>
      <c r="H147" s="121"/>
      <c r="I147" s="121"/>
      <c r="K147" s="126"/>
    </row>
    <row r="148" spans="1:11" ht="13.8" x14ac:dyDescent="0.25">
      <c r="A148" s="277"/>
      <c r="B148" s="277"/>
      <c r="C148" s="277"/>
      <c r="D148" s="277"/>
      <c r="E148" s="313"/>
      <c r="F148" s="385" t="s">
        <v>198</v>
      </c>
      <c r="G148" s="385"/>
      <c r="H148" s="385"/>
      <c r="I148" s="385"/>
    </row>
    <row r="149" spans="1:11" ht="14.4" thickBot="1" x14ac:dyDescent="0.3">
      <c r="A149" s="290"/>
      <c r="B149" s="314" t="str">
        <f>TEXT(DATE(2000,TEXT(H3,"M")-1,1),"mmm")&amp; " "&amp; TEXT(H3,"YYYY")</f>
        <v>Jul 2019</v>
      </c>
      <c r="C149" s="280" t="s">
        <v>16</v>
      </c>
      <c r="D149" s="314" t="str">
        <f>TEXT(DATE(2000,TEXT(H3,"M")-1,1),"mmm")&amp; " "&amp; TEXT(H3,"YYYY")-1</f>
        <v>Jul 2018</v>
      </c>
      <c r="E149" s="315" t="s">
        <v>16</v>
      </c>
      <c r="F149" s="290">
        <f>TEXT($H$3,"YYYY")-1</f>
        <v>2018</v>
      </c>
      <c r="G149" s="280">
        <f>TEXT($H$3,"YYYY")-2</f>
        <v>2017</v>
      </c>
      <c r="H149" s="290">
        <f>TEXT($H$3,"YYYY")-3</f>
        <v>2016</v>
      </c>
      <c r="I149" s="280">
        <f>TEXT($H$3,"YYYY")-4</f>
        <v>2015</v>
      </c>
    </row>
    <row r="150" spans="1:11" ht="13.8" x14ac:dyDescent="0.25">
      <c r="A150" s="244" t="s">
        <v>17</v>
      </c>
      <c r="B150" s="358">
        <v>958470.92</v>
      </c>
      <c r="C150" s="334">
        <v>18</v>
      </c>
      <c r="D150" s="358">
        <v>1097980.86431962</v>
      </c>
      <c r="E150" s="334">
        <v>17</v>
      </c>
      <c r="F150" s="334">
        <v>19</v>
      </c>
      <c r="G150" s="334">
        <v>17</v>
      </c>
      <c r="H150" s="300">
        <v>18</v>
      </c>
      <c r="I150" s="334">
        <v>17</v>
      </c>
      <c r="K150" s="126"/>
    </row>
    <row r="151" spans="1:11" ht="13.8" x14ac:dyDescent="0.25">
      <c r="A151" s="244" t="s">
        <v>18</v>
      </c>
      <c r="B151" s="358">
        <v>25822.97</v>
      </c>
      <c r="C151" s="334">
        <v>17</v>
      </c>
      <c r="D151" s="358">
        <v>28238.153450584261</v>
      </c>
      <c r="E151" s="334">
        <v>21</v>
      </c>
      <c r="F151" s="334">
        <v>19</v>
      </c>
      <c r="G151" s="334">
        <v>20</v>
      </c>
      <c r="H151" s="300">
        <v>20</v>
      </c>
      <c r="I151" s="334">
        <v>24</v>
      </c>
      <c r="K151" s="258"/>
    </row>
    <row r="152" spans="1:11" ht="13.8" x14ac:dyDescent="0.25">
      <c r="A152" s="244" t="s">
        <v>158</v>
      </c>
      <c r="B152" s="352">
        <v>0.32330207785542414</v>
      </c>
      <c r="C152" s="334">
        <v>19</v>
      </c>
      <c r="D152" s="352">
        <v>0.28160372064736627</v>
      </c>
      <c r="E152" s="334">
        <v>27</v>
      </c>
      <c r="F152" s="334">
        <v>30</v>
      </c>
      <c r="G152" s="334">
        <v>25</v>
      </c>
      <c r="H152" s="300">
        <v>22</v>
      </c>
      <c r="I152" s="334">
        <v>29</v>
      </c>
      <c r="K152" s="258"/>
    </row>
    <row r="153" spans="1:11" ht="13.8" thickBot="1" x14ac:dyDescent="0.3">
      <c r="A153" s="108"/>
      <c r="B153" s="143"/>
      <c r="C153" s="144"/>
      <c r="D153" s="143"/>
      <c r="E153" s="144"/>
      <c r="F153" s="108"/>
      <c r="G153" s="144"/>
      <c r="H153" s="108"/>
      <c r="I153" s="144"/>
      <c r="K153" s="258"/>
    </row>
    <row r="154" spans="1:11" ht="13.8" thickTop="1" x14ac:dyDescent="0.25">
      <c r="A154" s="18" t="s">
        <v>19</v>
      </c>
      <c r="B154" s="18"/>
      <c r="D154" s="27"/>
      <c r="E154" s="49"/>
      <c r="K154" s="258"/>
    </row>
    <row r="155" spans="1:11" x14ac:dyDescent="0.25">
      <c r="A155" s="18" t="s">
        <v>20</v>
      </c>
      <c r="B155" s="36"/>
      <c r="K155" s="258"/>
    </row>
    <row r="156" spans="1:11" x14ac:dyDescent="0.25">
      <c r="K156" s="258"/>
    </row>
    <row r="157" spans="1:11" x14ac:dyDescent="0.25">
      <c r="A157" s="124" t="s">
        <v>159</v>
      </c>
      <c r="K157" s="258"/>
    </row>
    <row r="158" spans="1:11" ht="13.8" thickBot="1" x14ac:dyDescent="0.3">
      <c r="A158" s="117" t="s">
        <v>143</v>
      </c>
      <c r="B158" s="117"/>
      <c r="C158" s="117"/>
      <c r="D158" s="117"/>
      <c r="E158" s="117"/>
      <c r="F158" s="117"/>
      <c r="G158" s="117"/>
      <c r="H158" s="117"/>
      <c r="I158" s="117"/>
    </row>
    <row r="159" spans="1:11" ht="13.8" x14ac:dyDescent="0.25">
      <c r="A159" s="277"/>
      <c r="B159" s="276" t="s">
        <v>1</v>
      </c>
      <c r="C159" s="276" t="s">
        <v>174</v>
      </c>
      <c r="D159" s="276" t="s">
        <v>174</v>
      </c>
      <c r="E159" s="276" t="s">
        <v>2</v>
      </c>
      <c r="F159" s="317"/>
      <c r="G159" s="277"/>
      <c r="H159" s="277"/>
      <c r="I159" s="277"/>
    </row>
    <row r="160" spans="1:11" ht="13.8" x14ac:dyDescent="0.25">
      <c r="A160" s="277"/>
      <c r="B160" s="276" t="s">
        <v>3</v>
      </c>
      <c r="C160" s="276" t="s">
        <v>173</v>
      </c>
      <c r="D160" s="276" t="s">
        <v>173</v>
      </c>
      <c r="E160" s="276" t="s">
        <v>5</v>
      </c>
      <c r="F160" s="317"/>
      <c r="G160" s="277"/>
      <c r="H160" s="277"/>
      <c r="I160" s="277"/>
    </row>
    <row r="161" spans="1:9" ht="14.4" thickBot="1" x14ac:dyDescent="0.3">
      <c r="A161" s="290"/>
      <c r="B161" s="278" t="str">
        <f>TEXT($H$3,"MMM")&amp;" "&amp;TEXT($H$3,"YYYY")</f>
        <v>Aug 2019</v>
      </c>
      <c r="C161" s="278" t="str">
        <f>TEXT($H$3,"YYYY")</f>
        <v>2019</v>
      </c>
      <c r="D161" s="278">
        <f>TEXT($H$3,"YYYY")-1</f>
        <v>2018</v>
      </c>
      <c r="E161" s="280" t="s">
        <v>6</v>
      </c>
      <c r="F161" s="280">
        <f>TEXT($H$3,"YYYY")-1</f>
        <v>2018</v>
      </c>
      <c r="G161" s="280">
        <f>TEXT($H$3,"YYYY")-2</f>
        <v>2017</v>
      </c>
      <c r="H161" s="280">
        <f>TEXT($H$3,"YYYY")-3</f>
        <v>2016</v>
      </c>
      <c r="I161" s="280">
        <f>TEXT($H$3,"YYYY")-4</f>
        <v>2015</v>
      </c>
    </row>
    <row r="162" spans="1:9" ht="13.8" x14ac:dyDescent="0.25">
      <c r="A162" s="244" t="s">
        <v>21</v>
      </c>
      <c r="B162" s="193">
        <f>SUMIF(Data!$DG$1:$DG$15,"AS",Data!$DH$1:$DH$15)/1000000</f>
        <v>0</v>
      </c>
      <c r="C162" s="350">
        <f>SUMIF(Data!$DJ$1:$DJ$15,"AS",Data!$DK$1:$DK$15)/1000000</f>
        <v>1107.1968789500002</v>
      </c>
      <c r="D162" s="350">
        <f>SUMIF(Data!$DM$1:$DM$15,"AS",Data!$DN$1:$DN$15)/1000000</f>
        <v>3443.8977248800002</v>
      </c>
      <c r="E162" s="352">
        <f>IFERROR(IF(OR(AND(D162="",C162=""),AND(D162=0,C162=0)),0,
IF(OR(D162="",D162=0),1,
IF(OR(D162&lt;&gt;"",D162&lt;&gt;0),(C162-D162)/ABS(D162)))),-1)</f>
        <v>-0.67850471547073032</v>
      </c>
      <c r="F162" s="357">
        <v>5231</v>
      </c>
      <c r="G162" s="358">
        <v>23315</v>
      </c>
      <c r="H162" s="358">
        <v>13085</v>
      </c>
      <c r="I162" s="358">
        <v>93130</v>
      </c>
    </row>
    <row r="163" spans="1:9" ht="13.8" x14ac:dyDescent="0.25">
      <c r="A163" s="244" t="s">
        <v>22</v>
      </c>
      <c r="B163" s="193">
        <f>(SUMIF(Data!$DG$1:$DG$15,"RT",Data!$DH$1:$DH$15)+SUMIF(Data!$DG$1:$DG$15,"TU",Data!$DH$1:$DH$15))/1000000</f>
        <v>0</v>
      </c>
      <c r="C163" s="350">
        <f>(SUMIF(Data!$DJ$1:$DJ$15,"RT",Data!$DK$1:$DK$15)+SUMIF(Data!$DJ$1:$DJ$15,"TU",Data!$DK$1:$DK$15))/1000000</f>
        <v>1161.1092679999999</v>
      </c>
      <c r="D163" s="350">
        <f>(SUMIF(Data!$DM$1:$DM$15,"RT",Data!$DN$1:$DN$15)+SUMIF(Data!$DM$1:$DM$15,"TU",Data!$DN$1:$DN$15))/1000000</f>
        <v>4162.3845466599996</v>
      </c>
      <c r="E163" s="352">
        <f t="shared" ref="E163:E166" si="14">IFERROR(IF(OR(AND(D163="",C163=""),AND(D163=0,C163=0)),0,
IF(OR(D163="",D163=0),1,
IF(OR(D163&lt;&gt;"",D163&lt;&gt;0),(C163-D163)/ABS(D163)))),-1)</f>
        <v>-0.72104709332257566</v>
      </c>
      <c r="F163" s="357">
        <v>5097</v>
      </c>
      <c r="G163" s="358">
        <v>32688</v>
      </c>
      <c r="H163" s="358">
        <v>24160</v>
      </c>
      <c r="I163" s="358">
        <v>35842</v>
      </c>
    </row>
    <row r="164" spans="1:9" ht="13.8" x14ac:dyDescent="0.25">
      <c r="A164" s="244" t="s">
        <v>169</v>
      </c>
      <c r="B164" s="193">
        <v>0</v>
      </c>
      <c r="C164" s="350">
        <v>0</v>
      </c>
      <c r="D164" s="350">
        <v>0</v>
      </c>
      <c r="E164" s="352">
        <f t="shared" si="14"/>
        <v>0</v>
      </c>
      <c r="F164" s="357" t="s">
        <v>524</v>
      </c>
      <c r="G164" s="183" t="s">
        <v>525</v>
      </c>
      <c r="H164" s="183" t="s">
        <v>526</v>
      </c>
      <c r="I164" s="183" t="s">
        <v>527</v>
      </c>
    </row>
    <row r="165" spans="1:9" ht="13.8" x14ac:dyDescent="0.25">
      <c r="A165" s="244" t="s">
        <v>23</v>
      </c>
      <c r="B165" s="193">
        <f>(SUMIF(Data!$DG$1:$DG$15,"SO",Data!$DH$1:$DH$15)+SUMIF(Data!$DG$1:$DG$15,"SS",Data!$DH$1:$DH$15))/1000000</f>
        <v>192.38847596000002</v>
      </c>
      <c r="C165" s="350">
        <f>(SUMIF(Data!$DJ$1:$DJ$15,"SO",Data!$DK$1:$DK$15)+SUMIF(Data!$DJ$1:$DJ$15,"SS",Data!$DK$1:$DK$15))/1000000</f>
        <v>3656.05834989</v>
      </c>
      <c r="D165" s="350">
        <f>(SUMIF(Data!$DM$1:$DM$15,"SO",Data!$DN$1:$DN$15)+SUMIF(Data!$DM$1:$DM$15,"SS",Data!$DN$1:$DN$15))/1000000</f>
        <v>4366.6376702799998</v>
      </c>
      <c r="E165" s="352">
        <f t="shared" si="14"/>
        <v>-0.16272916922471281</v>
      </c>
      <c r="F165" s="357">
        <v>6461</v>
      </c>
      <c r="G165" s="358">
        <v>9468</v>
      </c>
      <c r="H165" s="358">
        <v>9374</v>
      </c>
      <c r="I165" s="358">
        <v>11688</v>
      </c>
    </row>
    <row r="166" spans="1:9" ht="13.8" x14ac:dyDescent="0.25">
      <c r="A166" s="244" t="s">
        <v>24</v>
      </c>
      <c r="B166" s="193">
        <f>(SUMIF(Data!$DG$1:$DG$15,"SI",Data!$DH$1:$DH$15)+SUMIF(Data!$DG$1:$DG$15,"GI",Data!$DH$1:$DH$15))/1000000</f>
        <v>4759.5921911900004</v>
      </c>
      <c r="C166" s="350">
        <f>(SUMIF(Data!$DJ$1:$DJ$15,"SI",Data!$DK$1:$DK$15)+SUMIF(Data!$DJ$1:$DJ$15,"GI",Data!$DK$1:$DK$15))/1000000</f>
        <v>22488.672490090001</v>
      </c>
      <c r="D166" s="350">
        <f>(SUMIF(Data!$DM$1:$DM$15,"SI",Data!$DN$1:$DN$15)+SUMIF(Data!$DM$1:$DM$15,"GI",Data!$DN$1:$DN$15))/1000000</f>
        <v>16272.77965491</v>
      </c>
      <c r="E166" s="352">
        <f t="shared" si="14"/>
        <v>0.38198101166474491</v>
      </c>
      <c r="F166" s="357">
        <v>38830</v>
      </c>
      <c r="G166" s="358">
        <v>35048</v>
      </c>
      <c r="H166" s="358">
        <v>69649</v>
      </c>
      <c r="I166" s="358">
        <v>109530</v>
      </c>
    </row>
    <row r="167" spans="1:9" ht="13.8" x14ac:dyDescent="0.25">
      <c r="A167" s="284" t="s">
        <v>25</v>
      </c>
      <c r="B167" s="351">
        <f>SUM(B162:B166)</f>
        <v>4951.98066715</v>
      </c>
      <c r="C167" s="351">
        <f>SUM(C162:C166)</f>
        <v>28413.036986930001</v>
      </c>
      <c r="D167" s="351">
        <f>SUM(D162:D166)</f>
        <v>28245.699596730003</v>
      </c>
      <c r="E167" s="353">
        <f>IFERROR(IF(OR(AND(D167="",C167=""),AND(D167=0,C167=0)),0,
IF(OR(D167="",D167=0),1,
IF(OR(D167&lt;&gt;"",D167&lt;&gt;0),(C167-D167)/ABS(D167)))),-1)</f>
        <v>5.9243492846383977E-3</v>
      </c>
      <c r="F167" s="364">
        <v>55620</v>
      </c>
      <c r="G167" s="364">
        <v>100520</v>
      </c>
      <c r="H167" s="364">
        <v>116269</v>
      </c>
      <c r="I167" s="364">
        <v>250190</v>
      </c>
    </row>
    <row r="168" spans="1:9" ht="13.8" thickBot="1" x14ac:dyDescent="0.3">
      <c r="A168" s="109"/>
      <c r="B168" s="113"/>
      <c r="C168" s="113"/>
      <c r="D168" s="113"/>
      <c r="E168" s="145"/>
      <c r="F168" s="113"/>
      <c r="G168" s="113"/>
      <c r="H168" s="113"/>
      <c r="I168" s="113"/>
    </row>
    <row r="169" spans="1:9" ht="13.8" thickTop="1" x14ac:dyDescent="0.25">
      <c r="A169" s="18" t="s">
        <v>167</v>
      </c>
      <c r="B169" s="27"/>
      <c r="D169" s="28"/>
      <c r="E169" s="28"/>
      <c r="F169" s="28"/>
    </row>
    <row r="171" spans="1:9" ht="13.8" thickBot="1" x14ac:dyDescent="0.3">
      <c r="A171" s="122" t="s">
        <v>26</v>
      </c>
      <c r="B171" s="116"/>
      <c r="C171" s="116"/>
      <c r="D171" s="116"/>
      <c r="E171" s="116"/>
      <c r="F171" s="116"/>
      <c r="G171" s="116"/>
      <c r="H171" s="116"/>
      <c r="I171" s="116"/>
    </row>
    <row r="172" spans="1:9" ht="13.8" x14ac:dyDescent="0.25">
      <c r="A172" s="277"/>
      <c r="B172" s="276" t="s">
        <v>1</v>
      </c>
      <c r="C172" s="276" t="s">
        <v>174</v>
      </c>
      <c r="D172" s="276" t="s">
        <v>174</v>
      </c>
      <c r="E172" s="276" t="s">
        <v>27</v>
      </c>
      <c r="F172" s="317"/>
      <c r="G172" s="277"/>
      <c r="H172" s="277"/>
      <c r="I172" s="277"/>
    </row>
    <row r="173" spans="1:9" ht="13.8" x14ac:dyDescent="0.25">
      <c r="A173" s="277"/>
      <c r="B173" s="276" t="s">
        <v>3</v>
      </c>
      <c r="C173" s="276" t="s">
        <v>173</v>
      </c>
      <c r="D173" s="276" t="s">
        <v>173</v>
      </c>
      <c r="E173" s="276" t="s">
        <v>5</v>
      </c>
      <c r="F173" s="317"/>
      <c r="G173" s="277"/>
      <c r="H173" s="277"/>
      <c r="I173" s="277"/>
    </row>
    <row r="174" spans="1:9" ht="14.4" thickBot="1" x14ac:dyDescent="0.3">
      <c r="A174" s="290"/>
      <c r="B174" s="278" t="str">
        <f>TEXT($H$3,"MMM")&amp;" "&amp;TEXT($H$3,"YYYY")</f>
        <v>Aug 2019</v>
      </c>
      <c r="C174" s="278" t="str">
        <f>TEXT($H$3,"YYYY")</f>
        <v>2019</v>
      </c>
      <c r="D174" s="278">
        <f>TEXT($H$3,"YYYY")-1</f>
        <v>2018</v>
      </c>
      <c r="E174" s="280" t="s">
        <v>6</v>
      </c>
      <c r="F174" s="280">
        <f>TEXT($H$3,"YYYY")-1</f>
        <v>2018</v>
      </c>
      <c r="G174" s="280">
        <f>TEXT($H$3,"YYYY")-2</f>
        <v>2017</v>
      </c>
      <c r="H174" s="280">
        <f>TEXT($H$3,"YYYY")-3</f>
        <v>2016</v>
      </c>
      <c r="I174" s="280">
        <f>TEXT($H$3,"YYYY")-4</f>
        <v>2015</v>
      </c>
    </row>
    <row r="175" spans="1:9" ht="13.8" x14ac:dyDescent="0.25">
      <c r="A175" s="244" t="s">
        <v>165</v>
      </c>
      <c r="B175" s="282">
        <f>250*Data!CE9/Data!CH2/Data!CD18</f>
        <v>0.39157905069153354</v>
      </c>
      <c r="C175" s="282">
        <v>0.36099999999999999</v>
      </c>
      <c r="D175" s="282">
        <v>0.38490000000000002</v>
      </c>
      <c r="E175" s="282">
        <f>IFERROR(IF(OR(AND(D175="",C175=""),AND(D175=0,C175=0)),"",
IF(OR(D175="",D175=0),1,
IF(OR(D175&lt;&gt;"",D175&lt;&gt;0),(C175-D175)/ABS(D175)))),-1)</f>
        <v>-6.2094050402702078E-2</v>
      </c>
      <c r="F175" s="361">
        <v>44.7</v>
      </c>
      <c r="G175" s="361">
        <v>35.9</v>
      </c>
      <c r="H175" s="361">
        <v>34.9</v>
      </c>
      <c r="I175" s="361">
        <v>42.8</v>
      </c>
    </row>
    <row r="176" spans="1:9" ht="13.8" x14ac:dyDescent="0.25">
      <c r="A176" s="243" t="s">
        <v>166</v>
      </c>
      <c r="B176" s="282">
        <v>0.36899999999999999</v>
      </c>
      <c r="C176" s="282">
        <v>0.34339999999999998</v>
      </c>
      <c r="D176" s="282">
        <v>0.3574</v>
      </c>
      <c r="E176" s="282">
        <f>IFERROR(IF(OR(AND(D176="",C176=""),AND(D176=0,C176=0)),"",
IF(OR(D176="",D176=0),1,
IF(OR(D176&lt;&gt;"",D176&lt;&gt;0),(C176-D176)/ABS(D176)))),-1)</f>
        <v>-3.9171796306659241E-2</v>
      </c>
      <c r="F176" s="361">
        <v>42</v>
      </c>
      <c r="G176" s="361">
        <v>33</v>
      </c>
      <c r="H176" s="361">
        <v>32.6</v>
      </c>
      <c r="I176" s="361">
        <v>39.9</v>
      </c>
    </row>
    <row r="177" spans="1:9" ht="13.8" thickBot="1" x14ac:dyDescent="0.3">
      <c r="A177" s="108"/>
      <c r="B177" s="143"/>
      <c r="C177" s="143"/>
      <c r="D177" s="142"/>
      <c r="E177" s="112"/>
      <c r="F177" s="146"/>
      <c r="G177" s="146"/>
      <c r="H177" s="146"/>
      <c r="I177" s="146"/>
    </row>
    <row r="178" spans="1:9" ht="13.8" thickTop="1" x14ac:dyDescent="0.25">
      <c r="A178" s="18" t="s">
        <v>521</v>
      </c>
      <c r="B178" s="37"/>
      <c r="C178" s="53"/>
      <c r="D178" s="46"/>
      <c r="E178" s="53"/>
      <c r="F178" s="53"/>
      <c r="G178" s="53"/>
      <c r="H178" s="37"/>
      <c r="I178" s="37"/>
    </row>
    <row r="180" spans="1:9" x14ac:dyDescent="0.25">
      <c r="B180" s="107"/>
      <c r="C180" s="107"/>
      <c r="D180" s="107" t="s">
        <v>143</v>
      </c>
      <c r="E180" s="107"/>
      <c r="F180" s="107"/>
      <c r="G180" s="107"/>
      <c r="H180" s="107"/>
      <c r="I180" s="107"/>
    </row>
    <row r="181" spans="1:9" ht="13.8" thickBot="1" x14ac:dyDescent="0.3">
      <c r="A181" s="122" t="s">
        <v>144</v>
      </c>
      <c r="B181" s="117"/>
      <c r="C181" s="117"/>
      <c r="D181" s="117"/>
      <c r="E181" s="117"/>
      <c r="F181" s="117"/>
      <c r="G181" s="117"/>
      <c r="H181" s="117"/>
      <c r="I181" s="117"/>
    </row>
    <row r="182" spans="1:9" ht="13.8" x14ac:dyDescent="0.25">
      <c r="A182" s="277"/>
      <c r="B182" s="276" t="s">
        <v>1</v>
      </c>
      <c r="C182" s="276" t="s">
        <v>174</v>
      </c>
      <c r="D182" s="276" t="s">
        <v>174</v>
      </c>
      <c r="E182" s="276" t="s">
        <v>27</v>
      </c>
      <c r="F182" s="317"/>
      <c r="G182" s="277"/>
      <c r="H182" s="277"/>
      <c r="I182" s="277"/>
    </row>
    <row r="183" spans="1:9" ht="13.8" x14ac:dyDescent="0.25">
      <c r="A183" s="277"/>
      <c r="B183" s="276" t="s">
        <v>3</v>
      </c>
      <c r="C183" s="276" t="s">
        <v>4</v>
      </c>
      <c r="D183" s="276" t="s">
        <v>173</v>
      </c>
      <c r="E183" s="276" t="s">
        <v>5</v>
      </c>
      <c r="F183" s="317"/>
      <c r="G183" s="277"/>
      <c r="H183" s="277"/>
      <c r="I183" s="277"/>
    </row>
    <row r="184" spans="1:9" ht="14.4" thickBot="1" x14ac:dyDescent="0.3">
      <c r="A184" s="290"/>
      <c r="B184" s="278" t="str">
        <f>TEXT($H$3,"MMM")&amp;" "&amp;TEXT($H$3,"YYYY")</f>
        <v>Aug 2019</v>
      </c>
      <c r="C184" s="278" t="str">
        <f>TEXT($H$3,"YYYY")</f>
        <v>2019</v>
      </c>
      <c r="D184" s="278">
        <f>TEXT($H$3,"YYYY")-1</f>
        <v>2018</v>
      </c>
      <c r="E184" s="280" t="s">
        <v>6</v>
      </c>
      <c r="F184" s="280">
        <f>TEXT($H$3,"YYYY")-1</f>
        <v>2018</v>
      </c>
      <c r="G184" s="280">
        <f>TEXT($H$3,"YYYY")-2</f>
        <v>2017</v>
      </c>
      <c r="H184" s="280">
        <f>TEXT($H$3,"YYYY")-3</f>
        <v>2016</v>
      </c>
      <c r="I184" s="280">
        <f>TEXT($H$3,"YYYY")-4</f>
        <v>2015</v>
      </c>
    </row>
    <row r="185" spans="1:9" ht="13.8" x14ac:dyDescent="0.25">
      <c r="A185" s="308" t="s">
        <v>185</v>
      </c>
      <c r="B185" s="244"/>
      <c r="C185" s="244"/>
      <c r="D185" s="244"/>
      <c r="E185" s="244"/>
      <c r="F185" s="244"/>
      <c r="G185" s="244"/>
      <c r="H185" s="244"/>
      <c r="I185" s="244"/>
    </row>
    <row r="186" spans="1:9" ht="13.8" x14ac:dyDescent="0.25">
      <c r="A186" s="244" t="s">
        <v>29</v>
      </c>
      <c r="B186" s="245">
        <f ca="1">SUMIF(Data!$BT$1:$BT$7,"&lt;&gt;AltX",Data!$BU$1:$BU$6)</f>
        <v>315</v>
      </c>
      <c r="C186" s="245">
        <f>SUMIF(Data!$BT$9:$BT$14,"&lt;&gt;AltX",Data!BU9:BU14)</f>
        <v>315</v>
      </c>
      <c r="D186" s="245">
        <f>SUMIF(Data!$BT$17:$BT$23,"&lt;&gt;AltX",Data!$BU$17:$BU$24)</f>
        <v>325</v>
      </c>
      <c r="E186" s="282">
        <f>IFERROR(IF(OR(AND(D186="",C186=""),AND(D186=0,C186=0)),"",
IF(OR(D186="",D186=0),1,
IF(OR(D186&lt;&gt;"",D186&lt;&gt;0),(C186-D186)/ABS(D186)))),-1)</f>
        <v>-3.0769230769230771E-2</v>
      </c>
      <c r="F186" s="355">
        <v>326</v>
      </c>
      <c r="G186" s="355">
        <v>324</v>
      </c>
      <c r="H186" s="355">
        <v>328</v>
      </c>
      <c r="I186" s="355">
        <v>331</v>
      </c>
    </row>
    <row r="187" spans="1:9" ht="13.8" x14ac:dyDescent="0.25">
      <c r="A187" s="244" t="s">
        <v>30</v>
      </c>
      <c r="B187" s="245">
        <f ca="1">SUMIF(Data!$BT$1:$BT$7,"&lt;&gt;AltX",Data!$BV$1:$BV$6)</f>
        <v>0</v>
      </c>
      <c r="C187" s="245">
        <f>SUMIF(Data!$BT$9:$BT$14,"&lt;&gt;AltX",Data!BV9:BV14)</f>
        <v>2</v>
      </c>
      <c r="D187" s="245">
        <f>SUMIF(Data!$BT$17:$BT$23,"&lt;&gt;AltX",Data!$BV$17:$BV$23)</f>
        <v>9</v>
      </c>
      <c r="E187" s="282">
        <f t="shared" ref="E187:E188" si="15">IFERROR(IF(OR(AND(D187="",C187=""),AND(D187=0,C187=0)),"",
IF(OR(D187="",D187=0),1,
IF(OR(D187&lt;&gt;"",D187&lt;&gt;0),(C187-D187)/ABS(D187)))),-1)</f>
        <v>-0.77777777777777779</v>
      </c>
      <c r="F187" s="355">
        <v>11</v>
      </c>
      <c r="G187" s="355">
        <v>13</v>
      </c>
      <c r="H187" s="355">
        <v>11</v>
      </c>
      <c r="I187" s="355">
        <v>15</v>
      </c>
    </row>
    <row r="188" spans="1:9" ht="13.8" x14ac:dyDescent="0.25">
      <c r="A188" s="244" t="s">
        <v>31</v>
      </c>
      <c r="B188" s="245">
        <f ca="1">SUMIF(Data!$BT$1:$BT$7,"&lt;&gt;AltX",Data!$BW$1:$BW$6)</f>
        <v>0</v>
      </c>
      <c r="C188" s="245">
        <f>SUMIF(Data!$BT$9:$BT$14,"&lt;&gt;AltX",Data!BW9:BW14)</f>
        <v>13</v>
      </c>
      <c r="D188" s="245">
        <f>SUMIF(Data!$BT$17:$BT$23,"&lt;&gt;AltX",Data!$BW$17:$BW$23)</f>
        <v>8</v>
      </c>
      <c r="E188" s="282">
        <f t="shared" si="15"/>
        <v>0.625</v>
      </c>
      <c r="F188" s="355">
        <v>9</v>
      </c>
      <c r="G188" s="355">
        <v>21</v>
      </c>
      <c r="H188" s="355">
        <v>17</v>
      </c>
      <c r="I188" s="355">
        <v>18</v>
      </c>
    </row>
    <row r="189" spans="1:9" ht="13.8" x14ac:dyDescent="0.25">
      <c r="A189" s="244"/>
      <c r="B189" s="245"/>
      <c r="C189" s="245"/>
      <c r="D189" s="245"/>
      <c r="E189" s="318"/>
      <c r="F189" s="355"/>
      <c r="G189" s="355"/>
      <c r="H189" s="355"/>
      <c r="I189" s="355"/>
    </row>
    <row r="190" spans="1:9" ht="13.8" x14ac:dyDescent="0.25">
      <c r="A190" s="284" t="s">
        <v>137</v>
      </c>
      <c r="B190" s="245"/>
      <c r="C190" s="245"/>
      <c r="D190" s="245"/>
      <c r="E190" s="318"/>
      <c r="F190" s="355"/>
      <c r="G190" s="355"/>
      <c r="H190" s="355"/>
      <c r="I190" s="355"/>
    </row>
    <row r="191" spans="1:9" ht="13.8" x14ac:dyDescent="0.25">
      <c r="A191" s="244" t="s">
        <v>29</v>
      </c>
      <c r="B191" s="245">
        <f ca="1">SUMIF(Data!$BT$1:$BT$7,"AltX",Data!$BU$1:$BU$6)</f>
        <v>42</v>
      </c>
      <c r="C191" s="245">
        <f>SUMIF(Data!$BT$9:$BT$14,"AltX",Data!BU9:BU14)</f>
        <v>42</v>
      </c>
      <c r="D191" s="245">
        <f>SUMIF(Data!$BT$17:$BT$23,"AltX",Data!$BU$17:$BU$24)</f>
        <v>46</v>
      </c>
      <c r="E191" s="282">
        <f t="shared" ref="E191:E192" si="16">IFERROR(IF(OR(AND(D191="",C191=""),AND(D191=0,C191=0)),"",
IF(OR(D191="",D191=0),1,
IF(OR(D191&lt;&gt;"",D191&lt;&gt;0),(C191-D191)/ABS(D191)))),-1)</f>
        <v>-8.6956521739130432E-2</v>
      </c>
      <c r="F191" s="355">
        <v>46</v>
      </c>
      <c r="G191" s="355">
        <v>53</v>
      </c>
      <c r="H191" s="355">
        <v>60</v>
      </c>
      <c r="I191" s="355">
        <v>64</v>
      </c>
    </row>
    <row r="192" spans="1:9" ht="13.8" x14ac:dyDescent="0.25">
      <c r="A192" s="244" t="s">
        <v>30</v>
      </c>
      <c r="B192" s="245">
        <f ca="1">SUMIF(Data!$BT$1:$BT$7,"AltX",Data!$BV$1:$BV$6)</f>
        <v>0</v>
      </c>
      <c r="C192" s="245">
        <f>SUMIF(Data!$BT$9:$BT$14,"AltX",Data!BV9:BV14)</f>
        <v>0</v>
      </c>
      <c r="D192" s="245">
        <f>SUMIF(Data!$BT$17:$BT$23,"AltX",Data!$BV$17:$BV$23)</f>
        <v>1</v>
      </c>
      <c r="E192" s="282">
        <f t="shared" si="16"/>
        <v>-1</v>
      </c>
      <c r="F192" s="355">
        <v>1</v>
      </c>
      <c r="G192" s="355">
        <v>8</v>
      </c>
      <c r="H192" s="355">
        <v>7</v>
      </c>
      <c r="I192" s="355">
        <v>8</v>
      </c>
    </row>
    <row r="193" spans="1:9" ht="13.8" x14ac:dyDescent="0.25">
      <c r="A193" s="244" t="s">
        <v>31</v>
      </c>
      <c r="B193" s="245">
        <f ca="1">SUMIF(Data!$BT$1:$BT$7,"AltX",Data!$BW$1:$BW$6)</f>
        <v>0</v>
      </c>
      <c r="C193" s="245">
        <f>SUMIF(Data!$BT$9:$BT$14,"AltX",Data!BW9:BW14)</f>
        <v>4</v>
      </c>
      <c r="D193" s="245">
        <f>SUMIF(Data!$BT$17:$BT$23,"AltX",Data!$BW$17:$BW$23)</f>
        <v>8</v>
      </c>
      <c r="E193" s="282">
        <f t="shared" ref="E193" ca="1" si="17">IFERROR(IF(OR(AND(C193="",B193=""),AND(C193=0,B193=0)),"",
IF(OR(C193="",C193=0),1,
IF(OR(C193&lt;&gt;"",C193&lt;&gt;0),(B193-C193)/ABS(C193)))),-1)</f>
        <v>-1</v>
      </c>
      <c r="F193" s="355">
        <v>8</v>
      </c>
      <c r="G193" s="355">
        <v>11</v>
      </c>
      <c r="H193" s="355">
        <v>8</v>
      </c>
      <c r="I193" s="355">
        <v>1</v>
      </c>
    </row>
    <row r="194" spans="1:9" ht="13.8" x14ac:dyDescent="0.25">
      <c r="A194" s="244"/>
      <c r="B194" s="245"/>
      <c r="C194" s="245"/>
      <c r="D194" s="245"/>
      <c r="E194" s="318"/>
      <c r="F194" s="355"/>
      <c r="G194" s="355"/>
      <c r="H194" s="355"/>
      <c r="I194" s="355"/>
    </row>
    <row r="195" spans="1:9" ht="13.8" x14ac:dyDescent="0.25">
      <c r="A195" s="284" t="s">
        <v>32</v>
      </c>
      <c r="B195" s="245"/>
      <c r="C195" s="245"/>
      <c r="D195" s="245"/>
      <c r="E195" s="318"/>
      <c r="F195" s="355"/>
      <c r="G195" s="355"/>
      <c r="H195" s="355"/>
      <c r="I195" s="355"/>
    </row>
    <row r="196" spans="1:9" ht="13.8" x14ac:dyDescent="0.25">
      <c r="A196" s="244" t="s">
        <v>30</v>
      </c>
      <c r="B196" s="245">
        <f t="shared" ref="B196:D197" ca="1" si="18">B187+B192</f>
        <v>0</v>
      </c>
      <c r="C196" s="245">
        <f t="shared" si="18"/>
        <v>2</v>
      </c>
      <c r="D196" s="245">
        <f t="shared" si="18"/>
        <v>10</v>
      </c>
      <c r="E196" s="282">
        <f t="shared" ref="E196:E202" si="19">IFERROR(IF(OR(AND(D196="",C196=""),AND(D196=0,C196=0)),"",
IF(OR(D196="",D196=0),1,
IF(OR(D196&lt;&gt;"",D196&lt;&gt;0),(C196-D196)/ABS(D196)))),-1)</f>
        <v>-0.8</v>
      </c>
      <c r="F196" s="355">
        <v>12</v>
      </c>
      <c r="G196" s="355">
        <v>21</v>
      </c>
      <c r="H196" s="355">
        <v>18</v>
      </c>
      <c r="I196" s="355">
        <v>23</v>
      </c>
    </row>
    <row r="197" spans="1:9" ht="13.8" x14ac:dyDescent="0.25">
      <c r="A197" s="244" t="s">
        <v>31</v>
      </c>
      <c r="B197" s="245">
        <f t="shared" ca="1" si="18"/>
        <v>0</v>
      </c>
      <c r="C197" s="245">
        <f t="shared" si="18"/>
        <v>17</v>
      </c>
      <c r="D197" s="245">
        <f t="shared" si="18"/>
        <v>16</v>
      </c>
      <c r="E197" s="282">
        <f>IFERROR(IF(OR(AND(D197="",C197=""),AND(D197=0,C197=0)),"",
IF(OR(D197="",D197=0),1,
IF(OR(D197&lt;&gt;"",D197&lt;&gt;0),(C197-D197)/ABS(D197)))),-1)</f>
        <v>6.25E-2</v>
      </c>
      <c r="F197" s="355">
        <v>17</v>
      </c>
      <c r="G197" s="355">
        <v>32</v>
      </c>
      <c r="H197" s="355">
        <v>25</v>
      </c>
      <c r="I197" s="355">
        <v>19</v>
      </c>
    </row>
    <row r="198" spans="1:9" ht="13.8" x14ac:dyDescent="0.25">
      <c r="A198" s="244" t="s">
        <v>33</v>
      </c>
      <c r="B198" s="245">
        <f>SUM(Data!$CB$2:$CB$6)</f>
        <v>70</v>
      </c>
      <c r="C198" s="245">
        <f>SUM(Data!$CB$10:$CB$14)</f>
        <v>70</v>
      </c>
      <c r="D198" s="245">
        <f>SUM(Data!CB18:CB22)</f>
        <v>73</v>
      </c>
      <c r="E198" s="282">
        <f t="shared" si="19"/>
        <v>-4.1095890410958902E-2</v>
      </c>
      <c r="F198" s="355">
        <v>74</v>
      </c>
      <c r="G198" s="355">
        <v>75</v>
      </c>
      <c r="H198" s="355">
        <v>76</v>
      </c>
      <c r="I198" s="355">
        <v>71</v>
      </c>
    </row>
    <row r="199" spans="1:9" ht="13.8" x14ac:dyDescent="0.25">
      <c r="A199" s="244" t="s">
        <v>34</v>
      </c>
      <c r="B199" s="245">
        <f>SUM(Data!$CA$2:$CA$6)</f>
        <v>287</v>
      </c>
      <c r="C199" s="245">
        <f>SUM(Data!$CA$10:$CA$14)</f>
        <v>287</v>
      </c>
      <c r="D199" s="245">
        <f>SUM(Data!CA18:CA22)</f>
        <v>298</v>
      </c>
      <c r="E199" s="282">
        <f t="shared" si="19"/>
        <v>-3.6912751677852351E-2</v>
      </c>
      <c r="F199" s="355">
        <v>298</v>
      </c>
      <c r="G199" s="355">
        <v>302</v>
      </c>
      <c r="H199" s="355">
        <v>312</v>
      </c>
      <c r="I199" s="355">
        <v>324</v>
      </c>
    </row>
    <row r="200" spans="1:9" ht="13.8" x14ac:dyDescent="0.25">
      <c r="A200" s="284" t="s">
        <v>35</v>
      </c>
      <c r="B200" s="246">
        <f ca="1">B186+B191</f>
        <v>357</v>
      </c>
      <c r="C200" s="246">
        <f>C186+C191</f>
        <v>357</v>
      </c>
      <c r="D200" s="246">
        <f>D186+D191</f>
        <v>371</v>
      </c>
      <c r="E200" s="319">
        <f t="shared" si="19"/>
        <v>-3.7735849056603772E-2</v>
      </c>
      <c r="F200" s="356">
        <v>372</v>
      </c>
      <c r="G200" s="356">
        <v>377</v>
      </c>
      <c r="H200" s="356">
        <v>388</v>
      </c>
      <c r="I200" s="356">
        <v>395</v>
      </c>
    </row>
    <row r="201" spans="1:9" ht="13.8" x14ac:dyDescent="0.25">
      <c r="A201" s="284"/>
      <c r="B201" s="245"/>
      <c r="C201" s="245"/>
      <c r="D201" s="246"/>
      <c r="E201" s="244"/>
      <c r="F201" s="355"/>
      <c r="G201" s="355"/>
      <c r="H201" s="355"/>
      <c r="I201" s="355"/>
    </row>
    <row r="202" spans="1:9" ht="13.8" x14ac:dyDescent="0.25">
      <c r="A202" s="284" t="s">
        <v>36</v>
      </c>
      <c r="B202" s="246">
        <f>Data!CD2</f>
        <v>921</v>
      </c>
      <c r="C202" s="246">
        <f>Data!CD2</f>
        <v>921</v>
      </c>
      <c r="D202" s="246">
        <f>Data!CD5</f>
        <v>794</v>
      </c>
      <c r="E202" s="319">
        <f t="shared" si="19"/>
        <v>0.15994962216624686</v>
      </c>
      <c r="F202" s="356">
        <v>822</v>
      </c>
      <c r="G202" s="356">
        <v>812</v>
      </c>
      <c r="H202" s="356">
        <v>816</v>
      </c>
      <c r="I202" s="356">
        <v>858</v>
      </c>
    </row>
    <row r="203" spans="1:9" ht="13.8" x14ac:dyDescent="0.25">
      <c r="A203" s="284"/>
      <c r="B203" s="245"/>
      <c r="C203" s="245"/>
      <c r="D203" s="245"/>
      <c r="E203" s="244"/>
      <c r="F203" s="244"/>
      <c r="G203" s="244"/>
      <c r="H203" s="244"/>
      <c r="I203" s="244"/>
    </row>
    <row r="204" spans="1:9" ht="13.8" x14ac:dyDescent="0.25">
      <c r="A204" s="242" t="s">
        <v>37</v>
      </c>
      <c r="B204" s="320">
        <f>Data!CE2/1000000000</f>
        <v>16036.331460866148</v>
      </c>
      <c r="C204" s="320"/>
      <c r="D204" s="320">
        <f>Data!CE5/1000000000</f>
        <v>14936.273247676419</v>
      </c>
      <c r="E204" s="319">
        <f>IFERROR(IF(OR(AND(D204="",B204=""),AND(D204=0,B204=0)),"",
IF(OR(D204="",D204=0),1,
IF(OR(D204&lt;&gt;"",D204&lt;&gt;0),(B204-D204)/ABS(D204)))),-1)</f>
        <v>7.3650113046831153E-2</v>
      </c>
      <c r="F204" s="362">
        <v>12682</v>
      </c>
      <c r="G204" s="362">
        <v>15461.4</v>
      </c>
      <c r="H204" s="362">
        <v>13580.6</v>
      </c>
      <c r="I204" s="362">
        <v>11727.6</v>
      </c>
    </row>
    <row r="205" spans="1:9" ht="13.8" thickBot="1" x14ac:dyDescent="0.3">
      <c r="A205" s="108"/>
      <c r="B205" s="142"/>
      <c r="C205" s="142"/>
      <c r="D205" s="142"/>
      <c r="E205" s="142"/>
      <c r="F205" s="110"/>
      <c r="G205" s="142"/>
      <c r="H205" s="142"/>
      <c r="I205" s="142"/>
    </row>
    <row r="206" spans="1:9" ht="13.8" thickTop="1" x14ac:dyDescent="0.25">
      <c r="A206" s="18" t="s">
        <v>168</v>
      </c>
      <c r="B206" s="136"/>
      <c r="C206" s="27"/>
      <c r="D206" s="27"/>
      <c r="E206" s="27"/>
      <c r="F206" s="27"/>
      <c r="G206" s="27"/>
      <c r="H206" s="27"/>
      <c r="I206" s="27"/>
    </row>
    <row r="214" spans="11:12" s="243" customFormat="1" x14ac:dyDescent="0.25">
      <c r="K214" s="258"/>
      <c r="L214" s="258"/>
    </row>
    <row r="215" spans="11:12" s="243" customFormat="1" x14ac:dyDescent="0.25">
      <c r="K215" s="258"/>
      <c r="L215" s="258"/>
    </row>
    <row r="228" spans="1:13" ht="12.75" customHeight="1" x14ac:dyDescent="0.25">
      <c r="E228" s="125"/>
      <c r="F228" s="125"/>
      <c r="G228" s="125"/>
      <c r="H228" s="125"/>
      <c r="I228" s="125"/>
    </row>
    <row r="229" spans="1:13" ht="12.75" customHeight="1" x14ac:dyDescent="0.25">
      <c r="A229" s="107" t="str">
        <f>"Market Profile - "&amp; TEXT($H$3,"MMM")&amp;" "&amp;TEXT($H$3,"YYYY")</f>
        <v>Market Profile - Aug 2019</v>
      </c>
      <c r="E229" s="377" t="s">
        <v>194</v>
      </c>
      <c r="F229" s="377"/>
      <c r="G229" s="377"/>
      <c r="H229" s="377"/>
      <c r="I229" s="125"/>
    </row>
    <row r="230" spans="1:13" ht="13.8" customHeight="1" thickBot="1" x14ac:dyDescent="0.3">
      <c r="A230" s="116"/>
      <c r="B230" s="116"/>
      <c r="C230" s="116"/>
      <c r="D230" s="116"/>
      <c r="E230" s="378"/>
      <c r="F230" s="378"/>
      <c r="G230" s="378"/>
      <c r="H230" s="378"/>
      <c r="I230" s="116"/>
    </row>
    <row r="231" spans="1:13" ht="13.8" x14ac:dyDescent="0.25">
      <c r="A231" s="277"/>
      <c r="B231" s="277"/>
      <c r="C231" s="277"/>
      <c r="D231" s="180"/>
      <c r="E231" s="204"/>
      <c r="F231" s="321"/>
      <c r="G231" s="381" t="s">
        <v>196</v>
      </c>
      <c r="H231" s="381" t="s">
        <v>195</v>
      </c>
      <c r="I231" s="322"/>
    </row>
    <row r="232" spans="1:13" ht="12.75" customHeight="1" x14ac:dyDescent="0.25">
      <c r="A232" s="277"/>
      <c r="B232" s="277"/>
      <c r="C232" s="277"/>
      <c r="D232" s="180"/>
      <c r="E232" s="381" t="s">
        <v>39</v>
      </c>
      <c r="F232" s="386" t="str">
        <f>"Index Close   "&amp;TEXT($H$3,"MMM")&amp;" "&amp;TEXT($H$3,"YYYY")</f>
        <v>Index Close   Aug 2019</v>
      </c>
      <c r="G232" s="381"/>
      <c r="H232" s="381"/>
      <c r="I232" s="388" t="s">
        <v>40</v>
      </c>
    </row>
    <row r="233" spans="1:13" ht="14.4" thickBot="1" x14ac:dyDescent="0.3">
      <c r="A233" s="323"/>
      <c r="B233" s="324"/>
      <c r="C233" s="324"/>
      <c r="D233" s="195"/>
      <c r="E233" s="382"/>
      <c r="F233" s="387"/>
      <c r="G233" s="382"/>
      <c r="H233" s="382"/>
      <c r="I233" s="389"/>
    </row>
    <row r="234" spans="1:13" ht="13.8" x14ac:dyDescent="0.25">
      <c r="A234" s="325" t="s">
        <v>38</v>
      </c>
      <c r="B234" s="325"/>
      <c r="C234" s="325"/>
      <c r="D234" s="325"/>
      <c r="E234" s="325"/>
      <c r="F234" s="325"/>
      <c r="G234" s="325"/>
      <c r="H234" s="325"/>
      <c r="I234" s="325"/>
    </row>
    <row r="235" spans="1:13" ht="13.8" x14ac:dyDescent="0.25">
      <c r="A235" s="244" t="s">
        <v>41</v>
      </c>
      <c r="B235" s="244"/>
      <c r="C235" s="182"/>
      <c r="D235" s="182"/>
      <c r="E235" s="244" t="s">
        <v>42</v>
      </c>
      <c r="F235" s="182">
        <f>IFERROR(VLOOKUP(E235,Data!$G$23:$H$196,2,FALSE),0)</f>
        <v>55259.566770409998</v>
      </c>
      <c r="G235" s="282">
        <f>IF(IFERROR(VLOOKUP(E235,Data!$O$23:$P$196,2,FALSE),0)=0,0,(F235-IFERROR(VLOOKUP(E235,Data!$O$23:$P$196,2,FALSE),0))/ABS(IFERROR(VLOOKUP(E235,Data!$O$23:$P$196,2,FALSE),0)))</f>
        <v>-2.6856702952978522E-2</v>
      </c>
      <c r="H235" s="182">
        <f>VLOOKUP(E235,Data!$B$23:$E$273,3,FALSE)</f>
        <v>61684.771932919997</v>
      </c>
      <c r="I235" s="326">
        <f>VLOOKUP(E235,Data!$B$23:$E$273,2,FALSE)</f>
        <v>43125</v>
      </c>
    </row>
    <row r="236" spans="1:13" ht="13.8" x14ac:dyDescent="0.25">
      <c r="A236" s="244" t="s">
        <v>43</v>
      </c>
      <c r="B236" s="244"/>
      <c r="C236" s="182"/>
      <c r="D236" s="182"/>
      <c r="E236" s="244" t="s">
        <v>44</v>
      </c>
      <c r="F236" s="182">
        <f>IFERROR(VLOOKUP(E236,Data!$G$23:$H$196,2,FALSE),0)</f>
        <v>69958.503073250002</v>
      </c>
      <c r="G236" s="282">
        <f>IF(IFERROR(VLOOKUP(E236,Data!$O$23:$P$196,2,FALSE),0)=0,0,(F236-IFERROR(VLOOKUP(E236,Data!$O$23:$P$196,2,FALSE),0))/ABS(IFERROR(VLOOKUP(E236,Data!$O$23:$P$196,2,FALSE),0)))</f>
        <v>2.5334585054635926E-3</v>
      </c>
      <c r="H236" s="182">
        <f>VLOOKUP(E236,Data!$B$23:$E$273,3,FALSE)</f>
        <v>82603.124167989998</v>
      </c>
      <c r="I236" s="326">
        <f>VLOOKUP(E236,Data!$B$23:$E$273,2,FALSE)</f>
        <v>42594</v>
      </c>
      <c r="J236" s="157"/>
      <c r="M236" s="157"/>
    </row>
    <row r="237" spans="1:13" s="160" customFormat="1" ht="13.8" x14ac:dyDescent="0.25">
      <c r="A237" s="300" t="s">
        <v>45</v>
      </c>
      <c r="B237" s="300"/>
      <c r="C237" s="183"/>
      <c r="D237" s="183"/>
      <c r="E237" s="300" t="s">
        <v>46</v>
      </c>
      <c r="F237" s="183">
        <f>IFERROR(VLOOKUP(E237,Data!$G$23:$H$196,2,FALSE),0)</f>
        <v>45326.740590579997</v>
      </c>
      <c r="G237" s="327">
        <f>IF(IFERROR(VLOOKUP(E237,Data!$O$23:$P$196,2,FALSE),0)=0,0,(F237-IFERROR(VLOOKUP(E237,Data!$O$23:$P$196,2,FALSE),0))/ABS(IFERROR(VLOOKUP(E237,Data!$O$23:$P$196,2,FALSE),0)))</f>
        <v>-5.8839006686442333E-2</v>
      </c>
      <c r="H237" s="183">
        <f>VLOOKUP(E237,Data!$B$23:$E$273,3,FALSE)</f>
        <v>65469.71245626</v>
      </c>
      <c r="I237" s="328">
        <f>VLOOKUP(E237,Data!$B$23:$E$273,2,FALSE)</f>
        <v>42814</v>
      </c>
      <c r="K237" s="174"/>
      <c r="L237" s="174"/>
    </row>
    <row r="238" spans="1:13" ht="13.8" x14ac:dyDescent="0.25">
      <c r="A238" s="244" t="s">
        <v>47</v>
      </c>
      <c r="B238" s="244"/>
      <c r="C238" s="182"/>
      <c r="D238" s="182"/>
      <c r="E238" s="244" t="s">
        <v>48</v>
      </c>
      <c r="F238" s="182">
        <f>IFERROR(VLOOKUP(E238,Data!$G$23:$H$196,2,FALSE),0)</f>
        <v>5799.2476812200002</v>
      </c>
      <c r="G238" s="282">
        <f>IF(IFERROR(VLOOKUP(E238,Data!$O$23:$P$196,2,FALSE),0)=0,0,(F238-IFERROR(VLOOKUP(E238,Data!$O$23:$P$196,2,FALSE),0))/ABS(IFERROR(VLOOKUP(E238,Data!$O$23:$P$196,2,FALSE),0)))</f>
        <v>-4.3636562509641166E-2</v>
      </c>
      <c r="H238" s="182">
        <f>VLOOKUP(E238,Data!$B$23:$E$273,3,FALSE)</f>
        <v>8292.5284918300003</v>
      </c>
      <c r="I238" s="326">
        <f>VLOOKUP(E238,Data!$B$23:$E$273,2,FALSE)</f>
        <v>42783</v>
      </c>
      <c r="J238" s="157"/>
      <c r="M238" s="157"/>
    </row>
    <row r="239" spans="1:13" ht="13.8" x14ac:dyDescent="0.25">
      <c r="A239" s="244" t="s">
        <v>49</v>
      </c>
      <c r="B239" s="244"/>
      <c r="C239" s="182"/>
      <c r="D239" s="182"/>
      <c r="E239" s="244" t="s">
        <v>50</v>
      </c>
      <c r="F239" s="182">
        <f>IFERROR(VLOOKUP(E239,Data!$G$23:$H$196,2,FALSE),0)</f>
        <v>27273.872225039999</v>
      </c>
      <c r="G239" s="282">
        <f>IF(IFERROR(VLOOKUP(E239,Data!$O$23:$P$196,2,FALSE),0)=0,0,(F239-IFERROR(VLOOKUP(E239,Data!$O$23:$P$196,2,FALSE),0))/ABS(IFERROR(VLOOKUP(E239,Data!$O$23:$P$196,2,FALSE),0)))</f>
        <v>-2.807789550509187E-2</v>
      </c>
      <c r="H239" s="182">
        <f>VLOOKUP(E239,Data!$B$23:$E$273,3,FALSE)</f>
        <v>30767.717573220001</v>
      </c>
      <c r="I239" s="326">
        <f>VLOOKUP(E239,Data!$B$23:$E$273,2,FALSE)</f>
        <v>43125</v>
      </c>
      <c r="J239" s="157"/>
      <c r="M239" s="157"/>
    </row>
    <row r="240" spans="1:13" ht="13.8" x14ac:dyDescent="0.25">
      <c r="A240" s="244" t="s">
        <v>51</v>
      </c>
      <c r="B240" s="244"/>
      <c r="C240" s="182"/>
      <c r="D240" s="182"/>
      <c r="E240" s="244" t="s">
        <v>52</v>
      </c>
      <c r="F240" s="182">
        <f>IFERROR(VLOOKUP(E240,Data!$G$23:$H$196,2,FALSE),0)</f>
        <v>11601.15254995</v>
      </c>
      <c r="G240" s="282">
        <f>IF(IFERROR(VLOOKUP(E240,Data!$O$23:$P$196,2,FALSE),0)=0,0,(F240-IFERROR(VLOOKUP(E240,Data!$O$23:$P$196,2,FALSE),0))/ABS(IFERROR(VLOOKUP(E240,Data!$O$23:$P$196,2,FALSE),0)))</f>
        <v>-2.7308508325495997E-2</v>
      </c>
      <c r="H240" s="182">
        <f>VLOOKUP(E240,Data!$B$23:$E$273,3,FALSE)</f>
        <v>13771.555498350001</v>
      </c>
      <c r="I240" s="326">
        <f>VLOOKUP(E240,Data!$B$23:$E$273,2,FALSE)</f>
        <v>43125</v>
      </c>
      <c r="J240" s="157"/>
      <c r="M240" s="157"/>
    </row>
    <row r="241" spans="1:13" ht="13.8" x14ac:dyDescent="0.25">
      <c r="A241" s="244"/>
      <c r="B241" s="244"/>
      <c r="C241" s="182"/>
      <c r="D241" s="182"/>
      <c r="E241" s="244"/>
      <c r="F241" s="182"/>
      <c r="G241" s="182"/>
      <c r="H241" s="182"/>
      <c r="I241" s="326"/>
    </row>
    <row r="242" spans="1:13" ht="13.8" x14ac:dyDescent="0.25">
      <c r="A242" s="325" t="s">
        <v>53</v>
      </c>
      <c r="B242" s="325"/>
      <c r="C242" s="325"/>
      <c r="D242" s="325"/>
      <c r="E242" s="325"/>
      <c r="F242" s="325"/>
      <c r="G242" s="325"/>
      <c r="H242" s="325"/>
      <c r="I242" s="325"/>
    </row>
    <row r="243" spans="1:13" ht="13.8" x14ac:dyDescent="0.25">
      <c r="A243" s="244" t="s">
        <v>54</v>
      </c>
      <c r="B243" s="244"/>
      <c r="C243" s="182"/>
      <c r="D243" s="182"/>
      <c r="E243" s="244" t="s">
        <v>55</v>
      </c>
      <c r="F243" s="182">
        <f>IFERROR(VLOOKUP(E243,Data!$G$23:$H$196,2,FALSE),0)</f>
        <v>49320.232600119998</v>
      </c>
      <c r="G243" s="282">
        <f>IF(IFERROR(VLOOKUP(E243,Data!$O$23:$P$196,2,FALSE),0)=0,0,(F243-IFERROR(VLOOKUP(E243,Data!$O$23:$P$196,2,FALSE),0))/ABS(IFERROR(VLOOKUP(E243,Data!$O$23:$P$196,2,FALSE),0)))</f>
        <v>-2.9104365835033008E-2</v>
      </c>
      <c r="H243" s="182">
        <f>VLOOKUP(E243,Data!$B$23:$E$273,3,FALSE)</f>
        <v>55065.365928040002</v>
      </c>
      <c r="I243" s="326">
        <f>VLOOKUP(E243,Data!$B$23:$E$273,2,FALSE)</f>
        <v>43060</v>
      </c>
    </row>
    <row r="244" spans="1:13" ht="13.8" x14ac:dyDescent="0.25">
      <c r="A244" s="244" t="s">
        <v>56</v>
      </c>
      <c r="B244" s="244"/>
      <c r="C244" s="182"/>
      <c r="D244" s="182"/>
      <c r="E244" s="244" t="s">
        <v>57</v>
      </c>
      <c r="F244" s="182">
        <f>IFERROR(VLOOKUP(E244,Data!$G$23:$H$196,2,FALSE),0)</f>
        <v>24977.01347346</v>
      </c>
      <c r="G244" s="282">
        <f>IF(IFERROR(VLOOKUP(E244,Data!$O$23:$P$196,2,FALSE),0)=0,0,(F244-IFERROR(VLOOKUP(E244,Data!$O$23:$P$196,2,FALSE),0))/ABS(IFERROR(VLOOKUP(E244,Data!$O$23:$P$196,2,FALSE),0)))</f>
        <v>-3.0890757755260224E-2</v>
      </c>
      <c r="H244" s="182">
        <f>VLOOKUP(E244,Data!$B$23:$E$273,3,FALSE)</f>
        <v>28107.866765129998</v>
      </c>
      <c r="I244" s="326">
        <f>VLOOKUP(E244,Data!$B$23:$E$273,2,FALSE)</f>
        <v>43125</v>
      </c>
      <c r="J244" s="157"/>
      <c r="M244" s="157"/>
    </row>
    <row r="245" spans="1:13" ht="13.8" x14ac:dyDescent="0.25">
      <c r="A245" s="244" t="s">
        <v>58</v>
      </c>
      <c r="B245" s="244"/>
      <c r="C245" s="182"/>
      <c r="D245" s="182"/>
      <c r="E245" s="244" t="s">
        <v>59</v>
      </c>
      <c r="F245" s="182">
        <f>IFERROR(VLOOKUP(E245,Data!$G$23:$H$196,2,FALSE),0)</f>
        <v>10385.092865029999</v>
      </c>
      <c r="G245" s="282">
        <f>IF(IFERROR(VLOOKUP(E245,Data!$O$23:$P$196,2,FALSE),0)=0,0,(F245-IFERROR(VLOOKUP(E245,Data!$O$23:$P$196,2,FALSE),0))/ABS(IFERROR(VLOOKUP(E245,Data!$O$23:$P$196,2,FALSE),0)))</f>
        <v>-3.0739610519794621E-2</v>
      </c>
      <c r="H245" s="182">
        <f>VLOOKUP(E245,Data!$B$23:$E$273,3,FALSE)</f>
        <v>12491.5886923</v>
      </c>
      <c r="I245" s="326">
        <f>VLOOKUP(E245,Data!$B$23:$E$273,2,FALSE)</f>
        <v>43060</v>
      </c>
      <c r="J245" s="157"/>
      <c r="M245" s="157"/>
    </row>
    <row r="246" spans="1:13" ht="13.8" x14ac:dyDescent="0.25">
      <c r="A246" s="244" t="s">
        <v>178</v>
      </c>
      <c r="B246" s="244"/>
      <c r="C246" s="182"/>
      <c r="D246" s="182"/>
      <c r="E246" s="244" t="s">
        <v>60</v>
      </c>
      <c r="F246" s="182">
        <f>IFERROR(VLOOKUP(E246,Data!$G$23:$H$196,2,FALSE),0)</f>
        <v>44351.901726969998</v>
      </c>
      <c r="G246" s="282">
        <f>IF(IFERROR(VLOOKUP(E246,Data!$O$23:$P$196,2,FALSE),0)=0,0,(F246-IFERROR(VLOOKUP(E246,Data!$O$23:$P$196,2,FALSE),0))/ABS(IFERROR(VLOOKUP(E246,Data!$O$23:$P$196,2,FALSE),0)))</f>
        <v>-1.6864622620623167E-2</v>
      </c>
      <c r="H246" s="182">
        <f>VLOOKUP(E246,Data!$B$23:$E$273,3,FALSE)</f>
        <v>77308.45</v>
      </c>
      <c r="I246" s="326">
        <f>VLOOKUP(E246,Data!$B$23:$E$273,2,FALSE)</f>
        <v>39590</v>
      </c>
      <c r="J246" s="157"/>
      <c r="M246" s="157"/>
    </row>
    <row r="247" spans="1:13" ht="13.8" x14ac:dyDescent="0.25">
      <c r="A247" s="244" t="s">
        <v>61</v>
      </c>
      <c r="B247" s="244"/>
      <c r="C247" s="182"/>
      <c r="D247" s="182"/>
      <c r="E247" s="244" t="s">
        <v>62</v>
      </c>
      <c r="F247" s="182">
        <f>IFERROR(VLOOKUP(E247,Data!$G$23:$H$196,2,FALSE),0)</f>
        <v>2652.1297607800002</v>
      </c>
      <c r="G247" s="282">
        <f>IF(IFERROR(VLOOKUP(E247,Data!$O$23:$P$196,2,FALSE),0)=0,0,(F247-IFERROR(VLOOKUP(E247,Data!$O$23:$P$196,2,FALSE),0))/ABS(IFERROR(VLOOKUP(E247,Data!$O$23:$P$196,2,FALSE),0)))</f>
        <v>0.28994262104904123</v>
      </c>
      <c r="H247" s="182">
        <f>VLOOKUP(E247,Data!$B$23:$E$273,3,FALSE)</f>
        <v>3456.48</v>
      </c>
      <c r="I247" s="326">
        <f>VLOOKUP(E247,Data!$B$23:$E$273,2,FALSE)</f>
        <v>37515</v>
      </c>
      <c r="J247" s="157"/>
      <c r="M247" s="157"/>
    </row>
    <row r="248" spans="1:13" ht="13.8" x14ac:dyDescent="0.25">
      <c r="A248" s="244" t="s">
        <v>63</v>
      </c>
      <c r="B248" s="244"/>
      <c r="C248" s="182"/>
      <c r="D248" s="182"/>
      <c r="E248" s="244" t="s">
        <v>64</v>
      </c>
      <c r="F248" s="182">
        <f>IFERROR(VLOOKUP(E248,Data!$G$23:$H$196,2,FALSE),0)</f>
        <v>70645.446027099999</v>
      </c>
      <c r="G248" s="282">
        <f>IF(IFERROR(VLOOKUP(E248,Data!$O$23:$P$196,2,FALSE),0)=0,0,(F248-IFERROR(VLOOKUP(E248,Data!$O$23:$P$196,2,FALSE),0))/ABS(IFERROR(VLOOKUP(E248,Data!$O$23:$P$196,2,FALSE),0)))</f>
        <v>-2.9281752157763265E-2</v>
      </c>
      <c r="H248" s="182">
        <f>VLOOKUP(E248,Data!$B$23:$E$273,3,FALSE)</f>
        <v>87017.951262529998</v>
      </c>
      <c r="I248" s="326">
        <f>VLOOKUP(E248,Data!$B$23:$E$273,2,FALSE)</f>
        <v>43060</v>
      </c>
      <c r="J248" s="157"/>
      <c r="M248" s="157"/>
    </row>
    <row r="249" spans="1:13" ht="13.8" x14ac:dyDescent="0.25">
      <c r="A249" s="244" t="s">
        <v>65</v>
      </c>
      <c r="B249" s="244"/>
      <c r="C249" s="182"/>
      <c r="D249" s="182"/>
      <c r="E249" s="244" t="s">
        <v>66</v>
      </c>
      <c r="F249" s="182">
        <f>IFERROR(VLOOKUP(E249,Data!$G$23:$H$196,2,FALSE),0)</f>
        <v>15132.84449089</v>
      </c>
      <c r="G249" s="282">
        <f>IF(IFERROR(VLOOKUP(E249,Data!$O$23:$P$196,2,FALSE),0)=0,0,(F249-IFERROR(VLOOKUP(E249,Data!$O$23:$P$196,2,FALSE),0))/ABS(IFERROR(VLOOKUP(E249,Data!$O$23:$P$196,2,FALSE),0)))</f>
        <v>-4.0416224461890804E-2</v>
      </c>
      <c r="H249" s="182">
        <f>VLOOKUP(E249,Data!$B$23:$E$273,3,FALSE)</f>
        <v>18847.577311370002</v>
      </c>
      <c r="I249" s="326">
        <f>VLOOKUP(E249,Data!$B$23:$E$273,2,FALSE)</f>
        <v>43165</v>
      </c>
      <c r="J249" s="157"/>
      <c r="M249" s="157"/>
    </row>
    <row r="250" spans="1:13" ht="13.8" x14ac:dyDescent="0.25">
      <c r="A250" s="244" t="s">
        <v>67</v>
      </c>
      <c r="B250" s="244"/>
      <c r="C250" s="182"/>
      <c r="D250" s="182"/>
      <c r="E250" s="244" t="s">
        <v>68</v>
      </c>
      <c r="F250" s="182">
        <f>IFERROR(VLOOKUP(E250,Data!$G$23:$H$196,2,FALSE),0)</f>
        <v>74120.607825059997</v>
      </c>
      <c r="G250" s="282">
        <f>IF(IFERROR(VLOOKUP(E250,Data!$O$23:$P$196,2,FALSE),0)=0,0,(F250-IFERROR(VLOOKUP(E250,Data!$O$23:$P$196,2,FALSE),0))/ABS(IFERROR(VLOOKUP(E250,Data!$O$23:$P$196,2,FALSE),0)))</f>
        <v>-3.1305841736299016E-2</v>
      </c>
      <c r="H250" s="182">
        <f>VLOOKUP(E250,Data!$B$23:$E$273,3,FALSE)</f>
        <v>88373.331097460003</v>
      </c>
      <c r="I250" s="326">
        <f>VLOOKUP(E250,Data!$B$23:$E$273,2,FALSE)</f>
        <v>43060</v>
      </c>
      <c r="J250" s="157"/>
      <c r="M250" s="157"/>
    </row>
    <row r="251" spans="1:13" ht="13.8" x14ac:dyDescent="0.25">
      <c r="A251" s="244"/>
      <c r="B251" s="244"/>
      <c r="C251" s="182"/>
      <c r="D251" s="182"/>
      <c r="E251" s="244"/>
      <c r="F251" s="182"/>
      <c r="G251" s="182"/>
      <c r="H251" s="182"/>
      <c r="I251" s="326"/>
    </row>
    <row r="252" spans="1:13" ht="13.8" x14ac:dyDescent="0.25">
      <c r="A252" s="325" t="s">
        <v>69</v>
      </c>
      <c r="B252" s="325"/>
      <c r="C252" s="325"/>
      <c r="D252" s="325"/>
      <c r="E252" s="325"/>
      <c r="F252" s="325"/>
      <c r="G252" s="325"/>
      <c r="H252" s="325"/>
      <c r="I252" s="325"/>
    </row>
    <row r="253" spans="1:13" s="160" customFormat="1" ht="13.8" x14ac:dyDescent="0.25">
      <c r="A253" s="300" t="s">
        <v>70</v>
      </c>
      <c r="B253" s="300"/>
      <c r="C253" s="183"/>
      <c r="D253" s="183"/>
      <c r="E253" s="300" t="s">
        <v>71</v>
      </c>
      <c r="F253" s="183">
        <f>IFERROR(VLOOKUP(E253,Data!$G$23:$H$196,2,FALSE),0)</f>
        <v>0</v>
      </c>
      <c r="G253" s="327">
        <f>IF(IFERROR(VLOOKUP(E253,Data!$O$23:$P$196,2,FALSE),0)=0,0,(F253-IFERROR(VLOOKUP(E253,Data!$O$23:$P$196,2,FALSE),0))/ABS(IFERROR(VLOOKUP(E253,Data!$O$23:$P$196,2,FALSE),0)))</f>
        <v>0</v>
      </c>
      <c r="H253" s="183">
        <f>VLOOKUP(E253,Data!$B$23:$E$273,3,FALSE)</f>
        <v>24943.07</v>
      </c>
      <c r="I253" s="328">
        <f>VLOOKUP(E253,Data!$B$23:$E$273,2,FALSE)</f>
        <v>39381</v>
      </c>
      <c r="K253" s="174"/>
      <c r="L253" s="174"/>
    </row>
    <row r="254" spans="1:13" ht="13.8" x14ac:dyDescent="0.25">
      <c r="A254" s="244" t="s">
        <v>72</v>
      </c>
      <c r="B254" s="244"/>
      <c r="C254" s="182"/>
      <c r="D254" s="182"/>
      <c r="E254" s="244" t="s">
        <v>73</v>
      </c>
      <c r="F254" s="182">
        <f>IFERROR(VLOOKUP(E254,Data!$G$23:$H$196,2,FALSE),0)</f>
        <v>32047.631408040001</v>
      </c>
      <c r="G254" s="282">
        <f>IF(IFERROR(VLOOKUP(E254,Data!$O$23:$P$196,2,FALSE),0)=0,0,(F254-IFERROR(VLOOKUP(E254,Data!$O$23:$P$196,2,FALSE),0))/ABS(IFERROR(VLOOKUP(E254,Data!$O$23:$P$196,2,FALSE),0)))</f>
        <v>-8.7256029958142824E-3</v>
      </c>
      <c r="H254" s="182">
        <f>VLOOKUP(E254,Data!$B$23:$E$273,3,FALSE)</f>
        <v>42763.39</v>
      </c>
      <c r="I254" s="326">
        <f>VLOOKUP(E254,Data!$B$23:$E$273,2,FALSE)</f>
        <v>39590</v>
      </c>
    </row>
    <row r="255" spans="1:13" ht="13.8" x14ac:dyDescent="0.25">
      <c r="A255" s="244" t="s">
        <v>74</v>
      </c>
      <c r="B255" s="244"/>
      <c r="C255" s="182"/>
      <c r="D255" s="182"/>
      <c r="E255" s="244" t="s">
        <v>75</v>
      </c>
      <c r="F255" s="182">
        <f>IFERROR(VLOOKUP(E255,Data!$G$23:$H$196,2,FALSE),0)</f>
        <v>37907.20855304</v>
      </c>
      <c r="G255" s="282">
        <f>IF(IFERROR(VLOOKUP(E255,Data!$O$23:$P$196,2,FALSE),0)=0,0,(F255-IFERROR(VLOOKUP(E255,Data!$O$23:$P$196,2,FALSE),0))/ABS(IFERROR(VLOOKUP(E255,Data!$O$23:$P$196,2,FALSE),0)))</f>
        <v>-4.3996329180050808E-2</v>
      </c>
      <c r="H255" s="182">
        <f>VLOOKUP(E255,Data!$B$23:$E$273,3,FALSE)</f>
        <v>57747.257279739999</v>
      </c>
      <c r="I255" s="326">
        <f>VLOOKUP(E255,Data!$B$23:$E$273,2,FALSE)</f>
        <v>43126</v>
      </c>
    </row>
    <row r="256" spans="1:13" ht="13.8" x14ac:dyDescent="0.25">
      <c r="A256" s="244" t="s">
        <v>76</v>
      </c>
      <c r="B256" s="244"/>
      <c r="C256" s="182"/>
      <c r="D256" s="182"/>
      <c r="E256" s="244" t="s">
        <v>77</v>
      </c>
      <c r="F256" s="182">
        <f>IFERROR(VLOOKUP(E256,Data!$G$23:$H$196,2,FALSE),0)</f>
        <v>59903.152302510003</v>
      </c>
      <c r="G256" s="282">
        <f>IF(IFERROR(VLOOKUP(E256,Data!$O$23:$P$196,2,FALSE),0)=0,0,(F256-IFERROR(VLOOKUP(E256,Data!$O$23:$P$196,2,FALSE),0))/ABS(IFERROR(VLOOKUP(E256,Data!$O$23:$P$196,2,FALSE),0)))</f>
        <v>-2.1758800978539966E-2</v>
      </c>
      <c r="H256" s="182">
        <f>VLOOKUP(E256,Data!$B$23:$E$273,3,FALSE)</f>
        <v>84330.008150740003</v>
      </c>
      <c r="I256" s="326">
        <f>VLOOKUP(E256,Data!$B$23:$E$273,2,FALSE)</f>
        <v>43042</v>
      </c>
    </row>
    <row r="257" spans="1:9" ht="13.8" x14ac:dyDescent="0.25">
      <c r="A257" s="244" t="s">
        <v>78</v>
      </c>
      <c r="B257" s="244"/>
      <c r="C257" s="182"/>
      <c r="D257" s="182"/>
      <c r="E257" s="244" t="s">
        <v>79</v>
      </c>
      <c r="F257" s="182">
        <f>IFERROR(VLOOKUP(E257,Data!$G$23:$H$196,2,FALSE),0)</f>
        <v>21139.350890599999</v>
      </c>
      <c r="G257" s="282">
        <f>IF(IFERROR(VLOOKUP(E257,Data!$O$23:$P$196,2,FALSE),0)=0,0,(F257-IFERROR(VLOOKUP(E257,Data!$O$23:$P$196,2,FALSE),0))/ABS(IFERROR(VLOOKUP(E257,Data!$O$23:$P$196,2,FALSE),0)))</f>
        <v>-5.5083047074548377E-2</v>
      </c>
      <c r="H257" s="182">
        <f>VLOOKUP(E257,Data!$B$23:$E$273,3,FALSE)</f>
        <v>35813.949999999997</v>
      </c>
      <c r="I257" s="326">
        <f>VLOOKUP(E257,Data!$B$23:$E$273,2,FALSE)</f>
        <v>39381</v>
      </c>
    </row>
    <row r="258" spans="1:9" ht="13.8" x14ac:dyDescent="0.25">
      <c r="A258" s="244" t="s">
        <v>80</v>
      </c>
      <c r="B258" s="244"/>
      <c r="C258" s="182"/>
      <c r="D258" s="182"/>
      <c r="E258" s="244" t="s">
        <v>81</v>
      </c>
      <c r="F258" s="182">
        <f>IFERROR(VLOOKUP(E258,Data!$G$23:$H$196,2,FALSE),0)</f>
        <v>37875.691210199999</v>
      </c>
      <c r="G258" s="282">
        <f>IF(IFERROR(VLOOKUP(E258,Data!$O$23:$P$196,2,FALSE),0)=0,0,(F258-IFERROR(VLOOKUP(E258,Data!$O$23:$P$196,2,FALSE),0))/ABS(IFERROR(VLOOKUP(E258,Data!$O$23:$P$196,2,FALSE),0)))</f>
        <v>-3.8323109444962519E-2</v>
      </c>
      <c r="H258" s="182">
        <f>VLOOKUP(E258,Data!$B$23:$E$273,3,FALSE)</f>
        <v>48467.669364840003</v>
      </c>
      <c r="I258" s="326">
        <f>VLOOKUP(E258,Data!$B$23:$E$273,2,FALSE)</f>
        <v>43125</v>
      </c>
    </row>
    <row r="259" spans="1:9" ht="13.8" x14ac:dyDescent="0.25">
      <c r="A259" s="244" t="s">
        <v>82</v>
      </c>
      <c r="B259" s="244"/>
      <c r="C259" s="182"/>
      <c r="D259" s="182"/>
      <c r="E259" s="244" t="s">
        <v>83</v>
      </c>
      <c r="F259" s="182">
        <f>IFERROR(VLOOKUP(E259,Data!$G$23:$H$196,2,FALSE),0)</f>
        <v>31137.793684849999</v>
      </c>
      <c r="G259" s="282">
        <f>IF(IFERROR(VLOOKUP(E259,Data!$O$23:$P$196,2,FALSE),0)=0,0,(F259-IFERROR(VLOOKUP(E259,Data!$O$23:$P$196,2,FALSE),0))/ABS(IFERROR(VLOOKUP(E259,Data!$O$23:$P$196,2,FALSE),0)))</f>
        <v>-1.6049706186379391E-2</v>
      </c>
      <c r="H259" s="182">
        <f>VLOOKUP(E259,Data!$B$23:$E$273,3,FALSE)</f>
        <v>71088.506129760004</v>
      </c>
      <c r="I259" s="326">
        <f>VLOOKUP(E259,Data!$B$23:$E$273,2,FALSE)</f>
        <v>42222</v>
      </c>
    </row>
    <row r="260" spans="1:9" ht="13.8" x14ac:dyDescent="0.25">
      <c r="A260" s="244" t="s">
        <v>84</v>
      </c>
      <c r="B260" s="244"/>
      <c r="C260" s="182"/>
      <c r="D260" s="182"/>
      <c r="E260" s="244" t="s">
        <v>85</v>
      </c>
      <c r="F260" s="182">
        <f>IFERROR(VLOOKUP(E260,Data!$G$23:$H$196,2,FALSE),0)</f>
        <v>5589.8565298499998</v>
      </c>
      <c r="G260" s="282">
        <f>IF(IFERROR(VLOOKUP(E260,Data!$O$23:$P$196,2,FALSE),0)=0,0,(F260-IFERROR(VLOOKUP(E260,Data!$O$23:$P$196,2,FALSE),0))/ABS(IFERROR(VLOOKUP(E260,Data!$O$23:$P$196,2,FALSE),0)))</f>
        <v>-7.3598682733851464E-2</v>
      </c>
      <c r="H260" s="182">
        <f>VLOOKUP(E260,Data!$B$23:$E$273,3,FALSE)</f>
        <v>65291.38</v>
      </c>
      <c r="I260" s="326">
        <f>VLOOKUP(E260,Data!$B$23:$E$273,2,FALSE)</f>
        <v>39381</v>
      </c>
    </row>
    <row r="261" spans="1:9" ht="13.8" x14ac:dyDescent="0.25">
      <c r="A261" s="244" t="s">
        <v>86</v>
      </c>
      <c r="B261" s="244"/>
      <c r="C261" s="182"/>
      <c r="D261" s="182"/>
      <c r="E261" s="244" t="s">
        <v>87</v>
      </c>
      <c r="F261" s="182">
        <f>IFERROR(VLOOKUP(E261,Data!$G$23:$H$196,2,FALSE),0)</f>
        <v>3620.1411051499999</v>
      </c>
      <c r="G261" s="282">
        <f>IF(IFERROR(VLOOKUP(E261,Data!$O$23:$P$196,2,FALSE),0)=0,0,(F261-IFERROR(VLOOKUP(E261,Data!$O$23:$P$196,2,FALSE),0))/ABS(IFERROR(VLOOKUP(E261,Data!$O$23:$P$196,2,FALSE),0)))</f>
        <v>-3.454769026898178E-2</v>
      </c>
      <c r="H261" s="182">
        <f>VLOOKUP(E261,Data!$B$23:$E$273,3,FALSE)</f>
        <v>95446.135778840006</v>
      </c>
      <c r="I261" s="326">
        <f>VLOOKUP(E261,Data!$B$23:$E$273,2,FALSE)</f>
        <v>41893</v>
      </c>
    </row>
    <row r="262" spans="1:9" ht="13.8" x14ac:dyDescent="0.25">
      <c r="A262" s="244"/>
      <c r="B262" s="244"/>
      <c r="C262" s="182"/>
      <c r="D262" s="182"/>
      <c r="E262" s="244"/>
      <c r="F262" s="182"/>
      <c r="G262" s="182"/>
      <c r="H262" s="182"/>
      <c r="I262" s="326"/>
    </row>
    <row r="263" spans="1:9" ht="13.8" x14ac:dyDescent="0.25">
      <c r="A263" s="325" t="s">
        <v>88</v>
      </c>
      <c r="B263" s="325"/>
      <c r="C263" s="325"/>
      <c r="D263" s="325"/>
      <c r="E263" s="325"/>
      <c r="F263" s="325"/>
      <c r="G263" s="325"/>
      <c r="H263" s="325"/>
      <c r="I263" s="325"/>
    </row>
    <row r="264" spans="1:9" ht="13.8" x14ac:dyDescent="0.25">
      <c r="A264" s="244" t="s">
        <v>89</v>
      </c>
      <c r="B264" s="244"/>
      <c r="C264" s="182"/>
      <c r="D264" s="182"/>
      <c r="E264" s="244" t="s">
        <v>90</v>
      </c>
      <c r="F264" s="182">
        <f>IFERROR(VLOOKUP(E264,Data!$G$23:$H$196,2,FALSE),0)</f>
        <v>0</v>
      </c>
      <c r="G264" s="282">
        <f>IF(IFERROR(VLOOKUP(E264,Data!$O$23:$P$196,2,FALSE),0)=0,0,(F264-IFERROR(VLOOKUP(E264,Data!$O$23:$P$196,2,FALSE),0))/ABS(IFERROR(VLOOKUP(E264,Data!$O$23:$P$196,2,FALSE),0)))</f>
        <v>0</v>
      </c>
      <c r="H264" s="182">
        <f>VLOOKUP(E264,Data!$B$23:$E$273,3,FALSE)</f>
        <v>22461.45680964</v>
      </c>
      <c r="I264" s="326">
        <f>VLOOKUP(E264,Data!$B$23:$E$273,2,FALSE)</f>
        <v>41849</v>
      </c>
    </row>
    <row r="265" spans="1:9" ht="13.8" x14ac:dyDescent="0.25">
      <c r="A265" s="244" t="s">
        <v>91</v>
      </c>
      <c r="B265" s="244"/>
      <c r="C265" s="182"/>
      <c r="D265" s="182"/>
      <c r="E265" s="244" t="s">
        <v>92</v>
      </c>
      <c r="F265" s="182">
        <f>IFERROR(VLOOKUP(E265,Data!$G$23:$H$196,2,FALSE),0)</f>
        <v>3543.2833149600001</v>
      </c>
      <c r="G265" s="282">
        <f>IF(IFERROR(VLOOKUP(E265,Data!$O$23:$P$196,2,FALSE),0)=0,0,(F265-IFERROR(VLOOKUP(E265,Data!$O$23:$P$196,2,FALSE),0))/ABS(IFERROR(VLOOKUP(E265,Data!$O$23:$P$196,2,FALSE),0)))</f>
        <v>-2.036381923576908E-2</v>
      </c>
      <c r="H265" s="182">
        <f>VLOOKUP(E265,Data!$B$23:$E$273,3,FALSE)</f>
        <v>4599.9677435399999</v>
      </c>
      <c r="I265" s="326">
        <f>VLOOKUP(E265,Data!$B$23:$E$273,2,FALSE)</f>
        <v>41849</v>
      </c>
    </row>
    <row r="266" spans="1:9" ht="13.8" x14ac:dyDescent="0.25">
      <c r="A266" s="244" t="s">
        <v>182</v>
      </c>
      <c r="B266" s="244"/>
      <c r="C266" s="182"/>
      <c r="D266" s="182"/>
      <c r="E266" s="244" t="s">
        <v>183</v>
      </c>
      <c r="F266" s="182">
        <f>IFERROR(VLOOKUP(E266,Data!$G$23:$H$196,2,FALSE),0)</f>
        <v>578.28084206000005</v>
      </c>
      <c r="G266" s="282">
        <f>IF(IFERROR(VLOOKUP(E266,Data!$O$23:$P$196,2,FALSE),0)=0,0,(F266-IFERROR(VLOOKUP(E266,Data!$O$23:$P$196,2,FALSE),0))/ABS(IFERROR(VLOOKUP(E266,Data!$O$23:$P$196,2,FALSE),0)))</f>
        <v>-4.7009612173633822E-2</v>
      </c>
      <c r="H266" s="182">
        <f>VLOOKUP(E266,Data!$B$23:$E$273,3,FALSE)</f>
        <v>1035.8389392900001</v>
      </c>
      <c r="I266" s="326">
        <f>VLOOKUP(E266,Data!$B$23:$E$273,2,FALSE)</f>
        <v>42303</v>
      </c>
    </row>
    <row r="267" spans="1:9" ht="13.8" x14ac:dyDescent="0.25">
      <c r="A267" s="244" t="s">
        <v>93</v>
      </c>
      <c r="B267" s="244"/>
      <c r="C267" s="182"/>
      <c r="D267" s="182"/>
      <c r="E267" s="244" t="s">
        <v>94</v>
      </c>
      <c r="F267" s="182">
        <f>IFERROR(VLOOKUP(E267,Data!$G$23:$H$196,2,FALSE),0)</f>
        <v>461.71800665000001</v>
      </c>
      <c r="G267" s="282">
        <f>IF(IFERROR(VLOOKUP(E267,Data!$O$23:$P$196,2,FALSE),0)=0,0,(F267-IFERROR(VLOOKUP(E267,Data!$O$23:$P$196,2,FALSE),0))/ABS(IFERROR(VLOOKUP(E267,Data!$O$23:$P$196,2,FALSE),0)))</f>
        <v>-3.6019384425230963E-2</v>
      </c>
      <c r="H267" s="182">
        <f>VLOOKUP(E267,Data!$B$23:$E$273,3,FALSE)</f>
        <v>694.66658584000004</v>
      </c>
      <c r="I267" s="326">
        <f>VLOOKUP(E267,Data!$B$23:$E$273,2,FALSE)</f>
        <v>43098</v>
      </c>
    </row>
    <row r="268" spans="1:9" ht="13.8" x14ac:dyDescent="0.25">
      <c r="A268" s="244" t="s">
        <v>95</v>
      </c>
      <c r="B268" s="244"/>
      <c r="C268" s="182"/>
      <c r="D268" s="182"/>
      <c r="E268" s="244" t="s">
        <v>96</v>
      </c>
      <c r="F268" s="182">
        <f>IFERROR(VLOOKUP(E268,Data!$G$23:$H$196,2,FALSE),0)</f>
        <v>347.90928783999999</v>
      </c>
      <c r="G268" s="282">
        <f>IF(IFERROR(VLOOKUP(E268,Data!$O$23:$P$196,2,FALSE),0)=0,0,(F268-IFERROR(VLOOKUP(E268,Data!$O$23:$P$196,2,FALSE),0))/ABS(IFERROR(VLOOKUP(E268,Data!$O$23:$P$196,2,FALSE),0)))</f>
        <v>-3.153608694911185E-2</v>
      </c>
      <c r="H268" s="182">
        <f>VLOOKUP(E268,Data!$B$23:$E$273,3,FALSE)</f>
        <v>597.8558587</v>
      </c>
      <c r="I268" s="326">
        <f>VLOOKUP(E268,Data!$B$23:$E$273,2,FALSE)</f>
        <v>42305</v>
      </c>
    </row>
    <row r="269" spans="1:9" ht="13.8" x14ac:dyDescent="0.25">
      <c r="A269" s="244" t="s">
        <v>97</v>
      </c>
      <c r="B269" s="244"/>
      <c r="C269" s="182"/>
      <c r="D269" s="182"/>
      <c r="E269" s="244" t="s">
        <v>98</v>
      </c>
      <c r="F269" s="182">
        <f>IFERROR(VLOOKUP(E269,Data!$G$23:$H$196,2,FALSE),0)</f>
        <v>25547.598087750001</v>
      </c>
      <c r="G269" s="282">
        <f>IF(IFERROR(VLOOKUP(E269,Data!$O$23:$P$196,2,FALSE),0)=0,0,(F269-IFERROR(VLOOKUP(E269,Data!$O$23:$P$196,2,FALSE),0))/ABS(IFERROR(VLOOKUP(E269,Data!$O$23:$P$196,2,FALSE),0)))</f>
        <v>-8.7256029958632172E-3</v>
      </c>
      <c r="H269" s="182">
        <f>VLOOKUP(E269,Data!$B$23:$E$273,3,FALSE)</f>
        <v>42495.61</v>
      </c>
      <c r="I269" s="326">
        <f>VLOOKUP(E269,Data!$B$23:$E$273,2,FALSE)</f>
        <v>39590</v>
      </c>
    </row>
    <row r="270" spans="1:9" ht="13.8" x14ac:dyDescent="0.25">
      <c r="A270" s="244" t="s">
        <v>99</v>
      </c>
      <c r="B270" s="244"/>
      <c r="C270" s="182"/>
      <c r="D270" s="182"/>
      <c r="E270" s="244" t="s">
        <v>100</v>
      </c>
      <c r="F270" s="182">
        <f>IFERROR(VLOOKUP(E270,Data!$G$23:$H$196,2,FALSE),0)</f>
        <v>350.70780723000001</v>
      </c>
      <c r="G270" s="282">
        <f>IF(IFERROR(VLOOKUP(E270,Data!$O$23:$P$196,2,FALSE),0)=0,0,(F270-IFERROR(VLOOKUP(E270,Data!$O$23:$P$196,2,FALSE),0))/ABS(IFERROR(VLOOKUP(E270,Data!$O$23:$P$196,2,FALSE),0)))</f>
        <v>-3.858915315427848E-2</v>
      </c>
      <c r="H270" s="182">
        <f>VLOOKUP(E270,Data!$B$23:$E$273,3,FALSE)</f>
        <v>431.46959335999998</v>
      </c>
      <c r="I270" s="326">
        <f>VLOOKUP(E270,Data!$B$23:$E$273,2,FALSE)</f>
        <v>42129</v>
      </c>
    </row>
    <row r="271" spans="1:9" ht="13.8" x14ac:dyDescent="0.25">
      <c r="A271" s="244" t="s">
        <v>101</v>
      </c>
      <c r="B271" s="244"/>
      <c r="C271" s="182"/>
      <c r="D271" s="182"/>
      <c r="E271" s="244" t="s">
        <v>102</v>
      </c>
      <c r="F271" s="182">
        <f>IFERROR(VLOOKUP(E271,Data!$G$23:$H$196,2,FALSE),0)</f>
        <v>670.19896888999995</v>
      </c>
      <c r="G271" s="282">
        <f>IF(IFERROR(VLOOKUP(E271,Data!$O$23:$P$196,2,FALSE),0)=0,0,(F271-IFERROR(VLOOKUP(E271,Data!$O$23:$P$196,2,FALSE),0))/ABS(IFERROR(VLOOKUP(E271,Data!$O$23:$P$196,2,FALSE),0)))</f>
        <v>-1.6454622012756492E-2</v>
      </c>
      <c r="H271" s="182">
        <f>VLOOKUP(E271,Data!$B$23:$E$273,3,FALSE)</f>
        <v>738.92755879000003</v>
      </c>
      <c r="I271" s="326">
        <f>VLOOKUP(E271,Data!$B$23:$E$273,2,FALSE)</f>
        <v>43060</v>
      </c>
    </row>
    <row r="272" spans="1:9" ht="13.8" x14ac:dyDescent="0.25">
      <c r="A272" s="244"/>
      <c r="B272" s="244"/>
      <c r="C272" s="182"/>
      <c r="D272" s="182"/>
      <c r="E272" s="244"/>
      <c r="F272" s="182"/>
      <c r="G272" s="182"/>
      <c r="H272" s="182"/>
      <c r="I272" s="326"/>
    </row>
    <row r="273" spans="1:9" ht="13.8" x14ac:dyDescent="0.25">
      <c r="A273" s="325" t="s">
        <v>103</v>
      </c>
      <c r="B273" s="325"/>
      <c r="C273" s="325"/>
      <c r="D273" s="325"/>
      <c r="E273" s="325"/>
      <c r="F273" s="325"/>
      <c r="G273" s="325"/>
      <c r="H273" s="325"/>
      <c r="I273" s="325"/>
    </row>
    <row r="274" spans="1:9" ht="13.8" x14ac:dyDescent="0.25">
      <c r="A274" s="244" t="s">
        <v>104</v>
      </c>
      <c r="B274" s="244"/>
      <c r="C274" s="182"/>
      <c r="D274" s="182"/>
      <c r="E274" s="244" t="s">
        <v>105</v>
      </c>
      <c r="F274" s="182">
        <f>IFERROR(VLOOKUP(E274,Data!$G$23:$H$196,2,FALSE),0)</f>
        <v>43.252609620000001</v>
      </c>
      <c r="G274" s="282">
        <f>IF(IFERROR(VLOOKUP(E274,Data!$O$23:$P$196,2,FALSE),0)=0,0,(F274-IFERROR(VLOOKUP(E274,Data!$O$23:$P$196,2,FALSE),0))/ABS(IFERROR(VLOOKUP(E274,Data!$O$23:$P$196,2,FALSE),0)))</f>
        <v>0.1291034575799955</v>
      </c>
      <c r="H274" s="182">
        <f>VLOOKUP(E274,Data!$B$23:$E$273,3,FALSE)</f>
        <v>146.47999999999999</v>
      </c>
      <c r="I274" s="326">
        <f>VLOOKUP(E274,Data!$B$23:$E$273,2,FALSE)</f>
        <v>39587</v>
      </c>
    </row>
    <row r="275" spans="1:9" ht="13.8" x14ac:dyDescent="0.25">
      <c r="A275" s="244" t="s">
        <v>106</v>
      </c>
      <c r="B275" s="244"/>
      <c r="C275" s="182"/>
      <c r="D275" s="182"/>
      <c r="E275" s="244" t="s">
        <v>107</v>
      </c>
      <c r="F275" s="182">
        <f>IFERROR(VLOOKUP(E275,Data!$G$23:$H$196,2,FALSE),0)</f>
        <v>10881.293384860001</v>
      </c>
      <c r="G275" s="282">
        <f>IF(IFERROR(VLOOKUP(E275,Data!$O$23:$P$196,2,FALSE),0)=0,0,(F275-IFERROR(VLOOKUP(E275,Data!$O$23:$P$196,2,FALSE),0))/ABS(IFERROR(VLOOKUP(E275,Data!$O$23:$P$196,2,FALSE),0)))</f>
        <v>-5.5647609059627096E-2</v>
      </c>
      <c r="H275" s="182">
        <f>VLOOKUP(E275,Data!$B$23:$E$273,3,FALSE)</f>
        <v>12608.67</v>
      </c>
      <c r="I275" s="326">
        <f>VLOOKUP(E275,Data!$B$23:$E$273,2,FALSE)</f>
        <v>39590</v>
      </c>
    </row>
    <row r="276" spans="1:9" ht="13.8" x14ac:dyDescent="0.25">
      <c r="A276" s="244"/>
      <c r="B276" s="244"/>
      <c r="C276" s="182"/>
      <c r="D276" s="182"/>
      <c r="E276" s="244"/>
      <c r="F276" s="182"/>
      <c r="G276" s="182"/>
      <c r="H276" s="182"/>
      <c r="I276" s="326"/>
    </row>
    <row r="277" spans="1:9" ht="13.8" x14ac:dyDescent="0.25">
      <c r="A277" s="325" t="s">
        <v>108</v>
      </c>
      <c r="B277" s="325"/>
      <c r="C277" s="325"/>
      <c r="D277" s="325"/>
      <c r="E277" s="325"/>
      <c r="F277" s="325"/>
      <c r="G277" s="325"/>
      <c r="H277" s="325"/>
      <c r="I277" s="325"/>
    </row>
    <row r="278" spans="1:9" ht="13.8" x14ac:dyDescent="0.25">
      <c r="A278" s="244" t="s">
        <v>109</v>
      </c>
      <c r="B278" s="244"/>
      <c r="C278" s="182"/>
      <c r="D278" s="182"/>
      <c r="E278" s="244" t="s">
        <v>110</v>
      </c>
      <c r="F278" s="182">
        <f>IFERROR(VLOOKUP(E278,Data!$G$23:$H$196,2,FALSE),0)</f>
        <v>0</v>
      </c>
      <c r="G278" s="282">
        <f>IF(IFERROR(VLOOKUP(E278,Data!$O$23:$P$196,2,FALSE),0)=0,0,(F278-IFERROR(VLOOKUP(E278,Data!$O$23:$P$196,2,FALSE),0))/ABS(IFERROR(VLOOKUP(E278,Data!$O$23:$P$196,2,FALSE),0)))</f>
        <v>0</v>
      </c>
      <c r="H278" s="182">
        <f>VLOOKUP(E278,Data!$B$23:$E$273,3,FALSE)</f>
        <v>1703.8449540300001</v>
      </c>
      <c r="I278" s="326">
        <f>VLOOKUP(E278,Data!$B$23:$E$273,2,FALSE)</f>
        <v>42346</v>
      </c>
    </row>
    <row r="279" spans="1:9" ht="13.8" x14ac:dyDescent="0.25">
      <c r="A279" s="244" t="s">
        <v>111</v>
      </c>
      <c r="B279" s="244"/>
      <c r="C279" s="182"/>
      <c r="D279" s="182"/>
      <c r="E279" s="244" t="s">
        <v>112</v>
      </c>
      <c r="F279" s="182">
        <f>IFERROR(VLOOKUP(E279,Data!$G$23:$H$196,2,FALSE),0)</f>
        <v>0</v>
      </c>
      <c r="G279" s="282">
        <f>IF(IFERROR(VLOOKUP(E279,Data!$O$23:$P$196,2,FALSE),0)=0,0,(F279-IFERROR(VLOOKUP(E279,Data!$O$23:$P$196,2,FALSE),0))/ABS(IFERROR(VLOOKUP(E279,Data!$O$23:$P$196,2,FALSE),0)))</f>
        <v>0</v>
      </c>
      <c r="H279" s="182">
        <f>VLOOKUP(E279,Data!$B$23:$E$273,3,FALSE)</f>
        <v>641.64</v>
      </c>
      <c r="I279" s="326">
        <f>VLOOKUP(E279,Data!$B$23:$E$273,2,FALSE)</f>
        <v>38723</v>
      </c>
    </row>
    <row r="280" spans="1:9" ht="13.8" x14ac:dyDescent="0.25">
      <c r="A280" s="244" t="s">
        <v>113</v>
      </c>
      <c r="B280" s="244"/>
      <c r="C280" s="182"/>
      <c r="D280" s="182"/>
      <c r="E280" s="244" t="s">
        <v>114</v>
      </c>
      <c r="F280" s="182">
        <f>IFERROR(VLOOKUP(E280,Data!$G$23:$H$196,2,FALSE),0)</f>
        <v>821.59498885999994</v>
      </c>
      <c r="G280" s="282">
        <f>IF(IFERROR(VLOOKUP(E280,Data!$O$23:$P$196,2,FALSE),0)=0,0,(F280-IFERROR(VLOOKUP(E280,Data!$O$23:$P$196,2,FALSE),0))/ABS(IFERROR(VLOOKUP(E280,Data!$O$23:$P$196,2,FALSE),0)))</f>
        <v>2.6981007556620348E-3</v>
      </c>
      <c r="H280" s="182">
        <f>VLOOKUP(E280,Data!$B$23:$E$273,3,FALSE)</f>
        <v>5041.9399999999996</v>
      </c>
      <c r="I280" s="326">
        <f>VLOOKUP(E280,Data!$B$23:$E$273,2,FALSE)</f>
        <v>39400</v>
      </c>
    </row>
    <row r="281" spans="1:9" ht="14.4" thickBot="1" x14ac:dyDescent="0.3">
      <c r="A281" s="285"/>
      <c r="B281" s="285"/>
      <c r="C281" s="181"/>
      <c r="D281" s="181"/>
      <c r="E281" s="181"/>
      <c r="F281" s="329"/>
      <c r="G281" s="285"/>
      <c r="H281" s="285"/>
      <c r="I281" s="285"/>
    </row>
    <row r="282" spans="1:9" ht="13.8" thickTop="1" x14ac:dyDescent="0.25">
      <c r="A282" s="354" t="s">
        <v>522</v>
      </c>
      <c r="D282" s="2"/>
      <c r="E282" s="2"/>
      <c r="F282" s="12"/>
    </row>
    <row r="283" spans="1:9" x14ac:dyDescent="0.25">
      <c r="A283" s="59" t="s">
        <v>115</v>
      </c>
      <c r="D283" s="2"/>
      <c r="E283" s="2"/>
      <c r="F283" s="12"/>
    </row>
    <row r="289" spans="1:12" ht="13.8" thickBot="1" x14ac:dyDescent="0.3"/>
    <row r="290" spans="1:12" ht="25.2" thickBot="1" x14ac:dyDescent="0.45">
      <c r="A290" s="373" t="s">
        <v>659</v>
      </c>
      <c r="B290" s="374"/>
      <c r="C290" s="375"/>
      <c r="D290" s="371"/>
      <c r="E290" s="371"/>
      <c r="F290" s="372"/>
    </row>
    <row r="291" spans="1:12" x14ac:dyDescent="0.25">
      <c r="A291" s="370"/>
      <c r="B291" s="370"/>
      <c r="C291" s="370"/>
      <c r="D291" s="366"/>
      <c r="E291" s="366"/>
      <c r="F291" s="366"/>
    </row>
    <row r="292" spans="1:12" ht="34.799999999999997" x14ac:dyDescent="0.55000000000000004">
      <c r="A292" s="369" t="s">
        <v>660</v>
      </c>
      <c r="B292" s="368"/>
      <c r="C292" s="368"/>
      <c r="D292" s="368"/>
      <c r="E292" s="368"/>
      <c r="F292" s="368"/>
    </row>
    <row r="293" spans="1:12" x14ac:dyDescent="0.25">
      <c r="A293" s="367"/>
      <c r="B293" s="367"/>
      <c r="C293" s="367"/>
      <c r="D293" s="367"/>
      <c r="E293" s="367"/>
      <c r="F293" s="367"/>
    </row>
    <row r="294" spans="1:12" ht="34.799999999999997" x14ac:dyDescent="0.55000000000000004">
      <c r="A294" s="369" t="s">
        <v>661</v>
      </c>
      <c r="B294" s="368"/>
      <c r="C294" s="368"/>
      <c r="D294" s="368"/>
      <c r="E294" s="368"/>
      <c r="F294" s="368"/>
    </row>
    <row r="295" spans="1:12" x14ac:dyDescent="0.25">
      <c r="A295" s="367"/>
      <c r="B295" s="367"/>
      <c r="C295" s="367"/>
      <c r="D295" s="366"/>
      <c r="E295" s="366"/>
      <c r="F295" s="366"/>
    </row>
    <row r="296" spans="1:12" x14ac:dyDescent="0.25">
      <c r="A296" s="376" t="s">
        <v>662</v>
      </c>
      <c r="B296" s="376"/>
      <c r="C296" s="376"/>
      <c r="D296" s="366"/>
      <c r="E296" s="366"/>
      <c r="F296" s="366"/>
    </row>
    <row r="297" spans="1:12" s="243" customFormat="1" x14ac:dyDescent="0.25">
      <c r="A297" s="376"/>
      <c r="B297" s="376"/>
      <c r="C297" s="376"/>
      <c r="D297" s="367"/>
      <c r="E297" s="367"/>
      <c r="F297" s="367"/>
      <c r="K297" s="258"/>
      <c r="L297" s="258"/>
    </row>
    <row r="298" spans="1:12" s="243" customFormat="1" x14ac:dyDescent="0.25">
      <c r="K298" s="258"/>
      <c r="L298" s="258"/>
    </row>
    <row r="299" spans="1:12" s="243" customFormat="1" x14ac:dyDescent="0.25">
      <c r="K299" s="258"/>
      <c r="L299" s="258"/>
    </row>
    <row r="300" spans="1:12" s="243" customFormat="1" x14ac:dyDescent="0.25">
      <c r="K300" s="258"/>
      <c r="L300" s="258"/>
    </row>
    <row r="301" spans="1:12" s="243" customFormat="1" x14ac:dyDescent="0.25">
      <c r="K301" s="258"/>
      <c r="L301" s="258"/>
    </row>
    <row r="302" spans="1:12" s="243" customFormat="1" x14ac:dyDescent="0.25">
      <c r="K302" s="258"/>
      <c r="L302" s="258"/>
    </row>
    <row r="303" spans="1:12" s="243" customFormat="1" x14ac:dyDescent="0.25">
      <c r="K303" s="258"/>
      <c r="L303" s="258"/>
    </row>
    <row r="304" spans="1:12" s="243" customFormat="1" x14ac:dyDescent="0.25">
      <c r="K304" s="258"/>
      <c r="L304" s="258"/>
    </row>
    <row r="305" spans="11:12" s="243" customFormat="1" x14ac:dyDescent="0.25">
      <c r="K305" s="258"/>
      <c r="L305" s="258"/>
    </row>
    <row r="306" spans="11:12" s="243" customFormat="1" x14ac:dyDescent="0.25">
      <c r="K306" s="258"/>
      <c r="L306" s="258"/>
    </row>
    <row r="307" spans="11:12" s="243" customFormat="1" x14ac:dyDescent="0.25">
      <c r="K307" s="258"/>
      <c r="L307" s="258"/>
    </row>
    <row r="308" spans="11:12" s="243" customFormat="1" x14ac:dyDescent="0.25">
      <c r="K308" s="258"/>
      <c r="L308" s="258"/>
    </row>
    <row r="309" spans="11:12" s="243" customFormat="1" x14ac:dyDescent="0.25">
      <c r="K309" s="258"/>
      <c r="L309" s="258"/>
    </row>
    <row r="310" spans="11:12" s="243" customFormat="1" x14ac:dyDescent="0.25">
      <c r="K310" s="258"/>
      <c r="L310" s="258"/>
    </row>
    <row r="315" spans="11:12" s="243" customFormat="1" x14ac:dyDescent="0.25">
      <c r="K315" s="258"/>
      <c r="L315" s="258"/>
    </row>
    <row r="316" spans="11:12" s="243" customFormat="1" x14ac:dyDescent="0.25">
      <c r="K316" s="258"/>
      <c r="L316" s="258"/>
    </row>
    <row r="317" spans="11:12" s="243" customFormat="1" x14ac:dyDescent="0.25">
      <c r="K317" s="258"/>
      <c r="L317" s="258"/>
    </row>
    <row r="318" spans="11:12" s="243" customFormat="1" x14ac:dyDescent="0.25">
      <c r="K318" s="258"/>
      <c r="L318" s="258"/>
    </row>
    <row r="319" spans="11:12" s="243" customFormat="1" x14ac:dyDescent="0.25">
      <c r="K319" s="258"/>
      <c r="L319" s="258"/>
    </row>
    <row r="320" spans="11:12" s="243" customFormat="1" x14ac:dyDescent="0.25">
      <c r="K320" s="258"/>
      <c r="L320" s="258"/>
    </row>
    <row r="321" spans="1:12" s="243" customFormat="1" x14ac:dyDescent="0.25">
      <c r="K321" s="258"/>
      <c r="L321" s="258"/>
    </row>
    <row r="322" spans="1:12" s="243" customFormat="1" x14ac:dyDescent="0.25">
      <c r="K322" s="258"/>
      <c r="L322" s="258"/>
    </row>
    <row r="324" spans="1:12" s="243" customFormat="1" x14ac:dyDescent="0.25">
      <c r="K324" s="258"/>
      <c r="L324" s="258"/>
    </row>
    <row r="326" spans="1:12" s="243" customFormat="1" x14ac:dyDescent="0.25">
      <c r="K326" s="258"/>
      <c r="L326" s="258"/>
    </row>
    <row r="327" spans="1:12" s="243" customFormat="1" x14ac:dyDescent="0.25">
      <c r="K327" s="258"/>
      <c r="L327" s="258"/>
    </row>
    <row r="328" spans="1:12" s="243" customFormat="1" x14ac:dyDescent="0.25">
      <c r="K328" s="258"/>
      <c r="L328" s="258"/>
    </row>
    <row r="329" spans="1:12" s="243" customFormat="1" x14ac:dyDescent="0.25">
      <c r="K329" s="258"/>
      <c r="L329" s="258"/>
    </row>
    <row r="330" spans="1:12" s="243" customFormat="1" x14ac:dyDescent="0.25">
      <c r="K330" s="258"/>
      <c r="L330" s="258"/>
    </row>
    <row r="335" spans="1:12" ht="13.8" x14ac:dyDescent="0.25">
      <c r="A335" s="244"/>
      <c r="B335" s="244"/>
      <c r="C335" s="244"/>
      <c r="D335" s="244"/>
      <c r="E335" s="244"/>
      <c r="F335" s="244"/>
      <c r="G335" s="244"/>
      <c r="H335" s="244"/>
      <c r="I335" s="244"/>
    </row>
    <row r="336" spans="1:12" ht="13.8" x14ac:dyDescent="0.25">
      <c r="A336" s="244"/>
      <c r="B336" s="244"/>
      <c r="C336" s="244"/>
      <c r="D336" s="244"/>
      <c r="E336" s="244"/>
      <c r="F336" s="244"/>
      <c r="G336" s="244"/>
      <c r="H336" s="244"/>
      <c r="I336" s="244"/>
    </row>
    <row r="337" spans="1:12" ht="13.8" x14ac:dyDescent="0.25">
      <c r="A337" s="244"/>
      <c r="B337" s="244"/>
      <c r="C337" s="244"/>
      <c r="D337" s="244"/>
      <c r="E337" s="244"/>
      <c r="F337" s="244"/>
      <c r="G337" s="244"/>
      <c r="H337" s="244"/>
      <c r="I337" s="244"/>
    </row>
    <row r="338" spans="1:12" ht="13.8" x14ac:dyDescent="0.25">
      <c r="A338" s="244"/>
      <c r="B338" s="244"/>
      <c r="C338" s="244"/>
      <c r="D338" s="244"/>
      <c r="E338" s="244"/>
      <c r="F338" s="244"/>
      <c r="G338" s="244"/>
      <c r="H338" s="244"/>
      <c r="I338" s="244"/>
    </row>
    <row r="339" spans="1:12" s="243" customFormat="1" ht="4.5" customHeight="1" x14ac:dyDescent="0.25">
      <c r="A339" s="244"/>
      <c r="B339" s="244"/>
      <c r="C339" s="244"/>
      <c r="D339" s="244"/>
      <c r="E339" s="244"/>
      <c r="F339" s="244"/>
      <c r="G339" s="244"/>
      <c r="H339" s="244"/>
      <c r="I339" s="244"/>
      <c r="K339" s="258"/>
      <c r="L339" s="258"/>
    </row>
    <row r="340" spans="1:12" ht="13.8" x14ac:dyDescent="0.25">
      <c r="B340" s="244"/>
      <c r="C340" s="244"/>
      <c r="D340" s="244"/>
      <c r="E340" s="244"/>
      <c r="F340" s="244"/>
      <c r="G340" s="244"/>
      <c r="H340" s="244"/>
      <c r="I340" s="244"/>
    </row>
    <row r="341" spans="1:12" ht="8.25" customHeight="1" x14ac:dyDescent="0.25">
      <c r="A341" s="379" t="str">
        <f>"Market Profile - "&amp; TEXT($H$3,"MMM")&amp;" "&amp;TEXT($H$3,"YYYY")</f>
        <v>Market Profile - Aug 2019</v>
      </c>
      <c r="B341" s="244"/>
      <c r="C341" s="244"/>
      <c r="D341" s="244"/>
      <c r="E341" s="383" t="s">
        <v>197</v>
      </c>
      <c r="F341" s="383"/>
      <c r="G341" s="383"/>
      <c r="H341" s="383"/>
      <c r="I341" s="383"/>
    </row>
    <row r="342" spans="1:12" ht="10.5" customHeight="1" thickBot="1" x14ac:dyDescent="0.3">
      <c r="A342" s="380"/>
      <c r="B342" s="274"/>
      <c r="C342" s="274"/>
      <c r="D342" s="274"/>
      <c r="E342" s="384"/>
      <c r="F342" s="384"/>
      <c r="G342" s="384"/>
      <c r="H342" s="384"/>
      <c r="I342" s="384"/>
    </row>
    <row r="343" spans="1:12" ht="38.25" customHeight="1" thickBot="1" x14ac:dyDescent="0.3">
      <c r="A343" s="323"/>
      <c r="B343" s="323"/>
      <c r="C343" s="330" t="str">
        <f>TEXT($H$3,"MMM")&amp;" "&amp;TEXT($H$3,"YYYY")</f>
        <v>Aug 2019</v>
      </c>
      <c r="D343" s="323"/>
      <c r="E343" s="330" t="str">
        <f>TEXT(DATE(2000,TEXT(H3,"M")-1,1),"mmm")&amp; " "&amp; TEXT(H3,"YYYY")</f>
        <v>Jul 2019</v>
      </c>
      <c r="F343" s="179" t="s">
        <v>186</v>
      </c>
      <c r="G343" s="323"/>
      <c r="H343" s="331" t="str">
        <f>TEXT($H$3,"MMM")&amp;" "&amp;TEXT($H$3,"YYYY")-1</f>
        <v>Aug 2018</v>
      </c>
      <c r="I343" s="331" t="s">
        <v>187</v>
      </c>
    </row>
    <row r="344" spans="1:12" ht="13.8" x14ac:dyDescent="0.25">
      <c r="A344" s="325" t="s">
        <v>116</v>
      </c>
      <c r="B344" s="325"/>
      <c r="C344" s="325"/>
      <c r="D344" s="325"/>
      <c r="E344" s="325"/>
      <c r="F344" s="325"/>
      <c r="G344" s="325"/>
      <c r="H344" s="325"/>
      <c r="I344" s="332"/>
    </row>
    <row r="345" spans="1:12" x14ac:dyDescent="0.25">
      <c r="A345" s="139" t="s">
        <v>14</v>
      </c>
      <c r="B345" s="243"/>
      <c r="C345" s="243"/>
      <c r="D345" s="243"/>
      <c r="E345" s="243"/>
      <c r="F345" s="140"/>
      <c r="G345" s="243"/>
      <c r="H345" s="243"/>
      <c r="I345" s="178"/>
    </row>
    <row r="346" spans="1:12" x14ac:dyDescent="0.25">
      <c r="A346" s="243" t="s">
        <v>450</v>
      </c>
      <c r="B346" s="243"/>
      <c r="C346" s="3">
        <f>SUMIFS(Data!$AC:$AC,Data!$Z:$Z,MarketProfile!A346,Data!$AE:$AE,"1")</f>
        <v>1221</v>
      </c>
      <c r="D346" s="395">
        <f>SUMIFS(Data!$AQ:$AQ,Data!$AN:$AN,MarketProfile!A346,Data!$AS:$AS,"1")</f>
        <v>1557</v>
      </c>
      <c r="E346" s="395"/>
      <c r="F346" s="178">
        <f>IFERROR(IF(OR(AND(D346="",C346=""),AND(D346=0,C346=0)),"",
IF(OR(D346="",D346=0),1,
IF(OR(D346&lt;&gt;"",D346&lt;&gt;0),(C346-D346)/ABS(D346)))),-1)</f>
        <v>-0.21579961464354527</v>
      </c>
      <c r="G346" s="395">
        <f>SUMIFS(Data!$BE:$BE,Data!$BB:$BB,MarketProfile!A346,Data!BG:BG,"1")</f>
        <v>964</v>
      </c>
      <c r="H346" s="395"/>
      <c r="I346" s="178">
        <f t="shared" ref="I346:I353" si="20">IFERROR(IF(OR(AND(G346="",C346=""),AND(G346=0,C346=0)),"",
IF(OR(G346="",G346=0),1,
IF(OR(G346&lt;&gt;"",G346&lt;&gt;0),(C346-G346)/ABS(G346)))),-1)</f>
        <v>0.26659751037344398</v>
      </c>
      <c r="J346" s="158"/>
    </row>
    <row r="347" spans="1:12" x14ac:dyDescent="0.25">
      <c r="A347" s="243" t="s">
        <v>177</v>
      </c>
      <c r="B347" s="243"/>
      <c r="C347" s="3">
        <f>SUMIFS(Data!$AC:$AC,Data!$Z:$Z,MarketProfile!A347,Data!$AE:$AE,"1")</f>
        <v>2738</v>
      </c>
      <c r="D347" s="395">
        <f>SUMIFS(Data!$AQ:$AQ,Data!$AN:$AN,MarketProfile!A347,Data!$AS:$AS,"1")</f>
        <v>2100</v>
      </c>
      <c r="E347" s="395"/>
      <c r="F347" s="178">
        <f>IFERROR(IF(OR(AND(D347="",C347=""),AND(D347=0,C347=0)),"",
IF(OR(D347="",D347=0),1,
IF(OR(D347&lt;&gt;"",D347&lt;&gt;0),(C347-D347)/ABS(D347)))),-1)</f>
        <v>0.30380952380952381</v>
      </c>
      <c r="G347" s="395">
        <f>SUMIFS(Data!$BE:$BE,Data!$BB:$BB,MarketProfile!A347,Data!BG:BG,"1")</f>
        <v>3043</v>
      </c>
      <c r="H347" s="395"/>
      <c r="I347" s="178">
        <f t="shared" si="20"/>
        <v>-0.10023003614853762</v>
      </c>
      <c r="J347" s="158"/>
    </row>
    <row r="348" spans="1:12" x14ac:dyDescent="0.25">
      <c r="A348" s="243" t="s">
        <v>451</v>
      </c>
      <c r="B348" s="243"/>
      <c r="C348" s="3">
        <f>SUMIFS(Data!$AC:$AC,Data!$Z:$Z,MarketProfile!A348,Data!$AE:$AE,"1")</f>
        <v>11873</v>
      </c>
      <c r="D348" s="395">
        <f>SUMIFS(Data!$AQ:$AQ,Data!$AN:$AN,MarketProfile!A348,Data!$AS:$AS,"1")</f>
        <v>9877</v>
      </c>
      <c r="E348" s="395"/>
      <c r="F348" s="178">
        <f>IFERROR(IF(OR(AND(D348="",C348=""),AND(D348=0,C348=0)),"",
IF(OR(D348="",D348=0),1,
IF(OR(D348&lt;&gt;"",D348&lt;&gt;0),(C348-D348)/ABS(D348)))),-1)</f>
        <v>0.20208565353852384</v>
      </c>
      <c r="G348" s="395">
        <f>SUMIFS(Data!$BE:$BE,Data!$BB:$BB,MarketProfile!A348,Data!BG:BG,"1")</f>
        <v>11621</v>
      </c>
      <c r="H348" s="395"/>
      <c r="I348" s="178">
        <f t="shared" si="20"/>
        <v>2.1684880819206609E-2</v>
      </c>
      <c r="J348" s="158"/>
    </row>
    <row r="349" spans="1:12" x14ac:dyDescent="0.25">
      <c r="A349" s="243" t="s">
        <v>138</v>
      </c>
      <c r="B349" s="243"/>
      <c r="C349" s="3">
        <f>SUMIFS(Data!$AC:$AC,Data!$Z:$Z,MarketProfile!A349,Data!$AE:$AE,"1")</f>
        <v>19</v>
      </c>
      <c r="D349" s="395">
        <f>SUMIFS(Data!$AQ:$AQ,Data!$AN:$AN,MarketProfile!A349,Data!$AS:$AS,"1")</f>
        <v>14</v>
      </c>
      <c r="E349" s="395"/>
      <c r="F349" s="178">
        <f>IFERROR(IF(OR(AND(D349="",C349=""),AND(D349=0,C349=0)),"",
IF(OR(D349="",D349=0),1,
IF(OR(D349&lt;&gt;"",D349&lt;&gt;0),(C349-D349)/ABS(D349)))),-1)</f>
        <v>0.35714285714285715</v>
      </c>
      <c r="G349" s="395">
        <f>SUMIFS(Data!$BE:$BE,Data!$BB:$BB,MarketProfile!A349,Data!BG:BG,"1")</f>
        <v>42</v>
      </c>
      <c r="H349" s="395"/>
      <c r="I349" s="178">
        <f t="shared" si="20"/>
        <v>-0.54761904761904767</v>
      </c>
      <c r="J349" s="158"/>
    </row>
    <row r="350" spans="1:12" x14ac:dyDescent="0.25">
      <c r="A350" s="243" t="s">
        <v>452</v>
      </c>
      <c r="B350" s="243"/>
      <c r="C350" s="3">
        <f>SUMIFS(Data!$AC:$AC,Data!$Z:$Z,MarketProfile!A350,Data!$AE:$AE,"1")</f>
        <v>4909</v>
      </c>
      <c r="D350" s="395">
        <f>SUMIFS(Data!$AQ:$AQ,Data!$AN:$AN,MarketProfile!A350,Data!$AS:$AS,"1")</f>
        <v>4150</v>
      </c>
      <c r="E350" s="395"/>
      <c r="F350" s="178">
        <f>IFERROR(IF(OR(AND(D350="",C350=""),AND(D350=0,C350=0)),"",
IF(OR(D350="",D350=0),1,
IF(OR(D350&lt;&gt;"",D350&lt;&gt;0),(C350-D350)/ABS(D350)))),-1)</f>
        <v>0.18289156626506023</v>
      </c>
      <c r="G350" s="395">
        <f>SUMIFS(Data!$BE:$BE,Data!$BB:$BB,MarketProfile!A350,Data!BG:BG,"1")</f>
        <v>4200</v>
      </c>
      <c r="H350" s="395"/>
      <c r="I350" s="178">
        <f t="shared" si="20"/>
        <v>0.1688095238095238</v>
      </c>
      <c r="J350" s="158"/>
    </row>
    <row r="351" spans="1:12" x14ac:dyDescent="0.25">
      <c r="A351" s="243" t="s">
        <v>453</v>
      </c>
      <c r="B351" s="243"/>
      <c r="C351" s="3">
        <f>SUMIFS(Data!$AC:$AC,Data!$Z:$Z,MarketProfile!A351,Data!$AE:$AE,"1")</f>
        <v>16203</v>
      </c>
      <c r="D351" s="395">
        <f>SUMIFS(Data!$AQ:$AQ,Data!$AN:$AN,MarketProfile!A351,Data!$AS:$AS,"1")</f>
        <v>12587</v>
      </c>
      <c r="E351" s="395"/>
      <c r="F351" s="178">
        <f>IFERROR(IF(OR(AND(D351="",C351=""),AND(D351=0,C351=0)),"",
IF(OR(D351="",D351=0),1,
IF(OR(D351&lt;&gt;"",D351&lt;&gt;0),(C351-D351)/ABS(D351)))),-1)</f>
        <v>0.28728052752840233</v>
      </c>
      <c r="G351" s="395">
        <f>SUMIFS(Data!$BE:$BE,Data!$BB:$BB,MarketProfile!A351,Data!BG:BG,"1")</f>
        <v>17817</v>
      </c>
      <c r="H351" s="395"/>
      <c r="I351" s="178">
        <f t="shared" si="20"/>
        <v>-9.0587641017006226E-2</v>
      </c>
      <c r="J351" s="158"/>
    </row>
    <row r="352" spans="1:12" x14ac:dyDescent="0.25">
      <c r="A352" s="243" t="s">
        <v>454</v>
      </c>
      <c r="B352" s="243"/>
      <c r="C352" s="3">
        <f>SUMIFS(Data!$AC:$AC,Data!$Z:$Z,MarketProfile!A352,Data!$AE:$AE,"1")</f>
        <v>13</v>
      </c>
      <c r="D352" s="395">
        <f>SUMIFS(Data!$AQ:$AQ,Data!$AN:$AN,MarketProfile!A352,Data!$AS:$AS,"1")</f>
        <v>12</v>
      </c>
      <c r="E352" s="395"/>
      <c r="F352" s="178">
        <f>IFERROR(IF(OR(AND(D352="",C352=""),AND(D352=0,C352=0)),"",
IF(OR(D352="",D352=0),1,
IF(OR(D352&lt;&gt;"",D352&lt;&gt;0),(C352-D352)/ABS(D352)))),-1)</f>
        <v>8.3333333333333329E-2</v>
      </c>
      <c r="G352" s="395">
        <f>SUMIFS(Data!$BE:$BE,Data!$BB:$BB,MarketProfile!A352,Data!BG:BG,"1")</f>
        <v>21</v>
      </c>
      <c r="H352" s="395"/>
      <c r="I352" s="178">
        <f t="shared" si="20"/>
        <v>-0.38095238095238093</v>
      </c>
      <c r="J352" s="158"/>
    </row>
    <row r="353" spans="1:10" x14ac:dyDescent="0.25">
      <c r="A353" s="243" t="s">
        <v>139</v>
      </c>
      <c r="B353" s="243"/>
      <c r="C353" s="3">
        <f>SUMIFS(Data!$AC:$AC,Data!$Z:$Z,MarketProfile!A353,Data!$AE:$AE,"1")</f>
        <v>10</v>
      </c>
      <c r="D353" s="395">
        <f>SUMIFS(Data!$AQ:$AQ,Data!$AN:$AN,MarketProfile!A353,Data!$AS:$AS,"1")</f>
        <v>7</v>
      </c>
      <c r="E353" s="395"/>
      <c r="F353" s="178">
        <f>IFERROR(IF(OR(AND(D353="",C353=""),AND(D353=0,C353=0)),"",
IF(OR(D353="",D353=0),1,
IF(OR(D353&lt;&gt;"",D353&lt;&gt;0),(C353-D353)/ABS(D353)))),-1)</f>
        <v>0.42857142857142855</v>
      </c>
      <c r="G353" s="395">
        <f>SUMIFS(Data!$BE:$BE,Data!$BB:$BB,MarketProfile!A353,Data!BG:BG,"1")</f>
        <v>0</v>
      </c>
      <c r="H353" s="395"/>
      <c r="I353" s="178">
        <f t="shared" si="20"/>
        <v>1</v>
      </c>
      <c r="J353" s="158"/>
    </row>
    <row r="354" spans="1:10" x14ac:dyDescent="0.25">
      <c r="A354" s="242" t="s">
        <v>180</v>
      </c>
      <c r="B354" s="243"/>
      <c r="C354" s="4">
        <f>SUM(C346:C353)</f>
        <v>36986</v>
      </c>
      <c r="D354" s="396">
        <f>SUM(D346:E353)</f>
        <v>30304</v>
      </c>
      <c r="E354" s="396">
        <f>SUM(E346:E353)</f>
        <v>0</v>
      </c>
      <c r="F354" s="165">
        <f>IFERROR(IF(OR(AND(D354="",C354=""),AND(D354=0,C354=0)),"",
IF(OR(D354="",D354=0),1,
IF(OR(D354&lt;&gt;"",D354&lt;&gt;0),(C354-D354)/ABS(D354)))),-1)</f>
        <v>0.22049894403379092</v>
      </c>
      <c r="G354" s="396">
        <f>SUM(G346:H353)</f>
        <v>37708</v>
      </c>
      <c r="H354" s="396">
        <f>SUM(H346:H353)</f>
        <v>0</v>
      </c>
      <c r="I354" s="165">
        <f>IFERROR(IF(OR(AND(G354="",C354=""),AND(G354=0,C354=0)),"",
IF(OR(G354="",G354=0),1,
IF(OR(G354&lt;&gt;"",G354&lt;&gt;0),(C354-G354)/ABS(G354)))),-1)</f>
        <v>-1.914713058236979E-2</v>
      </c>
      <c r="J354" s="158"/>
    </row>
    <row r="355" spans="1:10" x14ac:dyDescent="0.25">
      <c r="A355" s="139" t="s">
        <v>15</v>
      </c>
      <c r="B355" s="243"/>
      <c r="C355" s="3"/>
      <c r="D355" s="243"/>
      <c r="E355" s="243"/>
      <c r="F355" s="178"/>
      <c r="G355" s="243"/>
      <c r="H355" s="243"/>
      <c r="I355" s="178" t="s">
        <v>184</v>
      </c>
    </row>
    <row r="356" spans="1:10" x14ac:dyDescent="0.25">
      <c r="A356" s="243" t="s">
        <v>450</v>
      </c>
      <c r="B356" s="243"/>
      <c r="C356" s="3">
        <f>SUMIFS(Data!$AC:$AC,Data!$Z:$Z,MarketProfile!A356,Data!$AE:$AE,"0")</f>
        <v>6</v>
      </c>
      <c r="D356" s="395">
        <f>SUMIFS(Data!$AQ:$AQ,Data!$AN:$AN,MarketProfile!A356,Data!$AS:$AS,"0")</f>
        <v>23</v>
      </c>
      <c r="E356" s="395"/>
      <c r="F356" s="178">
        <f>IFERROR(IF(OR(AND(D356="",C356=""),AND(D356=0,C356=0)),"",
IF(OR(D356="",D356=0),1,
IF(OR(D356&lt;&gt;"",D356&lt;&gt;0),(C356-D356)/ABS(D356)))),-1)</f>
        <v>-0.73913043478260865</v>
      </c>
      <c r="G356" s="395">
        <f>SUMIFS(Data!$BE:$BE,Data!$BB:$BB,MarketProfile!A356,Data!BG:BG,"0")</f>
        <v>2</v>
      </c>
      <c r="H356" s="395"/>
      <c r="I356" s="178">
        <f t="shared" ref="I356:I364" si="21">IFERROR(IF(OR(AND(G356="",C356=""),AND(G356=0,C356=0)),"",
IF(OR(G356="",G356=0),1,
IF(OR(G356&lt;&gt;"",G356&lt;&gt;0),(C356-G356)/ABS(G356)))),-1)</f>
        <v>2</v>
      </c>
    </row>
    <row r="357" spans="1:10" x14ac:dyDescent="0.25">
      <c r="A357" s="243" t="s">
        <v>177</v>
      </c>
      <c r="B357" s="243"/>
      <c r="C357" s="3">
        <f>SUMIFS(Data!$AC:$AC,Data!$Z:$Z,MarketProfile!A357,Data!$AE:$AE,"0")</f>
        <v>7</v>
      </c>
      <c r="D357" s="395">
        <f>SUMIFS(Data!$AQ:$AQ,Data!$AN:$AN,MarketProfile!A357,Data!$AS:$AS,"0")</f>
        <v>2</v>
      </c>
      <c r="E357" s="395"/>
      <c r="F357" s="178">
        <f>IFERROR(IF(OR(AND(D357="",C357=""),AND(D357=0,C357=0)),"",
IF(OR(D357="",D357=0),1,
IF(OR(D357&lt;&gt;"",D357&lt;&gt;0),(C357-D357)/ABS(D357)))),-1)</f>
        <v>2.5</v>
      </c>
      <c r="G357" s="395">
        <f>SUMIFS(Data!$BE:$BE,Data!$BB:$BB,MarketProfile!A357,Data!BG:BG,"0")</f>
        <v>51</v>
      </c>
      <c r="H357" s="395"/>
      <c r="I357" s="178">
        <f t="shared" si="21"/>
        <v>-0.86274509803921573</v>
      </c>
    </row>
    <row r="358" spans="1:10" x14ac:dyDescent="0.25">
      <c r="A358" s="243" t="s">
        <v>451</v>
      </c>
      <c r="B358" s="243"/>
      <c r="C358" s="3">
        <f>SUMIFS(Data!$AC:$AC,Data!$Z:$Z,MarketProfile!A358,Data!$AE:$AE,"0")</f>
        <v>533</v>
      </c>
      <c r="D358" s="395">
        <f>SUMIFS(Data!$AQ:$AQ,Data!$AN:$AN,MarketProfile!A358,Data!$AS:$AS,"0")</f>
        <v>362</v>
      </c>
      <c r="E358" s="395"/>
      <c r="F358" s="178">
        <f>IFERROR(IF(OR(AND(D358="",C358=""),AND(D358=0,C358=0)),"",
IF(OR(D358="",D358=0),1,
IF(OR(D358&lt;&gt;"",D358&lt;&gt;0),(C358-D358)/ABS(D358)))),-1)</f>
        <v>0.47237569060773482</v>
      </c>
      <c r="G358" s="395">
        <f>SUMIFS(Data!$BE:$BE,Data!$BB:$BB,MarketProfile!A358,Data!BG:BG,"0")</f>
        <v>369</v>
      </c>
      <c r="H358" s="395"/>
      <c r="I358" s="178">
        <f t="shared" si="21"/>
        <v>0.44444444444444442</v>
      </c>
    </row>
    <row r="359" spans="1:10" x14ac:dyDescent="0.25">
      <c r="A359" s="243" t="s">
        <v>138</v>
      </c>
      <c r="B359" s="243"/>
      <c r="C359" s="3">
        <f>SUMIFS(Data!$AC:$AC,Data!$Z:$Z,MarketProfile!A359,Data!$AE:$AE,"0")</f>
        <v>0</v>
      </c>
      <c r="D359" s="395">
        <f>SUMIFS(Data!$AQ:$AQ,Data!$AN:$AN,MarketProfile!A359,Data!$AS:$AS,"0")</f>
        <v>0</v>
      </c>
      <c r="E359" s="395"/>
      <c r="F359" s="178" t="str">
        <f>IFERROR(IF(OR(AND(D359="",C359=""),AND(D359=0,C359=0)),"",
IF(OR(D359="",D359=0),1,
IF(OR(D359&lt;&gt;"",D359&lt;&gt;0),(C359-D359)/ABS(D359)))),-1)</f>
        <v/>
      </c>
      <c r="G359" s="395">
        <f>SUMIFS(Data!$BE:$BE,Data!$BB:$BB,MarketProfile!A359,Data!BG:BG,"0")</f>
        <v>0</v>
      </c>
      <c r="H359" s="395"/>
      <c r="I359" s="178" t="str">
        <f t="shared" si="21"/>
        <v/>
      </c>
    </row>
    <row r="360" spans="1:10" x14ac:dyDescent="0.25">
      <c r="A360" s="243" t="s">
        <v>452</v>
      </c>
      <c r="B360" s="243"/>
      <c r="C360" s="3">
        <f>SUMIFS(Data!$AC:$AC,Data!$Z:$Z,MarketProfile!A360,Data!$AE:$AE,"0")</f>
        <v>10</v>
      </c>
      <c r="D360" s="395">
        <f>SUMIFS(Data!$AQ:$AQ,Data!$AN:$AN,MarketProfile!A360,Data!$AS:$AS,"0")</f>
        <v>68</v>
      </c>
      <c r="E360" s="395"/>
      <c r="F360" s="178">
        <f>IFERROR(IF(OR(AND(D360="",C360=""),AND(D360=0,C360=0)),"",
IF(OR(D360="",D360=0),1,
IF(OR(D360&lt;&gt;"",D360&lt;&gt;0),(C360-D360)/ABS(D360)))),-1)</f>
        <v>-0.8529411764705882</v>
      </c>
      <c r="G360" s="395">
        <f>SUMIFS(Data!$BE:$BE,Data!$BB:$BB,MarketProfile!A360,Data!BG:BG,"0")</f>
        <v>124</v>
      </c>
      <c r="H360" s="395"/>
      <c r="I360" s="178">
        <f t="shared" si="21"/>
        <v>-0.91935483870967738</v>
      </c>
    </row>
    <row r="361" spans="1:10" x14ac:dyDescent="0.25">
      <c r="A361" s="243" t="s">
        <v>453</v>
      </c>
      <c r="B361" s="243"/>
      <c r="C361" s="3">
        <f>SUMIFS(Data!$AC:$AC,Data!$Z:$Z,MarketProfile!A361,Data!$AE:$AE,"0")</f>
        <v>1264</v>
      </c>
      <c r="D361" s="395">
        <f>SUMIFS(Data!$AQ:$AQ,Data!$AN:$AN,MarketProfile!A361,Data!$AS:$AS,"0")</f>
        <v>719</v>
      </c>
      <c r="E361" s="395"/>
      <c r="F361" s="178">
        <f>IFERROR(IF(OR(AND(D361="",C361=""),AND(D361=0,C361=0)),"",
IF(OR(D361="",D361=0),1,
IF(OR(D361&lt;&gt;"",D361&lt;&gt;0),(C361-D361)/ABS(D361)))),-1)</f>
        <v>0.75799721835883171</v>
      </c>
      <c r="G361" s="395">
        <f>SUMIFS(Data!$BE:$BE,Data!$BB:$BB,MarketProfile!A361,Data!BG:BG,"0")</f>
        <v>2440</v>
      </c>
      <c r="H361" s="395"/>
      <c r="I361" s="178">
        <f t="shared" si="21"/>
        <v>-0.4819672131147541</v>
      </c>
    </row>
    <row r="362" spans="1:10" x14ac:dyDescent="0.25">
      <c r="A362" s="243" t="s">
        <v>454</v>
      </c>
      <c r="B362" s="243"/>
      <c r="C362" s="3">
        <f>SUMIFS(Data!$AC:$AC,Data!$Z:$Z,MarketProfile!A362,Data!$AE:$AE,"0")</f>
        <v>0</v>
      </c>
      <c r="D362" s="395">
        <f>SUMIFS(Data!$AQ:$AQ,Data!$AN:$AN,MarketProfile!A362,Data!$AS:$AS,"0")</f>
        <v>0</v>
      </c>
      <c r="E362" s="395"/>
      <c r="F362" s="178" t="str">
        <f>IFERROR(IF(OR(AND(D362="",C362=""),AND(D362=0,C362=0)),"",
IF(OR(D362="",D362=0),1,
IF(OR(D362&lt;&gt;"",D362&lt;&gt;0),(C362-D362)/ABS(D362)))),-1)</f>
        <v/>
      </c>
      <c r="G362" s="395">
        <f>SUMIFS(Data!$BE:$BE,Data!$BB:$BB,MarketProfile!A362,Data!BG:BG,"0")</f>
        <v>0</v>
      </c>
      <c r="H362" s="395"/>
      <c r="I362" s="178" t="str">
        <f t="shared" si="21"/>
        <v/>
      </c>
    </row>
    <row r="363" spans="1:10" x14ac:dyDescent="0.25">
      <c r="A363" s="243" t="s">
        <v>139</v>
      </c>
      <c r="B363" s="243"/>
      <c r="C363" s="3">
        <f>SUMIFS(Data!$AC:$AC,Data!$Z:$Z,MarketProfile!A363,Data!$AE:$AE,"0")</f>
        <v>0</v>
      </c>
      <c r="D363" s="395">
        <f>SUMIFS(Data!$AQ:$AQ,Data!$AN:$AN,MarketProfile!A363,Data!$AS:$AS,"0")</f>
        <v>0</v>
      </c>
      <c r="E363" s="395"/>
      <c r="F363" s="178" t="str">
        <f>IFERROR(IF(OR(AND(D363="",C363=""),AND(D363=0,C363=0)),"",
IF(OR(D363="",D363=0),1,
IF(OR(D363&lt;&gt;"",D363&lt;&gt;0),(C363-D363)/ABS(D363)))),-1)</f>
        <v/>
      </c>
      <c r="G363" s="395">
        <f>SUMIFS(Data!$BE:$BE,Data!$BB:$BB,MarketProfile!A363,Data!BG:BG,"0")</f>
        <v>0</v>
      </c>
      <c r="H363" s="395"/>
      <c r="I363" s="178" t="str">
        <f t="shared" si="21"/>
        <v/>
      </c>
    </row>
    <row r="364" spans="1:10" x14ac:dyDescent="0.25">
      <c r="A364" s="242" t="s">
        <v>181</v>
      </c>
      <c r="B364" s="243"/>
      <c r="C364" s="4">
        <f>SUM(C356:C363)</f>
        <v>1820</v>
      </c>
      <c r="D364" s="396">
        <f>SUM(D356:E363)</f>
        <v>1174</v>
      </c>
      <c r="E364" s="396">
        <f>SUM(E356:E363)</f>
        <v>0</v>
      </c>
      <c r="F364" s="165">
        <f>IFERROR(IF(OR(AND(D364="",C364=""),AND(D364=0,C364=0)),"",
IF(OR(D364="",D364=0),1,
IF(OR(D364&lt;&gt;"",D364&lt;&gt;0),(C364-D364)/ABS(D364)))),-1)</f>
        <v>0.55025553662691651</v>
      </c>
      <c r="G364" s="396">
        <f>SUM(G356:H363)</f>
        <v>2986</v>
      </c>
      <c r="H364" s="396">
        <f>SUM(H356:H363)</f>
        <v>0</v>
      </c>
      <c r="I364" s="165">
        <f t="shared" si="21"/>
        <v>-0.39048894842598797</v>
      </c>
    </row>
    <row r="365" spans="1:10" x14ac:dyDescent="0.25">
      <c r="A365" s="137" t="s">
        <v>131</v>
      </c>
      <c r="B365" s="137"/>
      <c r="C365" s="167"/>
      <c r="D365" s="137"/>
      <c r="E365" s="137"/>
      <c r="F365" s="137" t="s">
        <v>184</v>
      </c>
      <c r="G365" s="137"/>
      <c r="H365" s="138"/>
      <c r="I365" s="168" t="s">
        <v>184</v>
      </c>
    </row>
    <row r="366" spans="1:10" x14ac:dyDescent="0.25">
      <c r="A366" s="139" t="s">
        <v>14</v>
      </c>
      <c r="B366" s="243"/>
      <c r="C366" s="3"/>
      <c r="D366" s="243"/>
      <c r="E366" s="243"/>
      <c r="F366" s="140"/>
      <c r="G366" s="243"/>
      <c r="H366" s="243"/>
      <c r="I366" s="178"/>
    </row>
    <row r="367" spans="1:10" x14ac:dyDescent="0.25">
      <c r="A367" s="243" t="s">
        <v>450</v>
      </c>
      <c r="B367" s="243"/>
      <c r="C367" s="3">
        <f>SUMIFS(Data!$AB:$AB,Data!$Z:$Z,MarketProfile!A367,Data!$AE:$AE,"1")</f>
        <v>29205</v>
      </c>
      <c r="D367" s="395">
        <f>SUMIFS(Data!$AP:$AP,Data!$AN:$AN,MarketProfile!A367,Data!$AS:$AS,"1")</f>
        <v>19597</v>
      </c>
      <c r="E367" s="395"/>
      <c r="F367" s="178">
        <f>IFERROR(IF(OR(AND(D367="",C367=""),AND(D367=0,C367=0)),"",
IF(OR(D367="",D367=0),1,
IF(OR(D367&lt;&gt;"",D367&lt;&gt;0),(C367-D367)/ABS(D367)))),-1)</f>
        <v>0.49027912435576876</v>
      </c>
      <c r="G367" s="395">
        <f>SUMIFS(Data!$BD:$BD,Data!$BB:$BB,MarketProfile!A367,Data!BG:BG,"1")</f>
        <v>18073</v>
      </c>
      <c r="H367" s="395"/>
      <c r="I367" s="178">
        <f t="shared" ref="I367:I375" si="22">IFERROR(IF(OR(AND(G367="",C367=""),AND(G367=0,C367=0)),"",
IF(OR(G367="",G367=0),1,
IF(OR(G367&lt;&gt;"",G367&lt;&gt;0),(C367-G367)/ABS(G367)))),-1)</f>
        <v>0.61594643944004868</v>
      </c>
    </row>
    <row r="368" spans="1:10" x14ac:dyDescent="0.25">
      <c r="A368" s="243" t="s">
        <v>177</v>
      </c>
      <c r="B368" s="243"/>
      <c r="C368" s="3">
        <f>SUMIFS(Data!$AB:$AB,Data!$Z:$Z,MarketProfile!A368,Data!$AE:$AE,"1")</f>
        <v>40337</v>
      </c>
      <c r="D368" s="395">
        <f>SUMIFS(Data!$AP:$AP,Data!$AN:$AN,MarketProfile!A368,Data!$AS:$AS,"1")</f>
        <v>21885</v>
      </c>
      <c r="E368" s="395"/>
      <c r="F368" s="178">
        <f>IFERROR(IF(OR(AND(D368="",C368=""),AND(D368=0,C368=0)),"",
IF(OR(D368="",D368=0),1,
IF(OR(D368&lt;&gt;"",D368&lt;&gt;0),(C368-D368)/ABS(D368)))),-1)</f>
        <v>0.84313456705506051</v>
      </c>
      <c r="G368" s="395">
        <f>SUMIFS(Data!$BD:$BD,Data!$BB:$BB,MarketProfile!A368,Data!BG:BG,"1")</f>
        <v>28110</v>
      </c>
      <c r="H368" s="395"/>
      <c r="I368" s="178">
        <f t="shared" si="22"/>
        <v>0.43496976165065815</v>
      </c>
    </row>
    <row r="369" spans="1:9" x14ac:dyDescent="0.25">
      <c r="A369" s="243" t="s">
        <v>451</v>
      </c>
      <c r="B369" s="243"/>
      <c r="C369" s="3">
        <f>SUMIFS(Data!$AB:$AB,Data!$Z:$Z,MarketProfile!A369,Data!$AE:$AE,"1")</f>
        <v>69447</v>
      </c>
      <c r="D369" s="395">
        <f>SUMIFS(Data!$AP:$AP,Data!$AN:$AN,MarketProfile!A369,Data!$AS:$AS,"1")</f>
        <v>83160</v>
      </c>
      <c r="E369" s="395"/>
      <c r="F369" s="178">
        <f>IFERROR(IF(OR(AND(D369="",C369=""),AND(D369=0,C369=0)),"",
IF(OR(D369="",D369=0),1,
IF(OR(D369&lt;&gt;"",D369&lt;&gt;0),(C369-D369)/ABS(D369)))),-1)</f>
        <v>-0.16489898989898991</v>
      </c>
      <c r="G369" s="395">
        <f>SUMIFS(Data!$BD:$BD,Data!$BB:$BB,MarketProfile!A369,Data!BG:BG,"1")</f>
        <v>64507</v>
      </c>
      <c r="H369" s="395"/>
      <c r="I369" s="178">
        <f t="shared" si="22"/>
        <v>7.658083618832065E-2</v>
      </c>
    </row>
    <row r="370" spans="1:9" x14ac:dyDescent="0.25">
      <c r="A370" s="243" t="s">
        <v>138</v>
      </c>
      <c r="B370" s="243"/>
      <c r="C370" s="3">
        <f>SUMIFS(Data!$AB:$AB,Data!$Z:$Z,MarketProfile!A370,Data!$AE:$AE,"1")</f>
        <v>1044</v>
      </c>
      <c r="D370" s="395">
        <f>SUMIFS(Data!$AP:$AP,Data!$AN:$AN,MarketProfile!A370,Data!$AS:$AS,"1")</f>
        <v>139</v>
      </c>
      <c r="E370" s="395"/>
      <c r="F370" s="178">
        <f>IFERROR(IF(OR(AND(D370="",C370=""),AND(D370=0,C370=0)),"",
IF(OR(D370="",D370=0),1,
IF(OR(D370&lt;&gt;"",D370&lt;&gt;0),(C370-D370)/ABS(D370)))),-1)</f>
        <v>6.5107913669064752</v>
      </c>
      <c r="G370" s="395">
        <f>SUMIFS(Data!$BD:$BD,Data!$BB:$BB,MarketProfile!A370,Data!BG:BG,"1")</f>
        <v>2004</v>
      </c>
      <c r="H370" s="395"/>
      <c r="I370" s="178">
        <f t="shared" si="22"/>
        <v>-0.47904191616766467</v>
      </c>
    </row>
    <row r="371" spans="1:9" x14ac:dyDescent="0.25">
      <c r="A371" s="243" t="s">
        <v>452</v>
      </c>
      <c r="B371" s="243"/>
      <c r="C371" s="3">
        <f>SUMIFS(Data!$AB:$AB,Data!$Z:$Z,MarketProfile!A371,Data!$AE:$AE,"1")</f>
        <v>30216</v>
      </c>
      <c r="D371" s="395">
        <f>SUMIFS(Data!$AP:$AP,Data!$AN:$AN,MarketProfile!A371,Data!$AS:$AS,"1")</f>
        <v>29211</v>
      </c>
      <c r="E371" s="395"/>
      <c r="F371" s="178">
        <f>IFERROR(IF(OR(AND(D371="",C371=""),AND(D371=0,C371=0)),"",
IF(OR(D371="",D371=0),1,
IF(OR(D371&lt;&gt;"",D371&lt;&gt;0),(C371-D371)/ABS(D371)))),-1)</f>
        <v>3.4404847488959639E-2</v>
      </c>
      <c r="G371" s="395">
        <f>SUMIFS(Data!$BD:$BD,Data!$BB:$BB,MarketProfile!A371,Data!BG:BG,"1")</f>
        <v>26712</v>
      </c>
      <c r="H371" s="395"/>
      <c r="I371" s="178">
        <f t="shared" si="22"/>
        <v>0.13117699910152741</v>
      </c>
    </row>
    <row r="372" spans="1:9" x14ac:dyDescent="0.25">
      <c r="A372" s="243" t="s">
        <v>453</v>
      </c>
      <c r="B372" s="243"/>
      <c r="C372" s="3">
        <f>SUMIFS(Data!$AB:$AB,Data!$Z:$Z,MarketProfile!A372,Data!$AE:$AE,"1")</f>
        <v>88329</v>
      </c>
      <c r="D372" s="395">
        <f>SUMIFS(Data!$AP:$AP,Data!$AN:$AN,MarketProfile!A372,Data!$AS:$AS,"1")</f>
        <v>71104</v>
      </c>
      <c r="E372" s="395"/>
      <c r="F372" s="178">
        <f>IFERROR(IF(OR(AND(D372="",C372=""),AND(D372=0,C372=0)),"",
IF(OR(D372="",D372=0),1,
IF(OR(D372&lt;&gt;"",D372&lt;&gt;0),(C372-D372)/ABS(D372)))),-1)</f>
        <v>0.24225078757875787</v>
      </c>
      <c r="G372" s="395">
        <f>SUMIFS(Data!$BD:$BD,Data!$BB:$BB,MarketProfile!A372,Data!BG:BG,"1")</f>
        <v>92602</v>
      </c>
      <c r="H372" s="395"/>
      <c r="I372" s="178">
        <f t="shared" si="22"/>
        <v>-4.6143711798881236E-2</v>
      </c>
    </row>
    <row r="373" spans="1:9" x14ac:dyDescent="0.25">
      <c r="A373" s="243" t="s">
        <v>454</v>
      </c>
      <c r="B373" s="243"/>
      <c r="C373" s="3">
        <f>SUMIFS(Data!$AB:$AB,Data!$Z:$Z,MarketProfile!A373,Data!$AE:$AE,"1")</f>
        <v>253</v>
      </c>
      <c r="D373" s="395">
        <f>SUMIFS(Data!$AP:$AP,Data!$AN:$AN,MarketProfile!A373,Data!$AS:$AS,"1")</f>
        <v>257</v>
      </c>
      <c r="E373" s="395"/>
      <c r="F373" s="178">
        <f>IFERROR(IF(OR(AND(D373="",C373=""),AND(D373=0,C373=0)),"",
IF(OR(D373="",D373=0),1,
IF(OR(D373&lt;&gt;"",D373&lt;&gt;0),(C373-D373)/ABS(D373)))),-1)</f>
        <v>-1.556420233463035E-2</v>
      </c>
      <c r="G373" s="395">
        <f>SUMIFS(Data!$BD:$BD,Data!$BB:$BB,MarketProfile!A373,Data!BG:BG,"1")</f>
        <v>192</v>
      </c>
      <c r="H373" s="395"/>
      <c r="I373" s="178">
        <f t="shared" si="22"/>
        <v>0.31770833333333331</v>
      </c>
    </row>
    <row r="374" spans="1:9" x14ac:dyDescent="0.25">
      <c r="A374" s="243" t="s">
        <v>139</v>
      </c>
      <c r="B374" s="243"/>
      <c r="C374" s="3">
        <f>SUMIFS(Data!$AB:$AB,Data!$Z:$Z,MarketProfile!A374,Data!$AE:$AE,"1")</f>
        <v>68</v>
      </c>
      <c r="D374" s="395">
        <f>SUMIFS(Data!$AP:$AP,Data!$AN:$AN,MarketProfile!A374,Data!$AS:$AS,"1")</f>
        <v>80</v>
      </c>
      <c r="E374" s="395"/>
      <c r="F374" s="178">
        <f>IFERROR(IF(OR(AND(D374="",C374=""),AND(D374=0,C374=0)),"",
IF(OR(D374="",D374=0),1,
IF(OR(D374&lt;&gt;"",D374&lt;&gt;0),(C374-D374)/ABS(D374)))),-1)</f>
        <v>-0.15</v>
      </c>
      <c r="G374" s="395">
        <f>SUMIFS(Data!$BD:$BD,Data!$BB:$BB,MarketProfile!A374,Data!BG:BG,"1")</f>
        <v>0</v>
      </c>
      <c r="H374" s="395"/>
      <c r="I374" s="178">
        <f t="shared" si="22"/>
        <v>1</v>
      </c>
    </row>
    <row r="375" spans="1:9" x14ac:dyDescent="0.25">
      <c r="A375" s="242" t="s">
        <v>180</v>
      </c>
      <c r="B375" s="243"/>
      <c r="C375" s="4">
        <f>SUM(C367:C374)</f>
        <v>258899</v>
      </c>
      <c r="D375" s="396">
        <f>SUM(D367:E374)</f>
        <v>225433</v>
      </c>
      <c r="E375" s="396">
        <f>SUM(E367:E374)</f>
        <v>0</v>
      </c>
      <c r="F375" s="165">
        <f>IFERROR(IF(OR(AND(D375="",C375=""),AND(D375=0,C375=0)),"",
IF(OR(D375="",D375=0),1,
IF(OR(D375&lt;&gt;"",D375&lt;&gt;0),(C375-D375)/ABS(D375)))),-1)</f>
        <v>0.14845208997795353</v>
      </c>
      <c r="G375" s="396">
        <f>SUM(G367:H374)</f>
        <v>232200</v>
      </c>
      <c r="H375" s="396">
        <f>SUM(H367:H374)</f>
        <v>0</v>
      </c>
      <c r="I375" s="165">
        <f t="shared" si="22"/>
        <v>0.11498277347114556</v>
      </c>
    </row>
    <row r="376" spans="1:9" x14ac:dyDescent="0.25">
      <c r="A376" s="139" t="s">
        <v>15</v>
      </c>
      <c r="B376" s="243"/>
      <c r="C376" s="3"/>
      <c r="D376" s="243"/>
      <c r="E376" s="243"/>
      <c r="F376" s="178"/>
      <c r="G376" s="243"/>
      <c r="H376" s="243"/>
      <c r="I376" s="178"/>
    </row>
    <row r="377" spans="1:9" x14ac:dyDescent="0.25">
      <c r="A377" s="243" t="s">
        <v>450</v>
      </c>
      <c r="B377" s="243"/>
      <c r="C377" s="3">
        <f>SUMIFS(Data!$AB:$AB,Data!$Z:$Z,MarketProfile!A377,Data!$AE:$AE,"0")</f>
        <v>272</v>
      </c>
      <c r="D377" s="395">
        <f>SUMIFS(Data!$AP:$AP,Data!$AN:$AN,MarketProfile!A377,Data!$AS:$AS,"0")</f>
        <v>320</v>
      </c>
      <c r="E377" s="395"/>
      <c r="F377" s="178">
        <f>IFERROR(IF(OR(AND(D377="",C377=""),AND(D377=0,C377=0)),"",
IF(OR(D377="",D377=0),1,
IF(OR(D377&lt;&gt;"",D377&lt;&gt;0),(C377-D377)/ABS(D377)))),-1)</f>
        <v>-0.15</v>
      </c>
      <c r="G377" s="395">
        <f>SUMIFS(Data!$BD:$BD,Data!$BB:$BB,MarketProfile!A377,Data!BG:BG,"0")</f>
        <v>6</v>
      </c>
      <c r="H377" s="395"/>
      <c r="I377" s="178">
        <f t="shared" ref="I377:I385" si="23">IFERROR(IF(OR(AND(G377="",C377=""),AND(G377=0,C377=0)),"",
IF(OR(G377="",G377=0),1,
IF(OR(G377&lt;&gt;"",G377&lt;&gt;0),(C377-G377)/ABS(G377)))),-1)</f>
        <v>44.333333333333336</v>
      </c>
    </row>
    <row r="378" spans="1:9" x14ac:dyDescent="0.25">
      <c r="A378" s="243" t="s">
        <v>177</v>
      </c>
      <c r="B378" s="243"/>
      <c r="C378" s="3">
        <f>SUMIFS(Data!$AB:$AB,Data!$Z:$Z,MarketProfile!A378,Data!$AE:$AE,"0")</f>
        <v>69</v>
      </c>
      <c r="D378" s="395">
        <f>SUMIFS(Data!$AP:$AP,Data!$AN:$AN,MarketProfile!A378,Data!$AS:$AS,"0")</f>
        <v>20</v>
      </c>
      <c r="E378" s="395"/>
      <c r="F378" s="178">
        <f>IFERROR(IF(OR(AND(D378="",C378=""),AND(D378=0,C378=0)),"",
IF(OR(D378="",D378=0),1,
IF(OR(D378&lt;&gt;"",D378&lt;&gt;0),(C378-D378)/ABS(D378)))),-1)</f>
        <v>2.4500000000000002</v>
      </c>
      <c r="G378" s="395">
        <f>SUMIFS(Data!$BD:$BD,Data!$BB:$BB,MarketProfile!A378,Data!BG:BG,"0")</f>
        <v>446</v>
      </c>
      <c r="H378" s="395"/>
      <c r="I378" s="178">
        <f t="shared" si="23"/>
        <v>-0.8452914798206278</v>
      </c>
    </row>
    <row r="379" spans="1:9" x14ac:dyDescent="0.25">
      <c r="A379" s="243" t="s">
        <v>451</v>
      </c>
      <c r="B379" s="243"/>
      <c r="C379" s="3">
        <f>SUMIFS(Data!$AB:$AB,Data!$Z:$Z,MarketProfile!A379,Data!$AE:$AE,"0")</f>
        <v>10931</v>
      </c>
      <c r="D379" s="395">
        <f>SUMIFS(Data!$AP:$AP,Data!$AN:$AN,MarketProfile!A379,Data!$AS:$AS,"0")</f>
        <v>6728</v>
      </c>
      <c r="E379" s="395"/>
      <c r="F379" s="178">
        <f>IFERROR(IF(OR(AND(D379="",C379=""),AND(D379=0,C379=0)),"",
IF(OR(D379="",D379=0),1,
IF(OR(D379&lt;&gt;"",D379&lt;&gt;0),(C379-D379)/ABS(D379)))),-1)</f>
        <v>0.6247027348394768</v>
      </c>
      <c r="G379" s="395">
        <f>SUMIFS(Data!$BD:$BD,Data!$BB:$BB,MarketProfile!A379,Data!BG:BG,"0")</f>
        <v>6720</v>
      </c>
      <c r="H379" s="395"/>
      <c r="I379" s="178">
        <f t="shared" si="23"/>
        <v>0.62663690476190481</v>
      </c>
    </row>
    <row r="380" spans="1:9" x14ac:dyDescent="0.25">
      <c r="A380" s="243" t="s">
        <v>138</v>
      </c>
      <c r="B380" s="243"/>
      <c r="C380" s="3">
        <f>SUMIFS(Data!$AB:$AB,Data!$Z:$Z,MarketProfile!A380,Data!$AE:$AE,"0")</f>
        <v>0</v>
      </c>
      <c r="D380" s="395">
        <f>SUMIFS(Data!$AP:$AP,Data!$AN:$AN,MarketProfile!A380,Data!$AS:$AS,"0")</f>
        <v>0</v>
      </c>
      <c r="E380" s="395"/>
      <c r="F380" s="178" t="str">
        <f>IFERROR(IF(OR(AND(D380="",C380=""),AND(D380=0,C380=0)),"",
IF(OR(D380="",D380=0),1,
IF(OR(D380&lt;&gt;"",D380&lt;&gt;0),(C380-D380)/ABS(D380)))),-1)</f>
        <v/>
      </c>
      <c r="G380" s="395">
        <f>SUMIFS(Data!$BD:$BD,Data!$BB:$BB,MarketProfile!A380,Data!BG:BG,"0")</f>
        <v>0</v>
      </c>
      <c r="H380" s="395"/>
      <c r="I380" s="178" t="str">
        <f t="shared" si="23"/>
        <v/>
      </c>
    </row>
    <row r="381" spans="1:9" x14ac:dyDescent="0.25">
      <c r="A381" s="243" t="s">
        <v>452</v>
      </c>
      <c r="B381" s="243"/>
      <c r="C381" s="3">
        <f>SUMIFS(Data!$AB:$AB,Data!$Z:$Z,MarketProfile!A381,Data!$AE:$AE,"0")</f>
        <v>13</v>
      </c>
      <c r="D381" s="395">
        <f>SUMIFS(Data!$AP:$AP,Data!$AN:$AN,MarketProfile!A381,Data!$AS:$AS,"0")</f>
        <v>1163</v>
      </c>
      <c r="E381" s="395"/>
      <c r="F381" s="178">
        <f>IFERROR(IF(OR(AND(D381="",C381=""),AND(D381=0,C381=0)),"",
IF(OR(D381="",D381=0),1,
IF(OR(D381&lt;&gt;"",D381&lt;&gt;0),(C381-D381)/ABS(D381)))),-1)</f>
        <v>-0.98882201203783315</v>
      </c>
      <c r="G381" s="395">
        <f>SUMIFS(Data!$BD:$BD,Data!$BB:$BB,MarketProfile!A381,Data!BG:BG,"0")</f>
        <v>2070</v>
      </c>
      <c r="H381" s="395"/>
      <c r="I381" s="178">
        <f t="shared" si="23"/>
        <v>-0.99371980676328497</v>
      </c>
    </row>
    <row r="382" spans="1:9" x14ac:dyDescent="0.25">
      <c r="A382" s="243" t="s">
        <v>453</v>
      </c>
      <c r="B382" s="243"/>
      <c r="C382" s="3">
        <f>SUMIFS(Data!$AB:$AB,Data!$Z:$Z,MarketProfile!A382,Data!$AE:$AE,"0")</f>
        <v>13639</v>
      </c>
      <c r="D382" s="395">
        <f>SUMIFS(Data!$AP:$AP,Data!$AN:$AN,MarketProfile!A382,Data!$AS:$AS,"0")</f>
        <v>7435</v>
      </c>
      <c r="E382" s="395"/>
      <c r="F382" s="178">
        <f>IFERROR(IF(OR(AND(D382="",C382=""),AND(D382=0,C382=0)),"",
IF(OR(D382="",D382=0),1,
IF(OR(D382&lt;&gt;"",D382&lt;&gt;0),(C382-D382)/ABS(D382)))),-1)</f>
        <v>0.8344317417619368</v>
      </c>
      <c r="G382" s="395">
        <f>SUMIFS(Data!$BD:$BD,Data!$BB:$BB,MarketProfile!A382,Data!BG:BG,"0")</f>
        <v>26296</v>
      </c>
      <c r="H382" s="395"/>
      <c r="I382" s="178">
        <f t="shared" si="23"/>
        <v>-0.48132795862488592</v>
      </c>
    </row>
    <row r="383" spans="1:9" x14ac:dyDescent="0.25">
      <c r="A383" s="243" t="s">
        <v>454</v>
      </c>
      <c r="B383" s="243"/>
      <c r="C383" s="3">
        <f>SUMIFS(Data!$AB:$AB,Data!$Z:$Z,MarketProfile!A383,Data!$AE:$AE,"0")</f>
        <v>0</v>
      </c>
      <c r="D383" s="395">
        <f>SUMIFS(Data!$AP:$AP,Data!$AN:$AN,MarketProfile!A383,Data!$AS:$AS,"0")</f>
        <v>0</v>
      </c>
      <c r="E383" s="395"/>
      <c r="F383" s="178" t="str">
        <f>IFERROR(IF(OR(AND(D383="",C383=""),AND(D383=0,C383=0)),"",
IF(OR(D383="",D383=0),1,
IF(OR(D383&lt;&gt;"",D383&lt;&gt;0),(C383-D383)/ABS(D383)))),-1)</f>
        <v/>
      </c>
      <c r="G383" s="395">
        <f>SUMIFS(Data!$BD:$BD,Data!$BB:$BB,MarketProfile!A383,Data!BG:BG,"0")</f>
        <v>0</v>
      </c>
      <c r="H383" s="395"/>
      <c r="I383" s="178" t="str">
        <f t="shared" si="23"/>
        <v/>
      </c>
    </row>
    <row r="384" spans="1:9" x14ac:dyDescent="0.25">
      <c r="A384" s="243" t="s">
        <v>139</v>
      </c>
      <c r="B384" s="243"/>
      <c r="C384" s="3">
        <f>SUMIFS(Data!$AB:$AB,Data!$Z:$Z,MarketProfile!A384,Data!$AE:$AE,"0")</f>
        <v>0</v>
      </c>
      <c r="D384" s="395">
        <f>SUMIFS(Data!$AP:$AP,Data!$AN:$AN,MarketProfile!A384,Data!$AS:$AS,"0")</f>
        <v>0</v>
      </c>
      <c r="E384" s="395"/>
      <c r="F384" s="178" t="str">
        <f>IFERROR(IF(OR(AND(D384="",C384=""),AND(D384=0,C384=0)),"",
IF(OR(D384="",D384=0),1,
IF(OR(D384&lt;&gt;"",D384&lt;&gt;0),(C384-D384)/ABS(D384)))),-1)</f>
        <v/>
      </c>
      <c r="G384" s="395">
        <f>SUMIFS(Data!$BD:$BD,Data!$BB:$BB,MarketProfile!A384,Data!BG:BG,"0")</f>
        <v>0</v>
      </c>
      <c r="H384" s="395"/>
      <c r="I384" s="178" t="str">
        <f t="shared" si="23"/>
        <v/>
      </c>
    </row>
    <row r="385" spans="1:9" x14ac:dyDescent="0.25">
      <c r="A385" s="242" t="s">
        <v>181</v>
      </c>
      <c r="B385" s="243"/>
      <c r="C385" s="4">
        <f>SUM(C377:C384)</f>
        <v>24924</v>
      </c>
      <c r="D385" s="396">
        <f>SUM(D377:E384)</f>
        <v>15666</v>
      </c>
      <c r="E385" s="396">
        <v>34213</v>
      </c>
      <c r="F385" s="165">
        <f>IFERROR(IF(OR(AND(D385="",C385=""),AND(D385=0,C385=0)),"",
IF(OR(D385="",D385=0),1,
IF(OR(D385&lt;&gt;"",D385&lt;&gt;0),(C385-D385)/ABS(D385)))),-1)</f>
        <v>0.59096131750287251</v>
      </c>
      <c r="G385" s="396">
        <f>SUM(G377:H384)</f>
        <v>35538</v>
      </c>
      <c r="H385" s="396">
        <f>SUM(H377:H384)</f>
        <v>0</v>
      </c>
      <c r="I385" s="165">
        <f t="shared" si="23"/>
        <v>-0.29866621644436941</v>
      </c>
    </row>
    <row r="386" spans="1:9" x14ac:dyDescent="0.25">
      <c r="A386" s="137" t="s">
        <v>188</v>
      </c>
      <c r="B386" s="137"/>
      <c r="C386" s="167"/>
      <c r="D386" s="137"/>
      <c r="E386" s="137"/>
      <c r="F386" s="137" t="s">
        <v>184</v>
      </c>
      <c r="G386" s="137"/>
      <c r="H386" s="137"/>
      <c r="I386" s="168" t="s">
        <v>184</v>
      </c>
    </row>
    <row r="387" spans="1:9" x14ac:dyDescent="0.25">
      <c r="A387" s="139" t="s">
        <v>14</v>
      </c>
      <c r="B387" s="243"/>
      <c r="C387" s="3"/>
      <c r="D387" s="243"/>
      <c r="E387" s="243"/>
      <c r="F387" s="140"/>
      <c r="G387" s="243"/>
      <c r="H387" s="243"/>
      <c r="I387" s="178"/>
    </row>
    <row r="388" spans="1:9" x14ac:dyDescent="0.25">
      <c r="A388" s="243" t="s">
        <v>450</v>
      </c>
      <c r="B388" s="243"/>
      <c r="C388" s="3">
        <f>SUMIFS(Data!$AA:$AA,Data!$Z:$Z,MarketProfile!A388,Data!$AE:$AE,"1")/1000</f>
        <v>6959464.0210899999</v>
      </c>
      <c r="D388" s="395">
        <f>SUMIFS(Data!$AO:$AO,Data!$AN:$AN,MarketProfile!A388,Data!$AS:$AS,"1")/1000</f>
        <v>4826273.3605500003</v>
      </c>
      <c r="E388" s="395"/>
      <c r="F388" s="178">
        <f>IFERROR(IF(OR(AND(D388="",C388=""),AND(D388=0,C388=0)),"",
IF(OR(D388="",D388=0),1,
IF(OR(D388&lt;&gt;"",D388&lt;&gt;0),(C388-D388)/ABS(D388)))),-1)</f>
        <v>0.44199540746629029</v>
      </c>
      <c r="G388" s="395">
        <f>SUMIFS(Data!$BC:$BC,Data!$BB:$BB,MarketProfile!A388,Data!BG:BG,"1")/1000</f>
        <v>3906471.6324200002</v>
      </c>
      <c r="H388" s="395"/>
      <c r="I388" s="178">
        <f t="shared" ref="I388:I396" si="24">IFERROR(IF(OR(AND(G388="",C388=""),AND(G388=0,C388=0)),"",
IF(OR(G388="",G388=0),1,
IF(OR(G388&lt;&gt;"",G388&lt;&gt;0),(C388-G388)/ABS(G388)))),-1)</f>
        <v>0.78152170959928802</v>
      </c>
    </row>
    <row r="389" spans="1:9" x14ac:dyDescent="0.25">
      <c r="A389" s="243" t="s">
        <v>177</v>
      </c>
      <c r="B389" s="243"/>
      <c r="C389" s="3">
        <f>SUMIFS(Data!$AA:$AA,Data!$Z:$Z,MarketProfile!A389,Data!$AE:$AE,"1")/1000</f>
        <v>11442678.00719</v>
      </c>
      <c r="D389" s="395">
        <f>SUMIFS(Data!$AO:$AO,Data!$AN:$AN,MarketProfile!A389,Data!$AS:$AS,"1")/1000</f>
        <v>5916022.1057600006</v>
      </c>
      <c r="E389" s="395"/>
      <c r="F389" s="178">
        <f>IFERROR(IF(OR(AND(D389="",C389=""),AND(D389=0,C389=0)),"",
IF(OR(D389="",D389=0),1,
IF(OR(D389&lt;&gt;"",D389&lt;&gt;0),(C389-D389)/ABS(D389)))),-1)</f>
        <v>0.9341844575004371</v>
      </c>
      <c r="G389" s="395">
        <f>SUMIFS(Data!$BC:$BC,Data!$BB:$BB,MarketProfile!A389,Data!BG:BG,"1")/1000</f>
        <v>6461780.8859799998</v>
      </c>
      <c r="H389" s="395"/>
      <c r="I389" s="178">
        <f t="shared" si="24"/>
        <v>0.77082420606631152</v>
      </c>
    </row>
    <row r="390" spans="1:9" x14ac:dyDescent="0.25">
      <c r="A390" s="243" t="s">
        <v>451</v>
      </c>
      <c r="B390" s="243"/>
      <c r="C390" s="3">
        <f>SUMIFS(Data!$AA:$AA,Data!$Z:$Z,MarketProfile!A390,Data!$AE:$AE,"1")/1000</f>
        <v>19354514.53977</v>
      </c>
      <c r="D390" s="395">
        <f>SUMIFS(Data!$AO:$AO,Data!$AN:$AN,MarketProfile!A390,Data!$AS:$AS,"1")/1000</f>
        <v>23847844.642659999</v>
      </c>
      <c r="E390" s="395"/>
      <c r="F390" s="178">
        <f>IFERROR(IF(OR(AND(D390="",C390=""),AND(D390=0,C390=0)),"",
IF(OR(D390="",D390=0),1,
IF(OR(D390&lt;&gt;"",D390&lt;&gt;0),(C390-D390)/ABS(D390)))),-1)</f>
        <v>-0.18841661249554381</v>
      </c>
      <c r="G390" s="395">
        <f>SUMIFS(Data!$BC:$BC,Data!$BB:$BB,MarketProfile!A390,Data!BG:BG,"1")/1000</f>
        <v>15639800.97811</v>
      </c>
      <c r="H390" s="395"/>
      <c r="I390" s="178">
        <f t="shared" si="24"/>
        <v>0.23751667728120321</v>
      </c>
    </row>
    <row r="391" spans="1:9" x14ac:dyDescent="0.25">
      <c r="A391" s="243" t="s">
        <v>138</v>
      </c>
      <c r="B391" s="243"/>
      <c r="C391" s="3">
        <f>SUMIFS(Data!$AA:$AA,Data!$Z:$Z,MarketProfile!A391,Data!$AE:$AE,"1")/1000</f>
        <v>243189.729998</v>
      </c>
      <c r="D391" s="395">
        <f>SUMIFS(Data!$AO:$AO,Data!$AN:$AN,MarketProfile!A391,Data!$AS:$AS,"1")/1000</f>
        <v>27810.79996</v>
      </c>
      <c r="E391" s="395"/>
      <c r="F391" s="178">
        <f>IFERROR(IF(OR(AND(D391="",C391=""),AND(D391=0,C391=0)),"",
IF(OR(D391="",D391=0),1,
IF(OR(D391&lt;&gt;"",D391&lt;&gt;0),(C391-D391)/ABS(D391)))),-1)</f>
        <v>7.744434908300998</v>
      </c>
      <c r="G391" s="395">
        <f>SUMIFS(Data!$BC:$BC,Data!$BB:$BB,MarketProfile!A391,Data!BG:BG,"1")/1000</f>
        <v>348193.121056</v>
      </c>
      <c r="H391" s="395"/>
      <c r="I391" s="178">
        <f t="shared" si="24"/>
        <v>-0.30156652934310063</v>
      </c>
    </row>
    <row r="392" spans="1:9" x14ac:dyDescent="0.25">
      <c r="A392" s="243" t="s">
        <v>452</v>
      </c>
      <c r="B392" s="243"/>
      <c r="C392" s="3">
        <f>SUMIFS(Data!$AA:$AA,Data!$Z:$Z,MarketProfile!A392,Data!$AE:$AE,"1")/1000</f>
        <v>8419901.7834700011</v>
      </c>
      <c r="D392" s="395">
        <f>SUMIFS(Data!$AO:$AO,Data!$AN:$AN,MarketProfile!A392,Data!$AS:$AS,"1")/1000</f>
        <v>7661636.805195</v>
      </c>
      <c r="E392" s="395"/>
      <c r="F392" s="178">
        <f>IFERROR(IF(OR(AND(D392="",C392=""),AND(D392=0,C392=0)),"",
IF(OR(D392="",D392=0),1,
IF(OR(D392&lt;&gt;"",D392&lt;&gt;0),(C392-D392)/ABS(D392)))),-1)</f>
        <v>9.8969058120956188E-2</v>
      </c>
      <c r="G392" s="395">
        <f>SUMIFS(Data!$BC:$BC,Data!$BB:$BB,MarketProfile!A392,Data!BG:BG,"1")/1000</f>
        <v>6718845.512135</v>
      </c>
      <c r="H392" s="395"/>
      <c r="I392" s="178">
        <f t="shared" si="24"/>
        <v>0.25317686919020532</v>
      </c>
    </row>
    <row r="393" spans="1:9" x14ac:dyDescent="0.25">
      <c r="A393" s="243" t="s">
        <v>453</v>
      </c>
      <c r="B393" s="243"/>
      <c r="C393" s="3">
        <f>SUMIFS(Data!$AA:$AA,Data!$Z:$Z,MarketProfile!A393,Data!$AE:$AE,"1")/1000</f>
        <v>25856084.540819999</v>
      </c>
      <c r="D393" s="395">
        <f>SUMIFS(Data!$AO:$AO,Data!$AN:$AN,MarketProfile!A393,Data!$AS:$AS,"1")/1000</f>
        <v>21232295.439319998</v>
      </c>
      <c r="E393" s="395"/>
      <c r="F393" s="178">
        <f>IFERROR(IF(OR(AND(D393="",C393=""),AND(D393=0,C393=0)),"",
IF(OR(D393="",D393=0),1,
IF(OR(D393&lt;&gt;"",D393&lt;&gt;0),(C393-D393)/ABS(D393)))),-1)</f>
        <v>0.21777151296308855</v>
      </c>
      <c r="G393" s="395">
        <f>SUMIFS(Data!$BC:$BC,Data!$BB:$BB,MarketProfile!A393,Data!BG:BG,"1")/1000</f>
        <v>21910508.664450001</v>
      </c>
      <c r="H393" s="395"/>
      <c r="I393" s="178">
        <f t="shared" si="24"/>
        <v>0.18007687255438895</v>
      </c>
    </row>
    <row r="394" spans="1:9" x14ac:dyDescent="0.25">
      <c r="A394" s="243" t="s">
        <v>454</v>
      </c>
      <c r="B394" s="243"/>
      <c r="C394" s="3">
        <f>SUMIFS(Data!$AA:$AA,Data!$Z:$Z,MarketProfile!A394,Data!$AE:$AE,"1")/1000</f>
        <v>33797.490003999999</v>
      </c>
      <c r="D394" s="395">
        <f>SUMIFS(Data!$AO:$AO,Data!$AN:$AN,MarketProfile!A394,Data!$AS:$AS,"1")/1000</f>
        <v>31071.95</v>
      </c>
      <c r="E394" s="395"/>
      <c r="F394" s="178">
        <f>IFERROR(IF(OR(AND(D394="",C394=""),AND(D394=0,C394=0)),"",
IF(OR(D394="",D394=0),1,
IF(OR(D394&lt;&gt;"",D394&lt;&gt;0),(C394-D394)/ABS(D394)))),-1)</f>
        <v>8.7717056831000256E-2</v>
      </c>
      <c r="G394" s="395">
        <f>SUMIFS(Data!$BC:$BC,Data!$BB:$BB,MarketProfile!A394,Data!BG:BG,"1")/1000</f>
        <v>22429.890045</v>
      </c>
      <c r="H394" s="395"/>
      <c r="I394" s="178">
        <f t="shared" si="24"/>
        <v>0.50680587092463381</v>
      </c>
    </row>
    <row r="395" spans="1:9" x14ac:dyDescent="0.25">
      <c r="A395" s="243" t="s">
        <v>139</v>
      </c>
      <c r="B395" s="243"/>
      <c r="C395" s="3">
        <f>SUMIFS(Data!$AA:$AA,Data!$Z:$Z,MarketProfile!A395,Data!$AE:$AE,"1")/1000</f>
        <v>5689.95442</v>
      </c>
      <c r="D395" s="395">
        <f>SUMIFS(Data!$AO:$AO,Data!$AN:$AN,MarketProfile!A395,Data!$AS:$AS,"1")/1000</f>
        <v>6768.3226199999999</v>
      </c>
      <c r="E395" s="395"/>
      <c r="F395" s="178">
        <f>IFERROR(IF(OR(AND(D395="",C395=""),AND(D395=0,C395=0)),"",
IF(OR(D395="",D395=0),1,
IF(OR(D395&lt;&gt;"",D395&lt;&gt;0),(C395-D395)/ABS(D395)))),-1)</f>
        <v>-0.15932576807339008</v>
      </c>
      <c r="G395" s="395">
        <f>SUMIFS(Data!$BC:$BC,Data!$BB:$BB,MarketProfile!A395,Data!BG:BG,"1")/1000</f>
        <v>0</v>
      </c>
      <c r="H395" s="395"/>
      <c r="I395" s="178">
        <f t="shared" si="24"/>
        <v>1</v>
      </c>
    </row>
    <row r="396" spans="1:9" x14ac:dyDescent="0.25">
      <c r="A396" s="242" t="s">
        <v>180</v>
      </c>
      <c r="B396" s="243"/>
      <c r="C396" s="4">
        <f>SUM(C388:C395)</f>
        <v>72315320.066762</v>
      </c>
      <c r="D396" s="396">
        <f>SUM(D388:E395)</f>
        <v>63549723.426065005</v>
      </c>
      <c r="E396" s="396">
        <f>SUM(E388:E395)</f>
        <v>0</v>
      </c>
      <c r="F396" s="165">
        <f>IFERROR(IF(OR(AND(D396="",C396=""),AND(D396=0,C396=0)),"",
IF(OR(D396="",D396=0),1,
IF(OR(D396&lt;&gt;"",D396&lt;&gt;0),(C396-D396)/ABS(D396)))),-1)</f>
        <v>0.13793288417525629</v>
      </c>
      <c r="G396" s="396">
        <f>SUM(G388:H395)</f>
        <v>55008030.684196003</v>
      </c>
      <c r="H396" s="396">
        <f>SUM(H388:H395)</f>
        <v>0</v>
      </c>
      <c r="I396" s="165">
        <f t="shared" si="24"/>
        <v>0.3146320485808346</v>
      </c>
    </row>
    <row r="397" spans="1:9" x14ac:dyDescent="0.25">
      <c r="A397" s="139" t="s">
        <v>15</v>
      </c>
      <c r="B397" s="243"/>
      <c r="C397" s="3"/>
      <c r="D397" s="243"/>
      <c r="E397" s="141"/>
      <c r="F397" s="178" t="s">
        <v>184</v>
      </c>
      <c r="G397" s="243"/>
      <c r="H397" s="141"/>
      <c r="I397" s="178"/>
    </row>
    <row r="398" spans="1:9" x14ac:dyDescent="0.25">
      <c r="A398" s="243" t="s">
        <v>450</v>
      </c>
      <c r="B398" s="243"/>
      <c r="C398" s="3">
        <f>SUMIFS(Data!$AA:$AA,Data!$Z:$Z,MarketProfile!A398,Data!$AE:$AE,"0")/1000</f>
        <v>2691.4036000000001</v>
      </c>
      <c r="D398" s="395">
        <f>SUMIFS(Data!$AO:$AO,Data!$AN:$AN,MarketProfile!A398,Data!$AS:$AS,"0")/1000</f>
        <v>2431.0999200000001</v>
      </c>
      <c r="E398" s="395"/>
      <c r="F398" s="178">
        <f>IFERROR(IF(OR(AND(D398="",C398=""),AND(D398=0,C398=0)),"",
IF(OR(D398="",D398=0),1,
IF(OR(D398&lt;&gt;"",D398&lt;&gt;0),(C398-D398)/ABS(D398)))),-1)</f>
        <v>0.10707239050873729</v>
      </c>
      <c r="G398" s="395">
        <f>SUMIFS(Data!$BC:$BC,Data!$BB:$BB,MarketProfile!A398,Data!BG:BG,"0")/1000</f>
        <v>29.414000000000001</v>
      </c>
      <c r="H398" s="395"/>
      <c r="I398" s="178">
        <f t="shared" ref="I398:I406" si="25">IFERROR(IF(OR(AND(G398="",C398=""),AND(G398=0,C398=0)),"",
IF(OR(G398="",G398=0),1,
IF(OR(G398&lt;&gt;"",G398&lt;&gt;0),(C398-G398)/ABS(G398)))),-1)</f>
        <v>90.500768341606033</v>
      </c>
    </row>
    <row r="399" spans="1:9" x14ac:dyDescent="0.25">
      <c r="A399" s="243" t="s">
        <v>177</v>
      </c>
      <c r="B399" s="243"/>
      <c r="C399" s="3">
        <f>SUMIFS(Data!$AA:$AA,Data!$Z:$Z,MarketProfile!A399,Data!$AE:$AE,"0")/1000</f>
        <v>1040.6279999999999</v>
      </c>
      <c r="D399" s="395">
        <f>SUMIFS(Data!$AO:$AO,Data!$AN:$AN,MarketProfile!A399,Data!$AS:$AS,"0")/1000</f>
        <v>156</v>
      </c>
      <c r="E399" s="395"/>
      <c r="F399" s="178">
        <f>IFERROR(IF(OR(AND(D399="",C399=""),AND(D399=0,C399=0)),"",
IF(OR(D399="",D399=0),1,
IF(OR(D399&lt;&gt;"",D399&lt;&gt;0),(C399-D399)/ABS(D399)))),-1)</f>
        <v>5.670692307692307</v>
      </c>
      <c r="G399" s="395">
        <f>SUMIFS(Data!$BC:$BC,Data!$BB:$BB,MarketProfile!A399,Data!BG:BG,"0")/1000</f>
        <v>3042.3451299999997</v>
      </c>
      <c r="H399" s="395"/>
      <c r="I399" s="178">
        <f t="shared" si="25"/>
        <v>-0.65795202203110992</v>
      </c>
    </row>
    <row r="400" spans="1:9" x14ac:dyDescent="0.25">
      <c r="A400" s="243" t="s">
        <v>451</v>
      </c>
      <c r="B400" s="243"/>
      <c r="C400" s="3">
        <f>SUMIFS(Data!$AA:$AA,Data!$Z:$Z,MarketProfile!A400,Data!$AE:$AE,"0")/1000</f>
        <v>158473.63678</v>
      </c>
      <c r="D400" s="395">
        <f>SUMIFS(Data!$AO:$AO,Data!$AN:$AN,MarketProfile!A400,Data!$AS:$AS,"0")/1000</f>
        <v>86948.046870000006</v>
      </c>
      <c r="E400" s="395"/>
      <c r="F400" s="178">
        <f>IFERROR(IF(OR(AND(D400="",C400=""),AND(D400=0,C400=0)),"",
IF(OR(D400="",D400=0),1,
IF(OR(D400&lt;&gt;"",D400&lt;&gt;0),(C400-D400)/ABS(D400)))),-1)</f>
        <v>0.82262445776316484</v>
      </c>
      <c r="G400" s="395">
        <f>SUMIFS(Data!$BC:$BC,Data!$BB:$BB,MarketProfile!A400,Data!BG:BG,"0")/1000</f>
        <v>92764.554709999997</v>
      </c>
      <c r="H400" s="395"/>
      <c r="I400" s="178">
        <f t="shared" si="25"/>
        <v>0.70834255902396503</v>
      </c>
    </row>
    <row r="401" spans="1:9" x14ac:dyDescent="0.25">
      <c r="A401" s="243" t="s">
        <v>138</v>
      </c>
      <c r="B401" s="243"/>
      <c r="C401" s="3">
        <f>SUMIFS(Data!$AA:$AA,Data!$Z:$Z,MarketProfile!A401,Data!$AE:$AE,"0")/1000</f>
        <v>0</v>
      </c>
      <c r="D401" s="395">
        <f>SUMIFS(Data!$AO:$AO,Data!$AN:$AN,MarketProfile!A401,Data!$AS:$AS,"0")/1000</f>
        <v>0</v>
      </c>
      <c r="E401" s="395"/>
      <c r="F401" s="178" t="str">
        <f>IFERROR(IF(OR(AND(D401="",C401=""),AND(D401=0,C401=0)),"",
IF(OR(D401="",D401=0),1,
IF(OR(D401&lt;&gt;"",D401&lt;&gt;0),(C401-D401)/ABS(D401)))),-1)</f>
        <v/>
      </c>
      <c r="G401" s="395">
        <f>SUMIFS(Data!$BC:$BC,Data!$BB:$BB,MarketProfile!A401,Data!BG:BG,"0")/1000</f>
        <v>0</v>
      </c>
      <c r="H401" s="395"/>
      <c r="I401" s="178" t="str">
        <f t="shared" si="25"/>
        <v/>
      </c>
    </row>
    <row r="402" spans="1:9" x14ac:dyDescent="0.25">
      <c r="A402" s="243" t="s">
        <v>452</v>
      </c>
      <c r="B402" s="243"/>
      <c r="C402" s="3">
        <f>SUMIFS(Data!$AA:$AA,Data!$Z:$Z,MarketProfile!A402,Data!$AE:$AE,"0")/1000</f>
        <v>146.55000000000001</v>
      </c>
      <c r="D402" s="395">
        <f>SUMIFS(Data!$AO:$AO,Data!$AN:$AN,MarketProfile!A402,Data!$AS:$AS,"0")/1000</f>
        <v>4030.2087000000001</v>
      </c>
      <c r="E402" s="395"/>
      <c r="F402" s="178">
        <f>IFERROR(IF(OR(AND(D402="",C402=""),AND(D402=0,C402=0)),"",
IF(OR(D402="",D402=0),1,
IF(OR(D402&lt;&gt;"",D402&lt;&gt;0),(C402-D402)/ABS(D402)))),-1)</f>
        <v>-0.96363711884200931</v>
      </c>
      <c r="G402" s="395">
        <f>SUMIFS(Data!$BC:$BC,Data!$BB:$BB,MarketProfile!A402,Data!BG:BG,"0")/1000</f>
        <v>12658.083339999999</v>
      </c>
      <c r="H402" s="395"/>
      <c r="I402" s="178">
        <f t="shared" si="25"/>
        <v>-0.98842241782870111</v>
      </c>
    </row>
    <row r="403" spans="1:9" x14ac:dyDescent="0.25">
      <c r="A403" s="243" t="s">
        <v>453</v>
      </c>
      <c r="B403" s="243"/>
      <c r="C403" s="3">
        <f>SUMIFS(Data!$AA:$AA,Data!$Z:$Z,MarketProfile!A403,Data!$AE:$AE,"0")/1000</f>
        <v>248103.08268000002</v>
      </c>
      <c r="D403" s="395">
        <f>SUMIFS(Data!$AO:$AO,Data!$AN:$AN,MarketProfile!A403,Data!$AS:$AS,"0")/1000</f>
        <v>89294.530480000001</v>
      </c>
      <c r="E403" s="395"/>
      <c r="F403" s="178">
        <f>IFERROR(IF(OR(AND(D403="",C403=""),AND(D403=0,C403=0)),"",
IF(OR(D403="",D403=0),1,
IF(OR(D403&lt;&gt;"",D403&lt;&gt;0),(C403-D403)/ABS(D403)))),-1)</f>
        <v>1.7784801750603263</v>
      </c>
      <c r="G403" s="395">
        <f>SUMIFS(Data!$BC:$BC,Data!$BB:$BB,MarketProfile!A403,Data!BG:BG,"0")/1000</f>
        <v>289641.63795</v>
      </c>
      <c r="H403" s="395"/>
      <c r="I403" s="178">
        <f t="shared" si="25"/>
        <v>-0.1434136181662205</v>
      </c>
    </row>
    <row r="404" spans="1:9" x14ac:dyDescent="0.25">
      <c r="A404" s="243" t="s">
        <v>454</v>
      </c>
      <c r="B404" s="243"/>
      <c r="C404" s="3">
        <f>SUMIFS(Data!$AA:$AA,Data!$Z:$Z,MarketProfile!A404,Data!$AE:$AE,"0")/1000</f>
        <v>0</v>
      </c>
      <c r="D404" s="395">
        <f>SUMIFS(Data!$AO:$AO,Data!$AN:$AN,MarketProfile!A404,Data!$AS:$AS,"0")/1000</f>
        <v>0</v>
      </c>
      <c r="E404" s="395"/>
      <c r="F404" s="178" t="str">
        <f>IFERROR(IF(OR(AND(D404="",C404=""),AND(D404=0,C404=0)),"",
IF(OR(D404="",D404=0),1,
IF(OR(D404&lt;&gt;"",D404&lt;&gt;0),(C404-D404)/ABS(D404)))),-1)</f>
        <v/>
      </c>
      <c r="G404" s="395">
        <f>SUMIFS(Data!$BC:$BC,Data!$BB:$BB,MarketProfile!A404,Data!BG:BG,"0")/1000</f>
        <v>0</v>
      </c>
      <c r="H404" s="395"/>
      <c r="I404" s="178" t="str">
        <f t="shared" si="25"/>
        <v/>
      </c>
    </row>
    <row r="405" spans="1:9" x14ac:dyDescent="0.25">
      <c r="A405" s="243" t="s">
        <v>139</v>
      </c>
      <c r="B405" s="243"/>
      <c r="C405" s="3">
        <f>SUMIFS(Data!$AA:$AA,Data!$Z:$Z,MarketProfile!A405,Data!$AE:$AE,"0")/1000</f>
        <v>0</v>
      </c>
      <c r="D405" s="395">
        <f>SUMIFS(Data!$AO:$AO,Data!$AN:$AN,MarketProfile!A405,Data!$AS:$AS,"0")/1000</f>
        <v>0</v>
      </c>
      <c r="E405" s="395"/>
      <c r="F405" s="178" t="str">
        <f>IFERROR(IF(OR(AND(D405="",C405=""),AND(D405=0,C405=0)),"",
IF(OR(D405="",D405=0),1,
IF(OR(D405&lt;&gt;"",D405&lt;&gt;0),(C405-D405)/ABS(D405)))),-1)</f>
        <v/>
      </c>
      <c r="G405" s="395">
        <f>SUMIFS(Data!$BC:$BC,Data!$BB:$BB,MarketProfile!A405,Data!BG:BG,"0")/1000</f>
        <v>0</v>
      </c>
      <c r="H405" s="395"/>
      <c r="I405" s="178" t="str">
        <f t="shared" si="25"/>
        <v/>
      </c>
    </row>
    <row r="406" spans="1:9" x14ac:dyDescent="0.25">
      <c r="A406" s="242" t="s">
        <v>181</v>
      </c>
      <c r="B406" s="243"/>
      <c r="C406" s="4">
        <f>SUM(C398:C405)</f>
        <v>410455.30105999997</v>
      </c>
      <c r="D406" s="396">
        <f>SUM(D398:E405)</f>
        <v>182859.88597</v>
      </c>
      <c r="E406" s="396">
        <f>SUM(E398:E405)</f>
        <v>0</v>
      </c>
      <c r="F406" s="165">
        <f>IFERROR(IF(OR(AND(D406="",C406=""),AND(D406=0,C406=0)),"",
IF(OR(D406="",D406=0),1,
IF(OR(D406&lt;&gt;"",D406&lt;&gt;0),(C406-D406)/ABS(D406)))),-1)</f>
        <v>1.2446437548765577</v>
      </c>
      <c r="G406" s="396">
        <f>SUM(G398:H405)</f>
        <v>398136.03512999997</v>
      </c>
      <c r="H406" s="396">
        <f>SUM(H398:H405)</f>
        <v>0</v>
      </c>
      <c r="I406" s="165">
        <f t="shared" si="25"/>
        <v>3.0942353474679801E-2</v>
      </c>
    </row>
    <row r="407" spans="1:9" x14ac:dyDescent="0.25">
      <c r="A407" s="137" t="s">
        <v>136</v>
      </c>
      <c r="B407" s="137"/>
      <c r="C407" s="167"/>
      <c r="D407" s="137"/>
      <c r="E407" s="137"/>
      <c r="F407" s="137" t="s">
        <v>184</v>
      </c>
      <c r="G407" s="137"/>
      <c r="H407" s="137"/>
      <c r="I407" s="166" t="s">
        <v>184</v>
      </c>
    </row>
    <row r="408" spans="1:9" x14ac:dyDescent="0.25">
      <c r="A408" s="139" t="s">
        <v>14</v>
      </c>
      <c r="B408" s="243"/>
      <c r="C408" s="3"/>
      <c r="D408" s="243"/>
      <c r="E408" s="243"/>
      <c r="F408" s="243"/>
      <c r="G408" s="243"/>
      <c r="H408" s="243"/>
      <c r="I408" s="178"/>
    </row>
    <row r="409" spans="1:9" x14ac:dyDescent="0.25">
      <c r="A409" s="243" t="s">
        <v>450</v>
      </c>
      <c r="B409" s="243"/>
      <c r="C409" s="3">
        <f>SUMIFS(Data!$AK:$AK,Data!$AG:$AG,MarketProfile!A409,Data!$AL:$AL,"1")</f>
        <v>15309</v>
      </c>
      <c r="D409" s="395">
        <f>SUMIFS(Data!$AY:$AY,Data!$AU:$AU,MarketProfile!A409,Data!$AZ:$AZ,"1")</f>
        <v>8869</v>
      </c>
      <c r="E409" s="395"/>
      <c r="F409" s="178">
        <f>IFERROR(IF(OR(AND(D409="",C409=""),AND(D409=0,C409=0)),"",
IF(OR(D409="",D409=0),1,
IF(OR(D409&lt;&gt;"",D409&lt;&gt;0),(C409-D409)/ABS(D409)))),-1)</f>
        <v>0.72612470402525653</v>
      </c>
      <c r="G409" s="395">
        <f>SUMIFS(Data!$BL:$BL,Data!$BH:$BH,MarketProfile!A409,Data!$BM:$BM,"1")</f>
        <v>16809</v>
      </c>
      <c r="H409" s="395"/>
      <c r="I409" s="178">
        <f t="shared" ref="I409:I416" si="26">IFERROR(IF(OR(AND(G409="",C409=""),AND(G409=0,C409=0)),"",
IF(OR(G409="",G409=0),1,
IF(OR(G409&lt;&gt;"",G409&lt;&gt;0),(C409-G409)/ABS(G409)))),-1)</f>
        <v>-8.923790826343031E-2</v>
      </c>
    </row>
    <row r="410" spans="1:9" x14ac:dyDescent="0.25">
      <c r="A410" s="243" t="s">
        <v>177</v>
      </c>
      <c r="B410" s="243"/>
      <c r="C410" s="3">
        <f>SUMIFS(Data!$AK:$AK,Data!$AG:$AG,MarketProfile!A410,Data!$AL:$AL,"1")</f>
        <v>15717</v>
      </c>
      <c r="D410" s="395">
        <f>SUMIFS(Data!$AY:$AY,Data!$AU:$AU,MarketProfile!A410,Data!$AZ:$AZ,"1")</f>
        <v>16249</v>
      </c>
      <c r="E410" s="395"/>
      <c r="F410" s="178">
        <f>IFERROR(IF(OR(AND(D410="",C410=""),AND(D410=0,C410=0)),"",
IF(OR(D410="",D410=0),1,
IF(OR(D410&lt;&gt;"",D410&lt;&gt;0),(C410-D410)/ABS(D410)))),-1)</f>
        <v>-3.2740476337005352E-2</v>
      </c>
      <c r="G410" s="395">
        <f>SUMIFS(Data!$BL:$BL,Data!$BH:$BH,MarketProfile!A410,Data!$BM:$BM,"1")</f>
        <v>21061</v>
      </c>
      <c r="H410" s="395"/>
      <c r="I410" s="178">
        <f t="shared" si="26"/>
        <v>-0.2537391386923698</v>
      </c>
    </row>
    <row r="411" spans="1:9" x14ac:dyDescent="0.25">
      <c r="A411" s="243" t="s">
        <v>451</v>
      </c>
      <c r="B411" s="243"/>
      <c r="C411" s="3">
        <f>SUMIFS(Data!$AK:$AK,Data!$AG:$AG,MarketProfile!A411,Data!$AL:$AL,"1")</f>
        <v>36164</v>
      </c>
      <c r="D411" s="395">
        <f>SUMIFS(Data!$AY:$AY,Data!$AU:$AU,MarketProfile!A411,Data!$AZ:$AZ,"1")</f>
        <v>28918</v>
      </c>
      <c r="E411" s="395"/>
      <c r="F411" s="178">
        <f>IFERROR(IF(OR(AND(D411="",C411=""),AND(D411=0,C411=0)),"",
IF(OR(D411="",D411=0),1,
IF(OR(D411&lt;&gt;"",D411&lt;&gt;0),(C411-D411)/ABS(D411)))),-1)</f>
        <v>0.25057057887820733</v>
      </c>
      <c r="G411" s="395">
        <f>SUMIFS(Data!$BL:$BL,Data!$BH:$BH,MarketProfile!A411,Data!$BM:$BM,"1")</f>
        <v>32995</v>
      </c>
      <c r="H411" s="395"/>
      <c r="I411" s="178">
        <f t="shared" si="26"/>
        <v>9.6044855281103195E-2</v>
      </c>
    </row>
    <row r="412" spans="1:9" x14ac:dyDescent="0.25">
      <c r="A412" s="243" t="s">
        <v>138</v>
      </c>
      <c r="B412" s="243"/>
      <c r="C412" s="3">
        <f>SUMIFS(Data!$AK:$AK,Data!$AG:$AG,MarketProfile!A412,Data!$AL:$AL,"1")</f>
        <v>516</v>
      </c>
      <c r="D412" s="395">
        <f>SUMIFS(Data!$AY:$AY,Data!$AU:$AU,MarketProfile!A412,Data!$AZ:$AZ,"1")</f>
        <v>506</v>
      </c>
      <c r="E412" s="395"/>
      <c r="F412" s="178">
        <f>IFERROR(IF(OR(AND(D412="",C412=""),AND(D412=0,C412=0)),"",
IF(OR(D412="",D412=0),1,
IF(OR(D412&lt;&gt;"",D412&lt;&gt;0),(C412-D412)/ABS(D412)))),-1)</f>
        <v>1.9762845849802372E-2</v>
      </c>
      <c r="G412" s="395">
        <f>SUMIFS(Data!$BL:$BL,Data!$BH:$BH,MarketProfile!A412,Data!$BM:$BM,"1")</f>
        <v>1204</v>
      </c>
      <c r="H412" s="395"/>
      <c r="I412" s="178">
        <f t="shared" si="26"/>
        <v>-0.5714285714285714</v>
      </c>
    </row>
    <row r="413" spans="1:9" x14ac:dyDescent="0.25">
      <c r="A413" s="243" t="s">
        <v>452</v>
      </c>
      <c r="B413" s="243"/>
      <c r="C413" s="3">
        <f>SUMIFS(Data!$AK:$AK,Data!$AG:$AG,MarketProfile!A413,Data!$AL:$AL,"1")</f>
        <v>7704</v>
      </c>
      <c r="D413" s="395">
        <f>SUMIFS(Data!$AY:$AY,Data!$AU:$AU,MarketProfile!A413,Data!$AZ:$AZ,"1")</f>
        <v>8908</v>
      </c>
      <c r="E413" s="395"/>
      <c r="F413" s="178">
        <f>IFERROR(IF(OR(AND(D413="",C413=""),AND(D413=0,C413=0)),"",
IF(OR(D413="",D413=0),1,
IF(OR(D413&lt;&gt;"",D413&lt;&gt;0),(C413-D413)/ABS(D413)))),-1)</f>
        <v>-0.13515940727436013</v>
      </c>
      <c r="G413" s="395">
        <f>SUMIFS(Data!$BL:$BL,Data!$BH:$BH,MarketProfile!A413,Data!$BM:$BM,"1")</f>
        <v>10202</v>
      </c>
      <c r="H413" s="395"/>
      <c r="I413" s="178">
        <f t="shared" si="26"/>
        <v>-0.244853950205842</v>
      </c>
    </row>
    <row r="414" spans="1:9" x14ac:dyDescent="0.25">
      <c r="A414" s="243" t="s">
        <v>453</v>
      </c>
      <c r="B414" s="243"/>
      <c r="C414" s="3">
        <f>SUMIFS(Data!$AK:$AK,Data!$AG:$AG,MarketProfile!A414,Data!$AL:$AL,"1")</f>
        <v>31023</v>
      </c>
      <c r="D414" s="395">
        <f>SUMIFS(Data!$AY:$AY,Data!$AU:$AU,MarketProfile!A414,Data!$AZ:$AZ,"1")</f>
        <v>26762</v>
      </c>
      <c r="E414" s="395"/>
      <c r="F414" s="178">
        <f>IFERROR(IF(OR(AND(D414="",C414=""),AND(D414=0,C414=0)),"",
IF(OR(D414="",D414=0),1,
IF(OR(D414&lt;&gt;"",D414&lt;&gt;0),(C414-D414)/ABS(D414)))),-1)</f>
        <v>0.15921829459681638</v>
      </c>
      <c r="G414" s="395">
        <f>SUMIFS(Data!$BL:$BL,Data!$BH:$BH,MarketProfile!A414,Data!$BM:$BM,"1")</f>
        <v>43330</v>
      </c>
      <c r="H414" s="395"/>
      <c r="I414" s="178">
        <f t="shared" si="26"/>
        <v>-0.28402954073390263</v>
      </c>
    </row>
    <row r="415" spans="1:9" x14ac:dyDescent="0.25">
      <c r="A415" s="243" t="s">
        <v>454</v>
      </c>
      <c r="B415" s="243"/>
      <c r="C415" s="3">
        <f>SUMIFS(Data!$AK:$AK,Data!$AG:$AG,MarketProfile!A415,Data!$AL:$AL,"1")</f>
        <v>273</v>
      </c>
      <c r="D415" s="395">
        <f>SUMIFS(Data!$AY:$AY,Data!$AU:$AU,MarketProfile!A415,Data!$AZ:$AZ,"1")</f>
        <v>64</v>
      </c>
      <c r="E415" s="395"/>
      <c r="F415" s="178">
        <f>IFERROR(IF(OR(AND(D415="",C415=""),AND(D415=0,C415=0)),"",
IF(OR(D415="",D415=0),1,
IF(OR(D415&lt;&gt;"",D415&lt;&gt;0),(C415-D415)/ABS(D415)))),-1)</f>
        <v>3.265625</v>
      </c>
      <c r="G415" s="395">
        <f>SUMIFS(Data!$BL:$BL,Data!$BH:$BH,MarketProfile!A415,Data!$BM:$BM,"1")</f>
        <v>172</v>
      </c>
      <c r="H415" s="395"/>
      <c r="I415" s="178">
        <f t="shared" si="26"/>
        <v>0.58720930232558144</v>
      </c>
    </row>
    <row r="416" spans="1:9" x14ac:dyDescent="0.25">
      <c r="A416" s="243" t="s">
        <v>139</v>
      </c>
      <c r="B416" s="243"/>
      <c r="C416" s="3">
        <f>SUMIFS(Data!$AK:$AK,Data!$AG:$AG,MarketProfile!A416,Data!$AL:$AL,"1")</f>
        <v>30</v>
      </c>
      <c r="D416" s="395">
        <f>SUMIFS(Data!$AY:$AY,Data!$AU:$AU,MarketProfile!A416,Data!$AZ:$AZ,"1")</f>
        <v>98</v>
      </c>
      <c r="E416" s="395"/>
      <c r="F416" s="178">
        <f>IFERROR(IF(OR(AND(D416="",C416=""),AND(D416=0,C416=0)),"",
IF(OR(D416="",D416=0),1,
IF(OR(D416&lt;&gt;"",D416&lt;&gt;0),(C416-D416)/ABS(D416)))),-1)</f>
        <v>-0.69387755102040816</v>
      </c>
      <c r="G416" s="395">
        <f>SUMIFS(Data!$BL:$BL,Data!$BH:$BH,MarketProfile!A416,Data!$BM:$BM,"1")</f>
        <v>2</v>
      </c>
      <c r="H416" s="395"/>
      <c r="I416" s="178">
        <f t="shared" si="26"/>
        <v>14</v>
      </c>
    </row>
    <row r="417" spans="1:9" x14ac:dyDescent="0.25">
      <c r="A417" s="139" t="s">
        <v>15</v>
      </c>
      <c r="B417" s="243"/>
      <c r="C417" s="3"/>
      <c r="D417" s="243"/>
      <c r="E417" s="3"/>
      <c r="F417" s="178"/>
      <c r="G417" s="243"/>
      <c r="H417" s="3"/>
      <c r="I417" s="178"/>
    </row>
    <row r="418" spans="1:9" x14ac:dyDescent="0.25">
      <c r="A418" s="243" t="s">
        <v>450</v>
      </c>
      <c r="B418" s="243"/>
      <c r="C418" s="3">
        <f>SUMIFS(Data!$AK:$AK,Data!$AG:$AG,MarketProfile!A418,Data!$AL:$AL,"0")</f>
        <v>389</v>
      </c>
      <c r="D418" s="395">
        <f>SUMIFS(Data!$AY:$AY,Data!$AU:$AU,MarketProfile!A418,Data!$AZ:$AZ,"0")</f>
        <v>221</v>
      </c>
      <c r="E418" s="395"/>
      <c r="F418" s="178">
        <f>IFERROR(IF(OR(AND(D418="",C418=""),AND(D418=0,C418=0)),"",
IF(OR(D418="",D418=0),1,
IF(OR(D418&lt;&gt;"",D418&lt;&gt;0),(C418-D418)/ABS(D418)))),-1)</f>
        <v>0.76018099547511309</v>
      </c>
      <c r="G418" s="395">
        <f>SUMIFS(Data!$BL:$BL,Data!$BH:$BH,MarketProfile!A418,Data!$BM:$BM,"0")</f>
        <v>95</v>
      </c>
      <c r="H418" s="395"/>
      <c r="I418" s="178">
        <f t="shared" ref="I418:I425" si="27">IFERROR(IF(OR(AND(G418="",C418=""),AND(G418=0,C418=0)),"",
IF(OR(G418="",G418=0),1,
IF(OR(G418&lt;&gt;"",G418&lt;&gt;0),(C418-G418)/ABS(G418)))),-1)</f>
        <v>3.094736842105263</v>
      </c>
    </row>
    <row r="419" spans="1:9" x14ac:dyDescent="0.25">
      <c r="A419" s="243" t="s">
        <v>177</v>
      </c>
      <c r="B419" s="243"/>
      <c r="C419" s="3">
        <f>SUMIFS(Data!$AK:$AK,Data!$AG:$AG,MarketProfile!A419,Data!$AL:$AL,"0")</f>
        <v>522</v>
      </c>
      <c r="D419" s="395">
        <f>SUMIFS(Data!$AY:$AY,Data!$AU:$AU,MarketProfile!A419,Data!$AZ:$AZ,"0")</f>
        <v>456</v>
      </c>
      <c r="E419" s="395"/>
      <c r="F419" s="178">
        <f>IFERROR(IF(OR(AND(D419="",C419=""),AND(D419=0,C419=0)),"",
IF(OR(D419="",D419=0),1,
IF(OR(D419&lt;&gt;"",D419&lt;&gt;0),(C419-D419)/ABS(D419)))),-1)</f>
        <v>0.14473684210526316</v>
      </c>
      <c r="G419" s="395">
        <f>SUMIFS(Data!$BL:$BL,Data!$BH:$BH,MarketProfile!A419,Data!$BM:$BM,"0")</f>
        <v>1603</v>
      </c>
      <c r="H419" s="395"/>
      <c r="I419" s="178">
        <f t="shared" si="27"/>
        <v>-0.6743605739238927</v>
      </c>
    </row>
    <row r="420" spans="1:9" x14ac:dyDescent="0.25">
      <c r="A420" s="243" t="s">
        <v>451</v>
      </c>
      <c r="B420" s="243"/>
      <c r="C420" s="3">
        <f>SUMIFS(Data!$AK:$AK,Data!$AG:$AG,MarketProfile!A420,Data!$AL:$AL,"0")</f>
        <v>17275</v>
      </c>
      <c r="D420" s="395">
        <f>SUMIFS(Data!$AY:$AY,Data!$AU:$AU,MarketProfile!A420,Data!$AZ:$AZ,"0")</f>
        <v>14649</v>
      </c>
      <c r="E420" s="395"/>
      <c r="F420" s="178">
        <f>IFERROR(IF(OR(AND(D420="",C420=""),AND(D420=0,C420=0)),"",
IF(OR(D420="",D420=0),1,
IF(OR(D420&lt;&gt;"",D420&lt;&gt;0),(C420-D420)/ABS(D420)))),-1)</f>
        <v>0.17926138302955832</v>
      </c>
      <c r="G420" s="395">
        <f>SUMIFS(Data!$BL:$BL,Data!$BH:$BH,MarketProfile!A420,Data!$BM:$BM,"0")</f>
        <v>14587</v>
      </c>
      <c r="H420" s="395"/>
      <c r="I420" s="178">
        <f t="shared" si="27"/>
        <v>0.18427366833481867</v>
      </c>
    </row>
    <row r="421" spans="1:9" x14ac:dyDescent="0.25">
      <c r="A421" s="243" t="s">
        <v>138</v>
      </c>
      <c r="B421" s="243"/>
      <c r="C421" s="3">
        <f>SUMIFS(Data!$AK:$AK,Data!$AG:$AG,MarketProfile!A421,Data!$AL:$AL,"0")</f>
        <v>0</v>
      </c>
      <c r="D421" s="395">
        <f>SUMIFS(Data!$AY:$AY,Data!$AU:$AU,MarketProfile!A421,Data!$AZ:$AZ,"0")</f>
        <v>0</v>
      </c>
      <c r="E421" s="395"/>
      <c r="F421" s="178" t="str">
        <f>IFERROR(IF(OR(AND(D421="",C421=""),AND(D421=0,C421=0)),"",
IF(OR(D421="",D421=0),1,
IF(OR(D421&lt;&gt;"",D421&lt;&gt;0),(C421-D421)/ABS(D421)))),-1)</f>
        <v/>
      </c>
      <c r="G421" s="395">
        <f>SUMIFS(Data!$BL:$BL,Data!$BH:$BH,MarketProfile!A421,Data!$BM:$BM,"0")</f>
        <v>0</v>
      </c>
      <c r="H421" s="395"/>
      <c r="I421" s="178" t="str">
        <f t="shared" si="27"/>
        <v/>
      </c>
    </row>
    <row r="422" spans="1:9" x14ac:dyDescent="0.25">
      <c r="A422" s="243" t="s">
        <v>452</v>
      </c>
      <c r="B422" s="243"/>
      <c r="C422" s="3">
        <f>SUMIFS(Data!$AK:$AK,Data!$AG:$AG,MarketProfile!A422,Data!$AL:$AL,"0")</f>
        <v>653</v>
      </c>
      <c r="D422" s="395">
        <f>SUMIFS(Data!$AY:$AY,Data!$AU:$AU,MarketProfile!A422,Data!$AZ:$AZ,"0")</f>
        <v>1061</v>
      </c>
      <c r="E422" s="395"/>
      <c r="F422" s="178">
        <f>IFERROR(IF(OR(AND(D422="",C422=""),AND(D422=0,C422=0)),"",
IF(OR(D422="",D422=0),1,
IF(OR(D422&lt;&gt;"",D422&lt;&gt;0),(C422-D422)/ABS(D422)))),-1)</f>
        <v>-0.38454288407163056</v>
      </c>
      <c r="G422" s="395">
        <f>SUMIFS(Data!$BL:$BL,Data!$BH:$BH,MarketProfile!A422,Data!$BM:$BM,"0")</f>
        <v>3284</v>
      </c>
      <c r="H422" s="395"/>
      <c r="I422" s="178">
        <f t="shared" si="27"/>
        <v>-0.8011571254567601</v>
      </c>
    </row>
    <row r="423" spans="1:9" x14ac:dyDescent="0.25">
      <c r="A423" s="243" t="s">
        <v>453</v>
      </c>
      <c r="B423" s="243"/>
      <c r="C423" s="3">
        <f>SUMIFS(Data!$AK:$AK,Data!$AG:$AG,MarketProfile!A423,Data!$AL:$AL,"0")</f>
        <v>21188</v>
      </c>
      <c r="D423" s="395">
        <f>SUMIFS(Data!$AY:$AY,Data!$AU:$AU,MarketProfile!A423,Data!$AZ:$AZ,"0")</f>
        <v>13515</v>
      </c>
      <c r="E423" s="395"/>
      <c r="F423" s="178">
        <f>IFERROR(IF(OR(AND(D423="",C423=""),AND(D423=0,C423=0)),"",
IF(OR(D423="",D423=0),1,
IF(OR(D423&lt;&gt;"",D423&lt;&gt;0),(C423-D423)/ABS(D423)))),-1)</f>
        <v>0.56773954864964848</v>
      </c>
      <c r="G423" s="395">
        <f>SUMIFS(Data!$BL:$BL,Data!$BH:$BH,MarketProfile!A423,Data!$BM:$BM,"0")</f>
        <v>33139</v>
      </c>
      <c r="H423" s="395"/>
      <c r="I423" s="178">
        <f t="shared" si="27"/>
        <v>-0.36063248740155102</v>
      </c>
    </row>
    <row r="424" spans="1:9" x14ac:dyDescent="0.25">
      <c r="A424" s="243" t="s">
        <v>454</v>
      </c>
      <c r="B424" s="243"/>
      <c r="C424" s="3">
        <f>SUMIFS(Data!$AK:$AK,Data!$AG:$AG,MarketProfile!A424,Data!$AL:$AL,"0")</f>
        <v>0</v>
      </c>
      <c r="D424" s="395">
        <f>SUMIFS(Data!$AY:$AY,Data!$AU:$AU,MarketProfile!A424,Data!$AZ:$AZ,"0")</f>
        <v>0</v>
      </c>
      <c r="E424" s="395"/>
      <c r="F424" s="178" t="str">
        <f>IFERROR(IF(OR(AND(D424="",C424=""),AND(D424=0,C424=0)),"",
IF(OR(D424="",D424=0),1,
IF(OR(D424&lt;&gt;"",D424&lt;&gt;0),(C424-D424)/ABS(D424)))),-1)</f>
        <v/>
      </c>
      <c r="G424" s="395">
        <f>SUMIFS(Data!$BL:$BL,Data!$BH:$BH,MarketProfile!A424,Data!$BM:$BM,"0")</f>
        <v>40</v>
      </c>
      <c r="H424" s="395"/>
      <c r="I424" s="178">
        <f t="shared" si="27"/>
        <v>-1</v>
      </c>
    </row>
    <row r="425" spans="1:9" x14ac:dyDescent="0.25">
      <c r="A425" s="243" t="s">
        <v>139</v>
      </c>
      <c r="B425" s="243"/>
      <c r="C425" s="3">
        <f>SUMIFS(Data!$AK:$AK,Data!$AG:$AG,MarketProfile!A425,Data!$AL:$AL,"0")</f>
        <v>0</v>
      </c>
      <c r="D425" s="395">
        <f>SUMIFS(Data!$AY:$AY,Data!$AU:$AU,MarketProfile!A425,Data!$AZ:$AZ,"0")</f>
        <v>0</v>
      </c>
      <c r="E425" s="395"/>
      <c r="F425" s="178" t="str">
        <f t="shared" ref="F425" si="28">IFERROR(IF(OR(AND(C425="",D425=""),AND(C425=0,D425=0)),"",
IF(OR(C425="",C425=0),1,
IF(OR(C425&lt;&gt;"",C425&lt;&gt;0),(D425-C425)/ABS(C425)))),-1)</f>
        <v/>
      </c>
      <c r="G425" s="395">
        <f>SUMIFS(Data!$BL:$BL,Data!$BH:$BH,MarketProfile!A425,Data!$BM:$BM,"0")</f>
        <v>0</v>
      </c>
      <c r="H425" s="395"/>
      <c r="I425" s="178" t="str">
        <f t="shared" si="27"/>
        <v/>
      </c>
    </row>
    <row r="426" spans="1:9" x14ac:dyDescent="0.25">
      <c r="A426" s="243"/>
      <c r="B426" s="243"/>
      <c r="C426" s="243"/>
      <c r="D426" s="243"/>
      <c r="E426" s="243"/>
      <c r="F426" s="243"/>
      <c r="G426" s="243"/>
      <c r="H426" s="243"/>
      <c r="I426" s="243"/>
    </row>
  </sheetData>
  <mergeCells count="162">
    <mergeCell ref="F144:H145"/>
    <mergeCell ref="G423:H423"/>
    <mergeCell ref="G424:H424"/>
    <mergeCell ref="G425:H425"/>
    <mergeCell ref="G418:H418"/>
    <mergeCell ref="G419:H419"/>
    <mergeCell ref="G420:H420"/>
    <mergeCell ref="G421:H421"/>
    <mergeCell ref="G422:H422"/>
    <mergeCell ref="G412:H412"/>
    <mergeCell ref="G413:H413"/>
    <mergeCell ref="G414:H414"/>
    <mergeCell ref="G415:H415"/>
    <mergeCell ref="G416:H416"/>
    <mergeCell ref="G405:H405"/>
    <mergeCell ref="G406:H406"/>
    <mergeCell ref="G409:H409"/>
    <mergeCell ref="G410:H410"/>
    <mergeCell ref="G411:H411"/>
    <mergeCell ref="G400:H400"/>
    <mergeCell ref="G401:H401"/>
    <mergeCell ref="G402:H402"/>
    <mergeCell ref="G403:H403"/>
    <mergeCell ref="G404:H404"/>
    <mergeCell ref="G394:H394"/>
    <mergeCell ref="G395:H395"/>
    <mergeCell ref="G396:H396"/>
    <mergeCell ref="G398:H398"/>
    <mergeCell ref="G399:H399"/>
    <mergeCell ref="G389:H389"/>
    <mergeCell ref="G390:H390"/>
    <mergeCell ref="G391:H391"/>
    <mergeCell ref="G392:H392"/>
    <mergeCell ref="G393:H393"/>
    <mergeCell ref="G370:H370"/>
    <mergeCell ref="G382:H382"/>
    <mergeCell ref="G383:H383"/>
    <mergeCell ref="G384:H384"/>
    <mergeCell ref="G385:H385"/>
    <mergeCell ref="G388:H388"/>
    <mergeCell ref="G377:H377"/>
    <mergeCell ref="G378:H378"/>
    <mergeCell ref="G379:H379"/>
    <mergeCell ref="G380:H380"/>
    <mergeCell ref="G381:H381"/>
    <mergeCell ref="D423:E423"/>
    <mergeCell ref="D424:E424"/>
    <mergeCell ref="D425:E425"/>
    <mergeCell ref="D394:E394"/>
    <mergeCell ref="D395:E395"/>
    <mergeCell ref="D396:E396"/>
    <mergeCell ref="D398:E398"/>
    <mergeCell ref="D388:E388"/>
    <mergeCell ref="D389:E389"/>
    <mergeCell ref="D390:E390"/>
    <mergeCell ref="D391:E391"/>
    <mergeCell ref="D392:E392"/>
    <mergeCell ref="G359:H359"/>
    <mergeCell ref="G356:H356"/>
    <mergeCell ref="G357:H357"/>
    <mergeCell ref="G358:H358"/>
    <mergeCell ref="G360:H360"/>
    <mergeCell ref="G361:H361"/>
    <mergeCell ref="G362:H362"/>
    <mergeCell ref="G363:H363"/>
    <mergeCell ref="D422:E422"/>
    <mergeCell ref="D381:E381"/>
    <mergeCell ref="D382:E382"/>
    <mergeCell ref="D383:E383"/>
    <mergeCell ref="D384:E384"/>
    <mergeCell ref="D385:E385"/>
    <mergeCell ref="D375:E375"/>
    <mergeCell ref="G371:H371"/>
    <mergeCell ref="G372:H372"/>
    <mergeCell ref="G373:H373"/>
    <mergeCell ref="G374:H374"/>
    <mergeCell ref="G375:H375"/>
    <mergeCell ref="G364:H364"/>
    <mergeCell ref="G367:H367"/>
    <mergeCell ref="G368:H368"/>
    <mergeCell ref="G369:H369"/>
    <mergeCell ref="D416:E416"/>
    <mergeCell ref="D418:E418"/>
    <mergeCell ref="D419:E419"/>
    <mergeCell ref="D420:E420"/>
    <mergeCell ref="D421:E421"/>
    <mergeCell ref="D411:E411"/>
    <mergeCell ref="D412:E412"/>
    <mergeCell ref="D413:E413"/>
    <mergeCell ref="D414:E414"/>
    <mergeCell ref="D415:E415"/>
    <mergeCell ref="D404:E404"/>
    <mergeCell ref="D405:E405"/>
    <mergeCell ref="D406:E406"/>
    <mergeCell ref="D409:E409"/>
    <mergeCell ref="D410:E410"/>
    <mergeCell ref="D399:E399"/>
    <mergeCell ref="D400:E400"/>
    <mergeCell ref="D401:E401"/>
    <mergeCell ref="D402:E402"/>
    <mergeCell ref="D403:E403"/>
    <mergeCell ref="D393:E393"/>
    <mergeCell ref="D377:E377"/>
    <mergeCell ref="D378:E378"/>
    <mergeCell ref="D379:E379"/>
    <mergeCell ref="D380:E380"/>
    <mergeCell ref="D370:E370"/>
    <mergeCell ref="D371:E371"/>
    <mergeCell ref="D372:E372"/>
    <mergeCell ref="D373:E373"/>
    <mergeCell ref="D374:E374"/>
    <mergeCell ref="D363:E363"/>
    <mergeCell ref="D364:E364"/>
    <mergeCell ref="D367:E367"/>
    <mergeCell ref="D368:E368"/>
    <mergeCell ref="D369:E369"/>
    <mergeCell ref="D358:E358"/>
    <mergeCell ref="D359:E359"/>
    <mergeCell ref="D360:E360"/>
    <mergeCell ref="D361:E361"/>
    <mergeCell ref="D362:E362"/>
    <mergeCell ref="D346:E346"/>
    <mergeCell ref="G346:H346"/>
    <mergeCell ref="D352:E352"/>
    <mergeCell ref="D353:E353"/>
    <mergeCell ref="D354:E354"/>
    <mergeCell ref="D356:E356"/>
    <mergeCell ref="D357:E357"/>
    <mergeCell ref="D347:E347"/>
    <mergeCell ref="D348:E348"/>
    <mergeCell ref="D349:E349"/>
    <mergeCell ref="D350:E350"/>
    <mergeCell ref="D351:E351"/>
    <mergeCell ref="G347:H347"/>
    <mergeCell ref="G348:H348"/>
    <mergeCell ref="G349:H349"/>
    <mergeCell ref="G350:H350"/>
    <mergeCell ref="G351:H351"/>
    <mergeCell ref="G352:H352"/>
    <mergeCell ref="G353:H353"/>
    <mergeCell ref="G354:H354"/>
    <mergeCell ref="F115:H116"/>
    <mergeCell ref="G126:H126"/>
    <mergeCell ref="G8:I9"/>
    <mergeCell ref="A13:A15"/>
    <mergeCell ref="G128:H128"/>
    <mergeCell ref="G129:H129"/>
    <mergeCell ref="G130:H130"/>
    <mergeCell ref="D126:E126"/>
    <mergeCell ref="D128:E128"/>
    <mergeCell ref="D129:E129"/>
    <mergeCell ref="D130:E130"/>
    <mergeCell ref="A296:C297"/>
    <mergeCell ref="E229:H230"/>
    <mergeCell ref="A341:A342"/>
    <mergeCell ref="G231:G233"/>
    <mergeCell ref="E341:I342"/>
    <mergeCell ref="F148:I148"/>
    <mergeCell ref="E232:E233"/>
    <mergeCell ref="F232:F233"/>
    <mergeCell ref="I232:I233"/>
    <mergeCell ref="H231:H233"/>
  </mergeCells>
  <hyperlinks>
    <hyperlink ref="A292" r:id="rId1" display="https://www.jse.co.za/trade/derivative-market/equity-derivatives/reports"/>
    <hyperlink ref="A294" r:id="rId2" display="https://www.jse.co.za/trade/derivative-market/currency-derivatives/reports"/>
  </hyperlinks>
  <pageMargins left="0.70866141732283472" right="0.70866141732283472" top="0.74803149606299213" bottom="0.74803149606299213" header="0.31496062992125984" footer="0.31496062992125984"/>
  <pageSetup paperSize="9" scale="52" fitToHeight="0" orientation="portrait" r:id="rId3"/>
  <headerFooter>
    <oddFooter>Page &amp;P</oddFooter>
  </headerFooter>
  <rowBreaks count="1" manualBreakCount="1">
    <brk id="220" max="16383" man="1"/>
  </rowBreaks>
  <ignoredErrors>
    <ignoredError sqref="E15"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N291"/>
  <sheetViews>
    <sheetView topLeftCell="Q1" zoomScaleNormal="100" workbookViewId="0">
      <selection activeCell="R88" sqref="R88"/>
    </sheetView>
  </sheetViews>
  <sheetFormatPr defaultColWidth="9.109375" defaultRowHeight="13.2" x14ac:dyDescent="0.25"/>
  <cols>
    <col min="1" max="1" width="23.109375" style="147" customWidth="1"/>
    <col min="2" max="2" width="22.44140625" style="10" customWidth="1"/>
    <col min="3" max="3" width="17" style="10" bestFit="1" customWidth="1"/>
    <col min="4" max="4" width="18.88671875" style="10" customWidth="1"/>
    <col min="5" max="5" width="16.109375" style="10" customWidth="1"/>
    <col min="6" max="6" width="16" style="10" bestFit="1" customWidth="1"/>
    <col min="7" max="7" width="12.44140625" style="10" bestFit="1" customWidth="1"/>
    <col min="8" max="8" width="12.5546875" style="10" bestFit="1" customWidth="1"/>
    <col min="9" max="9" width="34.44140625" style="10" bestFit="1" customWidth="1"/>
    <col min="10" max="10" width="11.88671875" style="136" customWidth="1"/>
    <col min="11" max="12" width="9.109375" style="10"/>
    <col min="13" max="13" width="15.6640625" style="2" bestFit="1" customWidth="1"/>
    <col min="14" max="14" width="23.5546875" style="10" customWidth="1"/>
    <col min="15" max="15" width="17.44140625" style="10" bestFit="1" customWidth="1"/>
    <col min="16" max="16" width="14.109375" style="10" bestFit="1" customWidth="1"/>
    <col min="17" max="17" width="25.5546875" style="10" bestFit="1" customWidth="1"/>
    <col min="18" max="18" width="28.44140625" style="10" customWidth="1"/>
    <col min="19" max="19" width="25" style="10" bestFit="1" customWidth="1"/>
    <col min="20" max="20" width="14.44140625" style="10" bestFit="1" customWidth="1"/>
    <col min="21" max="21" width="16.109375" style="10" bestFit="1" customWidth="1"/>
    <col min="22" max="22" width="13.33203125" style="10" bestFit="1" customWidth="1"/>
    <col min="23" max="23" width="16.6640625" style="10" bestFit="1" customWidth="1"/>
    <col min="24" max="24" width="14.88671875" style="10" bestFit="1" customWidth="1"/>
    <col min="25" max="25" width="23.109375" style="10" customWidth="1"/>
    <col min="26" max="27" width="9.109375" style="10" customWidth="1"/>
    <col min="28" max="28" width="13.88671875" style="10" customWidth="1"/>
    <col min="29" max="30" width="9.109375" style="10" customWidth="1"/>
    <col min="31" max="31" width="17.109375" style="10" customWidth="1"/>
    <col min="32" max="32" width="30.5546875" style="157" customWidth="1"/>
    <col min="33" max="38" width="11.5546875" style="157" customWidth="1"/>
    <col min="39" max="39" width="25.6640625" style="10" customWidth="1"/>
    <col min="40" max="45" width="9.109375" style="10" customWidth="1"/>
    <col min="46" max="46" width="31.44140625" style="10" customWidth="1"/>
    <col min="47" max="52" width="9.109375" style="10" customWidth="1"/>
    <col min="53" max="53" width="27.5546875" style="10" customWidth="1"/>
    <col min="54" max="54" width="9.109375" style="10" customWidth="1"/>
    <col min="55" max="58" width="15" style="10" customWidth="1"/>
    <col min="59" max="59" width="9.109375" style="10" customWidth="1"/>
    <col min="60" max="60" width="19.109375" style="10" customWidth="1"/>
    <col min="61" max="65" width="9.109375" style="10"/>
    <col min="66" max="66" width="14" style="10" bestFit="1" customWidth="1"/>
    <col min="67" max="67" width="44.88671875" style="10" customWidth="1"/>
    <col min="68" max="68" width="13.5546875" style="10" bestFit="1" customWidth="1"/>
    <col min="69" max="69" width="15.33203125" style="10" bestFit="1" customWidth="1"/>
    <col min="70" max="70" width="12.33203125" style="10" bestFit="1" customWidth="1"/>
    <col min="71" max="71" width="27.88671875" style="10" customWidth="1"/>
    <col min="72" max="80" width="12.33203125" style="10" customWidth="1"/>
    <col min="81" max="81" width="24.44140625" style="10" customWidth="1"/>
    <col min="82" max="82" width="39.5546875" style="10" customWidth="1"/>
    <col min="83" max="83" width="18" style="10" bestFit="1" customWidth="1"/>
    <col min="84" max="84" width="19.88671875" style="10" customWidth="1"/>
    <col min="85" max="86" width="9.109375" style="10"/>
    <col min="87" max="87" width="14.6640625" style="10" customWidth="1"/>
    <col min="88" max="89" width="9.109375" style="10"/>
    <col min="90" max="90" width="22.44140625" style="10" customWidth="1"/>
    <col min="91" max="91" width="12.33203125" style="10" customWidth="1"/>
    <col min="92" max="92" width="12.109375" style="10" customWidth="1"/>
    <col min="93" max="95" width="9.109375" style="10"/>
    <col min="96" max="96" width="18.6640625" style="10" bestFit="1" customWidth="1"/>
    <col min="97" max="97" width="12.5546875" style="10" customWidth="1"/>
    <col min="98" max="108" width="7.88671875" style="10" customWidth="1"/>
    <col min="109" max="109" width="9.109375" style="10"/>
    <col min="110" max="110" width="19.5546875" style="10" bestFit="1" customWidth="1"/>
    <col min="111" max="111" width="22.44140625" style="10" bestFit="1" customWidth="1"/>
    <col min="112" max="112" width="13.6640625" style="10" bestFit="1" customWidth="1"/>
    <col min="113" max="113" width="18.5546875" style="10" bestFit="1" customWidth="1"/>
    <col min="114" max="114" width="22.44140625" style="10" bestFit="1" customWidth="1"/>
    <col min="115" max="115" width="13.6640625" style="10" bestFit="1" customWidth="1"/>
    <col min="116" max="116" width="28.33203125" style="10" bestFit="1" customWidth="1"/>
    <col min="117" max="117" width="22.44140625" style="10" bestFit="1" customWidth="1"/>
    <col min="118" max="118" width="13.6640625" style="10" bestFit="1" customWidth="1"/>
    <col min="119" max="16384" width="9.109375" style="10"/>
  </cols>
  <sheetData>
    <row r="1" spans="1:118" x14ac:dyDescent="0.25">
      <c r="A1" s="148" t="s">
        <v>199</v>
      </c>
      <c r="B1" s="186" t="s">
        <v>528</v>
      </c>
      <c r="C1" s="186" t="s">
        <v>529</v>
      </c>
      <c r="D1" s="186" t="s">
        <v>530</v>
      </c>
      <c r="E1" s="153" t="s">
        <v>206</v>
      </c>
      <c r="F1" s="207" t="s">
        <v>530</v>
      </c>
      <c r="G1" s="207" t="s">
        <v>528</v>
      </c>
      <c r="H1" s="207" t="s">
        <v>529</v>
      </c>
      <c r="I1" s="153" t="s">
        <v>207</v>
      </c>
      <c r="J1" s="153" t="s">
        <v>209</v>
      </c>
      <c r="K1" s="231" t="s">
        <v>531</v>
      </c>
      <c r="L1" s="231" t="s">
        <v>532</v>
      </c>
      <c r="M1" s="233" t="s">
        <v>529</v>
      </c>
      <c r="N1" s="153" t="s">
        <v>212</v>
      </c>
      <c r="O1" s="238" t="s">
        <v>513</v>
      </c>
      <c r="P1" s="238" t="s">
        <v>514</v>
      </c>
      <c r="Q1" s="238" t="s">
        <v>515</v>
      </c>
      <c r="R1" s="153" t="s">
        <v>441</v>
      </c>
      <c r="S1" s="250"/>
      <c r="T1" s="253"/>
      <c r="U1" s="253"/>
      <c r="V1" s="253"/>
      <c r="W1" s="253"/>
      <c r="X1" s="253"/>
      <c r="Y1" s="248" t="s">
        <v>447</v>
      </c>
      <c r="Z1" s="250" t="s">
        <v>510</v>
      </c>
      <c r="AA1" s="250" t="s">
        <v>558</v>
      </c>
      <c r="AB1" s="250" t="s">
        <v>559</v>
      </c>
      <c r="AC1" s="250" t="s">
        <v>560</v>
      </c>
      <c r="AD1" s="250" t="s">
        <v>561</v>
      </c>
      <c r="AE1" s="250" t="s">
        <v>562</v>
      </c>
      <c r="AF1" s="248" t="s">
        <v>455</v>
      </c>
      <c r="AG1" s="250" t="s">
        <v>510</v>
      </c>
      <c r="AH1" s="250" t="s">
        <v>558</v>
      </c>
      <c r="AI1" s="250" t="s">
        <v>559</v>
      </c>
      <c r="AJ1" s="250" t="s">
        <v>560</v>
      </c>
      <c r="AK1" s="250" t="s">
        <v>561</v>
      </c>
      <c r="AL1" s="250" t="s">
        <v>562</v>
      </c>
      <c r="AM1" s="248" t="s">
        <v>449</v>
      </c>
      <c r="AN1" s="250" t="s">
        <v>510</v>
      </c>
      <c r="AO1" s="250" t="s">
        <v>558</v>
      </c>
      <c r="AP1" s="250" t="s">
        <v>559</v>
      </c>
      <c r="AQ1" s="250" t="s">
        <v>560</v>
      </c>
      <c r="AR1" s="250" t="s">
        <v>561</v>
      </c>
      <c r="AS1" s="250" t="s">
        <v>562</v>
      </c>
      <c r="AT1" s="248" t="s">
        <v>456</v>
      </c>
      <c r="AU1" s="250" t="s">
        <v>510</v>
      </c>
      <c r="AV1" s="250" t="s">
        <v>558</v>
      </c>
      <c r="AW1" s="250" t="s">
        <v>559</v>
      </c>
      <c r="AX1" s="250" t="s">
        <v>560</v>
      </c>
      <c r="AY1" s="250" t="s">
        <v>561</v>
      </c>
      <c r="AZ1" s="250" t="s">
        <v>562</v>
      </c>
      <c r="BA1" s="248" t="s">
        <v>448</v>
      </c>
      <c r="BB1" s="250" t="s">
        <v>510</v>
      </c>
      <c r="BC1" s="250" t="s">
        <v>558</v>
      </c>
      <c r="BD1" s="250" t="s">
        <v>559</v>
      </c>
      <c r="BE1" s="250" t="s">
        <v>560</v>
      </c>
      <c r="BF1" s="250" t="s">
        <v>561</v>
      </c>
      <c r="BG1" s="250" t="s">
        <v>562</v>
      </c>
      <c r="BH1" s="248" t="s">
        <v>510</v>
      </c>
      <c r="BI1" s="250" t="s">
        <v>558</v>
      </c>
      <c r="BJ1" s="250" t="s">
        <v>559</v>
      </c>
      <c r="BK1" s="250" t="s">
        <v>560</v>
      </c>
      <c r="BL1" s="250" t="s">
        <v>561</v>
      </c>
      <c r="BM1" s="250" t="s">
        <v>562</v>
      </c>
      <c r="BN1" s="250"/>
      <c r="BO1" s="248" t="s">
        <v>457</v>
      </c>
      <c r="BP1" s="260" t="s">
        <v>558</v>
      </c>
      <c r="BQ1" s="260" t="s">
        <v>559</v>
      </c>
      <c r="BR1" s="260" t="s">
        <v>560</v>
      </c>
      <c r="BS1" s="257" t="s">
        <v>490</v>
      </c>
      <c r="BT1" s="262" t="s">
        <v>612</v>
      </c>
      <c r="BU1" s="262" t="s">
        <v>613</v>
      </c>
      <c r="BV1" s="262" t="s">
        <v>614</v>
      </c>
      <c r="BW1" s="262" t="s">
        <v>615</v>
      </c>
      <c r="BX1" s="262" t="s">
        <v>616</v>
      </c>
      <c r="BY1" s="262" t="s">
        <v>617</v>
      </c>
      <c r="BZ1" s="262" t="s">
        <v>618</v>
      </c>
      <c r="CA1" s="262" t="s">
        <v>619</v>
      </c>
      <c r="CB1" s="262" t="s">
        <v>620</v>
      </c>
      <c r="CC1" s="263" t="s">
        <v>491</v>
      </c>
      <c r="CD1" s="264" t="s">
        <v>625</v>
      </c>
      <c r="CE1" s="264" t="s">
        <v>626</v>
      </c>
      <c r="CF1" s="263" t="s">
        <v>496</v>
      </c>
      <c r="CG1" s="262" t="s">
        <v>6</v>
      </c>
      <c r="CH1" s="262" t="s">
        <v>627</v>
      </c>
      <c r="CI1" s="263" t="s">
        <v>498</v>
      </c>
      <c r="CJ1" s="243" t="s">
        <v>116</v>
      </c>
      <c r="CK1" s="243">
        <v>23894</v>
      </c>
      <c r="CL1" s="263" t="s">
        <v>501</v>
      </c>
      <c r="CM1" s="243" t="s">
        <v>116</v>
      </c>
      <c r="CN1" s="243">
        <v>14375</v>
      </c>
      <c r="CO1" s="263" t="s">
        <v>504</v>
      </c>
      <c r="CP1" s="243" t="s">
        <v>116</v>
      </c>
      <c r="CQ1" s="243">
        <v>867</v>
      </c>
      <c r="CR1" s="263" t="s">
        <v>507</v>
      </c>
      <c r="CS1" s="272" t="s">
        <v>631</v>
      </c>
      <c r="CT1" s="271" t="s">
        <v>632</v>
      </c>
      <c r="CU1" s="271" t="s">
        <v>633</v>
      </c>
      <c r="CV1" s="271" t="s">
        <v>634</v>
      </c>
      <c r="CW1" s="271" t="s">
        <v>635</v>
      </c>
      <c r="CX1" s="271" t="s">
        <v>636</v>
      </c>
      <c r="CY1" s="271" t="s">
        <v>637</v>
      </c>
      <c r="CZ1" s="271" t="s">
        <v>638</v>
      </c>
      <c r="DA1" s="271" t="s">
        <v>639</v>
      </c>
      <c r="DB1" s="271" t="s">
        <v>640</v>
      </c>
      <c r="DC1" s="271" t="s">
        <v>641</v>
      </c>
      <c r="DD1" s="271" t="s">
        <v>642</v>
      </c>
      <c r="DF1" s="345" t="s">
        <v>518</v>
      </c>
      <c r="DG1" s="336" t="s">
        <v>651</v>
      </c>
      <c r="DH1" s="336" t="s">
        <v>652</v>
      </c>
      <c r="DI1" s="345" t="s">
        <v>519</v>
      </c>
      <c r="DJ1" s="343" t="s">
        <v>651</v>
      </c>
      <c r="DK1" s="343" t="s">
        <v>652</v>
      </c>
      <c r="DL1" s="345" t="s">
        <v>520</v>
      </c>
      <c r="DM1" s="338" t="s">
        <v>651</v>
      </c>
      <c r="DN1" s="338" t="s">
        <v>652</v>
      </c>
    </row>
    <row r="2" spans="1:118" x14ac:dyDescent="0.25">
      <c r="B2" s="186">
        <v>7466351051</v>
      </c>
      <c r="C2" s="186">
        <v>452717422174.15997</v>
      </c>
      <c r="D2" s="186">
        <v>6856118</v>
      </c>
      <c r="E2" s="205"/>
      <c r="F2" s="207">
        <v>1256</v>
      </c>
      <c r="G2" s="207">
        <v>893493102</v>
      </c>
      <c r="H2" s="207">
        <v>25916021300.889984</v>
      </c>
      <c r="J2" s="152" t="str">
        <f>K2&amp;L2</f>
        <v>ABuy</v>
      </c>
      <c r="K2" s="230" t="s">
        <v>533</v>
      </c>
      <c r="L2" s="230" t="s">
        <v>534</v>
      </c>
      <c r="M2" s="234">
        <v>146381260286.40921</v>
      </c>
      <c r="O2" s="237">
        <v>70966744163.350006</v>
      </c>
      <c r="P2" s="237">
        <v>-92858119928.979996</v>
      </c>
      <c r="Q2" s="237">
        <v>-21891375765.630001</v>
      </c>
      <c r="S2" s="249"/>
      <c r="T2" s="254"/>
      <c r="U2" s="254"/>
      <c r="V2" s="254"/>
      <c r="W2" s="254"/>
      <c r="X2" s="254"/>
      <c r="Y2" s="241"/>
      <c r="Z2" s="249" t="s">
        <v>564</v>
      </c>
      <c r="AA2" s="249">
        <v>0</v>
      </c>
      <c r="AB2" s="249">
        <v>0</v>
      </c>
      <c r="AC2" s="249">
        <v>0</v>
      </c>
      <c r="AD2" s="249">
        <v>0</v>
      </c>
      <c r="AE2" s="249">
        <v>1</v>
      </c>
      <c r="AF2" s="249"/>
      <c r="AG2" s="249" t="s">
        <v>565</v>
      </c>
      <c r="AH2" s="249">
        <v>46200</v>
      </c>
      <c r="AI2" s="249">
        <v>7</v>
      </c>
      <c r="AJ2" s="249">
        <v>3</v>
      </c>
      <c r="AK2" s="249">
        <v>2029</v>
      </c>
      <c r="AL2" s="249">
        <v>0</v>
      </c>
      <c r="AM2" s="241"/>
      <c r="AN2" s="249" t="s">
        <v>565</v>
      </c>
      <c r="AO2" s="249">
        <v>3380822.5</v>
      </c>
      <c r="AP2" s="249">
        <v>666</v>
      </c>
      <c r="AQ2" s="249">
        <v>20</v>
      </c>
      <c r="AR2" s="249">
        <v>24052</v>
      </c>
      <c r="AS2" s="249">
        <v>0</v>
      </c>
      <c r="AT2" s="241"/>
      <c r="AU2" s="249" t="s">
        <v>565</v>
      </c>
      <c r="AV2" s="249">
        <v>73980</v>
      </c>
      <c r="AW2" s="249">
        <v>20</v>
      </c>
      <c r="AX2" s="249">
        <v>2</v>
      </c>
      <c r="AY2" s="249">
        <v>1283</v>
      </c>
      <c r="AZ2" s="249">
        <v>0</v>
      </c>
      <c r="BA2" s="241"/>
      <c r="BB2" s="249" t="s">
        <v>565</v>
      </c>
      <c r="BC2" s="249">
        <v>29133083.469999999</v>
      </c>
      <c r="BD2" s="249">
        <v>4466</v>
      </c>
      <c r="BE2" s="249">
        <v>153</v>
      </c>
      <c r="BF2" s="249">
        <v>81254</v>
      </c>
      <c r="BG2" s="249">
        <v>0</v>
      </c>
      <c r="BH2" s="243" t="s">
        <v>565</v>
      </c>
      <c r="BI2" s="249">
        <v>6614</v>
      </c>
      <c r="BJ2" s="249">
        <v>1</v>
      </c>
      <c r="BK2" s="249">
        <v>1</v>
      </c>
      <c r="BL2" s="249">
        <v>4524</v>
      </c>
      <c r="BM2" s="249">
        <v>0</v>
      </c>
      <c r="BN2" s="249"/>
      <c r="BO2" s="241"/>
      <c r="BP2" s="259">
        <v>1536885314560.0483</v>
      </c>
      <c r="BQ2" s="259">
        <v>29274864</v>
      </c>
      <c r="BR2" s="259">
        <v>1082861</v>
      </c>
      <c r="BS2" s="241"/>
      <c r="BT2" s="261" t="s">
        <v>137</v>
      </c>
      <c r="BU2" s="261">
        <v>42</v>
      </c>
      <c r="BV2" s="261">
        <v>0</v>
      </c>
      <c r="BW2" s="261">
        <v>0</v>
      </c>
      <c r="BX2" s="261">
        <v>1</v>
      </c>
      <c r="BY2" s="261">
        <v>0</v>
      </c>
      <c r="BZ2" s="261">
        <v>41</v>
      </c>
      <c r="CA2" s="261">
        <v>32</v>
      </c>
      <c r="CB2" s="261">
        <v>10</v>
      </c>
      <c r="CC2" s="241"/>
      <c r="CD2" s="265">
        <v>921</v>
      </c>
      <c r="CE2" s="265">
        <v>16036331460866.148</v>
      </c>
      <c r="CF2" s="241"/>
      <c r="CG2" s="261">
        <v>2019</v>
      </c>
      <c r="CH2" s="261">
        <v>21</v>
      </c>
      <c r="CI2" s="241"/>
      <c r="CJ2" s="243" t="s">
        <v>629</v>
      </c>
      <c r="CK2" s="243">
        <v>873776817617</v>
      </c>
      <c r="CL2" s="243"/>
      <c r="CM2" s="243" t="s">
        <v>629</v>
      </c>
      <c r="CN2" s="243">
        <v>2166197563402</v>
      </c>
      <c r="CO2" s="243"/>
      <c r="CP2" s="243" t="s">
        <v>629</v>
      </c>
      <c r="CQ2" s="243">
        <v>64620635844</v>
      </c>
      <c r="CR2" s="241"/>
      <c r="CS2" s="273">
        <v>2019</v>
      </c>
      <c r="CT2" s="271">
        <v>32</v>
      </c>
      <c r="CU2" s="271" t="s">
        <v>643</v>
      </c>
      <c r="CV2" s="271">
        <v>0</v>
      </c>
      <c r="CW2" s="271">
        <v>10530154097</v>
      </c>
      <c r="CX2" s="271">
        <v>3123</v>
      </c>
      <c r="CY2" s="271">
        <v>0</v>
      </c>
      <c r="CZ2" s="271">
        <v>140887181056</v>
      </c>
      <c r="DA2" s="271">
        <v>1645</v>
      </c>
      <c r="DB2" s="271">
        <v>0</v>
      </c>
      <c r="DC2" s="271">
        <v>130357026959</v>
      </c>
      <c r="DD2" s="271">
        <v>1478</v>
      </c>
      <c r="DG2" s="337" t="s">
        <v>653</v>
      </c>
      <c r="DH2" s="335">
        <v>1270876345.79</v>
      </c>
      <c r="DJ2" s="341" t="s">
        <v>657</v>
      </c>
      <c r="DK2" s="339">
        <v>1107196878.95</v>
      </c>
      <c r="DM2" s="340" t="s">
        <v>657</v>
      </c>
      <c r="DN2" s="342">
        <v>3443897724.8800001</v>
      </c>
    </row>
    <row r="3" spans="1:118" x14ac:dyDescent="0.25">
      <c r="B3" s="186"/>
      <c r="C3" s="186"/>
      <c r="D3" s="186"/>
      <c r="E3" s="205"/>
      <c r="F3" s="205"/>
      <c r="G3" s="205"/>
      <c r="H3" s="205"/>
      <c r="J3" s="152" t="str">
        <f t="shared" ref="J3:J5" si="0">K3&amp;L3</f>
        <v>PBuy</v>
      </c>
      <c r="K3" s="230" t="s">
        <v>535</v>
      </c>
      <c r="L3" s="230" t="s">
        <v>534</v>
      </c>
      <c r="M3" s="234">
        <v>306336161887.75079</v>
      </c>
      <c r="N3" s="136"/>
      <c r="O3" s="235"/>
      <c r="P3" s="235"/>
      <c r="Q3" s="235"/>
      <c r="S3" s="249"/>
      <c r="T3" s="254"/>
      <c r="U3" s="254"/>
      <c r="V3" s="254"/>
      <c r="W3" s="254"/>
      <c r="X3" s="254"/>
      <c r="Y3" s="241"/>
      <c r="Z3" s="249" t="s">
        <v>565</v>
      </c>
      <c r="AA3" s="249">
        <v>4095868.89</v>
      </c>
      <c r="AB3" s="249">
        <v>992</v>
      </c>
      <c r="AC3" s="249">
        <v>100</v>
      </c>
      <c r="AD3" s="249">
        <v>36770</v>
      </c>
      <c r="AE3" s="249">
        <v>0</v>
      </c>
      <c r="AF3" s="249"/>
      <c r="AG3" s="249" t="s">
        <v>566</v>
      </c>
      <c r="AH3" s="249">
        <v>0</v>
      </c>
      <c r="AI3" s="249">
        <v>0</v>
      </c>
      <c r="AJ3" s="249">
        <v>0</v>
      </c>
      <c r="AK3" s="249">
        <v>0</v>
      </c>
      <c r="AL3" s="249">
        <v>0</v>
      </c>
      <c r="AM3" s="241"/>
      <c r="AN3" s="249" t="s">
        <v>566</v>
      </c>
      <c r="AO3" s="249">
        <v>0</v>
      </c>
      <c r="AP3" s="249">
        <v>0</v>
      </c>
      <c r="AQ3" s="249">
        <v>0</v>
      </c>
      <c r="AR3" s="249">
        <v>0</v>
      </c>
      <c r="AS3" s="249">
        <v>0</v>
      </c>
      <c r="AT3" s="241"/>
      <c r="AU3" s="249" t="s">
        <v>566</v>
      </c>
      <c r="AV3" s="249">
        <v>0</v>
      </c>
      <c r="AW3" s="249">
        <v>0</v>
      </c>
      <c r="AX3" s="249">
        <v>0</v>
      </c>
      <c r="AY3" s="249">
        <v>0</v>
      </c>
      <c r="AZ3" s="249">
        <v>0</v>
      </c>
      <c r="BA3" s="241"/>
      <c r="BB3" s="249" t="s">
        <v>608</v>
      </c>
      <c r="BC3" s="249">
        <v>0</v>
      </c>
      <c r="BD3" s="249">
        <v>0</v>
      </c>
      <c r="BE3" s="249">
        <v>0</v>
      </c>
      <c r="BF3" s="249">
        <v>0</v>
      </c>
      <c r="BG3" s="249">
        <v>0</v>
      </c>
      <c r="BH3" s="243" t="s">
        <v>608</v>
      </c>
      <c r="BI3" s="249">
        <v>0</v>
      </c>
      <c r="BJ3" s="249">
        <v>0</v>
      </c>
      <c r="BK3" s="249">
        <v>0</v>
      </c>
      <c r="BL3" s="249">
        <v>0</v>
      </c>
      <c r="BM3" s="249">
        <v>0</v>
      </c>
      <c r="BN3" s="249"/>
      <c r="BO3" s="241"/>
      <c r="BP3" s="241"/>
      <c r="BQ3" s="241"/>
      <c r="BR3" s="241"/>
      <c r="BS3" s="241"/>
      <c r="BT3" s="261" t="s">
        <v>621</v>
      </c>
      <c r="BU3" s="261">
        <v>1</v>
      </c>
      <c r="BV3" s="261">
        <v>0</v>
      </c>
      <c r="BW3" s="261">
        <v>0</v>
      </c>
      <c r="BX3" s="261">
        <v>0</v>
      </c>
      <c r="BY3" s="261">
        <v>0</v>
      </c>
      <c r="BZ3" s="261">
        <v>1</v>
      </c>
      <c r="CA3" s="261">
        <v>1</v>
      </c>
      <c r="CB3" s="261">
        <v>0</v>
      </c>
      <c r="CC3" s="241"/>
      <c r="CD3" s="241"/>
      <c r="CE3" s="241"/>
      <c r="CF3" s="241"/>
      <c r="CG3" s="261">
        <v>2018</v>
      </c>
      <c r="CH3" s="261">
        <v>21</v>
      </c>
      <c r="CI3" s="241"/>
      <c r="CJ3" s="243" t="s">
        <v>630</v>
      </c>
      <c r="CK3" s="243">
        <v>872615355692.83789</v>
      </c>
      <c r="CL3" s="243"/>
      <c r="CM3" s="243" t="s">
        <v>630</v>
      </c>
      <c r="CN3" s="243">
        <v>2137166794882.9287</v>
      </c>
      <c r="CO3" s="243"/>
      <c r="CP3" s="243" t="s">
        <v>630</v>
      </c>
      <c r="CQ3" s="243">
        <v>24344275624.190002</v>
      </c>
      <c r="CR3" s="241"/>
      <c r="CS3" s="273">
        <v>2019</v>
      </c>
      <c r="CT3" s="271">
        <v>68</v>
      </c>
      <c r="CU3" s="271" t="s">
        <v>644</v>
      </c>
      <c r="CV3" s="271">
        <v>240592280943.48004</v>
      </c>
      <c r="CW3" s="271">
        <v>280626441000</v>
      </c>
      <c r="CX3" s="271">
        <v>3800</v>
      </c>
      <c r="CY3" s="271">
        <v>573859692687.72083</v>
      </c>
      <c r="CZ3" s="271">
        <v>602592495000</v>
      </c>
      <c r="DA3" s="271">
        <v>2955</v>
      </c>
      <c r="DB3" s="271">
        <v>333267411744.23981</v>
      </c>
      <c r="DC3" s="271">
        <v>321966054000</v>
      </c>
      <c r="DD3" s="271">
        <v>845</v>
      </c>
      <c r="DG3" s="337" t="s">
        <v>654</v>
      </c>
      <c r="DH3" s="335">
        <v>3488715845.4000001</v>
      </c>
      <c r="DJ3" s="341" t="s">
        <v>653</v>
      </c>
      <c r="DK3" s="339">
        <v>8518967698.04</v>
      </c>
      <c r="DM3" s="340" t="s">
        <v>653</v>
      </c>
      <c r="DN3" s="342">
        <v>12044974236.24</v>
      </c>
    </row>
    <row r="4" spans="1:118" x14ac:dyDescent="0.25">
      <c r="A4" s="148" t="s">
        <v>200</v>
      </c>
      <c r="B4" s="186" t="s">
        <v>528</v>
      </c>
      <c r="C4" s="186" t="s">
        <v>529</v>
      </c>
      <c r="D4" s="186" t="s">
        <v>530</v>
      </c>
      <c r="E4" s="205"/>
      <c r="F4" s="207" t="s">
        <v>530</v>
      </c>
      <c r="G4" s="207" t="s">
        <v>528</v>
      </c>
      <c r="H4" s="207" t="s">
        <v>529</v>
      </c>
      <c r="J4" s="152" t="str">
        <f t="shared" si="0"/>
        <v>ASell</v>
      </c>
      <c r="K4" s="230" t="s">
        <v>533</v>
      </c>
      <c r="L4" s="230" t="s">
        <v>536</v>
      </c>
      <c r="M4" s="234">
        <v>153134709852.70154</v>
      </c>
      <c r="N4" s="153" t="s">
        <v>213</v>
      </c>
      <c r="O4" s="238" t="s">
        <v>513</v>
      </c>
      <c r="P4" s="238" t="s">
        <v>514</v>
      </c>
      <c r="Q4" s="238" t="s">
        <v>515</v>
      </c>
      <c r="S4" s="249"/>
      <c r="T4" s="254"/>
      <c r="U4" s="254"/>
      <c r="V4" s="254"/>
      <c r="W4" s="254"/>
      <c r="X4" s="254"/>
      <c r="Y4" s="241"/>
      <c r="Z4" s="249" t="s">
        <v>565</v>
      </c>
      <c r="AA4" s="249">
        <v>6252720541.5749998</v>
      </c>
      <c r="AB4" s="249">
        <v>27095</v>
      </c>
      <c r="AC4" s="249">
        <v>6003</v>
      </c>
      <c r="AD4" s="249">
        <v>226749</v>
      </c>
      <c r="AE4" s="249">
        <v>1</v>
      </c>
      <c r="AF4" s="249"/>
      <c r="AG4" s="249" t="s">
        <v>567</v>
      </c>
      <c r="AH4" s="249">
        <v>0</v>
      </c>
      <c r="AI4" s="249">
        <v>0</v>
      </c>
      <c r="AJ4" s="249">
        <v>0</v>
      </c>
      <c r="AK4" s="249">
        <v>0</v>
      </c>
      <c r="AL4" s="249">
        <v>0</v>
      </c>
      <c r="AM4" s="241"/>
      <c r="AN4" s="249" t="s">
        <v>567</v>
      </c>
      <c r="AO4" s="249">
        <v>0</v>
      </c>
      <c r="AP4" s="249">
        <v>0</v>
      </c>
      <c r="AQ4" s="249">
        <v>0</v>
      </c>
      <c r="AR4" s="249">
        <v>0</v>
      </c>
      <c r="AS4" s="249">
        <v>0</v>
      </c>
      <c r="AT4" s="241"/>
      <c r="AU4" s="249" t="s">
        <v>567</v>
      </c>
      <c r="AV4" s="249">
        <v>0</v>
      </c>
      <c r="AW4" s="249">
        <v>0</v>
      </c>
      <c r="AX4" s="249">
        <v>0</v>
      </c>
      <c r="AY4" s="249">
        <v>0</v>
      </c>
      <c r="AZ4" s="249">
        <v>0</v>
      </c>
      <c r="BA4" s="241"/>
      <c r="BB4" s="249" t="s">
        <v>566</v>
      </c>
      <c r="BC4" s="249">
        <v>0</v>
      </c>
      <c r="BD4" s="249">
        <v>0</v>
      </c>
      <c r="BE4" s="249">
        <v>0</v>
      </c>
      <c r="BF4" s="249">
        <v>0</v>
      </c>
      <c r="BG4" s="249">
        <v>0</v>
      </c>
      <c r="BH4" s="243" t="s">
        <v>566</v>
      </c>
      <c r="BI4" s="249">
        <v>0</v>
      </c>
      <c r="BJ4" s="249">
        <v>0</v>
      </c>
      <c r="BK4" s="249">
        <v>0</v>
      </c>
      <c r="BL4" s="249">
        <v>0</v>
      </c>
      <c r="BM4" s="249">
        <v>0</v>
      </c>
      <c r="BN4" s="249"/>
      <c r="BO4" s="248" t="s">
        <v>458</v>
      </c>
      <c r="BP4" s="260" t="s">
        <v>558</v>
      </c>
      <c r="BQ4" s="260" t="s">
        <v>559</v>
      </c>
      <c r="BR4" s="260" t="s">
        <v>560</v>
      </c>
      <c r="BS4" s="241"/>
      <c r="BT4" s="261" t="s">
        <v>622</v>
      </c>
      <c r="BU4" s="261">
        <v>1</v>
      </c>
      <c r="BV4" s="261">
        <v>0</v>
      </c>
      <c r="BW4" s="261">
        <v>0</v>
      </c>
      <c r="BX4" s="261">
        <v>0</v>
      </c>
      <c r="BY4" s="261">
        <v>0</v>
      </c>
      <c r="BZ4" s="261">
        <v>1</v>
      </c>
      <c r="CA4" s="261">
        <v>1</v>
      </c>
      <c r="CB4" s="261">
        <v>0</v>
      </c>
      <c r="CC4" s="263" t="s">
        <v>492</v>
      </c>
      <c r="CD4" s="266" t="s">
        <v>625</v>
      </c>
      <c r="CE4" s="266" t="s">
        <v>626</v>
      </c>
      <c r="CF4" s="241"/>
      <c r="CG4" s="241"/>
      <c r="CH4" s="241"/>
      <c r="CI4" s="241"/>
      <c r="CJ4" s="241"/>
      <c r="CK4" s="241"/>
      <c r="CL4" s="243"/>
      <c r="CM4" s="243"/>
      <c r="CN4" s="243"/>
      <c r="CO4" s="243"/>
      <c r="CP4" s="243"/>
      <c r="CQ4" s="243"/>
      <c r="CR4" s="241"/>
      <c r="CS4" s="273">
        <v>2019</v>
      </c>
      <c r="CT4" s="271">
        <v>66</v>
      </c>
      <c r="CU4" s="271" t="s">
        <v>645</v>
      </c>
      <c r="CV4" s="271">
        <v>-222338264825.90982</v>
      </c>
      <c r="CW4" s="271">
        <v>-264466141000</v>
      </c>
      <c r="CX4" s="271">
        <v>3689</v>
      </c>
      <c r="CY4" s="271">
        <v>324814652473.44989</v>
      </c>
      <c r="CZ4" s="271">
        <v>313368554000</v>
      </c>
      <c r="DA4" s="271">
        <v>811</v>
      </c>
      <c r="DB4" s="271">
        <v>547152917299.36127</v>
      </c>
      <c r="DC4" s="271">
        <v>577834695000</v>
      </c>
      <c r="DD4" s="271">
        <v>2878</v>
      </c>
      <c r="DG4" s="337" t="s">
        <v>655</v>
      </c>
      <c r="DH4" s="335">
        <v>12425141.99</v>
      </c>
      <c r="DJ4" s="341" t="s">
        <v>654</v>
      </c>
      <c r="DK4" s="339">
        <v>13969704792.049999</v>
      </c>
      <c r="DM4" s="340" t="s">
        <v>654</v>
      </c>
      <c r="DN4" s="342">
        <v>4227805418.6700001</v>
      </c>
    </row>
    <row r="5" spans="1:118" x14ac:dyDescent="0.25">
      <c r="B5" s="186">
        <v>51002324582</v>
      </c>
      <c r="C5" s="186">
        <v>3280819751950.917</v>
      </c>
      <c r="D5" s="192">
        <v>48411098</v>
      </c>
      <c r="E5" s="205"/>
      <c r="F5" s="207">
        <v>9140</v>
      </c>
      <c r="G5" s="207">
        <v>4614364864</v>
      </c>
      <c r="H5" s="221">
        <v>160738902893.21228</v>
      </c>
      <c r="J5" s="152" t="str">
        <f t="shared" si="0"/>
        <v>PSell</v>
      </c>
      <c r="K5" s="230" t="s">
        <v>535</v>
      </c>
      <c r="L5" s="230" t="s">
        <v>536</v>
      </c>
      <c r="M5" s="234">
        <v>299582712321.45844</v>
      </c>
      <c r="N5" s="136"/>
      <c r="O5" s="237">
        <v>600583570242.26001</v>
      </c>
      <c r="P5" s="237">
        <v>-664105559052.68994</v>
      </c>
      <c r="Q5" s="237">
        <v>-63521988810.43</v>
      </c>
      <c r="S5" s="249"/>
      <c r="T5" s="254"/>
      <c r="U5" s="254"/>
      <c r="V5" s="254"/>
      <c r="W5" s="254"/>
      <c r="X5" s="254"/>
      <c r="Y5" s="241"/>
      <c r="Z5" s="249" t="s">
        <v>566</v>
      </c>
      <c r="AA5" s="249">
        <v>0</v>
      </c>
      <c r="AB5" s="249">
        <v>0</v>
      </c>
      <c r="AC5" s="249">
        <v>0</v>
      </c>
      <c r="AD5" s="249">
        <v>0</v>
      </c>
      <c r="AE5" s="249">
        <v>0</v>
      </c>
      <c r="AF5" s="249"/>
      <c r="AG5" s="249" t="s">
        <v>568</v>
      </c>
      <c r="AH5" s="249">
        <v>0</v>
      </c>
      <c r="AI5" s="249">
        <v>0</v>
      </c>
      <c r="AJ5" s="249">
        <v>0</v>
      </c>
      <c r="AK5" s="249">
        <v>0</v>
      </c>
      <c r="AL5" s="249">
        <v>0</v>
      </c>
      <c r="AM5" s="241"/>
      <c r="AN5" s="249" t="s">
        <v>568</v>
      </c>
      <c r="AO5" s="249">
        <v>0</v>
      </c>
      <c r="AP5" s="249">
        <v>0</v>
      </c>
      <c r="AQ5" s="249">
        <v>0</v>
      </c>
      <c r="AR5" s="249">
        <v>0</v>
      </c>
      <c r="AS5" s="249">
        <v>0</v>
      </c>
      <c r="AT5" s="241"/>
      <c r="AU5" s="249" t="s">
        <v>568</v>
      </c>
      <c r="AV5" s="249">
        <v>0</v>
      </c>
      <c r="AW5" s="249">
        <v>0</v>
      </c>
      <c r="AX5" s="249">
        <v>0</v>
      </c>
      <c r="AY5" s="249">
        <v>0</v>
      </c>
      <c r="AZ5" s="249">
        <v>0</v>
      </c>
      <c r="BA5" s="241"/>
      <c r="BB5" s="249" t="s">
        <v>567</v>
      </c>
      <c r="BC5" s="249">
        <v>0</v>
      </c>
      <c r="BD5" s="249">
        <v>0</v>
      </c>
      <c r="BE5" s="249">
        <v>0</v>
      </c>
      <c r="BF5" s="249">
        <v>0</v>
      </c>
      <c r="BG5" s="249">
        <v>0</v>
      </c>
      <c r="BH5" s="243" t="s">
        <v>567</v>
      </c>
      <c r="BI5" s="249">
        <v>0</v>
      </c>
      <c r="BJ5" s="249">
        <v>0</v>
      </c>
      <c r="BK5" s="249">
        <v>0</v>
      </c>
      <c r="BL5" s="249">
        <v>0</v>
      </c>
      <c r="BM5" s="249">
        <v>0</v>
      </c>
      <c r="BN5" s="249"/>
      <c r="BO5" s="241"/>
      <c r="BP5" s="259">
        <v>13195341236.530001</v>
      </c>
      <c r="BQ5" s="259">
        <v>4386527</v>
      </c>
      <c r="BR5" s="259">
        <v>4570</v>
      </c>
      <c r="BS5" s="241"/>
      <c r="BT5" s="261" t="s">
        <v>623</v>
      </c>
      <c r="BU5" s="261">
        <v>312</v>
      </c>
      <c r="BV5" s="261">
        <v>0</v>
      </c>
      <c r="BW5" s="261">
        <v>0</v>
      </c>
      <c r="BX5" s="261">
        <v>0</v>
      </c>
      <c r="BY5" s="261">
        <v>1</v>
      </c>
      <c r="BZ5" s="261">
        <v>313</v>
      </c>
      <c r="CA5" s="261">
        <v>252</v>
      </c>
      <c r="CB5" s="261">
        <v>60</v>
      </c>
      <c r="CC5" s="241"/>
      <c r="CD5" s="267">
        <v>794</v>
      </c>
      <c r="CE5" s="267">
        <v>14936273247676.42</v>
      </c>
      <c r="CF5" s="263" t="s">
        <v>497</v>
      </c>
      <c r="CG5" s="262" t="s">
        <v>6</v>
      </c>
      <c r="CH5" s="262" t="s">
        <v>627</v>
      </c>
      <c r="CI5" s="241"/>
      <c r="CJ5" s="241"/>
      <c r="CK5" s="243"/>
      <c r="CL5" s="243"/>
      <c r="CM5" s="243"/>
      <c r="CN5" s="243"/>
      <c r="CO5" s="243"/>
      <c r="CP5" s="243"/>
      <c r="CQ5" s="243"/>
      <c r="CR5" s="241"/>
      <c r="CS5" s="273">
        <v>2019</v>
      </c>
      <c r="CT5" s="271">
        <v>397</v>
      </c>
      <c r="CU5" s="271" t="s">
        <v>646</v>
      </c>
      <c r="CV5" s="271">
        <v>-45395802499.610039</v>
      </c>
      <c r="CW5" s="271">
        <v>-43567687987</v>
      </c>
      <c r="CX5" s="271">
        <v>7914</v>
      </c>
      <c r="CY5" s="271">
        <v>91794962278.560104</v>
      </c>
      <c r="CZ5" s="271">
        <v>90426497920</v>
      </c>
      <c r="DA5" s="271">
        <v>3800</v>
      </c>
      <c r="DB5" s="271">
        <v>137190764778.17012</v>
      </c>
      <c r="DC5" s="271">
        <v>133994185907</v>
      </c>
      <c r="DD5" s="271">
        <v>4114</v>
      </c>
      <c r="DG5" s="337" t="s">
        <v>656</v>
      </c>
      <c r="DH5" s="335">
        <v>179963333.97</v>
      </c>
      <c r="DJ5" s="341" t="s">
        <v>655</v>
      </c>
      <c r="DK5" s="339">
        <v>183865031.02000001</v>
      </c>
      <c r="DM5" s="340" t="s">
        <v>655</v>
      </c>
      <c r="DN5" s="342">
        <v>544431145.91999996</v>
      </c>
    </row>
    <row r="6" spans="1:118" x14ac:dyDescent="0.25">
      <c r="B6" s="186"/>
      <c r="C6" s="186"/>
      <c r="D6" s="186"/>
      <c r="E6" s="205"/>
      <c r="F6" s="205"/>
      <c r="G6" s="205"/>
      <c r="H6" s="205"/>
      <c r="J6" s="152"/>
      <c r="K6" s="227"/>
      <c r="L6" s="225"/>
      <c r="M6" s="224"/>
      <c r="O6" s="235"/>
      <c r="P6" s="235"/>
      <c r="Q6" s="235"/>
      <c r="S6" s="249"/>
      <c r="T6" s="254"/>
      <c r="U6" s="254"/>
      <c r="V6" s="254"/>
      <c r="W6" s="254"/>
      <c r="X6" s="254"/>
      <c r="Y6" s="241"/>
      <c r="Z6" s="249" t="s">
        <v>566</v>
      </c>
      <c r="AA6" s="249">
        <v>56703213.219999999</v>
      </c>
      <c r="AB6" s="249">
        <v>629</v>
      </c>
      <c r="AC6" s="249">
        <v>36</v>
      </c>
      <c r="AD6" s="249">
        <v>37966</v>
      </c>
      <c r="AE6" s="249">
        <v>1</v>
      </c>
      <c r="AF6" s="249"/>
      <c r="AG6" s="249" t="s">
        <v>569</v>
      </c>
      <c r="AH6" s="249">
        <v>0</v>
      </c>
      <c r="AI6" s="249">
        <v>0</v>
      </c>
      <c r="AJ6" s="249">
        <v>0</v>
      </c>
      <c r="AK6" s="249">
        <v>0</v>
      </c>
      <c r="AL6" s="249">
        <v>0</v>
      </c>
      <c r="AM6" s="241"/>
      <c r="AN6" s="249" t="s">
        <v>569</v>
      </c>
      <c r="AO6" s="249">
        <v>0</v>
      </c>
      <c r="AP6" s="249">
        <v>0</v>
      </c>
      <c r="AQ6" s="249">
        <v>0</v>
      </c>
      <c r="AR6" s="249">
        <v>0</v>
      </c>
      <c r="AS6" s="249">
        <v>0</v>
      </c>
      <c r="AT6" s="241"/>
      <c r="AU6" s="249" t="s">
        <v>569</v>
      </c>
      <c r="AV6" s="249">
        <v>0</v>
      </c>
      <c r="AW6" s="249">
        <v>0</v>
      </c>
      <c r="AX6" s="249">
        <v>0</v>
      </c>
      <c r="AY6" s="249">
        <v>0</v>
      </c>
      <c r="AZ6" s="249">
        <v>0</v>
      </c>
      <c r="BA6" s="241"/>
      <c r="BB6" s="249" t="s">
        <v>568</v>
      </c>
      <c r="BC6" s="249">
        <v>0</v>
      </c>
      <c r="BD6" s="249">
        <v>0</v>
      </c>
      <c r="BE6" s="249">
        <v>0</v>
      </c>
      <c r="BF6" s="249">
        <v>0</v>
      </c>
      <c r="BG6" s="249">
        <v>0</v>
      </c>
      <c r="BH6" s="243" t="s">
        <v>568</v>
      </c>
      <c r="BI6" s="249">
        <v>0</v>
      </c>
      <c r="BJ6" s="249">
        <v>0</v>
      </c>
      <c r="BK6" s="249">
        <v>0</v>
      </c>
      <c r="BL6" s="249">
        <v>0</v>
      </c>
      <c r="BM6" s="249">
        <v>0</v>
      </c>
      <c r="BN6" s="249"/>
      <c r="BO6" s="243"/>
      <c r="BP6" s="259"/>
      <c r="BQ6" s="259"/>
      <c r="BR6" s="259"/>
      <c r="BS6" s="241"/>
      <c r="BT6" s="261" t="s">
        <v>624</v>
      </c>
      <c r="BU6" s="261">
        <v>1</v>
      </c>
      <c r="BV6" s="261">
        <v>0</v>
      </c>
      <c r="BW6" s="261">
        <v>0</v>
      </c>
      <c r="BX6" s="261">
        <v>0</v>
      </c>
      <c r="BY6" s="261">
        <v>0</v>
      </c>
      <c r="BZ6" s="261">
        <v>1</v>
      </c>
      <c r="CA6" s="261">
        <v>1</v>
      </c>
      <c r="CB6" s="261">
        <v>0</v>
      </c>
      <c r="CC6" s="241"/>
      <c r="CD6" s="241"/>
      <c r="CE6" s="241"/>
      <c r="CF6" s="241"/>
      <c r="CG6" s="261">
        <v>2019</v>
      </c>
      <c r="CH6" s="261">
        <v>166</v>
      </c>
      <c r="CI6" s="263" t="s">
        <v>499</v>
      </c>
      <c r="CJ6" s="243" t="s">
        <v>116</v>
      </c>
      <c r="CK6" s="243">
        <v>197942</v>
      </c>
      <c r="CL6" s="263" t="s">
        <v>502</v>
      </c>
      <c r="CM6" s="243" t="s">
        <v>116</v>
      </c>
      <c r="CN6" s="243">
        <v>121845</v>
      </c>
      <c r="CO6" s="263" t="s">
        <v>505</v>
      </c>
      <c r="CP6" s="243" t="s">
        <v>116</v>
      </c>
      <c r="CQ6" s="243">
        <v>6323</v>
      </c>
      <c r="CR6" s="241"/>
      <c r="CS6" s="273">
        <v>2019</v>
      </c>
      <c r="CT6" s="271">
        <v>150</v>
      </c>
      <c r="CU6" s="271" t="s">
        <v>647</v>
      </c>
      <c r="CV6" s="271">
        <v>39517965011.749893</v>
      </c>
      <c r="CW6" s="271">
        <v>39195649727</v>
      </c>
      <c r="CX6" s="271">
        <v>20280</v>
      </c>
      <c r="CY6" s="271">
        <v>803580114784.0824</v>
      </c>
      <c r="CZ6" s="271">
        <v>794322549541</v>
      </c>
      <c r="DA6" s="271">
        <v>10489</v>
      </c>
      <c r="DB6" s="271">
        <v>764062149772.33105</v>
      </c>
      <c r="DC6" s="271">
        <v>755126899814</v>
      </c>
      <c r="DD6" s="271">
        <v>9791</v>
      </c>
      <c r="DG6" s="337"/>
      <c r="DH6" s="335"/>
      <c r="DJ6" s="341" t="s">
        <v>656</v>
      </c>
      <c r="DK6" s="339">
        <v>3472193318.8699999</v>
      </c>
      <c r="DM6" s="340" t="s">
        <v>656</v>
      </c>
      <c r="DN6" s="342">
        <v>3822206524.3600001</v>
      </c>
    </row>
    <row r="7" spans="1:118" x14ac:dyDescent="0.25">
      <c r="A7" s="148" t="s">
        <v>201</v>
      </c>
      <c r="B7" s="186" t="s">
        <v>528</v>
      </c>
      <c r="C7" s="186" t="s">
        <v>529</v>
      </c>
      <c r="D7" s="186" t="s">
        <v>530</v>
      </c>
      <c r="E7" s="205"/>
      <c r="F7" s="207" t="s">
        <v>530</v>
      </c>
      <c r="G7" s="207" t="s">
        <v>528</v>
      </c>
      <c r="H7" s="207" t="s">
        <v>529</v>
      </c>
      <c r="I7" s="153" t="s">
        <v>208</v>
      </c>
      <c r="J7" s="148" t="s">
        <v>209</v>
      </c>
      <c r="K7" s="231" t="s">
        <v>531</v>
      </c>
      <c r="L7" s="231" t="s">
        <v>532</v>
      </c>
      <c r="M7" s="233" t="s">
        <v>529</v>
      </c>
      <c r="N7" s="153" t="s">
        <v>214</v>
      </c>
      <c r="O7" s="238" t="s">
        <v>513</v>
      </c>
      <c r="P7" s="238" t="s">
        <v>514</v>
      </c>
      <c r="Q7" s="238" t="s">
        <v>515</v>
      </c>
      <c r="S7" s="249"/>
      <c r="T7" s="254"/>
      <c r="U7" s="254"/>
      <c r="V7" s="254"/>
      <c r="W7" s="254"/>
      <c r="X7" s="254"/>
      <c r="Y7" s="241"/>
      <c r="Z7" s="249" t="s">
        <v>567</v>
      </c>
      <c r="AA7" s="249">
        <v>0</v>
      </c>
      <c r="AB7" s="249">
        <v>0</v>
      </c>
      <c r="AC7" s="249">
        <v>0</v>
      </c>
      <c r="AD7" s="249">
        <v>0</v>
      </c>
      <c r="AE7" s="249">
        <v>0</v>
      </c>
      <c r="AF7" s="249"/>
      <c r="AG7" s="249" t="s">
        <v>570</v>
      </c>
      <c r="AH7" s="249">
        <v>0</v>
      </c>
      <c r="AI7" s="249">
        <v>0</v>
      </c>
      <c r="AJ7" s="249">
        <v>0</v>
      </c>
      <c r="AK7" s="249">
        <v>0</v>
      </c>
      <c r="AL7" s="249">
        <v>0</v>
      </c>
      <c r="AM7" s="241"/>
      <c r="AN7" s="249" t="s">
        <v>570</v>
      </c>
      <c r="AO7" s="249">
        <v>0</v>
      </c>
      <c r="AP7" s="249">
        <v>0</v>
      </c>
      <c r="AQ7" s="249">
        <v>0</v>
      </c>
      <c r="AR7" s="249">
        <v>0</v>
      </c>
      <c r="AS7" s="249">
        <v>0</v>
      </c>
      <c r="AT7" s="241"/>
      <c r="AU7" s="249" t="s">
        <v>570</v>
      </c>
      <c r="AV7" s="249">
        <v>0</v>
      </c>
      <c r="AW7" s="249">
        <v>0</v>
      </c>
      <c r="AX7" s="249">
        <v>0</v>
      </c>
      <c r="AY7" s="249">
        <v>0</v>
      </c>
      <c r="AZ7" s="249">
        <v>0</v>
      </c>
      <c r="BA7" s="241"/>
      <c r="BB7" s="249" t="s">
        <v>569</v>
      </c>
      <c r="BC7" s="249">
        <v>0</v>
      </c>
      <c r="BD7" s="249">
        <v>0</v>
      </c>
      <c r="BE7" s="249">
        <v>0</v>
      </c>
      <c r="BF7" s="249">
        <v>0</v>
      </c>
      <c r="BG7" s="249">
        <v>0</v>
      </c>
      <c r="BH7" s="243" t="s">
        <v>569</v>
      </c>
      <c r="BI7" s="249">
        <v>0</v>
      </c>
      <c r="BJ7" s="249">
        <v>0</v>
      </c>
      <c r="BK7" s="249">
        <v>0</v>
      </c>
      <c r="BL7" s="249">
        <v>0</v>
      </c>
      <c r="BM7" s="249">
        <v>0</v>
      </c>
      <c r="BN7" s="249"/>
      <c r="BO7" s="248" t="s">
        <v>460</v>
      </c>
      <c r="BP7" s="260" t="s">
        <v>558</v>
      </c>
      <c r="BQ7" s="260" t="s">
        <v>559</v>
      </c>
      <c r="BR7" s="260" t="s">
        <v>560</v>
      </c>
      <c r="BS7" s="243"/>
      <c r="BT7" s="261"/>
      <c r="BU7" s="261"/>
      <c r="BV7" s="261"/>
      <c r="BW7" s="261"/>
      <c r="BX7" s="261"/>
      <c r="BY7" s="261"/>
      <c r="BZ7" s="261"/>
      <c r="CA7" s="261"/>
      <c r="CB7" s="261"/>
      <c r="CC7" s="241"/>
      <c r="CD7" s="241"/>
      <c r="CE7" s="241"/>
      <c r="CF7" s="241"/>
      <c r="CG7" s="261">
        <v>2018</v>
      </c>
      <c r="CH7" s="261">
        <v>168</v>
      </c>
      <c r="CI7" s="241"/>
      <c r="CJ7" s="243" t="s">
        <v>629</v>
      </c>
      <c r="CK7" s="243">
        <v>6931484413178</v>
      </c>
      <c r="CL7" s="243"/>
      <c r="CM7" s="243" t="s">
        <v>629</v>
      </c>
      <c r="CN7" s="243">
        <v>17802651084453</v>
      </c>
      <c r="CO7" s="243"/>
      <c r="CP7" s="243" t="s">
        <v>629</v>
      </c>
      <c r="CQ7" s="243">
        <v>473972315427</v>
      </c>
      <c r="CR7" s="241"/>
      <c r="CS7" s="273">
        <v>2019</v>
      </c>
      <c r="CT7" s="271">
        <v>24</v>
      </c>
      <c r="CU7" s="271" t="s">
        <v>648</v>
      </c>
      <c r="CV7" s="271">
        <v>-20313100518.829998</v>
      </c>
      <c r="CW7" s="271">
        <v>-18136578570</v>
      </c>
      <c r="CX7" s="271">
        <v>215</v>
      </c>
      <c r="CY7" s="271">
        <v>7727833358.9300013</v>
      </c>
      <c r="CZ7" s="271">
        <v>8125788278</v>
      </c>
      <c r="DA7" s="271">
        <v>55</v>
      </c>
      <c r="DB7" s="271">
        <v>28040933877.759991</v>
      </c>
      <c r="DC7" s="271">
        <v>26262366848</v>
      </c>
      <c r="DD7" s="271">
        <v>160</v>
      </c>
      <c r="DJ7" s="10" t="s">
        <v>658</v>
      </c>
      <c r="DK7" s="365">
        <v>1161109268</v>
      </c>
      <c r="DM7" s="10" t="s">
        <v>658</v>
      </c>
      <c r="DN7" s="365">
        <v>4162384546.6599998</v>
      </c>
    </row>
    <row r="8" spans="1:118" x14ac:dyDescent="0.25">
      <c r="B8" s="186">
        <v>57955591972</v>
      </c>
      <c r="C8" s="186">
        <v>3763010994824.5713</v>
      </c>
      <c r="D8" s="192">
        <v>44285230</v>
      </c>
      <c r="E8" s="205"/>
      <c r="F8" s="207">
        <v>17244</v>
      </c>
      <c r="G8" s="207">
        <v>5809285182</v>
      </c>
      <c r="H8" s="221">
        <v>252376836910.47641</v>
      </c>
      <c r="J8" s="152" t="str">
        <f>K8&amp;L8</f>
        <v>ABuy</v>
      </c>
      <c r="K8" s="230" t="s">
        <v>533</v>
      </c>
      <c r="L8" s="230" t="s">
        <v>534</v>
      </c>
      <c r="M8" s="234">
        <v>130352364274.32376</v>
      </c>
      <c r="O8" s="240">
        <v>767924386686.44995</v>
      </c>
      <c r="P8" s="240">
        <v>-767492552096.81006</v>
      </c>
      <c r="Q8" s="237">
        <v>431834589.63999999</v>
      </c>
      <c r="S8" s="249"/>
      <c r="T8" s="254"/>
      <c r="U8" s="254"/>
      <c r="V8" s="254"/>
      <c r="W8" s="254"/>
      <c r="X8" s="254"/>
      <c r="Y8" s="241"/>
      <c r="Z8" s="249" t="s">
        <v>567</v>
      </c>
      <c r="AA8" s="249">
        <v>820520</v>
      </c>
      <c r="AB8" s="249">
        <v>14</v>
      </c>
      <c r="AC8" s="249">
        <v>7</v>
      </c>
      <c r="AD8" s="249">
        <v>485</v>
      </c>
      <c r="AE8" s="249">
        <v>1</v>
      </c>
      <c r="AF8" s="249"/>
      <c r="AG8" s="249" t="s">
        <v>571</v>
      </c>
      <c r="AH8" s="249">
        <v>0</v>
      </c>
      <c r="AI8" s="249">
        <v>0</v>
      </c>
      <c r="AJ8" s="249">
        <v>0</v>
      </c>
      <c r="AK8" s="249">
        <v>0</v>
      </c>
      <c r="AL8" s="249">
        <v>0</v>
      </c>
      <c r="AM8" s="241"/>
      <c r="AN8" s="249" t="s">
        <v>571</v>
      </c>
      <c r="AO8" s="249">
        <v>0</v>
      </c>
      <c r="AP8" s="249">
        <v>0</v>
      </c>
      <c r="AQ8" s="249">
        <v>0</v>
      </c>
      <c r="AR8" s="249">
        <v>0</v>
      </c>
      <c r="AS8" s="249">
        <v>0</v>
      </c>
      <c r="AT8" s="241"/>
      <c r="AU8" s="249" t="s">
        <v>571</v>
      </c>
      <c r="AV8" s="249">
        <v>0</v>
      </c>
      <c r="AW8" s="249">
        <v>0</v>
      </c>
      <c r="AX8" s="249">
        <v>0</v>
      </c>
      <c r="AY8" s="249">
        <v>0</v>
      </c>
      <c r="AZ8" s="249">
        <v>0</v>
      </c>
      <c r="BA8" s="241"/>
      <c r="BB8" s="249" t="s">
        <v>570</v>
      </c>
      <c r="BC8" s="249">
        <v>0</v>
      </c>
      <c r="BD8" s="249">
        <v>0</v>
      </c>
      <c r="BE8" s="249">
        <v>0</v>
      </c>
      <c r="BF8" s="249">
        <v>0</v>
      </c>
      <c r="BG8" s="249">
        <v>0</v>
      </c>
      <c r="BH8" s="243" t="s">
        <v>570</v>
      </c>
      <c r="BI8" s="249">
        <v>0</v>
      </c>
      <c r="BJ8" s="249">
        <v>0</v>
      </c>
      <c r="BK8" s="249">
        <v>0</v>
      </c>
      <c r="BL8" s="249">
        <v>0</v>
      </c>
      <c r="BM8" s="249">
        <v>0</v>
      </c>
      <c r="BN8" s="249"/>
      <c r="BO8" s="243"/>
      <c r="BP8" s="259">
        <v>3710947710243.9736</v>
      </c>
      <c r="BQ8" s="259">
        <v>68436545</v>
      </c>
      <c r="BR8" s="259">
        <v>2202793</v>
      </c>
      <c r="BS8" s="241"/>
      <c r="BT8" s="251"/>
      <c r="BU8" s="251"/>
      <c r="BV8" s="251"/>
      <c r="BW8" s="251"/>
      <c r="BX8" s="251"/>
      <c r="BY8" s="251"/>
      <c r="BZ8" s="251"/>
      <c r="CA8" s="251"/>
      <c r="CB8" s="251"/>
      <c r="CC8" s="263" t="s">
        <v>493</v>
      </c>
      <c r="CD8" s="262" t="s">
        <v>626</v>
      </c>
      <c r="CE8" s="262" t="s">
        <v>628</v>
      </c>
      <c r="CF8" s="241"/>
      <c r="CG8" s="241"/>
      <c r="CH8" s="241"/>
      <c r="CI8" s="241"/>
      <c r="CJ8" s="243" t="s">
        <v>630</v>
      </c>
      <c r="CK8" s="243">
        <v>6977808970047.1836</v>
      </c>
      <c r="CL8" s="243"/>
      <c r="CM8" s="243" t="s">
        <v>630</v>
      </c>
      <c r="CN8" s="243">
        <v>17510529005653.186</v>
      </c>
      <c r="CO8" s="243"/>
      <c r="CP8" s="243" t="s">
        <v>630</v>
      </c>
      <c r="CQ8" s="243">
        <v>163527548468.46002</v>
      </c>
      <c r="CR8" s="241"/>
      <c r="CS8" s="273"/>
      <c r="CT8" s="271"/>
      <c r="CU8" s="271"/>
      <c r="CV8" s="271"/>
      <c r="CW8" s="271"/>
      <c r="CX8" s="271"/>
      <c r="CY8" s="271"/>
      <c r="CZ8" s="271"/>
      <c r="DA8" s="271"/>
      <c r="DB8" s="271"/>
      <c r="DC8" s="271"/>
      <c r="DD8" s="271"/>
    </row>
    <row r="9" spans="1:118" x14ac:dyDescent="0.25">
      <c r="B9" s="185"/>
      <c r="C9" s="185"/>
      <c r="D9" s="185"/>
      <c r="E9" s="205"/>
      <c r="F9" s="205"/>
      <c r="G9" s="205"/>
      <c r="H9" s="205"/>
      <c r="J9" s="152" t="str">
        <f t="shared" ref="J9:J11" si="1">K9&amp;L9</f>
        <v>PBuy</v>
      </c>
      <c r="K9" s="230" t="s">
        <v>535</v>
      </c>
      <c r="L9" s="230" t="s">
        <v>534</v>
      </c>
      <c r="M9" s="234">
        <v>263786512005.76276</v>
      </c>
      <c r="N9" s="19"/>
      <c r="O9" s="235"/>
      <c r="P9" s="235"/>
      <c r="Q9" s="235"/>
      <c r="S9" s="249"/>
      <c r="T9" s="254"/>
      <c r="U9" s="254"/>
      <c r="V9" s="254"/>
      <c r="W9" s="254"/>
      <c r="X9" s="254"/>
      <c r="Y9" s="241"/>
      <c r="Z9" s="249" t="s">
        <v>568</v>
      </c>
      <c r="AA9" s="249">
        <v>0</v>
      </c>
      <c r="AB9" s="249">
        <v>0</v>
      </c>
      <c r="AC9" s="249">
        <v>0</v>
      </c>
      <c r="AD9" s="249">
        <v>0</v>
      </c>
      <c r="AE9" s="249">
        <v>0</v>
      </c>
      <c r="AF9" s="249"/>
      <c r="AG9" s="249" t="s">
        <v>572</v>
      </c>
      <c r="AH9" s="249">
        <v>0</v>
      </c>
      <c r="AI9" s="249">
        <v>0</v>
      </c>
      <c r="AJ9" s="249">
        <v>0</v>
      </c>
      <c r="AK9" s="249">
        <v>389</v>
      </c>
      <c r="AL9" s="249">
        <v>0</v>
      </c>
      <c r="AM9" s="241"/>
      <c r="AN9" s="249" t="s">
        <v>572</v>
      </c>
      <c r="AO9" s="249">
        <v>2431099.92</v>
      </c>
      <c r="AP9" s="249">
        <v>320</v>
      </c>
      <c r="AQ9" s="249">
        <v>23</v>
      </c>
      <c r="AR9" s="249">
        <v>3715</v>
      </c>
      <c r="AS9" s="249">
        <v>0</v>
      </c>
      <c r="AT9" s="241"/>
      <c r="AU9" s="249" t="s">
        <v>572</v>
      </c>
      <c r="AV9" s="249">
        <v>0</v>
      </c>
      <c r="AW9" s="249">
        <v>0</v>
      </c>
      <c r="AX9" s="249">
        <v>0</v>
      </c>
      <c r="AY9" s="249">
        <v>221</v>
      </c>
      <c r="AZ9" s="249">
        <v>0</v>
      </c>
      <c r="BA9" s="241"/>
      <c r="BB9" s="249" t="s">
        <v>571</v>
      </c>
      <c r="BC9" s="249">
        <v>0</v>
      </c>
      <c r="BD9" s="249">
        <v>0</v>
      </c>
      <c r="BE9" s="249">
        <v>0</v>
      </c>
      <c r="BF9" s="249">
        <v>0</v>
      </c>
      <c r="BG9" s="249">
        <v>0</v>
      </c>
      <c r="BH9" s="243" t="s">
        <v>571</v>
      </c>
      <c r="BI9" s="249">
        <v>0</v>
      </c>
      <c r="BJ9" s="249">
        <v>0</v>
      </c>
      <c r="BK9" s="249">
        <v>0</v>
      </c>
      <c r="BL9" s="249">
        <v>0</v>
      </c>
      <c r="BM9" s="249">
        <v>0</v>
      </c>
      <c r="BN9" s="249"/>
      <c r="BO9" s="243"/>
      <c r="BP9" s="243"/>
      <c r="BQ9" s="243"/>
      <c r="BR9" s="243"/>
      <c r="BS9" s="252" t="s">
        <v>488</v>
      </c>
      <c r="BT9" s="262" t="s">
        <v>612</v>
      </c>
      <c r="BU9" s="262" t="s">
        <v>613</v>
      </c>
      <c r="BV9" s="262" t="s">
        <v>614</v>
      </c>
      <c r="BW9" s="262" t="s">
        <v>615</v>
      </c>
      <c r="BX9" s="262" t="s">
        <v>616</v>
      </c>
      <c r="BY9" s="262" t="s">
        <v>617</v>
      </c>
      <c r="BZ9" s="262" t="s">
        <v>618</v>
      </c>
      <c r="CA9" s="262" t="s">
        <v>619</v>
      </c>
      <c r="CB9" s="262" t="s">
        <v>620</v>
      </c>
      <c r="CC9" s="241"/>
      <c r="CD9" s="265">
        <v>283476986251802.25</v>
      </c>
      <c r="CE9" s="268">
        <v>445444298291.06909</v>
      </c>
      <c r="CF9" s="241"/>
      <c r="CG9" s="241"/>
      <c r="CH9" s="241"/>
      <c r="CI9" s="241"/>
      <c r="CJ9" s="241"/>
      <c r="CK9" s="241"/>
      <c r="CL9" s="243"/>
      <c r="CM9" s="243"/>
      <c r="CN9" s="243"/>
      <c r="CO9" s="243"/>
      <c r="CP9" s="243"/>
      <c r="CQ9" s="243"/>
      <c r="CR9" s="241"/>
      <c r="CS9" s="241"/>
      <c r="CT9" s="241"/>
      <c r="CU9" s="241"/>
      <c r="CV9" s="241"/>
      <c r="CW9" s="241"/>
      <c r="CX9" s="241"/>
      <c r="CY9" s="241"/>
      <c r="CZ9" s="241"/>
      <c r="DA9" s="241"/>
      <c r="DB9" s="241"/>
      <c r="DC9" s="241"/>
      <c r="DD9" s="241"/>
    </row>
    <row r="10" spans="1:118" x14ac:dyDescent="0.25">
      <c r="A10" s="148" t="s">
        <v>202</v>
      </c>
      <c r="B10" s="187"/>
      <c r="C10" s="187"/>
      <c r="D10" s="187"/>
      <c r="E10" s="217"/>
      <c r="F10" s="217"/>
      <c r="G10" s="217"/>
      <c r="H10" s="217"/>
      <c r="J10" s="152" t="str">
        <f t="shared" si="1"/>
        <v>ASell</v>
      </c>
      <c r="K10" s="230" t="s">
        <v>533</v>
      </c>
      <c r="L10" s="230" t="s">
        <v>536</v>
      </c>
      <c r="M10" s="234">
        <v>135281105703.08864</v>
      </c>
      <c r="N10" s="161" t="s">
        <v>202</v>
      </c>
      <c r="O10" s="239" t="s">
        <v>513</v>
      </c>
      <c r="P10" s="239" t="s">
        <v>514</v>
      </c>
      <c r="Q10" s="239" t="s">
        <v>515</v>
      </c>
      <c r="S10" s="249"/>
      <c r="T10" s="254"/>
      <c r="U10" s="254"/>
      <c r="V10" s="254"/>
      <c r="W10" s="254"/>
      <c r="X10" s="254"/>
      <c r="Y10" s="241"/>
      <c r="Z10" s="249" t="s">
        <v>568</v>
      </c>
      <c r="AA10" s="249">
        <v>0</v>
      </c>
      <c r="AB10" s="249">
        <v>0</v>
      </c>
      <c r="AC10" s="249">
        <v>0</v>
      </c>
      <c r="AD10" s="249">
        <v>0</v>
      </c>
      <c r="AE10" s="249">
        <v>1</v>
      </c>
      <c r="AF10" s="249"/>
      <c r="AG10" s="249" t="s">
        <v>573</v>
      </c>
      <c r="AH10" s="249">
        <v>0</v>
      </c>
      <c r="AI10" s="249">
        <v>0</v>
      </c>
      <c r="AJ10" s="249">
        <v>0</v>
      </c>
      <c r="AK10" s="249">
        <v>0</v>
      </c>
      <c r="AL10" s="249">
        <v>0</v>
      </c>
      <c r="AM10" s="241"/>
      <c r="AN10" s="249" t="s">
        <v>573</v>
      </c>
      <c r="AO10" s="249">
        <v>0</v>
      </c>
      <c r="AP10" s="249">
        <v>0</v>
      </c>
      <c r="AQ10" s="249">
        <v>0</v>
      </c>
      <c r="AR10" s="249">
        <v>0</v>
      </c>
      <c r="AS10" s="249">
        <v>0</v>
      </c>
      <c r="AT10" s="241"/>
      <c r="AU10" s="249" t="s">
        <v>573</v>
      </c>
      <c r="AV10" s="249">
        <v>0</v>
      </c>
      <c r="AW10" s="249">
        <v>0</v>
      </c>
      <c r="AX10" s="249">
        <v>0</v>
      </c>
      <c r="AY10" s="249">
        <v>0</v>
      </c>
      <c r="AZ10" s="249">
        <v>0</v>
      </c>
      <c r="BA10" s="241"/>
      <c r="BB10" s="249" t="s">
        <v>572</v>
      </c>
      <c r="BC10" s="249">
        <v>29414</v>
      </c>
      <c r="BD10" s="249">
        <v>6</v>
      </c>
      <c r="BE10" s="249">
        <v>2</v>
      </c>
      <c r="BF10" s="249">
        <v>1941</v>
      </c>
      <c r="BG10" s="249">
        <v>0</v>
      </c>
      <c r="BH10" s="243" t="s">
        <v>572</v>
      </c>
      <c r="BI10" s="249">
        <v>0</v>
      </c>
      <c r="BJ10" s="249">
        <v>0</v>
      </c>
      <c r="BK10" s="249">
        <v>0</v>
      </c>
      <c r="BL10" s="249">
        <v>95</v>
      </c>
      <c r="BM10" s="249">
        <v>0</v>
      </c>
      <c r="BN10" s="249"/>
      <c r="BO10" s="248" t="s">
        <v>461</v>
      </c>
      <c r="BP10" s="260" t="s">
        <v>558</v>
      </c>
      <c r="BQ10" s="260" t="s">
        <v>559</v>
      </c>
      <c r="BR10" s="260" t="s">
        <v>560</v>
      </c>
      <c r="BS10" s="241"/>
      <c r="BT10" s="261" t="s">
        <v>137</v>
      </c>
      <c r="BU10" s="261">
        <v>42</v>
      </c>
      <c r="BV10" s="261">
        <v>0</v>
      </c>
      <c r="BW10" s="261">
        <v>4</v>
      </c>
      <c r="BX10" s="261">
        <v>1</v>
      </c>
      <c r="BY10" s="261">
        <v>1</v>
      </c>
      <c r="BZ10" s="261">
        <v>38</v>
      </c>
      <c r="CA10" s="261">
        <v>32</v>
      </c>
      <c r="CB10" s="261">
        <v>10</v>
      </c>
      <c r="CC10" s="241"/>
      <c r="CD10" s="241"/>
      <c r="CE10" s="241"/>
      <c r="CF10" s="241"/>
      <c r="CG10" s="241"/>
      <c r="CH10" s="241"/>
      <c r="CI10" s="241"/>
      <c r="CJ10" s="241"/>
      <c r="CK10" s="243"/>
      <c r="CL10" s="243"/>
      <c r="CM10" s="243"/>
      <c r="CN10" s="243"/>
      <c r="CO10" s="243"/>
      <c r="CP10" s="243"/>
      <c r="CQ10" s="243"/>
      <c r="CR10" s="241"/>
      <c r="CS10" s="241"/>
      <c r="CT10" s="241"/>
      <c r="CU10" s="241"/>
      <c r="CV10" s="241"/>
      <c r="CW10" s="241"/>
      <c r="CX10" s="241"/>
      <c r="CY10" s="241"/>
      <c r="CZ10" s="241"/>
      <c r="DA10" s="241"/>
      <c r="DB10" s="241"/>
      <c r="DC10" s="241"/>
      <c r="DD10" s="241"/>
    </row>
    <row r="11" spans="1:118" x14ac:dyDescent="0.25">
      <c r="B11" s="187"/>
      <c r="C11" s="187"/>
      <c r="D11" s="187"/>
      <c r="E11" s="217"/>
      <c r="F11" s="217"/>
      <c r="G11" s="217"/>
      <c r="H11" s="217"/>
      <c r="J11" s="152" t="str">
        <f t="shared" si="1"/>
        <v>PSell</v>
      </c>
      <c r="K11" s="230" t="s">
        <v>535</v>
      </c>
      <c r="L11" s="230" t="s">
        <v>536</v>
      </c>
      <c r="M11" s="234">
        <v>258857770576.99789</v>
      </c>
      <c r="N11" s="156"/>
      <c r="O11" s="333">
        <v>969468452821</v>
      </c>
      <c r="P11" s="333">
        <v>-970485061219</v>
      </c>
      <c r="Q11" s="333">
        <v>-1016608398</v>
      </c>
      <c r="S11" s="249"/>
      <c r="T11" s="254"/>
      <c r="U11" s="254"/>
      <c r="V11" s="254"/>
      <c r="W11" s="254"/>
      <c r="X11" s="254"/>
      <c r="Y11" s="241"/>
      <c r="Z11" s="249" t="s">
        <v>569</v>
      </c>
      <c r="AA11" s="249">
        <v>0</v>
      </c>
      <c r="AB11" s="249">
        <v>0</v>
      </c>
      <c r="AC11" s="249">
        <v>0</v>
      </c>
      <c r="AD11" s="249">
        <v>0</v>
      </c>
      <c r="AE11" s="249">
        <v>0</v>
      </c>
      <c r="AF11" s="249"/>
      <c r="AG11" s="249" t="s">
        <v>574</v>
      </c>
      <c r="AH11" s="249">
        <v>0</v>
      </c>
      <c r="AI11" s="249">
        <v>0</v>
      </c>
      <c r="AJ11" s="249">
        <v>0</v>
      </c>
      <c r="AK11" s="249">
        <v>0</v>
      </c>
      <c r="AL11" s="249">
        <v>0</v>
      </c>
      <c r="AM11" s="241"/>
      <c r="AN11" s="249" t="s">
        <v>574</v>
      </c>
      <c r="AO11" s="249">
        <v>0</v>
      </c>
      <c r="AP11" s="249">
        <v>0</v>
      </c>
      <c r="AQ11" s="249">
        <v>0</v>
      </c>
      <c r="AR11" s="249">
        <v>0</v>
      </c>
      <c r="AS11" s="249">
        <v>0</v>
      </c>
      <c r="AT11" s="241"/>
      <c r="AU11" s="249" t="s">
        <v>574</v>
      </c>
      <c r="AV11" s="249">
        <v>0</v>
      </c>
      <c r="AW11" s="249">
        <v>0</v>
      </c>
      <c r="AX11" s="249">
        <v>0</v>
      </c>
      <c r="AY11" s="249">
        <v>0</v>
      </c>
      <c r="AZ11" s="249">
        <v>0</v>
      </c>
      <c r="BA11" s="241"/>
      <c r="BB11" s="249" t="s">
        <v>573</v>
      </c>
      <c r="BC11" s="249">
        <v>0</v>
      </c>
      <c r="BD11" s="249">
        <v>0</v>
      </c>
      <c r="BE11" s="249">
        <v>0</v>
      </c>
      <c r="BF11" s="249">
        <v>0</v>
      </c>
      <c r="BG11" s="249">
        <v>0</v>
      </c>
      <c r="BH11" s="243" t="s">
        <v>573</v>
      </c>
      <c r="BI11" s="249">
        <v>0</v>
      </c>
      <c r="BJ11" s="249">
        <v>0</v>
      </c>
      <c r="BK11" s="249">
        <v>0</v>
      </c>
      <c r="BL11" s="249">
        <v>0</v>
      </c>
      <c r="BM11" s="249">
        <v>0</v>
      </c>
      <c r="BN11" s="249"/>
      <c r="BO11" s="243"/>
      <c r="BP11" s="259">
        <v>23684431437.349998</v>
      </c>
      <c r="BQ11" s="259">
        <v>9754137</v>
      </c>
      <c r="BR11" s="259">
        <v>8111</v>
      </c>
      <c r="BS11" s="241"/>
      <c r="BT11" s="261" t="s">
        <v>621</v>
      </c>
      <c r="BU11" s="261">
        <v>1</v>
      </c>
      <c r="BV11" s="261">
        <v>0</v>
      </c>
      <c r="BW11" s="261">
        <v>0</v>
      </c>
      <c r="BX11" s="261">
        <v>0</v>
      </c>
      <c r="BY11" s="261">
        <v>0</v>
      </c>
      <c r="BZ11" s="261">
        <v>1</v>
      </c>
      <c r="CA11" s="261">
        <v>1</v>
      </c>
      <c r="CB11" s="261">
        <v>0</v>
      </c>
      <c r="CC11" s="263" t="s">
        <v>494</v>
      </c>
      <c r="CD11" s="262" t="s">
        <v>626</v>
      </c>
      <c r="CE11" s="262" t="s">
        <v>628</v>
      </c>
      <c r="CF11" s="241"/>
      <c r="CG11" s="241"/>
      <c r="CH11" s="241"/>
      <c r="CI11" s="263" t="s">
        <v>500</v>
      </c>
      <c r="CJ11" s="243" t="s">
        <v>116</v>
      </c>
      <c r="CK11" s="243">
        <v>210608</v>
      </c>
      <c r="CL11" s="263" t="s">
        <v>503</v>
      </c>
      <c r="CM11" s="243" t="s">
        <v>116</v>
      </c>
      <c r="CN11" s="243">
        <v>106400</v>
      </c>
      <c r="CO11" s="263" t="s">
        <v>506</v>
      </c>
      <c r="CP11" s="243" t="s">
        <v>116</v>
      </c>
      <c r="CQ11" s="243">
        <v>5624</v>
      </c>
      <c r="CR11" s="241"/>
      <c r="CS11" s="241"/>
      <c r="CT11" s="241"/>
      <c r="CU11" s="241"/>
      <c r="CV11" s="241"/>
      <c r="CW11" s="241"/>
      <c r="CX11" s="241"/>
      <c r="CY11" s="241"/>
      <c r="CZ11" s="241"/>
      <c r="DA11" s="241"/>
      <c r="DB11" s="241"/>
      <c r="DC11" s="241"/>
      <c r="DD11" s="241"/>
    </row>
    <row r="12" spans="1:118" x14ac:dyDescent="0.25">
      <c r="B12" s="187"/>
      <c r="C12" s="187"/>
      <c r="D12" s="187"/>
      <c r="E12" s="217"/>
      <c r="F12" s="217"/>
      <c r="G12" s="217"/>
      <c r="H12" s="217"/>
      <c r="J12" s="152"/>
      <c r="K12" s="227"/>
      <c r="L12" s="226"/>
      <c r="M12" s="224"/>
      <c r="N12" s="156"/>
      <c r="O12" s="236"/>
      <c r="P12" s="236"/>
      <c r="Q12" s="236"/>
      <c r="S12" s="249"/>
      <c r="T12" s="254"/>
      <c r="U12" s="254"/>
      <c r="V12" s="254"/>
      <c r="W12" s="254"/>
      <c r="X12" s="254"/>
      <c r="Y12" s="241"/>
      <c r="Z12" s="249" t="s">
        <v>569</v>
      </c>
      <c r="AA12" s="249">
        <v>5237212.5</v>
      </c>
      <c r="AB12" s="249">
        <v>139</v>
      </c>
      <c r="AC12" s="249">
        <v>21</v>
      </c>
      <c r="AD12" s="249">
        <v>6830</v>
      </c>
      <c r="AE12" s="249">
        <v>1</v>
      </c>
      <c r="AF12" s="249"/>
      <c r="AG12" s="249" t="s">
        <v>575</v>
      </c>
      <c r="AH12" s="249">
        <v>0</v>
      </c>
      <c r="AI12" s="249">
        <v>0</v>
      </c>
      <c r="AJ12" s="249">
        <v>0</v>
      </c>
      <c r="AK12" s="249">
        <v>0</v>
      </c>
      <c r="AL12" s="249">
        <v>0</v>
      </c>
      <c r="AM12" s="241"/>
      <c r="AN12" s="249" t="s">
        <v>575</v>
      </c>
      <c r="AO12" s="249">
        <v>0</v>
      </c>
      <c r="AP12" s="249">
        <v>0</v>
      </c>
      <c r="AQ12" s="249">
        <v>0</v>
      </c>
      <c r="AR12" s="249">
        <v>0</v>
      </c>
      <c r="AS12" s="249">
        <v>0</v>
      </c>
      <c r="AT12" s="241"/>
      <c r="AU12" s="249" t="s">
        <v>575</v>
      </c>
      <c r="AV12" s="249">
        <v>0</v>
      </c>
      <c r="AW12" s="249">
        <v>0</v>
      </c>
      <c r="AX12" s="249">
        <v>0</v>
      </c>
      <c r="AY12" s="249">
        <v>0</v>
      </c>
      <c r="AZ12" s="249">
        <v>0</v>
      </c>
      <c r="BA12" s="241"/>
      <c r="BB12" s="249" t="s">
        <v>574</v>
      </c>
      <c r="BC12" s="249">
        <v>0</v>
      </c>
      <c r="BD12" s="249">
        <v>0</v>
      </c>
      <c r="BE12" s="249">
        <v>0</v>
      </c>
      <c r="BF12" s="249">
        <v>0</v>
      </c>
      <c r="BG12" s="249">
        <v>0</v>
      </c>
      <c r="BH12" s="243" t="s">
        <v>574</v>
      </c>
      <c r="BI12" s="249">
        <v>0</v>
      </c>
      <c r="BJ12" s="249">
        <v>0</v>
      </c>
      <c r="BK12" s="249">
        <v>0</v>
      </c>
      <c r="BL12" s="249">
        <v>0</v>
      </c>
      <c r="BM12" s="249">
        <v>0</v>
      </c>
      <c r="BN12" s="249"/>
      <c r="BO12" s="243"/>
      <c r="BP12" s="259"/>
      <c r="BQ12" s="259"/>
      <c r="BR12" s="259"/>
      <c r="BS12" s="241"/>
      <c r="BT12" s="261" t="s">
        <v>622</v>
      </c>
      <c r="BU12" s="261">
        <v>1</v>
      </c>
      <c r="BV12" s="261">
        <v>0</v>
      </c>
      <c r="BW12" s="261">
        <v>0</v>
      </c>
      <c r="BX12" s="261">
        <v>0</v>
      </c>
      <c r="BY12" s="261">
        <v>0</v>
      </c>
      <c r="BZ12" s="261">
        <v>1</v>
      </c>
      <c r="CA12" s="261">
        <v>1</v>
      </c>
      <c r="CB12" s="261">
        <v>0</v>
      </c>
      <c r="CC12" s="241"/>
      <c r="CD12" s="265">
        <v>2243562927798933</v>
      </c>
      <c r="CE12" s="268">
        <v>3235084681560.9004</v>
      </c>
      <c r="CF12" s="241"/>
      <c r="CG12" s="241"/>
      <c r="CH12" s="241"/>
      <c r="CI12" s="243"/>
      <c r="CJ12" s="243" t="s">
        <v>629</v>
      </c>
      <c r="CK12" s="243">
        <v>6320825160103</v>
      </c>
      <c r="CL12" s="243"/>
      <c r="CM12" s="243" t="s">
        <v>629</v>
      </c>
      <c r="CN12" s="243">
        <v>13752346276145</v>
      </c>
      <c r="CO12" s="243"/>
      <c r="CP12" s="243" t="s">
        <v>629</v>
      </c>
      <c r="CQ12" s="243">
        <v>402063095741</v>
      </c>
      <c r="CR12" s="241"/>
      <c r="CS12" s="241"/>
      <c r="CT12" s="241"/>
      <c r="CU12" s="241"/>
      <c r="CV12" s="241"/>
      <c r="CW12" s="241"/>
      <c r="CX12" s="241"/>
      <c r="CY12" s="241"/>
      <c r="CZ12" s="241"/>
      <c r="DA12" s="241"/>
      <c r="DB12" s="241"/>
      <c r="DC12" s="241"/>
      <c r="DD12" s="241"/>
    </row>
    <row r="13" spans="1:118" x14ac:dyDescent="0.25">
      <c r="A13" s="148" t="s">
        <v>203</v>
      </c>
      <c r="B13" s="187"/>
      <c r="C13" s="187"/>
      <c r="D13" s="187"/>
      <c r="E13" s="217"/>
      <c r="F13" s="217"/>
      <c r="G13" s="217"/>
      <c r="H13" s="217"/>
      <c r="I13" s="153" t="s">
        <v>210</v>
      </c>
      <c r="J13" s="148" t="s">
        <v>209</v>
      </c>
      <c r="K13" s="231" t="s">
        <v>531</v>
      </c>
      <c r="L13" s="231" t="s">
        <v>532</v>
      </c>
      <c r="M13" s="233" t="s">
        <v>529</v>
      </c>
      <c r="N13" s="161" t="s">
        <v>203</v>
      </c>
      <c r="O13" s="239" t="s">
        <v>513</v>
      </c>
      <c r="P13" s="239" t="s">
        <v>514</v>
      </c>
      <c r="Q13" s="239" t="s">
        <v>515</v>
      </c>
      <c r="S13" s="249"/>
      <c r="T13" s="254"/>
      <c r="U13" s="254"/>
      <c r="V13" s="254"/>
      <c r="W13" s="254"/>
      <c r="X13" s="254"/>
      <c r="Y13" s="241"/>
      <c r="Z13" s="249" t="s">
        <v>570</v>
      </c>
      <c r="AA13" s="249">
        <v>0</v>
      </c>
      <c r="AB13" s="249">
        <v>0</v>
      </c>
      <c r="AC13" s="249">
        <v>0</v>
      </c>
      <c r="AD13" s="249">
        <v>0</v>
      </c>
      <c r="AE13" s="249">
        <v>0</v>
      </c>
      <c r="AF13" s="249"/>
      <c r="AG13" s="249" t="s">
        <v>576</v>
      </c>
      <c r="AH13" s="249">
        <v>0</v>
      </c>
      <c r="AI13" s="249">
        <v>0</v>
      </c>
      <c r="AJ13" s="249">
        <v>0</v>
      </c>
      <c r="AK13" s="249">
        <v>0</v>
      </c>
      <c r="AL13" s="249">
        <v>0</v>
      </c>
      <c r="AM13" s="241"/>
      <c r="AN13" s="249" t="s">
        <v>576</v>
      </c>
      <c r="AO13" s="249">
        <v>0</v>
      </c>
      <c r="AP13" s="249">
        <v>0</v>
      </c>
      <c r="AQ13" s="249">
        <v>0</v>
      </c>
      <c r="AR13" s="249">
        <v>0</v>
      </c>
      <c r="AS13" s="249">
        <v>0</v>
      </c>
      <c r="AT13" s="241"/>
      <c r="AU13" s="249" t="s">
        <v>576</v>
      </c>
      <c r="AV13" s="249">
        <v>0</v>
      </c>
      <c r="AW13" s="249">
        <v>0</v>
      </c>
      <c r="AX13" s="249">
        <v>0</v>
      </c>
      <c r="AY13" s="249">
        <v>0</v>
      </c>
      <c r="AZ13" s="249">
        <v>0</v>
      </c>
      <c r="BA13" s="241"/>
      <c r="BB13" s="249" t="s">
        <v>575</v>
      </c>
      <c r="BC13" s="249">
        <v>0</v>
      </c>
      <c r="BD13" s="249">
        <v>0</v>
      </c>
      <c r="BE13" s="249">
        <v>0</v>
      </c>
      <c r="BF13" s="249">
        <v>0</v>
      </c>
      <c r="BG13" s="249">
        <v>0</v>
      </c>
      <c r="BH13" s="243" t="s">
        <v>575</v>
      </c>
      <c r="BI13" s="249">
        <v>0</v>
      </c>
      <c r="BJ13" s="249">
        <v>0</v>
      </c>
      <c r="BK13" s="249">
        <v>0</v>
      </c>
      <c r="BL13" s="249">
        <v>0</v>
      </c>
      <c r="BM13" s="249">
        <v>0</v>
      </c>
      <c r="BN13" s="249"/>
      <c r="BO13" s="248" t="s">
        <v>473</v>
      </c>
      <c r="BP13" s="260" t="s">
        <v>561</v>
      </c>
      <c r="BQ13" s="259"/>
      <c r="BR13" s="259"/>
      <c r="BS13" s="241"/>
      <c r="BT13" s="261" t="s">
        <v>623</v>
      </c>
      <c r="BU13" s="261">
        <v>312</v>
      </c>
      <c r="BV13" s="261">
        <v>2</v>
      </c>
      <c r="BW13" s="261">
        <v>13</v>
      </c>
      <c r="BX13" s="261">
        <v>1</v>
      </c>
      <c r="BY13" s="261">
        <v>1</v>
      </c>
      <c r="BZ13" s="261">
        <v>301</v>
      </c>
      <c r="CA13" s="261">
        <v>252</v>
      </c>
      <c r="CB13" s="261">
        <v>60</v>
      </c>
      <c r="CC13" s="241"/>
      <c r="CD13" s="241"/>
      <c r="CE13" s="241"/>
      <c r="CF13" s="241"/>
      <c r="CG13" s="241"/>
      <c r="CH13" s="241"/>
      <c r="CI13" s="243"/>
      <c r="CJ13" s="243" t="s">
        <v>630</v>
      </c>
      <c r="CK13" s="243">
        <v>6572648684444.2832</v>
      </c>
      <c r="CL13" s="243"/>
      <c r="CM13" s="243" t="s">
        <v>630</v>
      </c>
      <c r="CN13" s="243">
        <v>13617306746951.748</v>
      </c>
      <c r="CO13" s="243"/>
      <c r="CP13" s="243" t="s">
        <v>630</v>
      </c>
      <c r="CQ13" s="243">
        <v>124276987316.08002</v>
      </c>
      <c r="CR13" s="241"/>
      <c r="CS13" s="241"/>
      <c r="CT13" s="241"/>
      <c r="CU13" s="241"/>
      <c r="CV13" s="241"/>
      <c r="CW13" s="241"/>
      <c r="CX13" s="241"/>
      <c r="CY13" s="241"/>
      <c r="CZ13" s="241"/>
      <c r="DA13" s="241"/>
      <c r="DB13" s="241"/>
      <c r="DC13" s="241"/>
      <c r="DD13" s="241"/>
    </row>
    <row r="14" spans="1:118" x14ac:dyDescent="0.25">
      <c r="B14" s="187"/>
      <c r="C14" s="187"/>
      <c r="D14" s="187"/>
      <c r="E14" s="217"/>
      <c r="F14" s="217"/>
      <c r="G14" s="217"/>
      <c r="H14" s="217"/>
      <c r="J14" s="152" t="str">
        <f>K14&amp;L14</f>
        <v>ABuy</v>
      </c>
      <c r="K14" s="230" t="s">
        <v>533</v>
      </c>
      <c r="L14" s="230" t="s">
        <v>534</v>
      </c>
      <c r="M14" s="234">
        <v>136972874353.16</v>
      </c>
      <c r="N14" s="156"/>
      <c r="O14" s="333">
        <v>784579000000</v>
      </c>
      <c r="P14" s="333">
        <v>-771216000000</v>
      </c>
      <c r="Q14" s="333">
        <v>13363000000</v>
      </c>
      <c r="S14" s="241"/>
      <c r="T14" s="241"/>
      <c r="U14" s="241"/>
      <c r="V14" s="241"/>
      <c r="W14" s="241"/>
      <c r="X14" s="241"/>
      <c r="Y14" s="241"/>
      <c r="Z14" s="249" t="s">
        <v>570</v>
      </c>
      <c r="AA14" s="249">
        <v>5603629.5</v>
      </c>
      <c r="AB14" s="249">
        <v>55</v>
      </c>
      <c r="AC14" s="249">
        <v>5</v>
      </c>
      <c r="AD14" s="249">
        <v>1638</v>
      </c>
      <c r="AE14" s="249">
        <v>1</v>
      </c>
      <c r="AF14" s="249"/>
      <c r="AG14" s="249" t="s">
        <v>577</v>
      </c>
      <c r="AH14" s="249">
        <v>0</v>
      </c>
      <c r="AI14" s="249">
        <v>0</v>
      </c>
      <c r="AJ14" s="249">
        <v>0</v>
      </c>
      <c r="AK14" s="249">
        <v>0</v>
      </c>
      <c r="AL14" s="249">
        <v>0</v>
      </c>
      <c r="AM14" s="241"/>
      <c r="AN14" s="249" t="s">
        <v>577</v>
      </c>
      <c r="AO14" s="249">
        <v>0</v>
      </c>
      <c r="AP14" s="249">
        <v>0</v>
      </c>
      <c r="AQ14" s="249">
        <v>0</v>
      </c>
      <c r="AR14" s="249">
        <v>0</v>
      </c>
      <c r="AS14" s="249">
        <v>0</v>
      </c>
      <c r="AT14" s="241"/>
      <c r="AU14" s="249" t="s">
        <v>577</v>
      </c>
      <c r="AV14" s="249">
        <v>0</v>
      </c>
      <c r="AW14" s="249">
        <v>0</v>
      </c>
      <c r="AX14" s="249">
        <v>0</v>
      </c>
      <c r="AY14" s="249">
        <v>0</v>
      </c>
      <c r="AZ14" s="249">
        <v>0</v>
      </c>
      <c r="BA14" s="241"/>
      <c r="BB14" s="249" t="s">
        <v>576</v>
      </c>
      <c r="BC14" s="249">
        <v>0</v>
      </c>
      <c r="BD14" s="249">
        <v>0</v>
      </c>
      <c r="BE14" s="249">
        <v>0</v>
      </c>
      <c r="BF14" s="249">
        <v>0</v>
      </c>
      <c r="BG14" s="249">
        <v>0</v>
      </c>
      <c r="BH14" s="243" t="s">
        <v>576</v>
      </c>
      <c r="BI14" s="249">
        <v>0</v>
      </c>
      <c r="BJ14" s="249">
        <v>0</v>
      </c>
      <c r="BK14" s="249">
        <v>0</v>
      </c>
      <c r="BL14" s="249">
        <v>0</v>
      </c>
      <c r="BM14" s="249">
        <v>0</v>
      </c>
      <c r="BN14" s="249"/>
      <c r="BO14" s="243"/>
      <c r="BP14" s="259">
        <v>6807367</v>
      </c>
      <c r="BQ14" s="259"/>
      <c r="BR14" s="259"/>
      <c r="BS14" s="241"/>
      <c r="BT14" s="261" t="s">
        <v>624</v>
      </c>
      <c r="BU14" s="261">
        <v>1</v>
      </c>
      <c r="BV14" s="261">
        <v>0</v>
      </c>
      <c r="BW14" s="261">
        <v>0</v>
      </c>
      <c r="BX14" s="261">
        <v>0</v>
      </c>
      <c r="BY14" s="261">
        <v>0</v>
      </c>
      <c r="BZ14" s="261">
        <v>1</v>
      </c>
      <c r="CA14" s="261">
        <v>1</v>
      </c>
      <c r="CB14" s="261">
        <v>0</v>
      </c>
      <c r="CC14" s="263" t="s">
        <v>495</v>
      </c>
      <c r="CD14" s="269" t="s">
        <v>626</v>
      </c>
      <c r="CE14" s="269" t="s">
        <v>628</v>
      </c>
      <c r="CF14" s="241"/>
      <c r="CG14" s="241"/>
      <c r="CH14" s="241"/>
      <c r="CI14" s="243"/>
      <c r="CJ14" s="241"/>
      <c r="CK14" s="241"/>
      <c r="CL14" s="243"/>
      <c r="CM14" s="241"/>
      <c r="CN14" s="241"/>
      <c r="CO14" s="241"/>
      <c r="CP14" s="241"/>
      <c r="CQ14" s="241"/>
      <c r="CR14" s="263" t="s">
        <v>508</v>
      </c>
      <c r="CS14" s="272" t="s">
        <v>649</v>
      </c>
      <c r="CT14" s="271" t="s">
        <v>632</v>
      </c>
      <c r="CU14" s="271" t="s">
        <v>633</v>
      </c>
      <c r="CV14" s="271" t="s">
        <v>634</v>
      </c>
      <c r="CW14" s="271" t="s">
        <v>635</v>
      </c>
      <c r="CX14" s="271" t="s">
        <v>636</v>
      </c>
      <c r="CY14" s="271" t="s">
        <v>637</v>
      </c>
      <c r="CZ14" s="271" t="s">
        <v>638</v>
      </c>
      <c r="DA14" s="271" t="s">
        <v>639</v>
      </c>
      <c r="DB14" s="271" t="s">
        <v>640</v>
      </c>
      <c r="DC14" s="271" t="s">
        <v>641</v>
      </c>
      <c r="DD14" s="271" t="s">
        <v>642</v>
      </c>
    </row>
    <row r="15" spans="1:118" x14ac:dyDescent="0.25">
      <c r="B15" s="187"/>
      <c r="C15" s="187"/>
      <c r="D15" s="187"/>
      <c r="E15" s="217"/>
      <c r="F15" s="218"/>
      <c r="G15" s="218"/>
      <c r="H15" s="217"/>
      <c r="J15" s="152" t="str">
        <f t="shared" ref="J15:J17" si="2">K15&amp;L15</f>
        <v>PBuy</v>
      </c>
      <c r="K15" s="230" t="s">
        <v>535</v>
      </c>
      <c r="L15" s="230" t="s">
        <v>534</v>
      </c>
      <c r="M15" s="234">
        <v>289828526520.11005</v>
      </c>
      <c r="N15" s="156"/>
      <c r="O15" s="236"/>
      <c r="P15" s="236"/>
      <c r="Q15" s="236"/>
      <c r="S15" s="250"/>
      <c r="T15" s="253"/>
      <c r="U15" s="253"/>
      <c r="V15" s="253"/>
      <c r="W15" s="253"/>
      <c r="X15" s="253"/>
      <c r="Y15" s="241"/>
      <c r="Z15" s="249" t="s">
        <v>571</v>
      </c>
      <c r="AA15" s="249">
        <v>0</v>
      </c>
      <c r="AB15" s="249">
        <v>0</v>
      </c>
      <c r="AC15" s="249">
        <v>0</v>
      </c>
      <c r="AD15" s="249">
        <v>0</v>
      </c>
      <c r="AE15" s="249">
        <v>0</v>
      </c>
      <c r="AF15" s="249"/>
      <c r="AG15" s="249" t="s">
        <v>578</v>
      </c>
      <c r="AH15" s="249">
        <v>0</v>
      </c>
      <c r="AI15" s="249">
        <v>0</v>
      </c>
      <c r="AJ15" s="249">
        <v>0</v>
      </c>
      <c r="AK15" s="249">
        <v>0</v>
      </c>
      <c r="AL15" s="249">
        <v>0</v>
      </c>
      <c r="AM15" s="241"/>
      <c r="AN15" s="249" t="s">
        <v>578</v>
      </c>
      <c r="AO15" s="249">
        <v>0</v>
      </c>
      <c r="AP15" s="249">
        <v>0</v>
      </c>
      <c r="AQ15" s="249">
        <v>0</v>
      </c>
      <c r="AR15" s="249">
        <v>0</v>
      </c>
      <c r="AS15" s="249">
        <v>0</v>
      </c>
      <c r="AT15" s="241"/>
      <c r="AU15" s="249" t="s">
        <v>578</v>
      </c>
      <c r="AV15" s="249">
        <v>0</v>
      </c>
      <c r="AW15" s="249">
        <v>0</v>
      </c>
      <c r="AX15" s="249">
        <v>0</v>
      </c>
      <c r="AY15" s="249">
        <v>0</v>
      </c>
      <c r="AZ15" s="249">
        <v>0</v>
      </c>
      <c r="BA15" s="241"/>
      <c r="BB15" s="249" t="s">
        <v>577</v>
      </c>
      <c r="BC15" s="249">
        <v>0</v>
      </c>
      <c r="BD15" s="249">
        <v>0</v>
      </c>
      <c r="BE15" s="249">
        <v>0</v>
      </c>
      <c r="BF15" s="249">
        <v>0</v>
      </c>
      <c r="BG15" s="249">
        <v>0</v>
      </c>
      <c r="BH15" s="243" t="s">
        <v>577</v>
      </c>
      <c r="BI15" s="249">
        <v>0</v>
      </c>
      <c r="BJ15" s="249">
        <v>0</v>
      </c>
      <c r="BK15" s="249">
        <v>0</v>
      </c>
      <c r="BL15" s="249">
        <v>0</v>
      </c>
      <c r="BM15" s="249">
        <v>0</v>
      </c>
      <c r="BN15" s="249"/>
      <c r="BO15" s="243"/>
      <c r="BP15" s="259"/>
      <c r="BQ15" s="259"/>
      <c r="BR15" s="259"/>
      <c r="BS15" s="243"/>
      <c r="BT15" s="261"/>
      <c r="BU15" s="261"/>
      <c r="BV15" s="261"/>
      <c r="BW15" s="261"/>
      <c r="BX15" s="261"/>
      <c r="BY15" s="261"/>
      <c r="BZ15" s="261"/>
      <c r="CA15" s="261"/>
      <c r="CB15" s="261"/>
      <c r="CC15" s="243"/>
      <c r="CD15" s="270">
        <v>2450813778420979</v>
      </c>
      <c r="CE15" s="270">
        <v>3714991288309.8389</v>
      </c>
      <c r="CF15" s="241"/>
      <c r="CG15" s="241"/>
      <c r="CH15" s="241"/>
      <c r="CI15" s="241"/>
      <c r="CJ15" s="241"/>
      <c r="CK15" s="241"/>
      <c r="CL15" s="241"/>
      <c r="CM15" s="241"/>
      <c r="CN15" s="241"/>
      <c r="CO15" s="241"/>
      <c r="CP15" s="241"/>
      <c r="CQ15" s="241"/>
      <c r="CR15" s="243"/>
      <c r="CS15" s="273" t="s">
        <v>650</v>
      </c>
      <c r="CT15" s="271">
        <v>22</v>
      </c>
      <c r="CU15" s="271" t="s">
        <v>643</v>
      </c>
      <c r="CV15" s="271">
        <v>0</v>
      </c>
      <c r="CW15" s="271">
        <v>940407128</v>
      </c>
      <c r="CX15" s="271">
        <v>405</v>
      </c>
      <c r="CY15" s="271">
        <v>0</v>
      </c>
      <c r="CZ15" s="271">
        <v>15922233432</v>
      </c>
      <c r="DA15" s="271">
        <v>203</v>
      </c>
      <c r="DB15" s="271">
        <v>0</v>
      </c>
      <c r="DC15" s="271">
        <v>14981826304</v>
      </c>
      <c r="DD15" s="271">
        <v>202</v>
      </c>
    </row>
    <row r="16" spans="1:118" x14ac:dyDescent="0.25">
      <c r="A16" s="148" t="s">
        <v>204</v>
      </c>
      <c r="B16" s="187"/>
      <c r="C16" s="187"/>
      <c r="D16" s="187"/>
      <c r="E16" s="217"/>
      <c r="F16" s="218"/>
      <c r="G16" s="218"/>
      <c r="H16" s="217"/>
      <c r="J16" s="152" t="str">
        <f t="shared" si="2"/>
        <v>ASell</v>
      </c>
      <c r="K16" s="230" t="s">
        <v>533</v>
      </c>
      <c r="L16" s="230" t="s">
        <v>536</v>
      </c>
      <c r="M16" s="234">
        <v>143186846824.98001</v>
      </c>
      <c r="N16" s="161" t="s">
        <v>204</v>
      </c>
      <c r="O16" s="239" t="s">
        <v>513</v>
      </c>
      <c r="P16" s="239" t="s">
        <v>514</v>
      </c>
      <c r="Q16" s="239" t="s">
        <v>515</v>
      </c>
      <c r="S16" s="249"/>
      <c r="T16" s="254"/>
      <c r="U16" s="254"/>
      <c r="V16" s="254"/>
      <c r="W16" s="254"/>
      <c r="X16" s="254"/>
      <c r="Y16" s="241"/>
      <c r="Z16" s="249" t="s">
        <v>571</v>
      </c>
      <c r="AA16" s="249">
        <v>1093250</v>
      </c>
      <c r="AB16" s="249">
        <v>17</v>
      </c>
      <c r="AC16" s="249">
        <v>3</v>
      </c>
      <c r="AD16" s="249">
        <v>315</v>
      </c>
      <c r="AE16" s="249">
        <v>1</v>
      </c>
      <c r="AF16" s="249"/>
      <c r="AG16" s="249" t="s">
        <v>579</v>
      </c>
      <c r="AH16" s="249">
        <v>0</v>
      </c>
      <c r="AI16" s="249">
        <v>0</v>
      </c>
      <c r="AJ16" s="249">
        <v>0</v>
      </c>
      <c r="AK16" s="249">
        <v>0</v>
      </c>
      <c r="AL16" s="249">
        <v>0</v>
      </c>
      <c r="AM16" s="241"/>
      <c r="AN16" s="249" t="s">
        <v>579</v>
      </c>
      <c r="AO16" s="249">
        <v>0</v>
      </c>
      <c r="AP16" s="249">
        <v>0</v>
      </c>
      <c r="AQ16" s="249">
        <v>0</v>
      </c>
      <c r="AR16" s="249">
        <v>0</v>
      </c>
      <c r="AS16" s="249">
        <v>0</v>
      </c>
      <c r="AT16" s="241"/>
      <c r="AU16" s="249" t="s">
        <v>579</v>
      </c>
      <c r="AV16" s="249">
        <v>0</v>
      </c>
      <c r="AW16" s="249">
        <v>0</v>
      </c>
      <c r="AX16" s="249">
        <v>0</v>
      </c>
      <c r="AY16" s="249">
        <v>0</v>
      </c>
      <c r="AZ16" s="249">
        <v>0</v>
      </c>
      <c r="BA16" s="241"/>
      <c r="BB16" s="249" t="s">
        <v>578</v>
      </c>
      <c r="BC16" s="249">
        <v>0</v>
      </c>
      <c r="BD16" s="249">
        <v>0</v>
      </c>
      <c r="BE16" s="249">
        <v>0</v>
      </c>
      <c r="BF16" s="249">
        <v>0</v>
      </c>
      <c r="BG16" s="249">
        <v>0</v>
      </c>
      <c r="BH16" s="243" t="s">
        <v>578</v>
      </c>
      <c r="BI16" s="249">
        <v>0</v>
      </c>
      <c r="BJ16" s="249">
        <v>0</v>
      </c>
      <c r="BK16" s="249">
        <v>0</v>
      </c>
      <c r="BL16" s="249">
        <v>0</v>
      </c>
      <c r="BM16" s="249">
        <v>0</v>
      </c>
      <c r="BN16" s="249"/>
      <c r="BO16" s="248" t="s">
        <v>474</v>
      </c>
      <c r="BP16" s="260" t="s">
        <v>561</v>
      </c>
      <c r="BQ16" s="259"/>
      <c r="BR16" s="259"/>
      <c r="BS16" s="241"/>
      <c r="BT16" s="241"/>
      <c r="BU16" s="241"/>
      <c r="BV16" s="241"/>
      <c r="BW16" s="241"/>
      <c r="BX16" s="241"/>
      <c r="BY16" s="241"/>
      <c r="BZ16" s="241"/>
      <c r="CA16" s="241"/>
      <c r="CB16" s="241"/>
      <c r="CC16" s="241"/>
      <c r="CD16" s="241"/>
      <c r="CE16" s="241"/>
      <c r="CF16" s="241"/>
      <c r="CG16" s="241"/>
      <c r="CH16" s="241"/>
      <c r="CI16" s="241"/>
      <c r="CJ16" s="241"/>
      <c r="CK16" s="241"/>
      <c r="CL16" s="241"/>
      <c r="CM16" s="241"/>
      <c r="CN16" s="241"/>
      <c r="CO16" s="241"/>
      <c r="CP16" s="241"/>
      <c r="CQ16" s="241"/>
      <c r="CR16" s="243"/>
      <c r="CS16" s="273" t="s">
        <v>650</v>
      </c>
      <c r="CT16" s="271">
        <v>29</v>
      </c>
      <c r="CU16" s="271" t="s">
        <v>644</v>
      </c>
      <c r="CV16" s="271">
        <v>55104109086.56002</v>
      </c>
      <c r="CW16" s="271">
        <v>63263836000</v>
      </c>
      <c r="CX16" s="271">
        <v>487</v>
      </c>
      <c r="CY16" s="271">
        <v>74694156500.110016</v>
      </c>
      <c r="CZ16" s="271">
        <v>81795800000</v>
      </c>
      <c r="DA16" s="271">
        <v>409</v>
      </c>
      <c r="DB16" s="271">
        <v>19590047413.549995</v>
      </c>
      <c r="DC16" s="271">
        <v>18531964000</v>
      </c>
      <c r="DD16" s="271">
        <v>78</v>
      </c>
    </row>
    <row r="17" spans="1:108" x14ac:dyDescent="0.25">
      <c r="B17" s="187"/>
      <c r="C17" s="187"/>
      <c r="D17" s="187"/>
      <c r="E17" s="217"/>
      <c r="F17" s="217"/>
      <c r="G17" s="217"/>
      <c r="H17" s="217"/>
      <c r="J17" s="152" t="str">
        <f t="shared" si="2"/>
        <v>PSell</v>
      </c>
      <c r="K17" s="230" t="s">
        <v>535</v>
      </c>
      <c r="L17" s="230" t="s">
        <v>536</v>
      </c>
      <c r="M17" s="234">
        <v>283614554048.28998</v>
      </c>
      <c r="N17" s="156"/>
      <c r="O17" s="333">
        <v>645668000000</v>
      </c>
      <c r="P17" s="333">
        <v>-645833000000</v>
      </c>
      <c r="Q17" s="333">
        <v>-165000000</v>
      </c>
      <c r="R17" s="153" t="s">
        <v>442</v>
      </c>
      <c r="S17" s="249"/>
      <c r="T17" s="254"/>
      <c r="U17" s="254"/>
      <c r="V17" s="254"/>
      <c r="W17" s="254"/>
      <c r="X17" s="254"/>
      <c r="Y17" s="241"/>
      <c r="Z17" s="249" t="s">
        <v>572</v>
      </c>
      <c r="AA17" s="249">
        <v>2691403.6</v>
      </c>
      <c r="AB17" s="249">
        <v>272</v>
      </c>
      <c r="AC17" s="249">
        <v>6</v>
      </c>
      <c r="AD17" s="249">
        <v>7273</v>
      </c>
      <c r="AE17" s="249">
        <v>0</v>
      </c>
      <c r="AF17" s="249"/>
      <c r="AG17" s="249" t="s">
        <v>580</v>
      </c>
      <c r="AH17" s="249">
        <v>0</v>
      </c>
      <c r="AI17" s="249">
        <v>0</v>
      </c>
      <c r="AJ17" s="249">
        <v>0</v>
      </c>
      <c r="AK17" s="249">
        <v>0</v>
      </c>
      <c r="AL17" s="249">
        <v>0</v>
      </c>
      <c r="AM17" s="241"/>
      <c r="AN17" s="249" t="s">
        <v>580</v>
      </c>
      <c r="AO17" s="249">
        <v>0</v>
      </c>
      <c r="AP17" s="249">
        <v>0</v>
      </c>
      <c r="AQ17" s="249">
        <v>0</v>
      </c>
      <c r="AR17" s="249">
        <v>0</v>
      </c>
      <c r="AS17" s="249">
        <v>0</v>
      </c>
      <c r="AT17" s="241"/>
      <c r="AU17" s="249" t="s">
        <v>580</v>
      </c>
      <c r="AV17" s="249">
        <v>0</v>
      </c>
      <c r="AW17" s="249">
        <v>0</v>
      </c>
      <c r="AX17" s="249">
        <v>0</v>
      </c>
      <c r="AY17" s="249">
        <v>0</v>
      </c>
      <c r="AZ17" s="249">
        <v>0</v>
      </c>
      <c r="BA17" s="241"/>
      <c r="BB17" s="249" t="s">
        <v>579</v>
      </c>
      <c r="BC17" s="249">
        <v>0</v>
      </c>
      <c r="BD17" s="249">
        <v>0</v>
      </c>
      <c r="BE17" s="249">
        <v>0</v>
      </c>
      <c r="BF17" s="249">
        <v>0</v>
      </c>
      <c r="BG17" s="249">
        <v>0</v>
      </c>
      <c r="BH17" s="243" t="s">
        <v>579</v>
      </c>
      <c r="BI17" s="249">
        <v>0</v>
      </c>
      <c r="BJ17" s="249">
        <v>0</v>
      </c>
      <c r="BK17" s="249">
        <v>0</v>
      </c>
      <c r="BL17" s="249">
        <v>0</v>
      </c>
      <c r="BM17" s="249">
        <v>0</v>
      </c>
      <c r="BN17" s="249"/>
      <c r="BO17" s="243"/>
      <c r="BP17" s="259">
        <v>2524960</v>
      </c>
      <c r="BQ17" s="259"/>
      <c r="BR17" s="259"/>
      <c r="BS17" s="252" t="s">
        <v>489</v>
      </c>
      <c r="BT17" s="262" t="s">
        <v>612</v>
      </c>
      <c r="BU17" s="262" t="s">
        <v>613</v>
      </c>
      <c r="BV17" s="262" t="s">
        <v>614</v>
      </c>
      <c r="BW17" s="262" t="s">
        <v>615</v>
      </c>
      <c r="BX17" s="262" t="s">
        <v>616</v>
      </c>
      <c r="BY17" s="262" t="s">
        <v>617</v>
      </c>
      <c r="BZ17" s="262" t="s">
        <v>618</v>
      </c>
      <c r="CA17" s="262" t="s">
        <v>619</v>
      </c>
      <c r="CB17" s="262" t="s">
        <v>620</v>
      </c>
      <c r="CC17" s="347" t="s">
        <v>517</v>
      </c>
      <c r="CD17" s="346" t="s">
        <v>626</v>
      </c>
      <c r="CE17" s="346" t="s">
        <v>628</v>
      </c>
      <c r="CF17" s="241"/>
      <c r="CG17" s="241"/>
      <c r="CH17" s="241"/>
      <c r="CI17" s="241"/>
      <c r="CJ17" s="241"/>
      <c r="CK17" s="241"/>
      <c r="CL17" s="241"/>
      <c r="CM17" s="241"/>
      <c r="CN17" s="241"/>
      <c r="CO17" s="241"/>
      <c r="CP17" s="241"/>
      <c r="CQ17" s="241"/>
      <c r="CR17" s="243"/>
      <c r="CS17" s="273" t="s">
        <v>650</v>
      </c>
      <c r="CT17" s="271">
        <v>29</v>
      </c>
      <c r="CU17" s="271" t="s">
        <v>645</v>
      </c>
      <c r="CV17" s="271">
        <v>-53343265224.360023</v>
      </c>
      <c r="CW17" s="271">
        <v>-61620336000</v>
      </c>
      <c r="CX17" s="271">
        <v>476</v>
      </c>
      <c r="CY17" s="271">
        <v>19158984689.909996</v>
      </c>
      <c r="CZ17" s="271">
        <v>18094964000</v>
      </c>
      <c r="DA17" s="271">
        <v>76</v>
      </c>
      <c r="DB17" s="271">
        <v>72502249914.269974</v>
      </c>
      <c r="DC17" s="271">
        <v>79715300000</v>
      </c>
      <c r="DD17" s="271">
        <v>400</v>
      </c>
    </row>
    <row r="18" spans="1:108" x14ac:dyDescent="0.25">
      <c r="B18" s="187"/>
      <c r="C18" s="187"/>
      <c r="D18" s="187"/>
      <c r="E18" s="217"/>
      <c r="F18" s="217"/>
      <c r="G18" s="217"/>
      <c r="H18" s="217"/>
      <c r="J18" s="152"/>
      <c r="K18" s="225"/>
      <c r="L18" s="225"/>
      <c r="M18" s="224"/>
      <c r="N18" s="156"/>
      <c r="O18" s="236"/>
      <c r="P18" s="236"/>
      <c r="Q18" s="236"/>
      <c r="S18" s="249"/>
      <c r="T18" s="254"/>
      <c r="U18" s="254"/>
      <c r="V18" s="254"/>
      <c r="W18" s="254"/>
      <c r="X18" s="254"/>
      <c r="Y18" s="241"/>
      <c r="Z18" s="249" t="s">
        <v>572</v>
      </c>
      <c r="AA18" s="249">
        <v>6959464021.0900002</v>
      </c>
      <c r="AB18" s="249">
        <v>29205</v>
      </c>
      <c r="AC18" s="249">
        <v>1221</v>
      </c>
      <c r="AD18" s="249">
        <v>186800</v>
      </c>
      <c r="AE18" s="249">
        <v>1</v>
      </c>
      <c r="AF18" s="249"/>
      <c r="AG18" s="249" t="s">
        <v>581</v>
      </c>
      <c r="AH18" s="249">
        <v>0</v>
      </c>
      <c r="AI18" s="249">
        <v>0</v>
      </c>
      <c r="AJ18" s="249">
        <v>0</v>
      </c>
      <c r="AK18" s="249">
        <v>0</v>
      </c>
      <c r="AL18" s="249">
        <v>0</v>
      </c>
      <c r="AM18" s="241"/>
      <c r="AN18" s="249" t="s">
        <v>581</v>
      </c>
      <c r="AO18" s="249">
        <v>0</v>
      </c>
      <c r="AP18" s="249">
        <v>0</v>
      </c>
      <c r="AQ18" s="249">
        <v>0</v>
      </c>
      <c r="AR18" s="249">
        <v>0</v>
      </c>
      <c r="AS18" s="249">
        <v>0</v>
      </c>
      <c r="AT18" s="241"/>
      <c r="AU18" s="249" t="s">
        <v>581</v>
      </c>
      <c r="AV18" s="249">
        <v>0</v>
      </c>
      <c r="AW18" s="249">
        <v>0</v>
      </c>
      <c r="AX18" s="249">
        <v>0</v>
      </c>
      <c r="AY18" s="249">
        <v>0</v>
      </c>
      <c r="AZ18" s="249">
        <v>0</v>
      </c>
      <c r="BA18" s="241"/>
      <c r="BB18" s="249" t="s">
        <v>580</v>
      </c>
      <c r="BC18" s="249">
        <v>0</v>
      </c>
      <c r="BD18" s="249">
        <v>0</v>
      </c>
      <c r="BE18" s="249">
        <v>0</v>
      </c>
      <c r="BF18" s="249">
        <v>0</v>
      </c>
      <c r="BG18" s="249">
        <v>0</v>
      </c>
      <c r="BH18" s="243" t="s">
        <v>580</v>
      </c>
      <c r="BI18" s="249">
        <v>0</v>
      </c>
      <c r="BJ18" s="249">
        <v>0</v>
      </c>
      <c r="BK18" s="249">
        <v>0</v>
      </c>
      <c r="BL18" s="249">
        <v>0</v>
      </c>
      <c r="BM18" s="249">
        <v>0</v>
      </c>
      <c r="BN18" s="249"/>
      <c r="BO18" s="243"/>
      <c r="BP18" s="259"/>
      <c r="BQ18" s="259"/>
      <c r="BR18" s="259"/>
      <c r="BS18" s="241"/>
      <c r="BT18" s="261" t="s">
        <v>137</v>
      </c>
      <c r="BU18" s="243">
        <v>46</v>
      </c>
      <c r="BV18" s="261">
        <v>1</v>
      </c>
      <c r="BW18" s="261">
        <v>8</v>
      </c>
      <c r="BX18" s="261">
        <v>0</v>
      </c>
      <c r="BY18" s="261">
        <v>0</v>
      </c>
      <c r="BZ18" s="261">
        <v>39</v>
      </c>
      <c r="CA18" s="261">
        <v>36</v>
      </c>
      <c r="CB18" s="261">
        <v>10</v>
      </c>
      <c r="CC18" s="344"/>
      <c r="CD18" s="348">
        <v>13542369806617.371</v>
      </c>
      <c r="CE18" s="349">
        <v>22783238204.968315</v>
      </c>
      <c r="CF18" s="241"/>
      <c r="CG18" s="241"/>
      <c r="CH18" s="241"/>
      <c r="CI18" s="241"/>
      <c r="CJ18" s="241"/>
      <c r="CK18" s="241"/>
      <c r="CL18" s="241"/>
      <c r="CM18" s="241"/>
      <c r="CN18" s="241"/>
      <c r="CO18" s="241"/>
      <c r="CP18" s="241"/>
      <c r="CQ18" s="241"/>
      <c r="CR18" s="243"/>
      <c r="CS18" s="273" t="s">
        <v>650</v>
      </c>
      <c r="CT18" s="271">
        <v>77</v>
      </c>
      <c r="CU18" s="271" t="s">
        <v>646</v>
      </c>
      <c r="CV18" s="271">
        <v>-3284933854.1700001</v>
      </c>
      <c r="CW18" s="271">
        <v>-3562040328</v>
      </c>
      <c r="CX18" s="271">
        <v>1253</v>
      </c>
      <c r="CY18" s="271">
        <v>11811016332.329994</v>
      </c>
      <c r="CZ18" s="271">
        <v>12306944764</v>
      </c>
      <c r="DA18" s="271">
        <v>558</v>
      </c>
      <c r="DB18" s="271">
        <v>15095950186.499998</v>
      </c>
      <c r="DC18" s="271">
        <v>15868985092</v>
      </c>
      <c r="DD18" s="271">
        <v>695</v>
      </c>
    </row>
    <row r="19" spans="1:108" x14ac:dyDescent="0.25">
      <c r="A19" s="148" t="s">
        <v>205</v>
      </c>
      <c r="B19" s="187"/>
      <c r="C19" s="187"/>
      <c r="D19" s="187"/>
      <c r="E19" s="217"/>
      <c r="F19" s="217"/>
      <c r="G19" s="217"/>
      <c r="H19" s="217"/>
      <c r="I19" s="153" t="s">
        <v>211</v>
      </c>
      <c r="J19" s="148" t="s">
        <v>209</v>
      </c>
      <c r="K19" s="231" t="s">
        <v>531</v>
      </c>
      <c r="L19" s="231" t="s">
        <v>532</v>
      </c>
      <c r="M19" s="233" t="s">
        <v>529</v>
      </c>
      <c r="N19" s="161" t="s">
        <v>205</v>
      </c>
      <c r="O19" s="239" t="s">
        <v>513</v>
      </c>
      <c r="P19" s="239" t="s">
        <v>514</v>
      </c>
      <c r="Q19" s="239" t="s">
        <v>515</v>
      </c>
      <c r="S19" s="249"/>
      <c r="T19" s="254"/>
      <c r="U19" s="254"/>
      <c r="V19" s="254"/>
      <c r="W19" s="254"/>
      <c r="X19" s="254"/>
      <c r="Y19" s="241"/>
      <c r="Z19" s="249" t="s">
        <v>573</v>
      </c>
      <c r="AA19" s="249">
        <v>0</v>
      </c>
      <c r="AB19" s="249">
        <v>0</v>
      </c>
      <c r="AC19" s="249">
        <v>0</v>
      </c>
      <c r="AD19" s="249">
        <v>0</v>
      </c>
      <c r="AE19" s="249">
        <v>0</v>
      </c>
      <c r="AF19" s="249"/>
      <c r="AG19" s="249" t="s">
        <v>584</v>
      </c>
      <c r="AH19" s="249">
        <v>0</v>
      </c>
      <c r="AI19" s="249">
        <v>0</v>
      </c>
      <c r="AJ19" s="249">
        <v>0</v>
      </c>
      <c r="AK19" s="249">
        <v>0</v>
      </c>
      <c r="AL19" s="249">
        <v>0</v>
      </c>
      <c r="AM19" s="241"/>
      <c r="AN19" s="249" t="s">
        <v>584</v>
      </c>
      <c r="AO19" s="249">
        <v>0</v>
      </c>
      <c r="AP19" s="249">
        <v>0</v>
      </c>
      <c r="AQ19" s="249">
        <v>0</v>
      </c>
      <c r="AR19" s="249">
        <v>0</v>
      </c>
      <c r="AS19" s="249">
        <v>0</v>
      </c>
      <c r="AT19" s="241"/>
      <c r="AU19" s="249" t="s">
        <v>584</v>
      </c>
      <c r="AV19" s="249">
        <v>0</v>
      </c>
      <c r="AW19" s="249">
        <v>0</v>
      </c>
      <c r="AX19" s="249">
        <v>0</v>
      </c>
      <c r="AY19" s="249">
        <v>0</v>
      </c>
      <c r="AZ19" s="249">
        <v>0</v>
      </c>
      <c r="BA19" s="241"/>
      <c r="BB19" s="249" t="s">
        <v>581</v>
      </c>
      <c r="BC19" s="249">
        <v>0</v>
      </c>
      <c r="BD19" s="249">
        <v>0</v>
      </c>
      <c r="BE19" s="249">
        <v>0</v>
      </c>
      <c r="BF19" s="249">
        <v>0</v>
      </c>
      <c r="BG19" s="249">
        <v>0</v>
      </c>
      <c r="BH19" s="243" t="s">
        <v>581</v>
      </c>
      <c r="BI19" s="249">
        <v>0</v>
      </c>
      <c r="BJ19" s="249">
        <v>0</v>
      </c>
      <c r="BK19" s="249">
        <v>0</v>
      </c>
      <c r="BL19" s="249">
        <v>0</v>
      </c>
      <c r="BM19" s="249">
        <v>0</v>
      </c>
      <c r="BN19" s="249"/>
      <c r="BO19" s="252" t="s">
        <v>471</v>
      </c>
      <c r="BP19" s="260" t="s">
        <v>529</v>
      </c>
      <c r="BQ19" s="260" t="s">
        <v>559</v>
      </c>
      <c r="BR19" s="260" t="s">
        <v>560</v>
      </c>
      <c r="BS19" s="241"/>
      <c r="BT19" s="261" t="s">
        <v>621</v>
      </c>
      <c r="BU19" s="261">
        <v>2</v>
      </c>
      <c r="BV19" s="261">
        <v>0</v>
      </c>
      <c r="BW19" s="261">
        <v>0</v>
      </c>
      <c r="BX19" s="261">
        <v>0</v>
      </c>
      <c r="BY19" s="261">
        <v>0</v>
      </c>
      <c r="BZ19" s="261">
        <v>2</v>
      </c>
      <c r="CA19" s="261">
        <v>2</v>
      </c>
      <c r="CB19" s="261">
        <v>0</v>
      </c>
      <c r="CC19" s="241"/>
      <c r="CD19" s="241"/>
      <c r="CE19" s="241"/>
      <c r="CF19" s="241"/>
      <c r="CG19" s="241"/>
      <c r="CH19" s="241"/>
      <c r="CI19" s="241"/>
      <c r="CJ19" s="241"/>
      <c r="CK19" s="241"/>
      <c r="CL19" s="241"/>
      <c r="CM19" s="241"/>
      <c r="CN19" s="241"/>
      <c r="CO19" s="241"/>
      <c r="CP19" s="241"/>
      <c r="CQ19" s="241"/>
      <c r="CR19" s="243"/>
      <c r="CS19" s="273" t="s">
        <v>650</v>
      </c>
      <c r="CT19" s="271">
        <v>40</v>
      </c>
      <c r="CU19" s="271" t="s">
        <v>647</v>
      </c>
      <c r="CV19" s="271">
        <v>-10992863913.37002</v>
      </c>
      <c r="CW19" s="271">
        <v>-12633016449</v>
      </c>
      <c r="CX19" s="271">
        <v>2086</v>
      </c>
      <c r="CY19" s="271">
        <v>84618936417.150009</v>
      </c>
      <c r="CZ19" s="271">
        <v>83330644892</v>
      </c>
      <c r="DA19" s="271">
        <v>1030</v>
      </c>
      <c r="DB19" s="271">
        <v>95611800330.519943</v>
      </c>
      <c r="DC19" s="271">
        <v>95963661341</v>
      </c>
      <c r="DD19" s="271">
        <v>1056</v>
      </c>
    </row>
    <row r="20" spans="1:108" x14ac:dyDescent="0.25">
      <c r="B20" s="187"/>
      <c r="C20" s="187"/>
      <c r="D20" s="187"/>
      <c r="E20" s="217"/>
      <c r="F20" s="217"/>
      <c r="G20" s="217"/>
      <c r="H20" s="217"/>
      <c r="J20" s="152" t="str">
        <f>K20&amp;L20</f>
        <v>ABuy</v>
      </c>
      <c r="K20" s="230" t="s">
        <v>533</v>
      </c>
      <c r="L20" s="230" t="s">
        <v>534</v>
      </c>
      <c r="M20" s="234">
        <v>118298039513.25</v>
      </c>
      <c r="N20" s="156"/>
      <c r="O20" s="333">
        <v>525050000000</v>
      </c>
      <c r="P20" s="333">
        <v>-528401000000</v>
      </c>
      <c r="Q20" s="333">
        <v>-3351000000</v>
      </c>
      <c r="S20" s="249"/>
      <c r="T20" s="254"/>
      <c r="U20" s="254"/>
      <c r="V20" s="254"/>
      <c r="W20" s="254"/>
      <c r="X20" s="254"/>
      <c r="Y20" s="241"/>
      <c r="Z20" s="249" t="s">
        <v>573</v>
      </c>
      <c r="AA20" s="249">
        <v>665837536.95000005</v>
      </c>
      <c r="AB20" s="249">
        <v>33605</v>
      </c>
      <c r="AC20" s="249">
        <v>641</v>
      </c>
      <c r="AD20" s="249">
        <v>289071</v>
      </c>
      <c r="AE20" s="249">
        <v>1</v>
      </c>
      <c r="AF20" s="249"/>
      <c r="AG20" s="249" t="s">
        <v>585</v>
      </c>
      <c r="AH20" s="249">
        <v>0</v>
      </c>
      <c r="AI20" s="249">
        <v>0</v>
      </c>
      <c r="AJ20" s="249">
        <v>0</v>
      </c>
      <c r="AK20" s="249">
        <v>0</v>
      </c>
      <c r="AL20" s="249">
        <v>0</v>
      </c>
      <c r="AM20" s="241"/>
      <c r="AN20" s="249" t="s">
        <v>585</v>
      </c>
      <c r="AO20" s="249">
        <v>0</v>
      </c>
      <c r="AP20" s="249">
        <v>0</v>
      </c>
      <c r="AQ20" s="249">
        <v>0</v>
      </c>
      <c r="AR20" s="249">
        <v>0</v>
      </c>
      <c r="AS20" s="249">
        <v>0</v>
      </c>
      <c r="AT20" s="241"/>
      <c r="AU20" s="249" t="s">
        <v>585</v>
      </c>
      <c r="AV20" s="249">
        <v>0</v>
      </c>
      <c r="AW20" s="249">
        <v>0</v>
      </c>
      <c r="AX20" s="249">
        <v>0</v>
      </c>
      <c r="AY20" s="249">
        <v>0</v>
      </c>
      <c r="AZ20" s="249">
        <v>0</v>
      </c>
      <c r="BA20" s="241"/>
      <c r="BB20" s="249" t="s">
        <v>586</v>
      </c>
      <c r="BC20" s="249">
        <v>0</v>
      </c>
      <c r="BD20" s="249">
        <v>0</v>
      </c>
      <c r="BE20" s="249">
        <v>0</v>
      </c>
      <c r="BF20" s="249">
        <v>0</v>
      </c>
      <c r="BG20" s="249">
        <v>0</v>
      </c>
      <c r="BH20" s="243" t="s">
        <v>586</v>
      </c>
      <c r="BI20" s="249">
        <v>0</v>
      </c>
      <c r="BJ20" s="249">
        <v>0</v>
      </c>
      <c r="BK20" s="249">
        <v>0</v>
      </c>
      <c r="BL20" s="249">
        <v>0</v>
      </c>
      <c r="BM20" s="249">
        <v>0</v>
      </c>
      <c r="BN20" s="249"/>
      <c r="BO20" s="243"/>
      <c r="BP20" s="259">
        <v>54960067278.690002</v>
      </c>
      <c r="BQ20" s="259">
        <v>550623</v>
      </c>
      <c r="BR20" s="259">
        <v>837</v>
      </c>
      <c r="BS20" s="241"/>
      <c r="BT20" s="261" t="s">
        <v>622</v>
      </c>
      <c r="BU20" s="261">
        <v>1</v>
      </c>
      <c r="BV20" s="261">
        <v>0</v>
      </c>
      <c r="BW20" s="261">
        <v>0</v>
      </c>
      <c r="BX20" s="261">
        <v>0</v>
      </c>
      <c r="BY20" s="261">
        <v>0</v>
      </c>
      <c r="BZ20" s="261">
        <v>1</v>
      </c>
      <c r="CA20" s="261">
        <v>1</v>
      </c>
      <c r="CB20" s="261">
        <v>0</v>
      </c>
      <c r="CC20" s="347" t="s">
        <v>516</v>
      </c>
      <c r="CD20" s="346" t="s">
        <v>626</v>
      </c>
      <c r="CE20" s="346" t="s">
        <v>628</v>
      </c>
      <c r="CF20" s="241"/>
      <c r="CG20" s="241"/>
      <c r="CH20" s="241"/>
      <c r="CI20" s="241"/>
      <c r="CJ20" s="241"/>
      <c r="CK20" s="241"/>
      <c r="CL20" s="241"/>
      <c r="CM20" s="241"/>
      <c r="CN20" s="241"/>
      <c r="CO20" s="241"/>
      <c r="CP20" s="241"/>
      <c r="CQ20" s="241"/>
      <c r="CR20" s="243"/>
      <c r="CS20" s="273" t="s">
        <v>650</v>
      </c>
      <c r="CT20" s="271">
        <v>12</v>
      </c>
      <c r="CU20" s="271" t="s">
        <v>648</v>
      </c>
      <c r="CV20" s="271">
        <v>-2262091869.5599999</v>
      </c>
      <c r="CW20" s="271">
        <v>-2407513113</v>
      </c>
      <c r="CX20" s="271">
        <v>46</v>
      </c>
      <c r="CY20" s="271">
        <v>1409416493.1400001</v>
      </c>
      <c r="CZ20" s="271">
        <v>1250100000</v>
      </c>
      <c r="DA20" s="271">
        <v>11</v>
      </c>
      <c r="DB20" s="271">
        <v>3671508362.7000008</v>
      </c>
      <c r="DC20" s="271">
        <v>3657613113</v>
      </c>
      <c r="DD20" s="271">
        <v>35</v>
      </c>
    </row>
    <row r="21" spans="1:108" x14ac:dyDescent="0.25">
      <c r="B21" s="185"/>
      <c r="C21" s="185"/>
      <c r="D21" s="185"/>
      <c r="E21" s="205"/>
      <c r="F21" s="205"/>
      <c r="G21" s="205"/>
      <c r="H21" s="205"/>
      <c r="J21" s="152" t="str">
        <f t="shared" ref="J21:J22" si="3">K21&amp;L21</f>
        <v>PBuy</v>
      </c>
      <c r="K21" s="230" t="s">
        <v>535</v>
      </c>
      <c r="L21" s="230" t="s">
        <v>534</v>
      </c>
      <c r="M21" s="234">
        <v>252158305168.56998</v>
      </c>
      <c r="O21" s="235"/>
      <c r="P21" s="235"/>
      <c r="Q21" s="235"/>
      <c r="S21" s="249"/>
      <c r="T21" s="254"/>
      <c r="U21" s="254"/>
      <c r="V21" s="254"/>
      <c r="W21" s="254"/>
      <c r="X21" s="254"/>
      <c r="Y21" s="241"/>
      <c r="Z21" s="249" t="s">
        <v>574</v>
      </c>
      <c r="AA21" s="249">
        <v>0</v>
      </c>
      <c r="AB21" s="249">
        <v>0</v>
      </c>
      <c r="AC21" s="249">
        <v>0</v>
      </c>
      <c r="AD21" s="249">
        <v>0</v>
      </c>
      <c r="AE21" s="249">
        <v>0</v>
      </c>
      <c r="AF21" s="249"/>
      <c r="AG21" s="249" t="s">
        <v>586</v>
      </c>
      <c r="AH21" s="249">
        <v>0</v>
      </c>
      <c r="AI21" s="249">
        <v>0</v>
      </c>
      <c r="AJ21" s="249">
        <v>0</v>
      </c>
      <c r="AK21" s="249">
        <v>0</v>
      </c>
      <c r="AL21" s="249">
        <v>0</v>
      </c>
      <c r="AM21" s="241"/>
      <c r="AN21" s="249" t="s">
        <v>586</v>
      </c>
      <c r="AO21" s="249">
        <v>0</v>
      </c>
      <c r="AP21" s="249">
        <v>0</v>
      </c>
      <c r="AQ21" s="249">
        <v>0</v>
      </c>
      <c r="AR21" s="249">
        <v>0</v>
      </c>
      <c r="AS21" s="249">
        <v>0</v>
      </c>
      <c r="AT21" s="241"/>
      <c r="AU21" s="249" t="s">
        <v>586</v>
      </c>
      <c r="AV21" s="249">
        <v>0</v>
      </c>
      <c r="AW21" s="249">
        <v>0</v>
      </c>
      <c r="AX21" s="249">
        <v>0</v>
      </c>
      <c r="AY21" s="249">
        <v>0</v>
      </c>
      <c r="AZ21" s="249">
        <v>0</v>
      </c>
      <c r="BA21" s="241"/>
      <c r="BB21" s="249" t="s">
        <v>587</v>
      </c>
      <c r="BC21" s="249">
        <v>0</v>
      </c>
      <c r="BD21" s="249">
        <v>0</v>
      </c>
      <c r="BE21" s="249">
        <v>0</v>
      </c>
      <c r="BF21" s="249">
        <v>0</v>
      </c>
      <c r="BG21" s="249">
        <v>0</v>
      </c>
      <c r="BH21" s="243" t="s">
        <v>587</v>
      </c>
      <c r="BI21" s="249">
        <v>0</v>
      </c>
      <c r="BJ21" s="249">
        <v>0</v>
      </c>
      <c r="BK21" s="249">
        <v>0</v>
      </c>
      <c r="BL21" s="249">
        <v>0</v>
      </c>
      <c r="BM21" s="249">
        <v>0</v>
      </c>
      <c r="BN21" s="249"/>
      <c r="BO21" s="243"/>
      <c r="BP21" s="259"/>
      <c r="BQ21" s="259"/>
      <c r="BR21" s="259"/>
      <c r="BS21" s="241"/>
      <c r="BT21" s="261" t="s">
        <v>623</v>
      </c>
      <c r="BU21" s="261">
        <v>321</v>
      </c>
      <c r="BV21" s="261">
        <v>9</v>
      </c>
      <c r="BW21" s="261">
        <v>8</v>
      </c>
      <c r="BX21" s="261">
        <v>0</v>
      </c>
      <c r="BY21" s="261">
        <v>0</v>
      </c>
      <c r="BZ21" s="261">
        <v>322</v>
      </c>
      <c r="CA21" s="261">
        <v>258</v>
      </c>
      <c r="CB21" s="261">
        <v>63</v>
      </c>
      <c r="CC21" s="344"/>
      <c r="CD21" s="348">
        <v>3345924988590610</v>
      </c>
      <c r="CE21" s="349">
        <v>5019209548827.6182</v>
      </c>
      <c r="CF21" s="241"/>
      <c r="CG21" s="241"/>
      <c r="CH21" s="241"/>
      <c r="CI21" s="241"/>
      <c r="CJ21" s="241"/>
      <c r="CK21" s="241"/>
      <c r="CL21" s="241"/>
      <c r="CM21" s="241"/>
      <c r="CN21" s="241"/>
      <c r="CO21" s="241"/>
      <c r="CP21" s="241"/>
      <c r="CQ21" s="241"/>
      <c r="CR21" s="243"/>
      <c r="CS21" s="273"/>
      <c r="CT21" s="271"/>
      <c r="CU21" s="271"/>
      <c r="CV21" s="271"/>
      <c r="CW21" s="271"/>
      <c r="CX21" s="271"/>
      <c r="CY21" s="271"/>
      <c r="CZ21" s="271"/>
      <c r="DA21" s="271"/>
      <c r="DB21" s="271"/>
      <c r="DC21" s="271"/>
      <c r="DD21" s="271"/>
    </row>
    <row r="22" spans="1:108" x14ac:dyDescent="0.25">
      <c r="B22" s="185"/>
      <c r="C22" s="185"/>
      <c r="D22" s="185"/>
      <c r="E22" s="205"/>
      <c r="F22" s="205"/>
      <c r="G22" s="205"/>
      <c r="H22" s="205"/>
      <c r="J22" s="152" t="str">
        <f t="shared" si="3"/>
        <v>ASell</v>
      </c>
      <c r="K22" s="230" t="s">
        <v>533</v>
      </c>
      <c r="L22" s="230" t="s">
        <v>536</v>
      </c>
      <c r="M22" s="234">
        <v>124391249570.13</v>
      </c>
      <c r="O22" s="235"/>
      <c r="P22" s="235"/>
      <c r="Q22" s="235"/>
      <c r="S22" s="249"/>
      <c r="T22" s="254"/>
      <c r="U22" s="254"/>
      <c r="V22" s="254"/>
      <c r="W22" s="254"/>
      <c r="X22" s="254"/>
      <c r="Y22" s="241"/>
      <c r="Z22" s="249" t="s">
        <v>574</v>
      </c>
      <c r="AA22" s="249">
        <v>319165</v>
      </c>
      <c r="AB22" s="249">
        <v>11</v>
      </c>
      <c r="AC22" s="249">
        <v>1</v>
      </c>
      <c r="AD22" s="249">
        <v>77</v>
      </c>
      <c r="AE22" s="249">
        <v>1</v>
      </c>
      <c r="AF22" s="249"/>
      <c r="AG22" s="249" t="s">
        <v>587</v>
      </c>
      <c r="AH22" s="249">
        <v>0</v>
      </c>
      <c r="AI22" s="249">
        <v>0</v>
      </c>
      <c r="AJ22" s="249">
        <v>0</v>
      </c>
      <c r="AK22" s="249">
        <v>0</v>
      </c>
      <c r="AL22" s="249">
        <v>0</v>
      </c>
      <c r="AM22" s="241"/>
      <c r="AN22" s="249" t="s">
        <v>587</v>
      </c>
      <c r="AO22" s="249">
        <v>0</v>
      </c>
      <c r="AP22" s="249">
        <v>0</v>
      </c>
      <c r="AQ22" s="249">
        <v>0</v>
      </c>
      <c r="AR22" s="249">
        <v>0</v>
      </c>
      <c r="AS22" s="249">
        <v>0</v>
      </c>
      <c r="AT22" s="241"/>
      <c r="AU22" s="249" t="s">
        <v>587</v>
      </c>
      <c r="AV22" s="249">
        <v>0</v>
      </c>
      <c r="AW22" s="249">
        <v>0</v>
      </c>
      <c r="AX22" s="249">
        <v>0</v>
      </c>
      <c r="AY22" s="249">
        <v>0</v>
      </c>
      <c r="AZ22" s="249">
        <v>0</v>
      </c>
      <c r="BA22" s="241"/>
      <c r="BB22" s="249" t="s">
        <v>588</v>
      </c>
      <c r="BC22" s="249">
        <v>0</v>
      </c>
      <c r="BD22" s="249">
        <v>0</v>
      </c>
      <c r="BE22" s="249">
        <v>0</v>
      </c>
      <c r="BF22" s="249">
        <v>0</v>
      </c>
      <c r="BG22" s="249">
        <v>0</v>
      </c>
      <c r="BH22" s="243" t="s">
        <v>588</v>
      </c>
      <c r="BI22" s="249">
        <v>0</v>
      </c>
      <c r="BJ22" s="249">
        <v>0</v>
      </c>
      <c r="BK22" s="249">
        <v>0</v>
      </c>
      <c r="BL22" s="249">
        <v>0</v>
      </c>
      <c r="BM22" s="249">
        <v>0</v>
      </c>
      <c r="BN22" s="249"/>
      <c r="BO22" s="252" t="s">
        <v>472</v>
      </c>
      <c r="BP22" s="260" t="s">
        <v>529</v>
      </c>
      <c r="BQ22" s="260" t="s">
        <v>559</v>
      </c>
      <c r="BR22" s="260" t="s">
        <v>560</v>
      </c>
      <c r="BS22" s="241"/>
      <c r="BT22" s="241" t="s">
        <v>624</v>
      </c>
      <c r="BU22" s="261">
        <v>1</v>
      </c>
      <c r="BV22" s="241">
        <v>0</v>
      </c>
      <c r="BW22" s="241">
        <v>0</v>
      </c>
      <c r="BX22" s="241">
        <v>0</v>
      </c>
      <c r="BY22" s="241">
        <v>0</v>
      </c>
      <c r="BZ22" s="241">
        <v>1</v>
      </c>
      <c r="CA22" s="241">
        <v>1</v>
      </c>
      <c r="CB22" s="241">
        <v>0</v>
      </c>
      <c r="CC22" s="241"/>
      <c r="CD22" s="241"/>
      <c r="CE22" s="241"/>
      <c r="CF22" s="241"/>
      <c r="CG22" s="241"/>
      <c r="CH22" s="241"/>
      <c r="CI22" s="241"/>
      <c r="CJ22" s="241"/>
      <c r="CK22" s="241"/>
      <c r="CL22" s="241"/>
      <c r="CM22" s="241"/>
      <c r="CN22" s="241"/>
      <c r="CO22" s="241"/>
      <c r="CP22" s="241"/>
      <c r="CQ22" s="241"/>
      <c r="CR22" s="241"/>
      <c r="CS22" s="241"/>
      <c r="CT22" s="241"/>
      <c r="CU22" s="241"/>
      <c r="CV22" s="241"/>
      <c r="CW22" s="241"/>
      <c r="CX22" s="241"/>
      <c r="CY22" s="241"/>
      <c r="CZ22" s="241"/>
      <c r="DA22" s="241"/>
      <c r="DB22" s="241"/>
      <c r="DC22" s="241"/>
      <c r="DD22" s="241"/>
    </row>
    <row r="23" spans="1:108" x14ac:dyDescent="0.25">
      <c r="A23" s="162" t="s">
        <v>195</v>
      </c>
      <c r="B23" s="189" t="s">
        <v>215</v>
      </c>
      <c r="C23" s="190" t="s">
        <v>216</v>
      </c>
      <c r="D23" s="189" t="s">
        <v>217</v>
      </c>
      <c r="E23" s="220" t="s">
        <v>548</v>
      </c>
      <c r="F23" s="223" t="s">
        <v>433</v>
      </c>
      <c r="G23" s="220" t="s">
        <v>215</v>
      </c>
      <c r="H23" s="220" t="s">
        <v>537</v>
      </c>
      <c r="I23" s="164"/>
      <c r="J23" s="152" t="str">
        <f>K23&amp;L23</f>
        <v>PSell</v>
      </c>
      <c r="K23" s="230" t="s">
        <v>535</v>
      </c>
      <c r="L23" s="230" t="s">
        <v>536</v>
      </c>
      <c r="M23" s="234">
        <v>246065095111.68997</v>
      </c>
      <c r="N23" s="162" t="s">
        <v>434</v>
      </c>
      <c r="O23" s="238" t="s">
        <v>215</v>
      </c>
      <c r="P23" s="238" t="s">
        <v>537</v>
      </c>
      <c r="Q23" s="235"/>
      <c r="S23" s="249"/>
      <c r="T23" s="254"/>
      <c r="U23" s="254"/>
      <c r="V23" s="254"/>
      <c r="W23" s="254"/>
      <c r="X23" s="254"/>
      <c r="Y23" s="241"/>
      <c r="Z23" s="249" t="s">
        <v>575</v>
      </c>
      <c r="AA23" s="249">
        <v>0</v>
      </c>
      <c r="AB23" s="249">
        <v>0</v>
      </c>
      <c r="AC23" s="249">
        <v>0</v>
      </c>
      <c r="AD23" s="249">
        <v>0</v>
      </c>
      <c r="AE23" s="249">
        <v>0</v>
      </c>
      <c r="AF23" s="249"/>
      <c r="AG23" s="249" t="s">
        <v>588</v>
      </c>
      <c r="AH23" s="249">
        <v>0</v>
      </c>
      <c r="AI23" s="249">
        <v>0</v>
      </c>
      <c r="AJ23" s="249">
        <v>0</v>
      </c>
      <c r="AK23" s="249">
        <v>0</v>
      </c>
      <c r="AL23" s="249">
        <v>0</v>
      </c>
      <c r="AM23" s="241"/>
      <c r="AN23" s="249" t="s">
        <v>588</v>
      </c>
      <c r="AO23" s="249">
        <v>0</v>
      </c>
      <c r="AP23" s="249">
        <v>0</v>
      </c>
      <c r="AQ23" s="249">
        <v>0</v>
      </c>
      <c r="AR23" s="249">
        <v>0</v>
      </c>
      <c r="AS23" s="249">
        <v>0</v>
      </c>
      <c r="AT23" s="241"/>
      <c r="AU23" s="249" t="s">
        <v>588</v>
      </c>
      <c r="AV23" s="249">
        <v>0</v>
      </c>
      <c r="AW23" s="249">
        <v>0</v>
      </c>
      <c r="AX23" s="249">
        <v>0</v>
      </c>
      <c r="AY23" s="249">
        <v>0</v>
      </c>
      <c r="AZ23" s="249">
        <v>0</v>
      </c>
      <c r="BA23" s="241"/>
      <c r="BB23" s="249" t="s">
        <v>589</v>
      </c>
      <c r="BC23" s="249">
        <v>0</v>
      </c>
      <c r="BD23" s="249">
        <v>0</v>
      </c>
      <c r="BE23" s="249">
        <v>0</v>
      </c>
      <c r="BF23" s="249">
        <v>840</v>
      </c>
      <c r="BG23" s="249">
        <v>0</v>
      </c>
      <c r="BH23" s="243" t="s">
        <v>589</v>
      </c>
      <c r="BI23" s="249">
        <v>0</v>
      </c>
      <c r="BJ23" s="249">
        <v>0</v>
      </c>
      <c r="BK23" s="249">
        <v>0</v>
      </c>
      <c r="BL23" s="249">
        <v>40</v>
      </c>
      <c r="BM23" s="249">
        <v>0</v>
      </c>
      <c r="BN23" s="249"/>
      <c r="BO23" s="243"/>
      <c r="BP23" s="259">
        <v>12416090619.690001</v>
      </c>
      <c r="BQ23" s="259">
        <v>131864</v>
      </c>
      <c r="BR23" s="259">
        <v>341</v>
      </c>
      <c r="BS23" s="241"/>
      <c r="BT23" s="241"/>
      <c r="BU23" s="241"/>
      <c r="BV23" s="241"/>
      <c r="BW23" s="241"/>
      <c r="BX23" s="241"/>
      <c r="BY23" s="241"/>
      <c r="BZ23" s="241"/>
      <c r="CA23" s="241"/>
      <c r="CB23" s="241"/>
      <c r="CC23" s="241"/>
      <c r="CD23" s="241"/>
      <c r="CE23" s="241"/>
      <c r="CF23" s="241"/>
      <c r="CG23" s="241"/>
      <c r="CH23" s="241"/>
      <c r="CI23" s="241"/>
      <c r="CJ23" s="241"/>
      <c r="CK23" s="241"/>
      <c r="CL23" s="241"/>
      <c r="CM23" s="241"/>
      <c r="CN23" s="241"/>
      <c r="CO23" s="241"/>
      <c r="CP23" s="241"/>
      <c r="CQ23" s="241"/>
      <c r="CR23" s="241"/>
      <c r="CS23" s="241"/>
      <c r="CT23" s="241"/>
      <c r="CU23" s="241"/>
      <c r="CV23" s="241"/>
      <c r="CW23" s="241"/>
      <c r="CX23" s="241"/>
      <c r="CY23" s="241"/>
      <c r="CZ23" s="241"/>
      <c r="DA23" s="241"/>
      <c r="DB23" s="241"/>
      <c r="DC23" s="241"/>
      <c r="DD23" s="241"/>
    </row>
    <row r="24" spans="1:108" x14ac:dyDescent="0.25">
      <c r="B24" s="188" t="s">
        <v>219</v>
      </c>
      <c r="C24" s="191">
        <v>38713</v>
      </c>
      <c r="D24" s="188">
        <v>17296.830000000002</v>
      </c>
      <c r="E24" s="219">
        <v>1</v>
      </c>
      <c r="F24" s="205"/>
      <c r="G24" s="219" t="s">
        <v>260</v>
      </c>
      <c r="H24" s="219">
        <v>11771.926796649999</v>
      </c>
      <c r="I24" s="163"/>
      <c r="K24" s="227"/>
      <c r="L24" s="224"/>
      <c r="M24" s="224"/>
      <c r="O24" s="237" t="s">
        <v>260</v>
      </c>
      <c r="P24" s="237">
        <v>12011.49670896</v>
      </c>
      <c r="Q24" s="235"/>
      <c r="S24" s="249"/>
      <c r="T24" s="254"/>
      <c r="U24" s="254"/>
      <c r="V24" s="254"/>
      <c r="W24" s="254"/>
      <c r="X24" s="254"/>
      <c r="Y24" s="241"/>
      <c r="Z24" s="249" t="s">
        <v>575</v>
      </c>
      <c r="AA24" s="249">
        <v>5689954.4199999999</v>
      </c>
      <c r="AB24" s="249">
        <v>68</v>
      </c>
      <c r="AC24" s="249">
        <v>10</v>
      </c>
      <c r="AD24" s="249">
        <v>1280</v>
      </c>
      <c r="AE24" s="249">
        <v>1</v>
      </c>
      <c r="AF24" s="249"/>
      <c r="AG24" s="249" t="s">
        <v>589</v>
      </c>
      <c r="AH24" s="249">
        <v>0</v>
      </c>
      <c r="AI24" s="249">
        <v>0</v>
      </c>
      <c r="AJ24" s="249">
        <v>0</v>
      </c>
      <c r="AK24" s="249">
        <v>0</v>
      </c>
      <c r="AL24" s="249">
        <v>0</v>
      </c>
      <c r="AM24" s="241"/>
      <c r="AN24" s="249" t="s">
        <v>589</v>
      </c>
      <c r="AO24" s="249">
        <v>0</v>
      </c>
      <c r="AP24" s="249">
        <v>0</v>
      </c>
      <c r="AQ24" s="249">
        <v>0</v>
      </c>
      <c r="AR24" s="249">
        <v>0</v>
      </c>
      <c r="AS24" s="249">
        <v>0</v>
      </c>
      <c r="AT24" s="241"/>
      <c r="AU24" s="249" t="s">
        <v>589</v>
      </c>
      <c r="AV24" s="249">
        <v>0</v>
      </c>
      <c r="AW24" s="249">
        <v>0</v>
      </c>
      <c r="AX24" s="249">
        <v>0</v>
      </c>
      <c r="AY24" s="249">
        <v>0</v>
      </c>
      <c r="AZ24" s="249">
        <v>0</v>
      </c>
      <c r="BA24" s="241"/>
      <c r="BB24" s="249" t="s">
        <v>590</v>
      </c>
      <c r="BC24" s="249">
        <v>0</v>
      </c>
      <c r="BD24" s="249">
        <v>0</v>
      </c>
      <c r="BE24" s="249">
        <v>0</v>
      </c>
      <c r="BF24" s="249">
        <v>0</v>
      </c>
      <c r="BG24" s="249">
        <v>0</v>
      </c>
      <c r="BH24" s="243" t="s">
        <v>590</v>
      </c>
      <c r="BI24" s="249">
        <v>0</v>
      </c>
      <c r="BJ24" s="249">
        <v>0</v>
      </c>
      <c r="BK24" s="249">
        <v>0</v>
      </c>
      <c r="BL24" s="249">
        <v>0</v>
      </c>
      <c r="BM24" s="249">
        <v>0</v>
      </c>
      <c r="BN24" s="249"/>
      <c r="BO24" s="243"/>
      <c r="BP24" s="259"/>
      <c r="BQ24" s="259"/>
      <c r="BR24" s="259"/>
      <c r="BS24" s="241"/>
      <c r="BT24" s="241"/>
      <c r="BU24" s="241"/>
      <c r="BV24" s="241"/>
      <c r="BW24" s="241"/>
      <c r="BX24" s="241"/>
      <c r="BY24" s="241"/>
      <c r="BZ24" s="241"/>
      <c r="CA24" s="241"/>
      <c r="CB24" s="241"/>
      <c r="CC24" s="241"/>
      <c r="CD24" s="241"/>
      <c r="CE24" s="241"/>
      <c r="CF24" s="241"/>
      <c r="CG24" s="241"/>
      <c r="CH24" s="241"/>
      <c r="CI24" s="241"/>
      <c r="CJ24" s="241"/>
      <c r="CK24" s="241"/>
      <c r="CL24" s="241"/>
      <c r="CM24" s="241"/>
      <c r="CN24" s="241"/>
      <c r="CO24" s="241"/>
      <c r="CP24" s="241"/>
      <c r="CQ24" s="241"/>
      <c r="CR24" s="241"/>
      <c r="CS24" s="241"/>
      <c r="CT24" s="241"/>
      <c r="CU24" s="241"/>
      <c r="CV24" s="241"/>
      <c r="CW24" s="241"/>
      <c r="CX24" s="241"/>
      <c r="CY24" s="241"/>
      <c r="CZ24" s="241"/>
      <c r="DA24" s="241"/>
      <c r="DB24" s="241"/>
      <c r="DC24" s="241"/>
      <c r="DD24" s="241"/>
    </row>
    <row r="25" spans="1:108" x14ac:dyDescent="0.25">
      <c r="B25" s="188" t="s">
        <v>220</v>
      </c>
      <c r="C25" s="191">
        <v>38713</v>
      </c>
      <c r="D25" s="188">
        <v>20229.37</v>
      </c>
      <c r="E25" s="219">
        <v>1</v>
      </c>
      <c r="F25" s="205"/>
      <c r="G25" s="219" t="s">
        <v>261</v>
      </c>
      <c r="H25" s="219">
        <v>10568.49983345</v>
      </c>
      <c r="I25" s="163"/>
      <c r="K25" s="227"/>
      <c r="L25" s="224"/>
      <c r="M25" s="224"/>
      <c r="O25" s="237" t="s">
        <v>261</v>
      </c>
      <c r="P25" s="237">
        <v>10851.273349610001</v>
      </c>
      <c r="Q25" s="235"/>
      <c r="S25" s="249"/>
      <c r="T25" s="254"/>
      <c r="U25" s="254"/>
      <c r="V25" s="254"/>
      <c r="W25" s="254"/>
      <c r="X25" s="254"/>
      <c r="Y25" s="241"/>
      <c r="Z25" s="249" t="s">
        <v>576</v>
      </c>
      <c r="AA25" s="249">
        <v>0</v>
      </c>
      <c r="AB25" s="249">
        <v>0</v>
      </c>
      <c r="AC25" s="249">
        <v>0</v>
      </c>
      <c r="AD25" s="249">
        <v>0</v>
      </c>
      <c r="AE25" s="249">
        <v>0</v>
      </c>
      <c r="AF25" s="249"/>
      <c r="AG25" s="249" t="s">
        <v>590</v>
      </c>
      <c r="AH25" s="249">
        <v>0</v>
      </c>
      <c r="AI25" s="249">
        <v>0</v>
      </c>
      <c r="AJ25" s="249">
        <v>0</v>
      </c>
      <c r="AK25" s="249">
        <v>0</v>
      </c>
      <c r="AL25" s="249">
        <v>0</v>
      </c>
      <c r="AM25" s="241"/>
      <c r="AN25" s="249" t="s">
        <v>590</v>
      </c>
      <c r="AO25" s="249">
        <v>0</v>
      </c>
      <c r="AP25" s="249">
        <v>0</v>
      </c>
      <c r="AQ25" s="249">
        <v>0</v>
      </c>
      <c r="AR25" s="249">
        <v>0</v>
      </c>
      <c r="AS25" s="249">
        <v>0</v>
      </c>
      <c r="AT25" s="241"/>
      <c r="AU25" s="249" t="s">
        <v>590</v>
      </c>
      <c r="AV25" s="249">
        <v>0</v>
      </c>
      <c r="AW25" s="249">
        <v>0</v>
      </c>
      <c r="AX25" s="249">
        <v>0</v>
      </c>
      <c r="AY25" s="249">
        <v>0</v>
      </c>
      <c r="AZ25" s="249">
        <v>0</v>
      </c>
      <c r="BA25" s="241"/>
      <c r="BB25" s="249" t="s">
        <v>591</v>
      </c>
      <c r="BC25" s="249">
        <v>0</v>
      </c>
      <c r="BD25" s="249">
        <v>0</v>
      </c>
      <c r="BE25" s="249">
        <v>0</v>
      </c>
      <c r="BF25" s="249">
        <v>0</v>
      </c>
      <c r="BG25" s="249">
        <v>0</v>
      </c>
      <c r="BH25" s="243" t="s">
        <v>591</v>
      </c>
      <c r="BI25" s="249">
        <v>0</v>
      </c>
      <c r="BJ25" s="249">
        <v>0</v>
      </c>
      <c r="BK25" s="249">
        <v>0</v>
      </c>
      <c r="BL25" s="249">
        <v>0</v>
      </c>
      <c r="BM25" s="249">
        <v>0</v>
      </c>
      <c r="BN25" s="249"/>
      <c r="BO25" s="252" t="s">
        <v>475</v>
      </c>
      <c r="BP25" s="260" t="s">
        <v>561</v>
      </c>
      <c r="BQ25" s="259"/>
      <c r="BR25" s="259"/>
      <c r="BS25" s="241"/>
      <c r="BT25" s="241"/>
      <c r="BU25" s="259"/>
      <c r="BV25" s="241"/>
      <c r="BW25" s="241"/>
      <c r="BX25" s="241"/>
      <c r="BY25" s="241"/>
      <c r="BZ25" s="241"/>
      <c r="CA25" s="241"/>
      <c r="CB25" s="241"/>
      <c r="CC25" s="241"/>
      <c r="CD25" s="241"/>
      <c r="CE25" s="241"/>
      <c r="CF25" s="241"/>
      <c r="CG25" s="241"/>
      <c r="CH25" s="241"/>
      <c r="CI25" s="241"/>
      <c r="CJ25" s="241"/>
      <c r="CK25" s="241"/>
      <c r="CL25" s="241"/>
      <c r="CM25" s="241"/>
      <c r="CN25" s="241"/>
      <c r="CO25" s="241"/>
      <c r="CP25" s="241"/>
      <c r="CQ25" s="241"/>
      <c r="CR25" s="241"/>
      <c r="CS25" s="241"/>
      <c r="CT25" s="241"/>
      <c r="CU25" s="241"/>
      <c r="CV25" s="241"/>
      <c r="CW25" s="241"/>
      <c r="CX25" s="241"/>
      <c r="CY25" s="241"/>
      <c r="CZ25" s="241"/>
      <c r="DA25" s="241"/>
      <c r="DB25" s="241"/>
      <c r="DC25" s="241"/>
      <c r="DD25" s="241"/>
    </row>
    <row r="26" spans="1:108" x14ac:dyDescent="0.25">
      <c r="B26" s="188" t="s">
        <v>221</v>
      </c>
      <c r="C26" s="191">
        <v>38628</v>
      </c>
      <c r="D26" s="188">
        <v>10207.67</v>
      </c>
      <c r="E26" s="219">
        <v>1</v>
      </c>
      <c r="F26" s="205"/>
      <c r="G26" s="219" t="s">
        <v>262</v>
      </c>
      <c r="H26" s="219">
        <v>14685.11699169</v>
      </c>
      <c r="I26" s="163"/>
      <c r="J26" s="157"/>
      <c r="K26" s="228"/>
      <c r="L26" s="224"/>
      <c r="M26" s="224"/>
      <c r="O26" s="237" t="s">
        <v>262</v>
      </c>
      <c r="P26" s="237">
        <v>15715.58894713</v>
      </c>
      <c r="Q26" s="235"/>
      <c r="S26" s="249"/>
      <c r="T26" s="254"/>
      <c r="U26" s="254"/>
      <c r="V26" s="254"/>
      <c r="W26" s="254"/>
      <c r="X26" s="254"/>
      <c r="Y26" s="241"/>
      <c r="Z26" s="249" t="s">
        <v>576</v>
      </c>
      <c r="AA26" s="249">
        <v>25017127.649999999</v>
      </c>
      <c r="AB26" s="249">
        <v>683</v>
      </c>
      <c r="AC26" s="249">
        <v>7</v>
      </c>
      <c r="AD26" s="249">
        <v>4116</v>
      </c>
      <c r="AE26" s="249">
        <v>1</v>
      </c>
      <c r="AF26" s="249"/>
      <c r="AG26" s="249" t="s">
        <v>591</v>
      </c>
      <c r="AH26" s="249">
        <v>0</v>
      </c>
      <c r="AI26" s="249">
        <v>0</v>
      </c>
      <c r="AJ26" s="249">
        <v>0</v>
      </c>
      <c r="AK26" s="249">
        <v>0</v>
      </c>
      <c r="AL26" s="249">
        <v>0</v>
      </c>
      <c r="AM26" s="241"/>
      <c r="AN26" s="249" t="s">
        <v>591</v>
      </c>
      <c r="AO26" s="249">
        <v>0</v>
      </c>
      <c r="AP26" s="249">
        <v>0</v>
      </c>
      <c r="AQ26" s="249">
        <v>0</v>
      </c>
      <c r="AR26" s="249">
        <v>0</v>
      </c>
      <c r="AS26" s="249">
        <v>0</v>
      </c>
      <c r="AT26" s="241"/>
      <c r="AU26" s="249" t="s">
        <v>591</v>
      </c>
      <c r="AV26" s="249">
        <v>0</v>
      </c>
      <c r="AW26" s="249">
        <v>0</v>
      </c>
      <c r="AX26" s="249">
        <v>0</v>
      </c>
      <c r="AY26" s="249">
        <v>0</v>
      </c>
      <c r="AZ26" s="249">
        <v>0</v>
      </c>
      <c r="BA26" s="241"/>
      <c r="BB26" s="249" t="s">
        <v>592</v>
      </c>
      <c r="BC26" s="249">
        <v>0</v>
      </c>
      <c r="BD26" s="249">
        <v>0</v>
      </c>
      <c r="BE26" s="249">
        <v>0</v>
      </c>
      <c r="BF26" s="249">
        <v>0</v>
      </c>
      <c r="BG26" s="249">
        <v>0</v>
      </c>
      <c r="BH26" s="243" t="s">
        <v>592</v>
      </c>
      <c r="BI26" s="249">
        <v>0</v>
      </c>
      <c r="BJ26" s="249">
        <v>0</v>
      </c>
      <c r="BK26" s="249">
        <v>0</v>
      </c>
      <c r="BL26" s="249">
        <v>0</v>
      </c>
      <c r="BM26" s="249">
        <v>0</v>
      </c>
      <c r="BN26" s="249"/>
      <c r="BO26" s="243"/>
      <c r="BP26" s="259">
        <v>852035</v>
      </c>
      <c r="BQ26" s="259"/>
      <c r="BR26" s="259"/>
      <c r="BS26" s="241"/>
      <c r="BT26" s="241"/>
      <c r="BU26" s="241"/>
      <c r="BV26" s="241"/>
      <c r="BW26" s="241"/>
      <c r="BX26" s="241"/>
      <c r="BY26" s="241"/>
      <c r="BZ26" s="241"/>
      <c r="CA26" s="241"/>
      <c r="CB26" s="241"/>
      <c r="CC26" s="241"/>
      <c r="CD26" s="241"/>
      <c r="CE26" s="241"/>
      <c r="CF26" s="241"/>
      <c r="CG26" s="241"/>
      <c r="CH26" s="241"/>
      <c r="CI26" s="241"/>
      <c r="CJ26" s="241"/>
      <c r="CK26" s="241"/>
      <c r="CL26" s="241"/>
      <c r="CM26" s="241"/>
      <c r="CN26" s="241"/>
      <c r="CO26" s="241"/>
      <c r="CP26" s="241"/>
      <c r="CQ26" s="241"/>
      <c r="CR26" s="241"/>
      <c r="CS26" s="241"/>
      <c r="CT26" s="241"/>
      <c r="CU26" s="241"/>
      <c r="CV26" s="241"/>
      <c r="CW26" s="241"/>
      <c r="CX26" s="241"/>
      <c r="CY26" s="241"/>
      <c r="CZ26" s="241"/>
      <c r="DA26" s="241"/>
      <c r="DB26" s="241"/>
      <c r="DC26" s="241"/>
      <c r="DD26" s="241"/>
    </row>
    <row r="27" spans="1:108" x14ac:dyDescent="0.25">
      <c r="B27" s="188" t="s">
        <v>222</v>
      </c>
      <c r="C27" s="191">
        <v>38713</v>
      </c>
      <c r="D27" s="188">
        <v>17257.37</v>
      </c>
      <c r="E27" s="219">
        <v>1</v>
      </c>
      <c r="F27" s="205"/>
      <c r="G27" s="219" t="s">
        <v>263</v>
      </c>
      <c r="H27" s="219">
        <v>3093.89027807</v>
      </c>
      <c r="I27" s="163"/>
      <c r="J27" s="157"/>
      <c r="K27" s="227"/>
      <c r="L27" s="224"/>
      <c r="M27" s="224"/>
      <c r="O27" s="237" t="s">
        <v>263</v>
      </c>
      <c r="P27" s="237">
        <v>3181.83682383</v>
      </c>
      <c r="Q27" s="235"/>
      <c r="S27" s="249"/>
      <c r="T27" s="254"/>
      <c r="U27" s="254"/>
      <c r="V27" s="254"/>
      <c r="W27" s="254"/>
      <c r="X27" s="254"/>
      <c r="Y27" s="241"/>
      <c r="Z27" s="249" t="s">
        <v>577</v>
      </c>
      <c r="AA27" s="249">
        <v>0</v>
      </c>
      <c r="AB27" s="249">
        <v>0</v>
      </c>
      <c r="AC27" s="249">
        <v>0</v>
      </c>
      <c r="AD27" s="249">
        <v>0</v>
      </c>
      <c r="AE27" s="249">
        <v>0</v>
      </c>
      <c r="AF27" s="249"/>
      <c r="AG27" s="249" t="s">
        <v>592</v>
      </c>
      <c r="AH27" s="249">
        <v>0</v>
      </c>
      <c r="AI27" s="249">
        <v>0</v>
      </c>
      <c r="AJ27" s="249">
        <v>0</v>
      </c>
      <c r="AK27" s="249">
        <v>0</v>
      </c>
      <c r="AL27" s="249">
        <v>0</v>
      </c>
      <c r="AM27" s="241"/>
      <c r="AN27" s="249" t="s">
        <v>592</v>
      </c>
      <c r="AO27" s="249">
        <v>0</v>
      </c>
      <c r="AP27" s="249">
        <v>0</v>
      </c>
      <c r="AQ27" s="249">
        <v>0</v>
      </c>
      <c r="AR27" s="249">
        <v>0</v>
      </c>
      <c r="AS27" s="249">
        <v>0</v>
      </c>
      <c r="AT27" s="241"/>
      <c r="AU27" s="249" t="s">
        <v>592</v>
      </c>
      <c r="AV27" s="249">
        <v>0</v>
      </c>
      <c r="AW27" s="249">
        <v>0</v>
      </c>
      <c r="AX27" s="249">
        <v>0</v>
      </c>
      <c r="AY27" s="249">
        <v>0</v>
      </c>
      <c r="AZ27" s="249">
        <v>0</v>
      </c>
      <c r="BA27" s="241"/>
      <c r="BB27" s="249" t="s">
        <v>593</v>
      </c>
      <c r="BC27" s="249">
        <v>0</v>
      </c>
      <c r="BD27" s="249">
        <v>0</v>
      </c>
      <c r="BE27" s="249">
        <v>0</v>
      </c>
      <c r="BF27" s="249">
        <v>0</v>
      </c>
      <c r="BG27" s="249">
        <v>0</v>
      </c>
      <c r="BH27" s="243" t="s">
        <v>593</v>
      </c>
      <c r="BI27" s="249">
        <v>0</v>
      </c>
      <c r="BJ27" s="249">
        <v>0</v>
      </c>
      <c r="BK27" s="249">
        <v>0</v>
      </c>
      <c r="BL27" s="249">
        <v>0</v>
      </c>
      <c r="BM27" s="249">
        <v>0</v>
      </c>
      <c r="BN27" s="249"/>
      <c r="BO27" s="243"/>
      <c r="BP27" s="259"/>
      <c r="BQ27" s="259"/>
      <c r="BR27" s="259"/>
      <c r="BS27" s="241"/>
      <c r="BT27" s="241"/>
      <c r="BU27" s="241"/>
      <c r="BV27" s="241"/>
      <c r="BW27" s="241"/>
      <c r="BX27" s="241"/>
      <c r="BY27" s="241"/>
      <c r="BZ27" s="241"/>
      <c r="CA27" s="241"/>
      <c r="CB27" s="241"/>
      <c r="CC27" s="241"/>
      <c r="CD27" s="241"/>
      <c r="CE27" s="241"/>
      <c r="CF27" s="241"/>
      <c r="CG27" s="241"/>
      <c r="CH27" s="241"/>
      <c r="CI27" s="241"/>
      <c r="CJ27" s="241"/>
      <c r="CK27" s="241"/>
      <c r="CL27" s="241"/>
      <c r="CM27" s="241"/>
      <c r="CN27" s="241"/>
      <c r="CO27" s="241"/>
      <c r="CP27" s="241"/>
      <c r="CQ27" s="241"/>
      <c r="CR27" s="263" t="s">
        <v>509</v>
      </c>
      <c r="CS27" s="272" t="s">
        <v>631</v>
      </c>
      <c r="CT27" s="271" t="s">
        <v>632</v>
      </c>
      <c r="CU27" s="271" t="s">
        <v>633</v>
      </c>
      <c r="CV27" s="271" t="s">
        <v>634</v>
      </c>
      <c r="CW27" s="271" t="s">
        <v>635</v>
      </c>
      <c r="CX27" s="271" t="s">
        <v>636</v>
      </c>
      <c r="CY27" s="271" t="s">
        <v>637</v>
      </c>
      <c r="CZ27" s="271" t="s">
        <v>638</v>
      </c>
      <c r="DA27" s="271" t="s">
        <v>639</v>
      </c>
      <c r="DB27" s="271" t="s">
        <v>640</v>
      </c>
      <c r="DC27" s="271" t="s">
        <v>641</v>
      </c>
      <c r="DD27" s="271" t="s">
        <v>642</v>
      </c>
    </row>
    <row r="28" spans="1:108" ht="14.4" x14ac:dyDescent="0.3">
      <c r="B28" s="188" t="s">
        <v>223</v>
      </c>
      <c r="C28" s="191">
        <v>38716</v>
      </c>
      <c r="D28" s="188">
        <v>10070.700000000001</v>
      </c>
      <c r="E28" s="219">
        <v>1</v>
      </c>
      <c r="F28" s="205"/>
      <c r="G28" s="219" t="s">
        <v>264</v>
      </c>
      <c r="H28" s="219">
        <v>2971.9535248699999</v>
      </c>
      <c r="I28" s="163"/>
      <c r="J28" s="157"/>
      <c r="K28" s="227"/>
      <c r="L28" s="229"/>
      <c r="M28" s="232"/>
      <c r="O28" s="237" t="s">
        <v>264</v>
      </c>
      <c r="P28" s="237">
        <v>2966.0383903900001</v>
      </c>
      <c r="Q28" s="235"/>
      <c r="S28" s="241"/>
      <c r="T28" s="241"/>
      <c r="U28" s="241"/>
      <c r="V28" s="241"/>
      <c r="W28" s="241"/>
      <c r="X28" s="241"/>
      <c r="Y28" s="241"/>
      <c r="Z28" s="249" t="s">
        <v>577</v>
      </c>
      <c r="AA28" s="249">
        <v>0</v>
      </c>
      <c r="AB28" s="249">
        <v>0</v>
      </c>
      <c r="AC28" s="249">
        <v>0</v>
      </c>
      <c r="AD28" s="249">
        <v>0</v>
      </c>
      <c r="AE28" s="249">
        <v>1</v>
      </c>
      <c r="AF28" s="249"/>
      <c r="AG28" s="249" t="s">
        <v>593</v>
      </c>
      <c r="AH28" s="249">
        <v>0</v>
      </c>
      <c r="AI28" s="249">
        <v>0</v>
      </c>
      <c r="AJ28" s="249">
        <v>0</v>
      </c>
      <c r="AK28" s="249">
        <v>0</v>
      </c>
      <c r="AL28" s="249">
        <v>0</v>
      </c>
      <c r="AM28" s="241"/>
      <c r="AN28" s="249" t="s">
        <v>593</v>
      </c>
      <c r="AO28" s="249">
        <v>0</v>
      </c>
      <c r="AP28" s="249">
        <v>0</v>
      </c>
      <c r="AQ28" s="249">
        <v>0</v>
      </c>
      <c r="AR28" s="249">
        <v>0</v>
      </c>
      <c r="AS28" s="249">
        <v>0</v>
      </c>
      <c r="AT28" s="241"/>
      <c r="AU28" s="249" t="s">
        <v>593</v>
      </c>
      <c r="AV28" s="249">
        <v>0</v>
      </c>
      <c r="AW28" s="249">
        <v>0</v>
      </c>
      <c r="AX28" s="249">
        <v>0</v>
      </c>
      <c r="AY28" s="249">
        <v>0</v>
      </c>
      <c r="AZ28" s="249">
        <v>0</v>
      </c>
      <c r="BA28" s="241"/>
      <c r="BB28" s="249" t="s">
        <v>594</v>
      </c>
      <c r="BC28" s="249">
        <v>0</v>
      </c>
      <c r="BD28" s="249">
        <v>0</v>
      </c>
      <c r="BE28" s="249">
        <v>0</v>
      </c>
      <c r="BF28" s="249">
        <v>0</v>
      </c>
      <c r="BG28" s="249">
        <v>0</v>
      </c>
      <c r="BH28" s="243" t="s">
        <v>594</v>
      </c>
      <c r="BI28" s="249">
        <v>0</v>
      </c>
      <c r="BJ28" s="249">
        <v>0</v>
      </c>
      <c r="BK28" s="249">
        <v>0</v>
      </c>
      <c r="BL28" s="249">
        <v>0</v>
      </c>
      <c r="BM28" s="249">
        <v>0</v>
      </c>
      <c r="BN28" s="249"/>
      <c r="BO28" s="252" t="s">
        <v>476</v>
      </c>
      <c r="BP28" s="260" t="s">
        <v>561</v>
      </c>
      <c r="BQ28" s="259"/>
      <c r="BR28" s="259"/>
      <c r="BS28" s="241"/>
      <c r="BT28" s="241"/>
      <c r="BU28" s="241"/>
      <c r="BV28" s="241"/>
      <c r="BW28" s="241"/>
      <c r="BX28" s="241"/>
      <c r="BY28" s="241"/>
      <c r="BZ28" s="241"/>
      <c r="CA28" s="241"/>
      <c r="CB28" s="241"/>
      <c r="CC28" s="241"/>
      <c r="CD28" s="241"/>
      <c r="CE28" s="241"/>
      <c r="CF28" s="241"/>
      <c r="CG28" s="241"/>
      <c r="CH28" s="241"/>
      <c r="CI28" s="241"/>
      <c r="CJ28" s="241"/>
      <c r="CK28" s="241"/>
      <c r="CL28" s="241"/>
      <c r="CM28" s="241"/>
      <c r="CN28" s="241"/>
      <c r="CO28" s="241"/>
      <c r="CP28" s="241"/>
      <c r="CQ28" s="241"/>
      <c r="CR28" s="243"/>
      <c r="CS28" s="273">
        <v>2018</v>
      </c>
      <c r="CT28" s="271">
        <v>29</v>
      </c>
      <c r="CU28" s="271" t="s">
        <v>643</v>
      </c>
      <c r="CV28" s="271">
        <v>0</v>
      </c>
      <c r="CW28" s="271">
        <v>4722803049</v>
      </c>
      <c r="CX28" s="271">
        <v>2750</v>
      </c>
      <c r="CY28" s="271">
        <v>0</v>
      </c>
      <c r="CZ28" s="271">
        <v>125632918831</v>
      </c>
      <c r="DA28" s="271">
        <v>1332</v>
      </c>
      <c r="DB28" s="271">
        <v>0</v>
      </c>
      <c r="DC28" s="271">
        <v>120910115782</v>
      </c>
      <c r="DD28" s="271">
        <v>1418</v>
      </c>
    </row>
    <row r="29" spans="1:108" x14ac:dyDescent="0.25">
      <c r="B29" s="188" t="s">
        <v>224</v>
      </c>
      <c r="C29" s="191">
        <v>38677</v>
      </c>
      <c r="D29" s="188">
        <v>28766.959999999999</v>
      </c>
      <c r="E29" s="219">
        <v>1</v>
      </c>
      <c r="F29" s="205"/>
      <c r="G29" s="219" t="s">
        <v>92</v>
      </c>
      <c r="H29" s="219">
        <v>3543.2833149600001</v>
      </c>
      <c r="I29" s="163"/>
      <c r="J29" s="157"/>
      <c r="K29" s="227"/>
      <c r="L29" s="224"/>
      <c r="M29" s="224"/>
      <c r="O29" s="237" t="s">
        <v>92</v>
      </c>
      <c r="P29" s="237">
        <v>3616.9379862999999</v>
      </c>
      <c r="Q29" s="235"/>
      <c r="S29" s="241"/>
      <c r="T29" s="241"/>
      <c r="U29" s="241"/>
      <c r="V29" s="241"/>
      <c r="W29" s="241"/>
      <c r="X29" s="241"/>
      <c r="Y29" s="241"/>
      <c r="Z29" s="249" t="s">
        <v>578</v>
      </c>
      <c r="AA29" s="249">
        <v>0</v>
      </c>
      <c r="AB29" s="249">
        <v>0</v>
      </c>
      <c r="AC29" s="249">
        <v>0</v>
      </c>
      <c r="AD29" s="249">
        <v>0</v>
      </c>
      <c r="AE29" s="249">
        <v>0</v>
      </c>
      <c r="AF29" s="249"/>
      <c r="AG29" s="249" t="s">
        <v>596</v>
      </c>
      <c r="AH29" s="249">
        <v>0</v>
      </c>
      <c r="AI29" s="249">
        <v>0</v>
      </c>
      <c r="AJ29" s="249">
        <v>0</v>
      </c>
      <c r="AK29" s="249">
        <v>522</v>
      </c>
      <c r="AL29" s="249">
        <v>0</v>
      </c>
      <c r="AM29" s="241"/>
      <c r="AN29" s="249" t="s">
        <v>594</v>
      </c>
      <c r="AO29" s="249">
        <v>0</v>
      </c>
      <c r="AP29" s="249">
        <v>0</v>
      </c>
      <c r="AQ29" s="249">
        <v>0</v>
      </c>
      <c r="AR29" s="249">
        <v>0</v>
      </c>
      <c r="AS29" s="249">
        <v>0</v>
      </c>
      <c r="AT29" s="241"/>
      <c r="AU29" s="249" t="s">
        <v>594</v>
      </c>
      <c r="AV29" s="249">
        <v>0</v>
      </c>
      <c r="AW29" s="249">
        <v>0</v>
      </c>
      <c r="AX29" s="249">
        <v>0</v>
      </c>
      <c r="AY29" s="249">
        <v>0</v>
      </c>
      <c r="AZ29" s="249">
        <v>0</v>
      </c>
      <c r="BA29" s="241"/>
      <c r="BB29" s="249" t="s">
        <v>595</v>
      </c>
      <c r="BC29" s="249">
        <v>0</v>
      </c>
      <c r="BD29" s="249">
        <v>0</v>
      </c>
      <c r="BE29" s="249">
        <v>0</v>
      </c>
      <c r="BF29" s="249">
        <v>0</v>
      </c>
      <c r="BG29" s="249">
        <v>0</v>
      </c>
      <c r="BH29" s="243" t="s">
        <v>595</v>
      </c>
      <c r="BI29" s="249">
        <v>0</v>
      </c>
      <c r="BJ29" s="249">
        <v>0</v>
      </c>
      <c r="BK29" s="249">
        <v>0</v>
      </c>
      <c r="BL29" s="249">
        <v>0</v>
      </c>
      <c r="BM29" s="249">
        <v>0</v>
      </c>
      <c r="BN29" s="249"/>
      <c r="BO29" s="243"/>
      <c r="BP29" s="259">
        <v>201261</v>
      </c>
      <c r="BQ29" s="259"/>
      <c r="BR29" s="259"/>
      <c r="BS29" s="241"/>
      <c r="BT29" s="241"/>
      <c r="BU29" s="241"/>
      <c r="BV29" s="241"/>
      <c r="BW29" s="241"/>
      <c r="BX29" s="241"/>
      <c r="BY29" s="241"/>
      <c r="BZ29" s="241"/>
      <c r="CA29" s="241"/>
      <c r="CB29" s="241"/>
      <c r="CC29" s="241"/>
      <c r="CD29" s="241"/>
      <c r="CE29" s="241"/>
      <c r="CF29" s="241"/>
      <c r="CG29" s="241"/>
      <c r="CH29" s="241"/>
      <c r="CI29" s="241"/>
      <c r="CJ29" s="241"/>
      <c r="CK29" s="241"/>
      <c r="CL29" s="241"/>
      <c r="CM29" s="241"/>
      <c r="CN29" s="241"/>
      <c r="CO29" s="241"/>
      <c r="CP29" s="241"/>
      <c r="CQ29" s="241"/>
      <c r="CR29" s="243"/>
      <c r="CS29" s="273">
        <v>2018</v>
      </c>
      <c r="CT29" s="271">
        <v>28</v>
      </c>
      <c r="CU29" s="271" t="s">
        <v>644</v>
      </c>
      <c r="CV29" s="271">
        <v>-362232953647.82977</v>
      </c>
      <c r="CW29" s="271">
        <v>-299455781350</v>
      </c>
      <c r="CX29" s="271">
        <v>5691</v>
      </c>
      <c r="CY29" s="271">
        <v>398347729220.44952</v>
      </c>
      <c r="CZ29" s="271">
        <v>423335725090</v>
      </c>
      <c r="DA29" s="271">
        <v>2924</v>
      </c>
      <c r="DB29" s="271">
        <v>760580682868.2793</v>
      </c>
      <c r="DC29" s="271">
        <v>722791506440</v>
      </c>
      <c r="DD29" s="271">
        <v>2767</v>
      </c>
    </row>
    <row r="30" spans="1:108" x14ac:dyDescent="0.25">
      <c r="B30" s="188" t="s">
        <v>225</v>
      </c>
      <c r="C30" s="191">
        <v>37432</v>
      </c>
      <c r="D30" s="188">
        <v>30613.119999999999</v>
      </c>
      <c r="E30" s="219">
        <v>1</v>
      </c>
      <c r="F30" s="205"/>
      <c r="G30" s="219" t="s">
        <v>62</v>
      </c>
      <c r="H30" s="219">
        <v>2652.1297607800002</v>
      </c>
      <c r="I30" s="163"/>
      <c r="J30" s="157"/>
      <c r="K30" s="227"/>
      <c r="L30" s="224"/>
      <c r="M30" s="224"/>
      <c r="O30" s="237" t="s">
        <v>62</v>
      </c>
      <c r="P30" s="237">
        <v>2056.0059939900002</v>
      </c>
      <c r="Q30" s="235"/>
      <c r="S30" s="250"/>
      <c r="T30" s="253"/>
      <c r="U30" s="253"/>
      <c r="V30" s="253"/>
      <c r="W30" s="253"/>
      <c r="X30" s="253"/>
      <c r="Y30" s="241"/>
      <c r="Z30" s="249" t="s">
        <v>578</v>
      </c>
      <c r="AA30" s="249">
        <v>243189729.998</v>
      </c>
      <c r="AB30" s="249">
        <v>1044</v>
      </c>
      <c r="AC30" s="249">
        <v>19</v>
      </c>
      <c r="AD30" s="249">
        <v>10305</v>
      </c>
      <c r="AE30" s="249">
        <v>1</v>
      </c>
      <c r="AF30" s="249"/>
      <c r="AG30" s="249" t="s">
        <v>598</v>
      </c>
      <c r="AH30" s="249">
        <v>0</v>
      </c>
      <c r="AI30" s="249">
        <v>0</v>
      </c>
      <c r="AJ30" s="249">
        <v>0</v>
      </c>
      <c r="AK30" s="249">
        <v>0</v>
      </c>
      <c r="AL30" s="249">
        <v>0</v>
      </c>
      <c r="AM30" s="241"/>
      <c r="AN30" s="249" t="s">
        <v>595</v>
      </c>
      <c r="AO30" s="249">
        <v>0</v>
      </c>
      <c r="AP30" s="249">
        <v>0</v>
      </c>
      <c r="AQ30" s="249">
        <v>0</v>
      </c>
      <c r="AR30" s="249">
        <v>0</v>
      </c>
      <c r="AS30" s="249">
        <v>0</v>
      </c>
      <c r="AT30" s="241"/>
      <c r="AU30" s="249" t="s">
        <v>595</v>
      </c>
      <c r="AV30" s="249">
        <v>0</v>
      </c>
      <c r="AW30" s="249">
        <v>0</v>
      </c>
      <c r="AX30" s="249">
        <v>0</v>
      </c>
      <c r="AY30" s="249">
        <v>0</v>
      </c>
      <c r="AZ30" s="249">
        <v>0</v>
      </c>
      <c r="BA30" s="241"/>
      <c r="BB30" s="249" t="s">
        <v>596</v>
      </c>
      <c r="BC30" s="249">
        <v>3042345.13</v>
      </c>
      <c r="BD30" s="249">
        <v>446</v>
      </c>
      <c r="BE30" s="249">
        <v>51</v>
      </c>
      <c r="BF30" s="249">
        <v>33831</v>
      </c>
      <c r="BG30" s="249">
        <v>0</v>
      </c>
      <c r="BH30" s="243" t="s">
        <v>596</v>
      </c>
      <c r="BI30" s="249">
        <v>0</v>
      </c>
      <c r="BJ30" s="249">
        <v>0</v>
      </c>
      <c r="BK30" s="249">
        <v>0</v>
      </c>
      <c r="BL30" s="249">
        <v>1603</v>
      </c>
      <c r="BM30" s="249">
        <v>0</v>
      </c>
      <c r="BN30" s="249"/>
      <c r="BO30" s="243"/>
      <c r="BP30" s="259"/>
      <c r="BQ30" s="259"/>
      <c r="BR30" s="259"/>
      <c r="BS30" s="241"/>
      <c r="BT30" s="241"/>
      <c r="BU30" s="241"/>
      <c r="BV30" s="241"/>
      <c r="BW30" s="241"/>
      <c r="BX30" s="241"/>
      <c r="BY30" s="241"/>
      <c r="BZ30" s="241"/>
      <c r="CA30" s="241"/>
      <c r="CB30" s="241"/>
      <c r="CC30" s="241"/>
      <c r="CD30" s="241"/>
      <c r="CE30" s="241"/>
      <c r="CF30" s="241"/>
      <c r="CG30" s="241"/>
      <c r="CH30" s="241"/>
      <c r="CI30" s="241"/>
      <c r="CJ30" s="241"/>
      <c r="CK30" s="241"/>
      <c r="CL30" s="241"/>
      <c r="CM30" s="241"/>
      <c r="CN30" s="241"/>
      <c r="CO30" s="241"/>
      <c r="CP30" s="241"/>
      <c r="CQ30" s="241"/>
      <c r="CR30" s="243"/>
      <c r="CS30" s="273">
        <v>2018</v>
      </c>
      <c r="CT30" s="271">
        <v>28</v>
      </c>
      <c r="CU30" s="271" t="s">
        <v>645</v>
      </c>
      <c r="CV30" s="271">
        <v>354686587603.03156</v>
      </c>
      <c r="CW30" s="271">
        <v>291935094350</v>
      </c>
      <c r="CX30" s="271">
        <v>5570</v>
      </c>
      <c r="CY30" s="271">
        <v>743387235266.72046</v>
      </c>
      <c r="CZ30" s="271">
        <v>705708319440</v>
      </c>
      <c r="DA30" s="271">
        <v>2700</v>
      </c>
      <c r="DB30" s="271">
        <v>388700647663.69025</v>
      </c>
      <c r="DC30" s="271">
        <v>413773225090</v>
      </c>
      <c r="DD30" s="271">
        <v>2870</v>
      </c>
    </row>
    <row r="31" spans="1:108" x14ac:dyDescent="0.25">
      <c r="B31" s="188" t="s">
        <v>226</v>
      </c>
      <c r="C31" s="191">
        <v>38425</v>
      </c>
      <c r="D31" s="188">
        <v>14581.36</v>
      </c>
      <c r="E31" s="219">
        <v>1</v>
      </c>
      <c r="F31" s="210"/>
      <c r="G31" s="219" t="s">
        <v>265</v>
      </c>
      <c r="H31" s="219">
        <v>18816.9463703</v>
      </c>
      <c r="I31" s="163"/>
      <c r="J31" s="158"/>
      <c r="K31" s="225"/>
      <c r="L31" s="224"/>
      <c r="M31" s="224"/>
      <c r="O31" s="237" t="s">
        <v>265</v>
      </c>
      <c r="P31" s="237">
        <v>23125.6222007</v>
      </c>
      <c r="Q31" s="235"/>
      <c r="R31" s="157"/>
      <c r="S31" s="249"/>
      <c r="T31" s="254"/>
      <c r="U31" s="254"/>
      <c r="V31" s="254"/>
      <c r="W31" s="254"/>
      <c r="X31" s="254"/>
      <c r="Y31" s="241"/>
      <c r="Z31" s="249" t="s">
        <v>579</v>
      </c>
      <c r="AA31" s="249">
        <v>0</v>
      </c>
      <c r="AB31" s="249">
        <v>0</v>
      </c>
      <c r="AC31" s="249">
        <v>0</v>
      </c>
      <c r="AD31" s="249">
        <v>0</v>
      </c>
      <c r="AE31" s="249">
        <v>0</v>
      </c>
      <c r="AF31" s="249"/>
      <c r="AG31" s="249" t="s">
        <v>599</v>
      </c>
      <c r="AH31" s="249">
        <v>0</v>
      </c>
      <c r="AI31" s="249">
        <v>0</v>
      </c>
      <c r="AJ31" s="249">
        <v>0</v>
      </c>
      <c r="AK31" s="249">
        <v>0</v>
      </c>
      <c r="AL31" s="249">
        <v>0</v>
      </c>
      <c r="AM31" s="241"/>
      <c r="AN31" s="249" t="s">
        <v>596</v>
      </c>
      <c r="AO31" s="249">
        <v>156000</v>
      </c>
      <c r="AP31" s="249">
        <v>20</v>
      </c>
      <c r="AQ31" s="249">
        <v>2</v>
      </c>
      <c r="AR31" s="249">
        <v>10488</v>
      </c>
      <c r="AS31" s="249">
        <v>0</v>
      </c>
      <c r="AT31" s="241"/>
      <c r="AU31" s="249" t="s">
        <v>596</v>
      </c>
      <c r="AV31" s="249">
        <v>0</v>
      </c>
      <c r="AW31" s="249">
        <v>0</v>
      </c>
      <c r="AX31" s="249">
        <v>0</v>
      </c>
      <c r="AY31" s="249">
        <v>456</v>
      </c>
      <c r="AZ31" s="249">
        <v>0</v>
      </c>
      <c r="BA31" s="241"/>
      <c r="BB31" s="249" t="s">
        <v>598</v>
      </c>
      <c r="BC31" s="249">
        <v>0</v>
      </c>
      <c r="BD31" s="249">
        <v>0</v>
      </c>
      <c r="BE31" s="249">
        <v>0</v>
      </c>
      <c r="BF31" s="249">
        <v>0</v>
      </c>
      <c r="BG31" s="249">
        <v>0</v>
      </c>
      <c r="BH31" s="243" t="s">
        <v>598</v>
      </c>
      <c r="BI31" s="249">
        <v>0</v>
      </c>
      <c r="BJ31" s="249">
        <v>0</v>
      </c>
      <c r="BK31" s="249">
        <v>0</v>
      </c>
      <c r="BL31" s="249">
        <v>0</v>
      </c>
      <c r="BM31" s="249">
        <v>0</v>
      </c>
      <c r="BN31" s="249"/>
      <c r="BO31" s="252" t="s">
        <v>459</v>
      </c>
      <c r="BP31" s="260" t="s">
        <v>529</v>
      </c>
      <c r="BQ31" s="260" t="s">
        <v>559</v>
      </c>
      <c r="BR31" s="260" t="s">
        <v>560</v>
      </c>
      <c r="BS31" s="241"/>
      <c r="BT31" s="241"/>
      <c r="BU31" s="241"/>
      <c r="BV31" s="241"/>
      <c r="BW31" s="241"/>
      <c r="BX31" s="241"/>
      <c r="BY31" s="241"/>
      <c r="BZ31" s="241"/>
      <c r="CA31" s="241"/>
      <c r="CB31" s="241"/>
      <c r="CC31" s="241"/>
      <c r="CD31" s="241"/>
      <c r="CE31" s="241"/>
      <c r="CF31" s="241"/>
      <c r="CG31" s="241"/>
      <c r="CH31" s="241"/>
      <c r="CI31" s="241"/>
      <c r="CJ31" s="241"/>
      <c r="CK31" s="241"/>
      <c r="CL31" s="241"/>
      <c r="CM31" s="241"/>
      <c r="CN31" s="241"/>
      <c r="CO31" s="241"/>
      <c r="CP31" s="241"/>
      <c r="CQ31" s="241"/>
      <c r="CR31" s="243"/>
      <c r="CS31" s="273">
        <v>2018</v>
      </c>
      <c r="CT31" s="271">
        <v>362</v>
      </c>
      <c r="CU31" s="271" t="s">
        <v>646</v>
      </c>
      <c r="CV31" s="271">
        <v>-40476916438.130013</v>
      </c>
      <c r="CW31" s="271">
        <v>-40306735904</v>
      </c>
      <c r="CX31" s="271">
        <v>6330</v>
      </c>
      <c r="CY31" s="271">
        <v>108338360176.85962</v>
      </c>
      <c r="CZ31" s="271">
        <v>104371748538</v>
      </c>
      <c r="DA31" s="271">
        <v>3258</v>
      </c>
      <c r="DB31" s="271">
        <v>148815276614.99002</v>
      </c>
      <c r="DC31" s="271">
        <v>144678484442</v>
      </c>
      <c r="DD31" s="271">
        <v>3072</v>
      </c>
    </row>
    <row r="32" spans="1:108" x14ac:dyDescent="0.25">
      <c r="B32" s="188" t="s">
        <v>227</v>
      </c>
      <c r="C32" s="191">
        <v>38715</v>
      </c>
      <c r="D32" s="188">
        <v>17673.63</v>
      </c>
      <c r="E32" s="219">
        <v>1</v>
      </c>
      <c r="F32" s="205"/>
      <c r="G32" s="219" t="s">
        <v>105</v>
      </c>
      <c r="H32" s="219">
        <v>43.252609620000001</v>
      </c>
      <c r="I32" s="163"/>
      <c r="J32" s="157"/>
      <c r="K32" s="225"/>
      <c r="L32" s="224"/>
      <c r="M32" s="224"/>
      <c r="O32" s="237" t="s">
        <v>105</v>
      </c>
      <c r="P32" s="237">
        <v>38.307038499999997</v>
      </c>
      <c r="Q32" s="235"/>
      <c r="R32" s="157"/>
      <c r="S32" s="249"/>
      <c r="T32" s="254"/>
      <c r="U32" s="254"/>
      <c r="V32" s="254"/>
      <c r="W32" s="254"/>
      <c r="X32" s="254"/>
      <c r="Y32" s="241"/>
      <c r="Z32" s="249" t="s">
        <v>579</v>
      </c>
      <c r="AA32" s="249">
        <v>26335820.050000001</v>
      </c>
      <c r="AB32" s="249">
        <v>176</v>
      </c>
      <c r="AC32" s="249">
        <v>25</v>
      </c>
      <c r="AD32" s="249">
        <v>1100</v>
      </c>
      <c r="AE32" s="249">
        <v>1</v>
      </c>
      <c r="AF32" s="249"/>
      <c r="AG32" s="249" t="s">
        <v>600</v>
      </c>
      <c r="AH32" s="249">
        <v>0</v>
      </c>
      <c r="AI32" s="249">
        <v>0</v>
      </c>
      <c r="AJ32" s="249">
        <v>0</v>
      </c>
      <c r="AK32" s="249">
        <v>0</v>
      </c>
      <c r="AL32" s="249">
        <v>0</v>
      </c>
      <c r="AM32" s="241"/>
      <c r="AN32" s="249" t="s">
        <v>598</v>
      </c>
      <c r="AO32" s="249">
        <v>0</v>
      </c>
      <c r="AP32" s="249">
        <v>0</v>
      </c>
      <c r="AQ32" s="249">
        <v>0</v>
      </c>
      <c r="AR32" s="249">
        <v>0</v>
      </c>
      <c r="AS32" s="249">
        <v>0</v>
      </c>
      <c r="AT32" s="241"/>
      <c r="AU32" s="249" t="s">
        <v>598</v>
      </c>
      <c r="AV32" s="249">
        <v>0</v>
      </c>
      <c r="AW32" s="249">
        <v>0</v>
      </c>
      <c r="AX32" s="249">
        <v>0</v>
      </c>
      <c r="AY32" s="249">
        <v>0</v>
      </c>
      <c r="AZ32" s="249">
        <v>0</v>
      </c>
      <c r="BA32" s="241"/>
      <c r="BB32" s="249" t="s">
        <v>599</v>
      </c>
      <c r="BC32" s="249">
        <v>0</v>
      </c>
      <c r="BD32" s="249">
        <v>0</v>
      </c>
      <c r="BE32" s="249">
        <v>0</v>
      </c>
      <c r="BF32" s="249">
        <v>0</v>
      </c>
      <c r="BG32" s="249">
        <v>0</v>
      </c>
      <c r="BH32" s="243" t="s">
        <v>599</v>
      </c>
      <c r="BI32" s="249">
        <v>0</v>
      </c>
      <c r="BJ32" s="249">
        <v>0</v>
      </c>
      <c r="BK32" s="249">
        <v>0</v>
      </c>
      <c r="BL32" s="249">
        <v>0</v>
      </c>
      <c r="BM32" s="249">
        <v>0</v>
      </c>
      <c r="BN32" s="249"/>
      <c r="BO32" s="241"/>
      <c r="BP32" s="259">
        <v>851124630512.30005</v>
      </c>
      <c r="BQ32" s="259">
        <v>7730566</v>
      </c>
      <c r="BR32" s="259">
        <v>9022</v>
      </c>
      <c r="BS32" s="241"/>
      <c r="BT32" s="241"/>
      <c r="BU32" s="241"/>
      <c r="BV32" s="241"/>
      <c r="BW32" s="241"/>
      <c r="BX32" s="241"/>
      <c r="BY32" s="241"/>
      <c r="BZ32" s="241"/>
      <c r="CA32" s="241"/>
      <c r="CB32" s="241"/>
      <c r="CC32" s="241"/>
      <c r="CD32" s="241"/>
      <c r="CE32" s="241"/>
      <c r="CF32" s="241"/>
      <c r="CG32" s="241"/>
      <c r="CH32" s="241"/>
      <c r="CI32" s="241"/>
      <c r="CJ32" s="241"/>
      <c r="CK32" s="241"/>
      <c r="CL32" s="241"/>
      <c r="CM32" s="241"/>
      <c r="CN32" s="241"/>
      <c r="CO32" s="241"/>
      <c r="CP32" s="241"/>
      <c r="CQ32" s="241"/>
      <c r="CR32" s="243"/>
      <c r="CS32" s="273">
        <v>2018</v>
      </c>
      <c r="CT32" s="271">
        <v>184</v>
      </c>
      <c r="CU32" s="271" t="s">
        <v>647</v>
      </c>
      <c r="CV32" s="271">
        <v>-9845464367.9900322</v>
      </c>
      <c r="CW32" s="271">
        <v>-7321326594</v>
      </c>
      <c r="CX32" s="271">
        <v>21453</v>
      </c>
      <c r="CY32" s="271">
        <v>711319650050.17065</v>
      </c>
      <c r="CZ32" s="271">
        <v>682799626933</v>
      </c>
      <c r="DA32" s="271">
        <v>10935</v>
      </c>
      <c r="DB32" s="271">
        <v>721165114418.16101</v>
      </c>
      <c r="DC32" s="271">
        <v>690120953527</v>
      </c>
      <c r="DD32" s="271">
        <v>10518</v>
      </c>
    </row>
    <row r="33" spans="1:108" x14ac:dyDescent="0.25">
      <c r="B33" s="188" t="s">
        <v>228</v>
      </c>
      <c r="C33" s="191">
        <v>38715</v>
      </c>
      <c r="D33" s="188">
        <v>34075.21</v>
      </c>
      <c r="E33" s="219">
        <v>1</v>
      </c>
      <c r="F33" s="206"/>
      <c r="G33" s="219" t="s">
        <v>107</v>
      </c>
      <c r="H33" s="219">
        <v>10881.293384860001</v>
      </c>
      <c r="I33" s="163"/>
      <c r="J33" s="157"/>
      <c r="K33" s="224"/>
      <c r="L33" s="224"/>
      <c r="M33" s="224"/>
      <c r="O33" s="237" t="s">
        <v>107</v>
      </c>
      <c r="P33" s="237">
        <v>11522.49254542</v>
      </c>
      <c r="Q33" s="235"/>
      <c r="R33" s="153" t="s">
        <v>443</v>
      </c>
      <c r="S33" s="249"/>
      <c r="T33" s="254"/>
      <c r="U33" s="254"/>
      <c r="V33" s="254"/>
      <c r="W33" s="254"/>
      <c r="X33" s="254"/>
      <c r="Y33" s="241"/>
      <c r="Z33" s="249" t="s">
        <v>580</v>
      </c>
      <c r="AA33" s="249">
        <v>0</v>
      </c>
      <c r="AB33" s="249">
        <v>0</v>
      </c>
      <c r="AC33" s="249">
        <v>0</v>
      </c>
      <c r="AD33" s="249">
        <v>0</v>
      </c>
      <c r="AE33" s="249">
        <v>0</v>
      </c>
      <c r="AF33" s="249"/>
      <c r="AG33" s="249" t="s">
        <v>601</v>
      </c>
      <c r="AH33" s="249">
        <v>0</v>
      </c>
      <c r="AI33" s="249">
        <v>0</v>
      </c>
      <c r="AJ33" s="249">
        <v>0</v>
      </c>
      <c r="AK33" s="249">
        <v>0</v>
      </c>
      <c r="AL33" s="249">
        <v>0</v>
      </c>
      <c r="AM33" s="241"/>
      <c r="AN33" s="249" t="s">
        <v>599</v>
      </c>
      <c r="AO33" s="249">
        <v>0</v>
      </c>
      <c r="AP33" s="249">
        <v>0</v>
      </c>
      <c r="AQ33" s="249">
        <v>0</v>
      </c>
      <c r="AR33" s="249">
        <v>0</v>
      </c>
      <c r="AS33" s="249">
        <v>0</v>
      </c>
      <c r="AT33" s="241"/>
      <c r="AU33" s="249" t="s">
        <v>599</v>
      </c>
      <c r="AV33" s="249">
        <v>0</v>
      </c>
      <c r="AW33" s="249">
        <v>0</v>
      </c>
      <c r="AX33" s="249">
        <v>0</v>
      </c>
      <c r="AY33" s="249">
        <v>0</v>
      </c>
      <c r="AZ33" s="249">
        <v>0</v>
      </c>
      <c r="BA33" s="241"/>
      <c r="BB33" s="249" t="s">
        <v>600</v>
      </c>
      <c r="BC33" s="249">
        <v>0</v>
      </c>
      <c r="BD33" s="249">
        <v>0</v>
      </c>
      <c r="BE33" s="249">
        <v>0</v>
      </c>
      <c r="BF33" s="249">
        <v>0</v>
      </c>
      <c r="BG33" s="249">
        <v>0</v>
      </c>
      <c r="BH33" s="243" t="s">
        <v>600</v>
      </c>
      <c r="BI33" s="249">
        <v>0</v>
      </c>
      <c r="BJ33" s="249">
        <v>0</v>
      </c>
      <c r="BK33" s="249">
        <v>0</v>
      </c>
      <c r="BL33" s="249">
        <v>0</v>
      </c>
      <c r="BM33" s="249">
        <v>0</v>
      </c>
      <c r="BN33" s="249"/>
      <c r="BO33" s="241"/>
      <c r="BP33" s="241"/>
      <c r="BQ33" s="241"/>
      <c r="BR33" s="241"/>
      <c r="BS33" s="241"/>
      <c r="BT33" s="241"/>
      <c r="BU33" s="241"/>
      <c r="BV33" s="241"/>
      <c r="BW33" s="241"/>
      <c r="BX33" s="241"/>
      <c r="BY33" s="241"/>
      <c r="BZ33" s="241"/>
      <c r="CA33" s="241"/>
      <c r="CB33" s="241"/>
      <c r="CC33" s="241"/>
      <c r="CD33" s="241"/>
      <c r="CE33" s="241"/>
      <c r="CF33" s="241"/>
      <c r="CG33" s="241"/>
      <c r="CH33" s="241"/>
      <c r="CI33" s="241"/>
      <c r="CJ33" s="241"/>
      <c r="CK33" s="241"/>
      <c r="CL33" s="241"/>
      <c r="CM33" s="241"/>
      <c r="CN33" s="241"/>
      <c r="CO33" s="241"/>
      <c r="CP33" s="241"/>
      <c r="CQ33" s="241"/>
      <c r="CR33" s="243"/>
      <c r="CS33" s="273">
        <v>2018</v>
      </c>
      <c r="CT33" s="271">
        <v>24</v>
      </c>
      <c r="CU33" s="271" t="s">
        <v>648</v>
      </c>
      <c r="CV33" s="271">
        <v>-18756107060.560001</v>
      </c>
      <c r="CW33" s="271">
        <v>-17345718296</v>
      </c>
      <c r="CX33" s="271">
        <v>448</v>
      </c>
      <c r="CY33" s="271">
        <v>15106827039.740007</v>
      </c>
      <c r="CZ33" s="271">
        <v>14234344729</v>
      </c>
      <c r="DA33" s="271">
        <v>150</v>
      </c>
      <c r="DB33" s="271">
        <v>33862934100.300022</v>
      </c>
      <c r="DC33" s="271">
        <v>31580063025</v>
      </c>
      <c r="DD33" s="271">
        <v>298</v>
      </c>
    </row>
    <row r="34" spans="1:108" x14ac:dyDescent="0.25">
      <c r="B34" s="188" t="s">
        <v>229</v>
      </c>
      <c r="C34" s="191">
        <v>38680</v>
      </c>
      <c r="D34" s="188">
        <v>18105.080000000002</v>
      </c>
      <c r="E34" s="219">
        <v>1</v>
      </c>
      <c r="F34" s="206"/>
      <c r="G34" s="219" t="s">
        <v>268</v>
      </c>
      <c r="H34" s="219">
        <v>49439.752506060002</v>
      </c>
      <c r="I34" s="163"/>
      <c r="J34" s="157"/>
      <c r="K34" s="224"/>
      <c r="L34" s="224"/>
      <c r="M34" s="224"/>
      <c r="O34" s="237" t="s">
        <v>268</v>
      </c>
      <c r="P34" s="237">
        <v>52883.906055649997</v>
      </c>
      <c r="Q34" s="235"/>
      <c r="R34" s="157"/>
      <c r="S34" s="249"/>
      <c r="T34" s="254"/>
      <c r="U34" s="254"/>
      <c r="V34" s="254"/>
      <c r="W34" s="254"/>
      <c r="X34" s="254"/>
      <c r="Y34" s="241"/>
      <c r="Z34" s="249" t="s">
        <v>580</v>
      </c>
      <c r="AA34" s="249">
        <v>30122735.035</v>
      </c>
      <c r="AB34" s="249">
        <v>263</v>
      </c>
      <c r="AC34" s="249">
        <v>25</v>
      </c>
      <c r="AD34" s="249">
        <v>2404</v>
      </c>
      <c r="AE34" s="249">
        <v>1</v>
      </c>
      <c r="AF34" s="249"/>
      <c r="AG34" s="249" t="s">
        <v>602</v>
      </c>
      <c r="AH34" s="249">
        <v>0</v>
      </c>
      <c r="AI34" s="249">
        <v>0</v>
      </c>
      <c r="AJ34" s="249">
        <v>0</v>
      </c>
      <c r="AK34" s="249">
        <v>0</v>
      </c>
      <c r="AL34" s="249">
        <v>0</v>
      </c>
      <c r="AM34" s="241"/>
      <c r="AN34" s="249" t="s">
        <v>600</v>
      </c>
      <c r="AO34" s="249">
        <v>0</v>
      </c>
      <c r="AP34" s="249">
        <v>0</v>
      </c>
      <c r="AQ34" s="249">
        <v>0</v>
      </c>
      <c r="AR34" s="249">
        <v>0</v>
      </c>
      <c r="AS34" s="249">
        <v>0</v>
      </c>
      <c r="AT34" s="241"/>
      <c r="AU34" s="249" t="s">
        <v>600</v>
      </c>
      <c r="AV34" s="249">
        <v>0</v>
      </c>
      <c r="AW34" s="249">
        <v>0</v>
      </c>
      <c r="AX34" s="249">
        <v>0</v>
      </c>
      <c r="AY34" s="249">
        <v>0</v>
      </c>
      <c r="AZ34" s="249">
        <v>0</v>
      </c>
      <c r="BA34" s="241"/>
      <c r="BB34" s="249" t="s">
        <v>601</v>
      </c>
      <c r="BC34" s="249">
        <v>0</v>
      </c>
      <c r="BD34" s="249">
        <v>0</v>
      </c>
      <c r="BE34" s="249">
        <v>0</v>
      </c>
      <c r="BF34" s="249">
        <v>0</v>
      </c>
      <c r="BG34" s="249">
        <v>0</v>
      </c>
      <c r="BH34" s="243" t="s">
        <v>601</v>
      </c>
      <c r="BI34" s="249">
        <v>0</v>
      </c>
      <c r="BJ34" s="249">
        <v>0</v>
      </c>
      <c r="BK34" s="249">
        <v>0</v>
      </c>
      <c r="BL34" s="249">
        <v>0</v>
      </c>
      <c r="BM34" s="249">
        <v>0</v>
      </c>
      <c r="BN34" s="249"/>
      <c r="BO34" s="252" t="s">
        <v>470</v>
      </c>
      <c r="BP34" s="260" t="s">
        <v>529</v>
      </c>
      <c r="BQ34" s="260" t="s">
        <v>559</v>
      </c>
      <c r="BR34" s="260" t="s">
        <v>560</v>
      </c>
      <c r="BS34" s="241"/>
      <c r="BT34" s="241"/>
      <c r="BU34" s="241"/>
      <c r="BV34" s="241"/>
      <c r="BW34" s="241"/>
      <c r="BX34" s="241"/>
      <c r="BY34" s="241"/>
      <c r="BZ34" s="241"/>
      <c r="CA34" s="241"/>
      <c r="CB34" s="241"/>
      <c r="CC34" s="241"/>
      <c r="CD34" s="241"/>
      <c r="CE34" s="241"/>
      <c r="CF34" s="241"/>
      <c r="CG34" s="241"/>
      <c r="CH34" s="241"/>
      <c r="CI34" s="241"/>
      <c r="CJ34" s="241"/>
      <c r="CK34" s="241"/>
      <c r="CL34" s="241"/>
      <c r="CM34" s="241"/>
      <c r="CN34" s="241"/>
      <c r="CO34" s="241"/>
      <c r="CP34" s="241"/>
      <c r="CQ34" s="241"/>
      <c r="CR34" s="243"/>
      <c r="CS34" s="273"/>
      <c r="CT34" s="271"/>
      <c r="CU34" s="271"/>
      <c r="CV34" s="271"/>
      <c r="CW34" s="271"/>
      <c r="CX34" s="271"/>
      <c r="CY34" s="271"/>
      <c r="CZ34" s="271"/>
      <c r="DA34" s="271"/>
      <c r="DB34" s="271"/>
      <c r="DC34" s="271"/>
      <c r="DD34" s="271"/>
    </row>
    <row r="35" spans="1:108" x14ac:dyDescent="0.25">
      <c r="B35" s="188" t="s">
        <v>230</v>
      </c>
      <c r="C35" s="191">
        <v>38604</v>
      </c>
      <c r="D35" s="188">
        <v>28742.13</v>
      </c>
      <c r="E35" s="219">
        <v>1</v>
      </c>
      <c r="F35" s="222"/>
      <c r="G35" s="219" t="s">
        <v>269</v>
      </c>
      <c r="H35" s="219">
        <v>19596.29895479</v>
      </c>
      <c r="I35" s="163"/>
      <c r="J35" s="157"/>
      <c r="K35" s="224"/>
      <c r="L35" s="224"/>
      <c r="M35" s="224"/>
      <c r="O35" s="237" t="s">
        <v>269</v>
      </c>
      <c r="P35" s="237">
        <v>23766.857902209998</v>
      </c>
      <c r="Q35" s="235"/>
      <c r="R35" s="157"/>
      <c r="S35" s="249"/>
      <c r="T35" s="254"/>
      <c r="U35" s="254"/>
      <c r="V35" s="254"/>
      <c r="W35" s="254"/>
      <c r="X35" s="254"/>
      <c r="Y35" s="241"/>
      <c r="Z35" s="249" t="s">
        <v>581</v>
      </c>
      <c r="AA35" s="249">
        <v>0</v>
      </c>
      <c r="AB35" s="249">
        <v>0</v>
      </c>
      <c r="AC35" s="249">
        <v>0</v>
      </c>
      <c r="AD35" s="249">
        <v>0</v>
      </c>
      <c r="AE35" s="249">
        <v>0</v>
      </c>
      <c r="AF35" s="249"/>
      <c r="AG35" s="249" t="s">
        <v>603</v>
      </c>
      <c r="AH35" s="249">
        <v>0</v>
      </c>
      <c r="AI35" s="249">
        <v>0</v>
      </c>
      <c r="AJ35" s="249">
        <v>0</v>
      </c>
      <c r="AK35" s="249">
        <v>653</v>
      </c>
      <c r="AL35" s="249">
        <v>0</v>
      </c>
      <c r="AM35" s="241"/>
      <c r="AN35" s="249" t="s">
        <v>601</v>
      </c>
      <c r="AO35" s="249">
        <v>0</v>
      </c>
      <c r="AP35" s="249">
        <v>0</v>
      </c>
      <c r="AQ35" s="249">
        <v>0</v>
      </c>
      <c r="AR35" s="249">
        <v>0</v>
      </c>
      <c r="AS35" s="249">
        <v>0</v>
      </c>
      <c r="AT35" s="241"/>
      <c r="AU35" s="249" t="s">
        <v>601</v>
      </c>
      <c r="AV35" s="249">
        <v>0</v>
      </c>
      <c r="AW35" s="249">
        <v>0</v>
      </c>
      <c r="AX35" s="249">
        <v>0</v>
      </c>
      <c r="AY35" s="249">
        <v>0</v>
      </c>
      <c r="AZ35" s="249">
        <v>0</v>
      </c>
      <c r="BA35" s="241"/>
      <c r="BB35" s="249" t="s">
        <v>602</v>
      </c>
      <c r="BC35" s="249">
        <v>0</v>
      </c>
      <c r="BD35" s="249">
        <v>0</v>
      </c>
      <c r="BE35" s="249">
        <v>0</v>
      </c>
      <c r="BF35" s="249">
        <v>0</v>
      </c>
      <c r="BG35" s="249">
        <v>0</v>
      </c>
      <c r="BH35" s="243" t="s">
        <v>602</v>
      </c>
      <c r="BI35" s="249">
        <v>0</v>
      </c>
      <c r="BJ35" s="249">
        <v>0</v>
      </c>
      <c r="BK35" s="249">
        <v>0</v>
      </c>
      <c r="BL35" s="249">
        <v>0</v>
      </c>
      <c r="BM35" s="249">
        <v>0</v>
      </c>
      <c r="BN35" s="249"/>
      <c r="BO35" s="247"/>
      <c r="BP35" s="259">
        <v>71155121540.990005</v>
      </c>
      <c r="BQ35" s="259">
        <v>720670</v>
      </c>
      <c r="BR35" s="259">
        <v>1163</v>
      </c>
      <c r="BS35" s="241"/>
      <c r="BT35" s="241"/>
      <c r="BU35" s="241"/>
      <c r="BV35" s="241"/>
      <c r="BW35" s="241"/>
      <c r="BX35" s="241"/>
      <c r="BY35" s="241"/>
      <c r="BZ35" s="241"/>
      <c r="CA35" s="241"/>
      <c r="CB35" s="241"/>
      <c r="CC35" s="241"/>
      <c r="CD35" s="241"/>
      <c r="CE35" s="241"/>
      <c r="CF35" s="241"/>
      <c r="CG35" s="241"/>
      <c r="CH35" s="241"/>
      <c r="CI35" s="241"/>
      <c r="CJ35" s="241"/>
      <c r="CK35" s="241"/>
      <c r="CL35" s="241"/>
      <c r="CM35" s="241"/>
      <c r="CN35" s="241"/>
      <c r="CO35" s="241"/>
      <c r="CP35" s="241"/>
      <c r="CQ35" s="241"/>
      <c r="CR35" s="241"/>
      <c r="CS35" s="243"/>
      <c r="CT35" s="243"/>
      <c r="CU35" s="243"/>
      <c r="CV35" s="243"/>
      <c r="CW35" s="243"/>
      <c r="CX35" s="243"/>
      <c r="CY35" s="243"/>
      <c r="CZ35" s="243"/>
      <c r="DA35" s="243"/>
      <c r="DB35" s="243"/>
      <c r="DC35" s="243"/>
      <c r="DD35" s="243"/>
    </row>
    <row r="36" spans="1:108" x14ac:dyDescent="0.25">
      <c r="B36" s="188" t="s">
        <v>231</v>
      </c>
      <c r="C36" s="191">
        <v>38709</v>
      </c>
      <c r="D36" s="188">
        <v>10955.45</v>
      </c>
      <c r="E36" s="219">
        <v>1</v>
      </c>
      <c r="F36" s="206"/>
      <c r="G36" s="219" t="s">
        <v>270</v>
      </c>
      <c r="H36" s="219">
        <v>39636.629430399997</v>
      </c>
      <c r="I36" s="163"/>
      <c r="J36" s="157"/>
      <c r="K36" s="224"/>
      <c r="L36" s="224"/>
      <c r="M36" s="224"/>
      <c r="O36" s="237" t="s">
        <v>270</v>
      </c>
      <c r="P36" s="237">
        <v>39334.029310350001</v>
      </c>
      <c r="Q36" s="235"/>
      <c r="R36" s="157"/>
      <c r="S36" s="249"/>
      <c r="T36" s="254"/>
      <c r="U36" s="254"/>
      <c r="V36" s="254"/>
      <c r="W36" s="254"/>
      <c r="X36" s="254"/>
      <c r="Y36" s="241"/>
      <c r="Z36" s="249" t="s">
        <v>581</v>
      </c>
      <c r="AA36" s="249">
        <v>0</v>
      </c>
      <c r="AB36" s="249">
        <v>0</v>
      </c>
      <c r="AC36" s="249">
        <v>0</v>
      </c>
      <c r="AD36" s="249">
        <v>0</v>
      </c>
      <c r="AE36" s="249">
        <v>1</v>
      </c>
      <c r="AF36" s="249"/>
      <c r="AG36" s="249" t="s">
        <v>604</v>
      </c>
      <c r="AH36" s="249">
        <v>8105277.8300000001</v>
      </c>
      <c r="AI36" s="249">
        <v>938</v>
      </c>
      <c r="AJ36" s="249">
        <v>60</v>
      </c>
      <c r="AK36" s="249">
        <v>21188</v>
      </c>
      <c r="AL36" s="249">
        <v>0</v>
      </c>
      <c r="AM36" s="241"/>
      <c r="AN36" s="249" t="s">
        <v>602</v>
      </c>
      <c r="AO36" s="249">
        <v>0</v>
      </c>
      <c r="AP36" s="249">
        <v>0</v>
      </c>
      <c r="AQ36" s="249">
        <v>0</v>
      </c>
      <c r="AR36" s="249">
        <v>0</v>
      </c>
      <c r="AS36" s="249">
        <v>0</v>
      </c>
      <c r="AT36" s="241"/>
      <c r="AU36" s="249" t="s">
        <v>602</v>
      </c>
      <c r="AV36" s="249">
        <v>0</v>
      </c>
      <c r="AW36" s="249">
        <v>0</v>
      </c>
      <c r="AX36" s="249">
        <v>0</v>
      </c>
      <c r="AY36" s="249">
        <v>0</v>
      </c>
      <c r="AZ36" s="249">
        <v>0</v>
      </c>
      <c r="BA36" s="241"/>
      <c r="BB36" s="249" t="s">
        <v>603</v>
      </c>
      <c r="BC36" s="249">
        <v>12658083.34</v>
      </c>
      <c r="BD36" s="249">
        <v>2070</v>
      </c>
      <c r="BE36" s="249">
        <v>124</v>
      </c>
      <c r="BF36" s="249">
        <v>58871</v>
      </c>
      <c r="BG36" s="249">
        <v>0</v>
      </c>
      <c r="BH36" s="243" t="s">
        <v>603</v>
      </c>
      <c r="BI36" s="249">
        <v>257386</v>
      </c>
      <c r="BJ36" s="249">
        <v>48</v>
      </c>
      <c r="BK36" s="249">
        <v>9</v>
      </c>
      <c r="BL36" s="249">
        <v>3284</v>
      </c>
      <c r="BM36" s="249">
        <v>0</v>
      </c>
      <c r="BN36" s="249"/>
      <c r="BO36" s="241"/>
      <c r="BP36" s="241"/>
      <c r="BQ36" s="241"/>
      <c r="BR36" s="241"/>
      <c r="BS36" s="241"/>
      <c r="BT36" s="241"/>
      <c r="BU36" s="241"/>
      <c r="BV36" s="241"/>
      <c r="BW36" s="241"/>
      <c r="BX36" s="241"/>
      <c r="BY36" s="241"/>
      <c r="BZ36" s="241"/>
      <c r="CA36" s="241"/>
      <c r="CB36" s="241"/>
      <c r="CC36" s="241"/>
      <c r="CD36" s="241"/>
      <c r="CE36" s="241"/>
      <c r="CF36" s="241"/>
      <c r="CG36" s="241"/>
      <c r="CH36" s="241"/>
      <c r="CI36" s="241"/>
      <c r="CJ36" s="241"/>
      <c r="CK36" s="241"/>
      <c r="CL36" s="241"/>
      <c r="CM36" s="241"/>
      <c r="CN36" s="241"/>
      <c r="CO36" s="241"/>
      <c r="CP36" s="241"/>
      <c r="CQ36" s="241"/>
      <c r="CR36" s="241"/>
      <c r="CS36" s="243"/>
      <c r="CT36" s="243"/>
      <c r="CU36" s="243"/>
      <c r="CV36" s="243"/>
      <c r="CW36" s="243"/>
      <c r="CX36" s="243"/>
      <c r="CY36" s="243"/>
      <c r="CZ36" s="243"/>
      <c r="DA36" s="243"/>
      <c r="DB36" s="243"/>
      <c r="DC36" s="243"/>
      <c r="DD36" s="243"/>
    </row>
    <row r="37" spans="1:108" x14ac:dyDescent="0.25">
      <c r="B37" s="188" t="s">
        <v>232</v>
      </c>
      <c r="C37" s="191">
        <v>38580</v>
      </c>
      <c r="D37" s="188">
        <v>2321.6</v>
      </c>
      <c r="E37" s="219">
        <v>1</v>
      </c>
      <c r="F37" s="210"/>
      <c r="G37" s="219" t="s">
        <v>55</v>
      </c>
      <c r="H37" s="219">
        <v>49320.232600119998</v>
      </c>
      <c r="I37" s="163"/>
      <c r="J37" s="157"/>
      <c r="K37" s="224"/>
      <c r="L37" s="224"/>
      <c r="M37" s="224"/>
      <c r="O37" s="237" t="s">
        <v>55</v>
      </c>
      <c r="P37" s="237">
        <v>50798.696445410002</v>
      </c>
      <c r="Q37" s="235"/>
      <c r="R37" s="157"/>
      <c r="S37" s="249"/>
      <c r="T37" s="254"/>
      <c r="U37" s="254"/>
      <c r="V37" s="254"/>
      <c r="W37" s="254"/>
      <c r="X37" s="254"/>
      <c r="Y37" s="241"/>
      <c r="Z37" s="249" t="s">
        <v>582</v>
      </c>
      <c r="AA37" s="249">
        <v>0</v>
      </c>
      <c r="AB37" s="249">
        <v>0</v>
      </c>
      <c r="AC37" s="249">
        <v>0</v>
      </c>
      <c r="AD37" s="249">
        <v>0</v>
      </c>
      <c r="AE37" s="249">
        <v>1</v>
      </c>
      <c r="AF37" s="249"/>
      <c r="AG37" s="249" t="s">
        <v>605</v>
      </c>
      <c r="AH37" s="249">
        <v>0</v>
      </c>
      <c r="AI37" s="249">
        <v>0</v>
      </c>
      <c r="AJ37" s="249">
        <v>0</v>
      </c>
      <c r="AK37" s="249">
        <v>0</v>
      </c>
      <c r="AL37" s="249">
        <v>0</v>
      </c>
      <c r="AM37" s="241"/>
      <c r="AN37" s="249" t="s">
        <v>603</v>
      </c>
      <c r="AO37" s="249">
        <v>4030208.7</v>
      </c>
      <c r="AP37" s="249">
        <v>1163</v>
      </c>
      <c r="AQ37" s="249">
        <v>68</v>
      </c>
      <c r="AR37" s="249">
        <v>8963</v>
      </c>
      <c r="AS37" s="249">
        <v>0</v>
      </c>
      <c r="AT37" s="241"/>
      <c r="AU37" s="249" t="s">
        <v>603</v>
      </c>
      <c r="AV37" s="249">
        <v>0</v>
      </c>
      <c r="AW37" s="249">
        <v>0</v>
      </c>
      <c r="AX37" s="249">
        <v>0</v>
      </c>
      <c r="AY37" s="249">
        <v>1061</v>
      </c>
      <c r="AZ37" s="249">
        <v>0</v>
      </c>
      <c r="BA37" s="241"/>
      <c r="BB37" s="249" t="s">
        <v>604</v>
      </c>
      <c r="BC37" s="249">
        <v>289641637.94999999</v>
      </c>
      <c r="BD37" s="249">
        <v>26296</v>
      </c>
      <c r="BE37" s="249">
        <v>2440</v>
      </c>
      <c r="BF37" s="249">
        <v>640370</v>
      </c>
      <c r="BG37" s="249">
        <v>0</v>
      </c>
      <c r="BH37" s="243" t="s">
        <v>604</v>
      </c>
      <c r="BI37" s="249">
        <v>12961844.060000001</v>
      </c>
      <c r="BJ37" s="249">
        <v>1290</v>
      </c>
      <c r="BK37" s="249">
        <v>177</v>
      </c>
      <c r="BL37" s="249">
        <v>33139</v>
      </c>
      <c r="BM37" s="249">
        <v>0</v>
      </c>
      <c r="BN37" s="249"/>
      <c r="BO37" s="252" t="s">
        <v>462</v>
      </c>
      <c r="BP37" s="260" t="s">
        <v>529</v>
      </c>
      <c r="BQ37" s="260" t="s">
        <v>559</v>
      </c>
      <c r="BR37" s="260" t="s">
        <v>560</v>
      </c>
      <c r="BS37" s="241"/>
      <c r="BT37" s="241"/>
      <c r="BU37" s="241"/>
      <c r="BV37" s="241"/>
      <c r="BW37" s="241"/>
      <c r="BX37" s="241"/>
      <c r="BY37" s="241"/>
      <c r="BZ37" s="241"/>
      <c r="CA37" s="241"/>
      <c r="CB37" s="241"/>
      <c r="CC37" s="241"/>
      <c r="CD37" s="241"/>
      <c r="CE37" s="241"/>
      <c r="CF37" s="241"/>
      <c r="CG37" s="241"/>
      <c r="CH37" s="241"/>
      <c r="CI37" s="241"/>
      <c r="CJ37" s="241"/>
      <c r="CK37" s="241"/>
      <c r="CL37" s="241"/>
      <c r="CM37" s="241"/>
      <c r="CN37" s="241"/>
      <c r="CO37" s="241"/>
      <c r="CP37" s="241"/>
      <c r="CQ37" s="241"/>
      <c r="CR37" s="241"/>
      <c r="CS37" s="243"/>
      <c r="CT37" s="243"/>
      <c r="CU37" s="243"/>
      <c r="CV37" s="243"/>
      <c r="CW37" s="243"/>
      <c r="CX37" s="243"/>
      <c r="CY37" s="243"/>
      <c r="CZ37" s="243"/>
      <c r="DA37" s="243"/>
      <c r="DB37" s="243"/>
      <c r="DC37" s="243"/>
      <c r="DD37" s="243"/>
    </row>
    <row r="38" spans="1:108" x14ac:dyDescent="0.25">
      <c r="B38" s="188" t="s">
        <v>233</v>
      </c>
      <c r="C38" s="191">
        <v>38709</v>
      </c>
      <c r="D38" s="188">
        <v>2183.41</v>
      </c>
      <c r="E38" s="219">
        <v>1</v>
      </c>
      <c r="F38" s="210"/>
      <c r="G38" s="219" t="s">
        <v>44</v>
      </c>
      <c r="H38" s="219">
        <v>69958.503073250002</v>
      </c>
      <c r="I38" s="163"/>
      <c r="J38" s="157"/>
      <c r="K38" s="224"/>
      <c r="L38" s="224"/>
      <c r="M38" s="224"/>
      <c r="O38" s="237" t="s">
        <v>44</v>
      </c>
      <c r="P38" s="237">
        <v>69781.713996399994</v>
      </c>
      <c r="Q38" s="235"/>
      <c r="R38" s="157"/>
      <c r="S38" s="249"/>
      <c r="T38" s="254"/>
      <c r="U38" s="254"/>
      <c r="V38" s="254"/>
      <c r="W38" s="254"/>
      <c r="X38" s="254"/>
      <c r="Y38" s="241"/>
      <c r="Z38" s="249" t="s">
        <v>583</v>
      </c>
      <c r="AA38" s="249">
        <v>0</v>
      </c>
      <c r="AB38" s="249">
        <v>0</v>
      </c>
      <c r="AC38" s="249">
        <v>0</v>
      </c>
      <c r="AD38" s="249">
        <v>0</v>
      </c>
      <c r="AE38" s="249">
        <v>1</v>
      </c>
      <c r="AF38" s="249"/>
      <c r="AG38" s="249" t="s">
        <v>606</v>
      </c>
      <c r="AH38" s="249">
        <v>245637.7</v>
      </c>
      <c r="AI38" s="249">
        <v>38</v>
      </c>
      <c r="AJ38" s="249">
        <v>5</v>
      </c>
      <c r="AK38" s="249">
        <v>17275</v>
      </c>
      <c r="AL38" s="249">
        <v>0</v>
      </c>
      <c r="AM38" s="241"/>
      <c r="AN38" s="249" t="s">
        <v>604</v>
      </c>
      <c r="AO38" s="249">
        <v>89294530.480000004</v>
      </c>
      <c r="AP38" s="249">
        <v>7435</v>
      </c>
      <c r="AQ38" s="249">
        <v>719</v>
      </c>
      <c r="AR38" s="249">
        <v>260932</v>
      </c>
      <c r="AS38" s="249">
        <v>0</v>
      </c>
      <c r="AT38" s="241"/>
      <c r="AU38" s="249" t="s">
        <v>604</v>
      </c>
      <c r="AV38" s="249">
        <v>3671113.49</v>
      </c>
      <c r="AW38" s="249">
        <v>653</v>
      </c>
      <c r="AX38" s="249">
        <v>36</v>
      </c>
      <c r="AY38" s="249">
        <v>13515</v>
      </c>
      <c r="AZ38" s="249">
        <v>0</v>
      </c>
      <c r="BA38" s="241"/>
      <c r="BB38" s="249" t="s">
        <v>606</v>
      </c>
      <c r="BC38" s="249">
        <v>92764554.709999993</v>
      </c>
      <c r="BD38" s="249">
        <v>6720</v>
      </c>
      <c r="BE38" s="249">
        <v>369</v>
      </c>
      <c r="BF38" s="249">
        <v>277612</v>
      </c>
      <c r="BG38" s="249">
        <v>0</v>
      </c>
      <c r="BH38" s="243" t="s">
        <v>606</v>
      </c>
      <c r="BI38" s="249">
        <v>1001984.3</v>
      </c>
      <c r="BJ38" s="249">
        <v>110</v>
      </c>
      <c r="BK38" s="249">
        <v>7</v>
      </c>
      <c r="BL38" s="249">
        <v>14587</v>
      </c>
      <c r="BM38" s="249">
        <v>0</v>
      </c>
      <c r="BN38" s="249"/>
      <c r="BO38" s="243"/>
      <c r="BP38" s="259">
        <v>1003951648464.4399</v>
      </c>
      <c r="BQ38" s="259">
        <v>9038089</v>
      </c>
      <c r="BR38" s="259">
        <v>9233</v>
      </c>
      <c r="BS38" s="241"/>
      <c r="BT38" s="241"/>
      <c r="BU38" s="241"/>
      <c r="BV38" s="241"/>
      <c r="BW38" s="241"/>
      <c r="BX38" s="241"/>
      <c r="BY38" s="241"/>
      <c r="BZ38" s="241"/>
      <c r="CA38" s="241"/>
      <c r="CB38" s="241"/>
      <c r="CC38" s="241"/>
      <c r="CD38" s="241"/>
      <c r="CE38" s="241"/>
      <c r="CF38" s="241"/>
      <c r="CG38" s="241"/>
      <c r="CH38" s="241"/>
      <c r="CI38" s="241"/>
      <c r="CJ38" s="241"/>
      <c r="CK38" s="241"/>
      <c r="CL38" s="241"/>
      <c r="CM38" s="241"/>
      <c r="CN38" s="241"/>
      <c r="CO38" s="241"/>
      <c r="CP38" s="241"/>
      <c r="CQ38" s="241"/>
      <c r="CR38" s="241"/>
      <c r="CS38" s="243"/>
      <c r="CT38" s="243"/>
      <c r="CU38" s="243"/>
      <c r="CV38" s="243"/>
      <c r="CW38" s="243"/>
      <c r="CX38" s="243"/>
      <c r="CY38" s="243"/>
      <c r="CZ38" s="243"/>
      <c r="DA38" s="243"/>
      <c r="DB38" s="243"/>
      <c r="DC38" s="243"/>
      <c r="DD38" s="243"/>
    </row>
    <row r="39" spans="1:108" x14ac:dyDescent="0.25">
      <c r="A39" s="149"/>
      <c r="B39" s="188" t="s">
        <v>234</v>
      </c>
      <c r="C39" s="191">
        <v>38663</v>
      </c>
      <c r="D39" s="188">
        <v>14154.09</v>
      </c>
      <c r="E39" s="219">
        <v>1</v>
      </c>
      <c r="F39" s="210"/>
      <c r="G39" s="219" t="s">
        <v>46</v>
      </c>
      <c r="H39" s="219">
        <v>45326.740590579997</v>
      </c>
      <c r="I39" s="163"/>
      <c r="J39" s="157"/>
      <c r="K39" s="224"/>
      <c r="L39" s="224"/>
      <c r="M39" s="224"/>
      <c r="O39" s="237" t="s">
        <v>46</v>
      </c>
      <c r="P39" s="237">
        <v>48160.453857100001</v>
      </c>
      <c r="Q39" s="235"/>
      <c r="R39" s="157"/>
      <c r="S39" s="249"/>
      <c r="T39" s="254"/>
      <c r="U39" s="254"/>
      <c r="V39" s="254"/>
      <c r="W39" s="254"/>
      <c r="X39" s="254"/>
      <c r="Y39" s="241"/>
      <c r="Z39" s="249" t="s">
        <v>584</v>
      </c>
      <c r="AA39" s="249">
        <v>0</v>
      </c>
      <c r="AB39" s="249">
        <v>0</v>
      </c>
      <c r="AC39" s="249">
        <v>0</v>
      </c>
      <c r="AD39" s="249">
        <v>0</v>
      </c>
      <c r="AE39" s="249">
        <v>0</v>
      </c>
      <c r="AF39" s="249"/>
      <c r="AG39" s="249" t="s">
        <v>607</v>
      </c>
      <c r="AH39" s="249">
        <v>0</v>
      </c>
      <c r="AI39" s="249">
        <v>0</v>
      </c>
      <c r="AJ39" s="249">
        <v>0</v>
      </c>
      <c r="AK39" s="249">
        <v>0</v>
      </c>
      <c r="AL39" s="249">
        <v>0</v>
      </c>
      <c r="AM39" s="241"/>
      <c r="AN39" s="249" t="s">
        <v>605</v>
      </c>
      <c r="AO39" s="249">
        <v>0</v>
      </c>
      <c r="AP39" s="249">
        <v>0</v>
      </c>
      <c r="AQ39" s="249">
        <v>0</v>
      </c>
      <c r="AR39" s="249">
        <v>0</v>
      </c>
      <c r="AS39" s="249">
        <v>0</v>
      </c>
      <c r="AT39" s="241"/>
      <c r="AU39" s="249" t="s">
        <v>605</v>
      </c>
      <c r="AV39" s="249">
        <v>0</v>
      </c>
      <c r="AW39" s="249">
        <v>0</v>
      </c>
      <c r="AX39" s="249">
        <v>0</v>
      </c>
      <c r="AY39" s="249">
        <v>0</v>
      </c>
      <c r="AZ39" s="249">
        <v>0</v>
      </c>
      <c r="BA39" s="241"/>
      <c r="BB39" s="249" t="s">
        <v>564</v>
      </c>
      <c r="BC39" s="249">
        <v>0</v>
      </c>
      <c r="BD39" s="249">
        <v>0</v>
      </c>
      <c r="BE39" s="249">
        <v>0</v>
      </c>
      <c r="BF39" s="249">
        <v>0</v>
      </c>
      <c r="BG39" s="249">
        <v>1</v>
      </c>
      <c r="BH39" s="243" t="s">
        <v>564</v>
      </c>
      <c r="BI39" s="249">
        <v>0</v>
      </c>
      <c r="BJ39" s="249">
        <v>0</v>
      </c>
      <c r="BK39" s="249">
        <v>0</v>
      </c>
      <c r="BL39" s="249">
        <v>0</v>
      </c>
      <c r="BM39" s="249">
        <v>1</v>
      </c>
      <c r="BN39" s="249"/>
      <c r="BO39" s="243"/>
      <c r="BP39" s="243"/>
      <c r="BQ39" s="243"/>
      <c r="BR39" s="243"/>
      <c r="BS39" s="241"/>
      <c r="BT39" s="241"/>
      <c r="BU39" s="241"/>
      <c r="BV39" s="241"/>
      <c r="BW39" s="241"/>
      <c r="BX39" s="241"/>
      <c r="BY39" s="241"/>
      <c r="BZ39" s="241"/>
      <c r="CA39" s="241"/>
      <c r="CB39" s="241"/>
      <c r="CC39" s="241"/>
      <c r="CD39" s="241"/>
      <c r="CE39" s="241"/>
      <c r="CF39" s="241"/>
      <c r="CG39" s="241"/>
      <c r="CH39" s="241"/>
      <c r="CI39" s="241"/>
      <c r="CJ39" s="241"/>
      <c r="CK39" s="241"/>
      <c r="CL39" s="241"/>
      <c r="CM39" s="241"/>
      <c r="CN39" s="241"/>
      <c r="CO39" s="241"/>
      <c r="CP39" s="241"/>
      <c r="CQ39" s="241"/>
      <c r="CR39" s="241"/>
      <c r="CS39" s="243"/>
      <c r="CT39" s="243"/>
      <c r="CU39" s="243"/>
      <c r="CV39" s="243"/>
      <c r="CW39" s="243"/>
      <c r="CX39" s="243"/>
      <c r="CY39" s="243"/>
      <c r="CZ39" s="243"/>
      <c r="DA39" s="243"/>
      <c r="DB39" s="243"/>
      <c r="DC39" s="243"/>
      <c r="DD39" s="243"/>
    </row>
    <row r="40" spans="1:108" x14ac:dyDescent="0.25">
      <c r="A40" s="149"/>
      <c r="B40" s="188" t="s">
        <v>235</v>
      </c>
      <c r="C40" s="191">
        <v>38663</v>
      </c>
      <c r="D40" s="188">
        <v>43569.17</v>
      </c>
      <c r="E40" s="219">
        <v>1</v>
      </c>
      <c r="F40" s="210"/>
      <c r="G40" s="219" t="s">
        <v>42</v>
      </c>
      <c r="H40" s="219">
        <v>55259.566770409998</v>
      </c>
      <c r="I40" s="163"/>
      <c r="J40" s="157"/>
      <c r="K40" s="224"/>
      <c r="L40" s="224"/>
      <c r="M40" s="224"/>
      <c r="O40" s="237" t="s">
        <v>42</v>
      </c>
      <c r="P40" s="237">
        <v>56784.614288659999</v>
      </c>
      <c r="Q40" s="235"/>
      <c r="R40" s="157"/>
      <c r="S40" s="249"/>
      <c r="T40" s="254"/>
      <c r="U40" s="254"/>
      <c r="V40" s="254"/>
      <c r="W40" s="254"/>
      <c r="X40" s="254"/>
      <c r="Y40" s="241"/>
      <c r="Z40" s="249" t="s">
        <v>584</v>
      </c>
      <c r="AA40" s="249">
        <v>40991250</v>
      </c>
      <c r="AB40" s="249">
        <v>425</v>
      </c>
      <c r="AC40" s="249">
        <v>7</v>
      </c>
      <c r="AD40" s="249">
        <v>472</v>
      </c>
      <c r="AE40" s="249">
        <v>1</v>
      </c>
      <c r="AF40" s="249"/>
      <c r="AG40" s="249" t="s">
        <v>564</v>
      </c>
      <c r="AH40" s="249">
        <v>0</v>
      </c>
      <c r="AI40" s="249">
        <v>0</v>
      </c>
      <c r="AJ40" s="249">
        <v>0</v>
      </c>
      <c r="AK40" s="249">
        <v>0</v>
      </c>
      <c r="AL40" s="249">
        <v>1</v>
      </c>
      <c r="AM40" s="241"/>
      <c r="AN40" s="249" t="s">
        <v>606</v>
      </c>
      <c r="AO40" s="249">
        <v>86948046.870000005</v>
      </c>
      <c r="AP40" s="249">
        <v>6728</v>
      </c>
      <c r="AQ40" s="249">
        <v>362</v>
      </c>
      <c r="AR40" s="249">
        <v>297642</v>
      </c>
      <c r="AS40" s="249">
        <v>0</v>
      </c>
      <c r="AT40" s="241"/>
      <c r="AU40" s="249" t="s">
        <v>606</v>
      </c>
      <c r="AV40" s="249">
        <v>3631142.92</v>
      </c>
      <c r="AW40" s="249">
        <v>428</v>
      </c>
      <c r="AX40" s="249">
        <v>12</v>
      </c>
      <c r="AY40" s="249">
        <v>14649</v>
      </c>
      <c r="AZ40" s="249">
        <v>0</v>
      </c>
      <c r="BA40" s="241"/>
      <c r="BB40" s="249" t="s">
        <v>565</v>
      </c>
      <c r="BC40" s="249">
        <v>5970327778.3950005</v>
      </c>
      <c r="BD40" s="249">
        <v>27396</v>
      </c>
      <c r="BE40" s="249">
        <v>3152</v>
      </c>
      <c r="BF40" s="249">
        <v>271771</v>
      </c>
      <c r="BG40" s="249">
        <v>1</v>
      </c>
      <c r="BH40" s="243" t="s">
        <v>565</v>
      </c>
      <c r="BI40" s="249">
        <v>388103454.36000001</v>
      </c>
      <c r="BJ40" s="249">
        <v>1764</v>
      </c>
      <c r="BK40" s="249">
        <v>203</v>
      </c>
      <c r="BL40" s="249">
        <v>13486</v>
      </c>
      <c r="BM40" s="249">
        <v>1</v>
      </c>
      <c r="BN40" s="249"/>
      <c r="BO40" s="252" t="s">
        <v>463</v>
      </c>
      <c r="BP40" s="260" t="s">
        <v>529</v>
      </c>
      <c r="BQ40" s="260" t="s">
        <v>559</v>
      </c>
      <c r="BR40" s="260" t="s">
        <v>560</v>
      </c>
      <c r="BS40" s="241"/>
      <c r="BT40" s="241"/>
      <c r="BU40" s="241"/>
      <c r="BV40" s="241"/>
      <c r="BW40" s="241"/>
      <c r="BX40" s="241"/>
      <c r="BY40" s="241"/>
      <c r="BZ40" s="241"/>
      <c r="CA40" s="241"/>
      <c r="CB40" s="241"/>
      <c r="CC40" s="241"/>
      <c r="CD40" s="241"/>
      <c r="CE40" s="241"/>
      <c r="CF40" s="241"/>
      <c r="CG40" s="241"/>
      <c r="CH40" s="241"/>
      <c r="CI40" s="241"/>
      <c r="CJ40" s="241"/>
      <c r="CK40" s="241"/>
      <c r="CL40" s="241"/>
      <c r="CM40" s="241"/>
      <c r="CN40" s="241"/>
      <c r="CO40" s="241"/>
      <c r="CP40" s="241"/>
      <c r="CQ40" s="241"/>
      <c r="CR40" s="241"/>
      <c r="CS40" s="243"/>
      <c r="CT40" s="243"/>
      <c r="CU40" s="243"/>
      <c r="CV40" s="243"/>
      <c r="CW40" s="243"/>
      <c r="CX40" s="243"/>
      <c r="CY40" s="243"/>
      <c r="CZ40" s="243"/>
      <c r="DA40" s="243"/>
      <c r="DB40" s="243"/>
      <c r="DC40" s="243"/>
      <c r="DD40" s="243"/>
    </row>
    <row r="41" spans="1:108" x14ac:dyDescent="0.25">
      <c r="B41" s="188" t="s">
        <v>236</v>
      </c>
      <c r="C41" s="191">
        <v>38715</v>
      </c>
      <c r="D41" s="188">
        <v>25723.24</v>
      </c>
      <c r="E41" s="219">
        <v>1</v>
      </c>
      <c r="F41" s="210"/>
      <c r="G41" s="219" t="s">
        <v>48</v>
      </c>
      <c r="H41" s="219">
        <v>5799.2476812200002</v>
      </c>
      <c r="I41" s="163"/>
      <c r="J41" s="157"/>
      <c r="K41" s="224"/>
      <c r="L41" s="224"/>
      <c r="M41" s="224"/>
      <c r="O41" s="237" t="s">
        <v>48</v>
      </c>
      <c r="P41" s="237">
        <v>6063.8533991200002</v>
      </c>
      <c r="Q41" s="235"/>
      <c r="R41" s="157"/>
      <c r="S41" s="249"/>
      <c r="T41" s="254"/>
      <c r="U41" s="254"/>
      <c r="V41" s="254"/>
      <c r="W41" s="254"/>
      <c r="X41" s="254"/>
      <c r="Y41" s="241"/>
      <c r="Z41" s="249" t="s">
        <v>585</v>
      </c>
      <c r="AA41" s="249">
        <v>0</v>
      </c>
      <c r="AB41" s="249">
        <v>0</v>
      </c>
      <c r="AC41" s="249">
        <v>0</v>
      </c>
      <c r="AD41" s="249">
        <v>0</v>
      </c>
      <c r="AE41" s="249">
        <v>0</v>
      </c>
      <c r="AF41" s="249"/>
      <c r="AG41" s="249" t="s">
        <v>565</v>
      </c>
      <c r="AH41" s="249">
        <v>117026398.78</v>
      </c>
      <c r="AI41" s="249">
        <v>501</v>
      </c>
      <c r="AJ41" s="249">
        <v>137</v>
      </c>
      <c r="AK41" s="249">
        <v>12525</v>
      </c>
      <c r="AL41" s="249">
        <v>1</v>
      </c>
      <c r="AM41" s="241"/>
      <c r="AN41" s="249" t="s">
        <v>607</v>
      </c>
      <c r="AO41" s="249">
        <v>0</v>
      </c>
      <c r="AP41" s="249">
        <v>0</v>
      </c>
      <c r="AQ41" s="249">
        <v>0</v>
      </c>
      <c r="AR41" s="249">
        <v>0</v>
      </c>
      <c r="AS41" s="249">
        <v>0</v>
      </c>
      <c r="AT41" s="241"/>
      <c r="AU41" s="249" t="s">
        <v>607</v>
      </c>
      <c r="AV41" s="249">
        <v>0</v>
      </c>
      <c r="AW41" s="249">
        <v>0</v>
      </c>
      <c r="AX41" s="249">
        <v>0</v>
      </c>
      <c r="AY41" s="249">
        <v>0</v>
      </c>
      <c r="AZ41" s="249">
        <v>0</v>
      </c>
      <c r="BA41" s="241"/>
      <c r="BB41" s="249" t="s">
        <v>608</v>
      </c>
      <c r="BC41" s="249">
        <v>0</v>
      </c>
      <c r="BD41" s="249">
        <v>0</v>
      </c>
      <c r="BE41" s="249">
        <v>0</v>
      </c>
      <c r="BF41" s="249">
        <v>0</v>
      </c>
      <c r="BG41" s="249">
        <v>1</v>
      </c>
      <c r="BH41" s="243" t="s">
        <v>608</v>
      </c>
      <c r="BI41" s="249">
        <v>0</v>
      </c>
      <c r="BJ41" s="249">
        <v>0</v>
      </c>
      <c r="BK41" s="249">
        <v>0</v>
      </c>
      <c r="BL41" s="249">
        <v>0</v>
      </c>
      <c r="BM41" s="249">
        <v>1</v>
      </c>
      <c r="BN41" s="249"/>
      <c r="BO41" s="241"/>
      <c r="BP41" s="259">
        <v>25048871635.919998</v>
      </c>
      <c r="BQ41" s="259">
        <v>250269</v>
      </c>
      <c r="BR41" s="259">
        <v>520</v>
      </c>
      <c r="BS41" s="241"/>
      <c r="BT41" s="241"/>
      <c r="BU41" s="241"/>
      <c r="BV41" s="241"/>
      <c r="BW41" s="241"/>
      <c r="BX41" s="241"/>
      <c r="BY41" s="241"/>
      <c r="BZ41" s="241"/>
      <c r="CA41" s="241"/>
      <c r="CB41" s="241"/>
      <c r="CC41" s="241"/>
      <c r="CD41" s="241"/>
      <c r="CE41" s="241"/>
      <c r="CF41" s="241"/>
      <c r="CG41" s="241"/>
      <c r="CH41" s="241"/>
      <c r="CI41" s="241"/>
      <c r="CJ41" s="241"/>
      <c r="CK41" s="241"/>
      <c r="CL41" s="241"/>
      <c r="CM41" s="241"/>
      <c r="CN41" s="241"/>
      <c r="CO41" s="241"/>
      <c r="CP41" s="241"/>
      <c r="CQ41" s="241"/>
      <c r="CR41" s="241"/>
      <c r="CS41" s="243"/>
      <c r="CT41" s="243"/>
      <c r="CU41" s="243"/>
      <c r="CV41" s="243"/>
      <c r="CW41" s="243"/>
      <c r="CX41" s="243"/>
      <c r="CY41" s="243"/>
      <c r="CZ41" s="243"/>
      <c r="DA41" s="243"/>
      <c r="DB41" s="243"/>
      <c r="DC41" s="243"/>
      <c r="DD41" s="243"/>
    </row>
    <row r="42" spans="1:108" x14ac:dyDescent="0.25">
      <c r="B42" s="188" t="s">
        <v>237</v>
      </c>
      <c r="C42" s="191">
        <v>38716</v>
      </c>
      <c r="D42" s="188">
        <v>18207.32</v>
      </c>
      <c r="E42" s="219">
        <v>1</v>
      </c>
      <c r="F42" s="210"/>
      <c r="G42" s="219" t="s">
        <v>538</v>
      </c>
      <c r="H42" s="219">
        <v>55113.343574999999</v>
      </c>
      <c r="I42" s="163"/>
      <c r="J42" s="157"/>
      <c r="K42" s="224"/>
      <c r="L42" s="224"/>
      <c r="M42" s="224"/>
      <c r="O42" s="237" t="s">
        <v>538</v>
      </c>
      <c r="P42" s="237">
        <v>56838.612154169998</v>
      </c>
      <c r="Q42" s="235"/>
      <c r="R42" s="157"/>
      <c r="S42" s="249"/>
      <c r="T42" s="254"/>
      <c r="U42" s="254"/>
      <c r="V42" s="254"/>
      <c r="W42" s="254"/>
      <c r="X42" s="254"/>
      <c r="Y42" s="241"/>
      <c r="Z42" s="249" t="s">
        <v>585</v>
      </c>
      <c r="AA42" s="249">
        <v>14503920</v>
      </c>
      <c r="AB42" s="249">
        <v>143</v>
      </c>
      <c r="AC42" s="249">
        <v>3</v>
      </c>
      <c r="AD42" s="249">
        <v>1471</v>
      </c>
      <c r="AE42" s="249">
        <v>1</v>
      </c>
      <c r="AF42" s="249"/>
      <c r="AG42" s="249" t="s">
        <v>566</v>
      </c>
      <c r="AH42" s="249">
        <v>0</v>
      </c>
      <c r="AI42" s="249">
        <v>0</v>
      </c>
      <c r="AJ42" s="249">
        <v>0</v>
      </c>
      <c r="AK42" s="249">
        <v>1713</v>
      </c>
      <c r="AL42" s="249">
        <v>1</v>
      </c>
      <c r="AM42" s="241"/>
      <c r="AN42" s="249" t="s">
        <v>564</v>
      </c>
      <c r="AO42" s="249">
        <v>0</v>
      </c>
      <c r="AP42" s="249">
        <v>0</v>
      </c>
      <c r="AQ42" s="249">
        <v>0</v>
      </c>
      <c r="AR42" s="249">
        <v>0</v>
      </c>
      <c r="AS42" s="249">
        <v>1</v>
      </c>
      <c r="AT42" s="241"/>
      <c r="AU42" s="249" t="s">
        <v>564</v>
      </c>
      <c r="AV42" s="249">
        <v>0</v>
      </c>
      <c r="AW42" s="249">
        <v>0</v>
      </c>
      <c r="AX42" s="249">
        <v>0</v>
      </c>
      <c r="AY42" s="249">
        <v>0</v>
      </c>
      <c r="AZ42" s="249">
        <v>1</v>
      </c>
      <c r="BA42" s="241"/>
      <c r="BB42" s="249" t="s">
        <v>566</v>
      </c>
      <c r="BC42" s="249">
        <v>98489650.939999998</v>
      </c>
      <c r="BD42" s="249">
        <v>938</v>
      </c>
      <c r="BE42" s="249">
        <v>30</v>
      </c>
      <c r="BF42" s="249">
        <v>50682</v>
      </c>
      <c r="BG42" s="249">
        <v>1</v>
      </c>
      <c r="BH42" s="243" t="s">
        <v>566</v>
      </c>
      <c r="BI42" s="249">
        <v>0</v>
      </c>
      <c r="BJ42" s="249">
        <v>0</v>
      </c>
      <c r="BK42" s="249">
        <v>0</v>
      </c>
      <c r="BL42" s="249">
        <v>2512</v>
      </c>
      <c r="BM42" s="249">
        <v>1</v>
      </c>
      <c r="BN42" s="249"/>
      <c r="BO42" s="243"/>
      <c r="BP42" s="259"/>
      <c r="BQ42" s="259"/>
      <c r="BR42" s="259"/>
      <c r="BS42" s="241"/>
      <c r="BT42" s="241"/>
      <c r="BU42" s="241"/>
      <c r="BV42" s="241"/>
      <c r="BW42" s="241"/>
      <c r="BX42" s="241"/>
      <c r="BY42" s="241"/>
      <c r="BZ42" s="241"/>
      <c r="CA42" s="241"/>
      <c r="CB42" s="241"/>
      <c r="CC42" s="241"/>
      <c r="CD42" s="241"/>
      <c r="CE42" s="241"/>
      <c r="CF42" s="241"/>
      <c r="CG42" s="241"/>
      <c r="CH42" s="241"/>
      <c r="CI42" s="241"/>
      <c r="CJ42" s="241"/>
      <c r="CK42" s="241"/>
      <c r="CL42" s="241"/>
      <c r="CM42" s="241"/>
      <c r="CN42" s="241"/>
      <c r="CO42" s="241"/>
      <c r="CP42" s="241"/>
      <c r="CQ42" s="241"/>
      <c r="CR42" s="241"/>
      <c r="CS42" s="241"/>
      <c r="CT42" s="241"/>
      <c r="CU42" s="241"/>
      <c r="CV42" s="241"/>
      <c r="CW42" s="241"/>
      <c r="CX42" s="241"/>
      <c r="CY42" s="241"/>
      <c r="CZ42" s="241"/>
      <c r="DA42" s="241"/>
      <c r="DB42" s="241"/>
      <c r="DC42" s="241"/>
      <c r="DD42" s="241"/>
    </row>
    <row r="43" spans="1:108" x14ac:dyDescent="0.25">
      <c r="B43" s="188" t="s">
        <v>238</v>
      </c>
      <c r="C43" s="191">
        <v>38615</v>
      </c>
      <c r="D43" s="188">
        <v>4728.4799999999996</v>
      </c>
      <c r="E43" s="219">
        <v>1</v>
      </c>
      <c r="F43" s="210"/>
      <c r="G43" s="219" t="s">
        <v>539</v>
      </c>
      <c r="H43" s="219">
        <v>53990.136994250002</v>
      </c>
      <c r="I43" s="163"/>
      <c r="J43" s="157"/>
      <c r="K43" s="224"/>
      <c r="L43" s="224"/>
      <c r="M43" s="224"/>
      <c r="O43" s="237" t="s">
        <v>539</v>
      </c>
      <c r="P43" s="237">
        <v>55427.69919996</v>
      </c>
      <c r="Q43" s="235"/>
      <c r="S43" s="241"/>
      <c r="T43" s="241"/>
      <c r="U43" s="241"/>
      <c r="V43" s="241"/>
      <c r="W43" s="241"/>
      <c r="X43" s="241"/>
      <c r="Y43" s="241"/>
      <c r="Z43" s="249" t="s">
        <v>586</v>
      </c>
      <c r="AA43" s="249">
        <v>0</v>
      </c>
      <c r="AB43" s="249">
        <v>0</v>
      </c>
      <c r="AC43" s="249">
        <v>0</v>
      </c>
      <c r="AD43" s="249">
        <v>0</v>
      </c>
      <c r="AE43" s="249">
        <v>0</v>
      </c>
      <c r="AF43" s="249"/>
      <c r="AG43" s="249" t="s">
        <v>567</v>
      </c>
      <c r="AH43" s="249">
        <v>0</v>
      </c>
      <c r="AI43" s="249">
        <v>0</v>
      </c>
      <c r="AJ43" s="249">
        <v>0</v>
      </c>
      <c r="AK43" s="249">
        <v>23</v>
      </c>
      <c r="AL43" s="249">
        <v>1</v>
      </c>
      <c r="AM43" s="241"/>
      <c r="AN43" s="249" t="s">
        <v>565</v>
      </c>
      <c r="AO43" s="249">
        <v>2924706669.915</v>
      </c>
      <c r="AP43" s="249">
        <v>13076</v>
      </c>
      <c r="AQ43" s="249">
        <v>2770</v>
      </c>
      <c r="AR43" s="249">
        <v>198733</v>
      </c>
      <c r="AS43" s="249">
        <v>1</v>
      </c>
      <c r="AT43" s="241"/>
      <c r="AU43" s="249" t="s">
        <v>565</v>
      </c>
      <c r="AV43" s="249">
        <v>138662215.19999999</v>
      </c>
      <c r="AW43" s="249">
        <v>617</v>
      </c>
      <c r="AX43" s="249">
        <v>88</v>
      </c>
      <c r="AY43" s="249">
        <v>8521</v>
      </c>
      <c r="AZ43" s="249">
        <v>1</v>
      </c>
      <c r="BA43" s="241"/>
      <c r="BB43" s="249" t="s">
        <v>567</v>
      </c>
      <c r="BC43" s="249">
        <v>1588521</v>
      </c>
      <c r="BD43" s="249">
        <v>22</v>
      </c>
      <c r="BE43" s="249">
        <v>1</v>
      </c>
      <c r="BF43" s="249">
        <v>462</v>
      </c>
      <c r="BG43" s="249">
        <v>1</v>
      </c>
      <c r="BH43" s="243" t="s">
        <v>567</v>
      </c>
      <c r="BI43" s="249">
        <v>0</v>
      </c>
      <c r="BJ43" s="249">
        <v>0</v>
      </c>
      <c r="BK43" s="249">
        <v>0</v>
      </c>
      <c r="BL43" s="249">
        <v>22</v>
      </c>
      <c r="BM43" s="249">
        <v>1</v>
      </c>
      <c r="BN43" s="249"/>
      <c r="BO43" s="248" t="s">
        <v>477</v>
      </c>
      <c r="BP43" s="260" t="s">
        <v>561</v>
      </c>
      <c r="BQ43" s="259"/>
      <c r="BR43" s="259"/>
      <c r="BS43" s="241"/>
      <c r="BT43" s="241"/>
      <c r="BU43" s="241"/>
      <c r="BV43" s="241"/>
      <c r="BW43" s="241"/>
      <c r="BX43" s="241"/>
      <c r="BY43" s="241"/>
      <c r="BZ43" s="241"/>
      <c r="CA43" s="241"/>
      <c r="CB43" s="241"/>
      <c r="CC43" s="241"/>
      <c r="CD43" s="241"/>
      <c r="CE43" s="241"/>
      <c r="CF43" s="241"/>
      <c r="CG43" s="241"/>
      <c r="CH43" s="241"/>
      <c r="CI43" s="241"/>
      <c r="CJ43" s="241"/>
      <c r="CK43" s="241"/>
      <c r="CL43" s="241"/>
      <c r="CM43" s="241"/>
      <c r="CN43" s="241"/>
      <c r="CO43" s="241"/>
      <c r="CP43" s="241"/>
      <c r="CQ43" s="241"/>
      <c r="CR43" s="241"/>
      <c r="CS43" s="241"/>
      <c r="CT43" s="241"/>
      <c r="CU43" s="241"/>
      <c r="CV43" s="241"/>
      <c r="CW43" s="241"/>
      <c r="CX43" s="241"/>
      <c r="CY43" s="241"/>
      <c r="CZ43" s="241"/>
      <c r="DA43" s="241"/>
      <c r="DB43" s="241"/>
      <c r="DC43" s="241"/>
      <c r="DD43" s="241"/>
    </row>
    <row r="44" spans="1:108" x14ac:dyDescent="0.25">
      <c r="A44" s="35"/>
      <c r="B44" s="188" t="s">
        <v>239</v>
      </c>
      <c r="C44" s="191">
        <v>38716</v>
      </c>
      <c r="D44" s="188">
        <v>23744.76</v>
      </c>
      <c r="E44" s="219">
        <v>1</v>
      </c>
      <c r="F44" s="205"/>
      <c r="G44" s="219" t="s">
        <v>271</v>
      </c>
      <c r="H44" s="219">
        <v>3491.63895512</v>
      </c>
      <c r="I44" s="163"/>
      <c r="J44" s="157"/>
      <c r="K44" s="224"/>
      <c r="L44" s="224"/>
      <c r="M44" s="224"/>
      <c r="O44" s="237" t="s">
        <v>271</v>
      </c>
      <c r="P44" s="237">
        <v>3852.57460997</v>
      </c>
      <c r="Q44" s="235"/>
      <c r="S44" s="241"/>
      <c r="T44" s="241"/>
      <c r="U44" s="241"/>
      <c r="V44" s="241"/>
      <c r="W44" s="241"/>
      <c r="X44" s="241"/>
      <c r="Y44" s="241"/>
      <c r="Z44" s="249" t="s">
        <v>586</v>
      </c>
      <c r="AA44" s="249">
        <v>0</v>
      </c>
      <c r="AB44" s="249">
        <v>0</v>
      </c>
      <c r="AC44" s="249">
        <v>0</v>
      </c>
      <c r="AD44" s="249">
        <v>0</v>
      </c>
      <c r="AE44" s="249">
        <v>1</v>
      </c>
      <c r="AF44" s="249"/>
      <c r="AG44" s="249" t="s">
        <v>568</v>
      </c>
      <c r="AH44" s="249">
        <v>0</v>
      </c>
      <c r="AI44" s="249">
        <v>0</v>
      </c>
      <c r="AJ44" s="249">
        <v>0</v>
      </c>
      <c r="AK44" s="249">
        <v>0</v>
      </c>
      <c r="AL44" s="249">
        <v>1</v>
      </c>
      <c r="AM44" s="241"/>
      <c r="AN44" s="249" t="s">
        <v>566</v>
      </c>
      <c r="AO44" s="249">
        <v>36604932.289999999</v>
      </c>
      <c r="AP44" s="249">
        <v>401</v>
      </c>
      <c r="AQ44" s="249">
        <v>19</v>
      </c>
      <c r="AR44" s="249">
        <v>40443</v>
      </c>
      <c r="AS44" s="249">
        <v>1</v>
      </c>
      <c r="AT44" s="241"/>
      <c r="AU44" s="249" t="s">
        <v>566</v>
      </c>
      <c r="AV44" s="249">
        <v>184000</v>
      </c>
      <c r="AW44" s="249">
        <v>2</v>
      </c>
      <c r="AX44" s="249">
        <v>1</v>
      </c>
      <c r="AY44" s="249">
        <v>1781</v>
      </c>
      <c r="AZ44" s="249">
        <v>1</v>
      </c>
      <c r="BA44" s="241"/>
      <c r="BB44" s="249" t="s">
        <v>568</v>
      </c>
      <c r="BC44" s="249">
        <v>0</v>
      </c>
      <c r="BD44" s="249">
        <v>0</v>
      </c>
      <c r="BE44" s="249">
        <v>0</v>
      </c>
      <c r="BF44" s="249">
        <v>0</v>
      </c>
      <c r="BG44" s="249">
        <v>1</v>
      </c>
      <c r="BH44" s="243" t="s">
        <v>568</v>
      </c>
      <c r="BI44" s="249">
        <v>0</v>
      </c>
      <c r="BJ44" s="249">
        <v>0</v>
      </c>
      <c r="BK44" s="249">
        <v>0</v>
      </c>
      <c r="BL44" s="249">
        <v>0</v>
      </c>
      <c r="BM44" s="249">
        <v>1</v>
      </c>
      <c r="BN44" s="249"/>
      <c r="BO44" s="243"/>
      <c r="BP44" s="259">
        <v>836037</v>
      </c>
      <c r="BQ44" s="259"/>
      <c r="BR44" s="259"/>
      <c r="BS44" s="241"/>
      <c r="BT44" s="241"/>
      <c r="BU44" s="241"/>
      <c r="BV44" s="241"/>
      <c r="BW44" s="241"/>
      <c r="BX44" s="241"/>
      <c r="BY44" s="241"/>
      <c r="BZ44" s="241"/>
      <c r="CA44" s="241"/>
      <c r="CB44" s="241"/>
      <c r="CC44" s="241"/>
      <c r="CD44" s="241"/>
      <c r="CE44" s="241"/>
      <c r="CF44" s="241"/>
      <c r="CG44" s="241"/>
      <c r="CH44" s="241"/>
      <c r="CI44" s="241"/>
      <c r="CJ44" s="241"/>
      <c r="CK44" s="241"/>
      <c r="CL44" s="241"/>
      <c r="CM44" s="241"/>
      <c r="CN44" s="241"/>
      <c r="CO44" s="241"/>
      <c r="CP44" s="241"/>
      <c r="CQ44" s="241"/>
      <c r="CR44" s="241"/>
      <c r="CS44" s="241"/>
      <c r="CT44" s="241"/>
      <c r="CU44" s="241"/>
      <c r="CV44" s="241"/>
      <c r="CW44" s="241"/>
      <c r="CX44" s="241"/>
      <c r="CY44" s="241"/>
      <c r="CZ44" s="241"/>
      <c r="DA44" s="241"/>
      <c r="DB44" s="241"/>
      <c r="DC44" s="241"/>
      <c r="DD44" s="241"/>
    </row>
    <row r="45" spans="1:108" x14ac:dyDescent="0.25">
      <c r="B45" s="188" t="s">
        <v>240</v>
      </c>
      <c r="C45" s="191">
        <v>38715</v>
      </c>
      <c r="D45" s="188">
        <v>24993.42</v>
      </c>
      <c r="E45" s="219">
        <v>1</v>
      </c>
      <c r="F45" s="206"/>
      <c r="G45" s="219" t="s">
        <v>60</v>
      </c>
      <c r="H45" s="219">
        <v>44351.901726969998</v>
      </c>
      <c r="I45" s="163"/>
      <c r="J45" s="157"/>
      <c r="K45" s="224"/>
      <c r="L45" s="224"/>
      <c r="M45" s="224"/>
      <c r="O45" s="237" t="s">
        <v>60</v>
      </c>
      <c r="P45" s="237">
        <v>45112.710566059999</v>
      </c>
      <c r="Q45" s="235"/>
      <c r="S45" s="250"/>
      <c r="T45" s="253"/>
      <c r="U45" s="253"/>
      <c r="V45" s="253"/>
      <c r="W45" s="253"/>
      <c r="X45" s="253"/>
      <c r="Y45" s="241"/>
      <c r="Z45" s="249" t="s">
        <v>587</v>
      </c>
      <c r="AA45" s="249">
        <v>0</v>
      </c>
      <c r="AB45" s="249">
        <v>0</v>
      </c>
      <c r="AC45" s="249">
        <v>0</v>
      </c>
      <c r="AD45" s="249">
        <v>0</v>
      </c>
      <c r="AE45" s="249">
        <v>0</v>
      </c>
      <c r="AF45" s="249"/>
      <c r="AG45" s="249" t="s">
        <v>569</v>
      </c>
      <c r="AH45" s="249">
        <v>0</v>
      </c>
      <c r="AI45" s="249">
        <v>0</v>
      </c>
      <c r="AJ45" s="249">
        <v>0</v>
      </c>
      <c r="AK45" s="249">
        <v>333</v>
      </c>
      <c r="AL45" s="249">
        <v>1</v>
      </c>
      <c r="AM45" s="241"/>
      <c r="AN45" s="249" t="s">
        <v>567</v>
      </c>
      <c r="AO45" s="249">
        <v>1216860</v>
      </c>
      <c r="AP45" s="249">
        <v>19</v>
      </c>
      <c r="AQ45" s="249">
        <v>6</v>
      </c>
      <c r="AR45" s="249">
        <v>378</v>
      </c>
      <c r="AS45" s="249">
        <v>1</v>
      </c>
      <c r="AT45" s="241"/>
      <c r="AU45" s="249" t="s">
        <v>567</v>
      </c>
      <c r="AV45" s="249">
        <v>127040</v>
      </c>
      <c r="AW45" s="249">
        <v>2</v>
      </c>
      <c r="AX45" s="249">
        <v>1</v>
      </c>
      <c r="AY45" s="249">
        <v>17</v>
      </c>
      <c r="AZ45" s="249">
        <v>1</v>
      </c>
      <c r="BA45" s="241"/>
      <c r="BB45" s="249" t="s">
        <v>569</v>
      </c>
      <c r="BC45" s="249">
        <v>7463962.5</v>
      </c>
      <c r="BD45" s="249">
        <v>183</v>
      </c>
      <c r="BE45" s="249">
        <v>29</v>
      </c>
      <c r="BF45" s="249">
        <v>2774</v>
      </c>
      <c r="BG45" s="249">
        <v>1</v>
      </c>
      <c r="BH45" s="243" t="s">
        <v>569</v>
      </c>
      <c r="BI45" s="249">
        <v>0</v>
      </c>
      <c r="BJ45" s="249">
        <v>0</v>
      </c>
      <c r="BK45" s="249">
        <v>0</v>
      </c>
      <c r="BL45" s="249">
        <v>121</v>
      </c>
      <c r="BM45" s="249">
        <v>1</v>
      </c>
      <c r="BN45" s="249"/>
      <c r="BO45" s="243"/>
      <c r="BP45" s="259"/>
      <c r="BQ45" s="259"/>
      <c r="BR45" s="259"/>
      <c r="BS45" s="241"/>
      <c r="BT45" s="241"/>
      <c r="BU45" s="241"/>
      <c r="BV45" s="241"/>
      <c r="BW45" s="241"/>
      <c r="BX45" s="241"/>
      <c r="BY45" s="241"/>
      <c r="BZ45" s="241"/>
      <c r="CA45" s="241"/>
      <c r="CB45" s="241"/>
      <c r="CC45" s="241"/>
      <c r="CD45" s="241"/>
      <c r="CE45" s="241"/>
      <c r="CF45" s="241"/>
      <c r="CG45" s="241"/>
      <c r="CH45" s="241"/>
      <c r="CI45" s="241"/>
      <c r="CJ45" s="241"/>
      <c r="CK45" s="241"/>
      <c r="CL45" s="241"/>
      <c r="CM45" s="241"/>
      <c r="CN45" s="241"/>
      <c r="CO45" s="241"/>
      <c r="CP45" s="241"/>
      <c r="CQ45" s="241"/>
      <c r="CR45" s="241"/>
      <c r="CS45" s="241"/>
      <c r="CT45" s="241"/>
      <c r="CU45" s="241"/>
      <c r="CV45" s="241"/>
      <c r="CW45" s="241"/>
      <c r="CX45" s="241"/>
      <c r="CY45" s="241"/>
      <c r="CZ45" s="241"/>
      <c r="DA45" s="241"/>
      <c r="DB45" s="241"/>
      <c r="DC45" s="241"/>
      <c r="DD45" s="241"/>
    </row>
    <row r="46" spans="1:108" x14ac:dyDescent="0.25">
      <c r="B46" s="188" t="s">
        <v>241</v>
      </c>
      <c r="C46" s="191">
        <v>38716</v>
      </c>
      <c r="D46" s="188">
        <v>2895.12</v>
      </c>
      <c r="E46" s="219">
        <v>1</v>
      </c>
      <c r="F46" s="212"/>
      <c r="G46" s="219" t="s">
        <v>64</v>
      </c>
      <c r="H46" s="219">
        <v>70645.446027099999</v>
      </c>
      <c r="I46" s="163"/>
      <c r="J46" s="157"/>
      <c r="K46" s="224"/>
      <c r="L46" s="224"/>
      <c r="M46" s="224"/>
      <c r="O46" s="237" t="s">
        <v>64</v>
      </c>
      <c r="P46" s="237">
        <v>72776.468541859998</v>
      </c>
      <c r="Q46" s="235"/>
      <c r="S46" s="249"/>
      <c r="T46" s="254"/>
      <c r="U46" s="254"/>
      <c r="V46" s="254"/>
      <c r="W46" s="254"/>
      <c r="X46" s="254"/>
      <c r="Y46" s="241"/>
      <c r="Z46" s="249" t="s">
        <v>587</v>
      </c>
      <c r="AA46" s="249">
        <v>32655000.024999999</v>
      </c>
      <c r="AB46" s="249">
        <v>145</v>
      </c>
      <c r="AC46" s="249">
        <v>7</v>
      </c>
      <c r="AD46" s="249">
        <v>885</v>
      </c>
      <c r="AE46" s="249">
        <v>1</v>
      </c>
      <c r="AF46" s="249"/>
      <c r="AG46" s="249" t="s">
        <v>570</v>
      </c>
      <c r="AH46" s="249">
        <v>0</v>
      </c>
      <c r="AI46" s="249">
        <v>0</v>
      </c>
      <c r="AJ46" s="249">
        <v>0</v>
      </c>
      <c r="AK46" s="249">
        <v>96</v>
      </c>
      <c r="AL46" s="249">
        <v>1</v>
      </c>
      <c r="AM46" s="241"/>
      <c r="AN46" s="249" t="s">
        <v>568</v>
      </c>
      <c r="AO46" s="249">
        <v>0</v>
      </c>
      <c r="AP46" s="249">
        <v>0</v>
      </c>
      <c r="AQ46" s="249">
        <v>0</v>
      </c>
      <c r="AR46" s="249">
        <v>0</v>
      </c>
      <c r="AS46" s="249">
        <v>1</v>
      </c>
      <c r="AT46" s="241"/>
      <c r="AU46" s="249" t="s">
        <v>568</v>
      </c>
      <c r="AV46" s="249">
        <v>0</v>
      </c>
      <c r="AW46" s="249">
        <v>0</v>
      </c>
      <c r="AX46" s="249">
        <v>0</v>
      </c>
      <c r="AY46" s="249">
        <v>0</v>
      </c>
      <c r="AZ46" s="249">
        <v>1</v>
      </c>
      <c r="BA46" s="241"/>
      <c r="BB46" s="249" t="s">
        <v>570</v>
      </c>
      <c r="BC46" s="249">
        <v>18525000</v>
      </c>
      <c r="BD46" s="249">
        <v>190</v>
      </c>
      <c r="BE46" s="249">
        <v>2</v>
      </c>
      <c r="BF46" s="249">
        <v>2142</v>
      </c>
      <c r="BG46" s="249">
        <v>1</v>
      </c>
      <c r="BH46" s="243" t="s">
        <v>570</v>
      </c>
      <c r="BI46" s="249">
        <v>0</v>
      </c>
      <c r="BJ46" s="249">
        <v>0</v>
      </c>
      <c r="BK46" s="249">
        <v>0</v>
      </c>
      <c r="BL46" s="249">
        <v>102</v>
      </c>
      <c r="BM46" s="249">
        <v>1</v>
      </c>
      <c r="BN46" s="249"/>
      <c r="BO46" s="256" t="s">
        <v>478</v>
      </c>
      <c r="BP46" s="260" t="s">
        <v>561</v>
      </c>
      <c r="BQ46" s="259"/>
      <c r="BR46" s="259"/>
      <c r="BS46" s="241"/>
      <c r="BT46" s="241"/>
      <c r="BU46" s="241"/>
      <c r="BV46" s="241"/>
      <c r="BW46" s="241"/>
      <c r="BX46" s="241"/>
      <c r="BY46" s="241"/>
      <c r="BZ46" s="241"/>
      <c r="CA46" s="241"/>
      <c r="CB46" s="241"/>
      <c r="CC46" s="241"/>
      <c r="CD46" s="241"/>
      <c r="CE46" s="241"/>
      <c r="CF46" s="241"/>
      <c r="CG46" s="241"/>
      <c r="CH46" s="241"/>
      <c r="CI46" s="241"/>
      <c r="CJ46" s="241"/>
      <c r="CK46" s="241"/>
      <c r="CL46" s="241"/>
      <c r="CM46" s="241"/>
      <c r="CN46" s="241"/>
      <c r="CO46" s="241"/>
      <c r="CP46" s="241"/>
      <c r="CQ46" s="241"/>
      <c r="CR46" s="241"/>
      <c r="CS46" s="241"/>
      <c r="CT46" s="241"/>
      <c r="CU46" s="241"/>
      <c r="CV46" s="241"/>
      <c r="CW46" s="241"/>
      <c r="CX46" s="241"/>
      <c r="CY46" s="241"/>
      <c r="CZ46" s="241"/>
      <c r="DA46" s="241"/>
      <c r="DB46" s="241"/>
      <c r="DC46" s="241"/>
      <c r="DD46" s="241"/>
    </row>
    <row r="47" spans="1:108" x14ac:dyDescent="0.25">
      <c r="B47" s="188" t="s">
        <v>242</v>
      </c>
      <c r="C47" s="191">
        <v>38699</v>
      </c>
      <c r="D47" s="188">
        <v>28328.49</v>
      </c>
      <c r="E47" s="219">
        <v>1</v>
      </c>
      <c r="F47" s="213"/>
      <c r="G47" s="219" t="s">
        <v>66</v>
      </c>
      <c r="H47" s="219">
        <v>15132.84449089</v>
      </c>
      <c r="I47" s="163"/>
      <c r="J47" s="159"/>
      <c r="K47" s="224"/>
      <c r="L47" s="224"/>
      <c r="M47" s="224"/>
      <c r="O47" s="237" t="s">
        <v>66</v>
      </c>
      <c r="P47" s="237">
        <v>15770.21712607</v>
      </c>
      <c r="Q47" s="235"/>
      <c r="S47" s="249"/>
      <c r="T47" s="254"/>
      <c r="U47" s="254"/>
      <c r="V47" s="254"/>
      <c r="W47" s="254"/>
      <c r="X47" s="254"/>
      <c r="Y47" s="241"/>
      <c r="Z47" s="249" t="s">
        <v>588</v>
      </c>
      <c r="AA47" s="249">
        <v>0</v>
      </c>
      <c r="AB47" s="249">
        <v>0</v>
      </c>
      <c r="AC47" s="249">
        <v>0</v>
      </c>
      <c r="AD47" s="249">
        <v>0</v>
      </c>
      <c r="AE47" s="249">
        <v>0</v>
      </c>
      <c r="AF47" s="249"/>
      <c r="AG47" s="249" t="s">
        <v>571</v>
      </c>
      <c r="AH47" s="249">
        <v>0</v>
      </c>
      <c r="AI47" s="249">
        <v>0</v>
      </c>
      <c r="AJ47" s="249">
        <v>0</v>
      </c>
      <c r="AK47" s="249">
        <v>17</v>
      </c>
      <c r="AL47" s="249">
        <v>1</v>
      </c>
      <c r="AM47" s="241"/>
      <c r="AN47" s="249" t="s">
        <v>569</v>
      </c>
      <c r="AO47" s="249">
        <v>9693376.5</v>
      </c>
      <c r="AP47" s="249">
        <v>223</v>
      </c>
      <c r="AQ47" s="249">
        <v>31</v>
      </c>
      <c r="AR47" s="249">
        <v>5416</v>
      </c>
      <c r="AS47" s="249">
        <v>1</v>
      </c>
      <c r="AT47" s="241"/>
      <c r="AU47" s="249" t="s">
        <v>569</v>
      </c>
      <c r="AV47" s="249">
        <v>0</v>
      </c>
      <c r="AW47" s="249">
        <v>0</v>
      </c>
      <c r="AX47" s="249">
        <v>0</v>
      </c>
      <c r="AY47" s="249">
        <v>250</v>
      </c>
      <c r="AZ47" s="249">
        <v>1</v>
      </c>
      <c r="BA47" s="241"/>
      <c r="BB47" s="249" t="s">
        <v>571</v>
      </c>
      <c r="BC47" s="249">
        <v>2598375</v>
      </c>
      <c r="BD47" s="249">
        <v>38</v>
      </c>
      <c r="BE47" s="249">
        <v>2</v>
      </c>
      <c r="BF47" s="249">
        <v>252</v>
      </c>
      <c r="BG47" s="249">
        <v>1</v>
      </c>
      <c r="BH47" s="243" t="s">
        <v>571</v>
      </c>
      <c r="BI47" s="249">
        <v>0</v>
      </c>
      <c r="BJ47" s="249">
        <v>0</v>
      </c>
      <c r="BK47" s="249">
        <v>0</v>
      </c>
      <c r="BL47" s="249">
        <v>0</v>
      </c>
      <c r="BM47" s="249">
        <v>1</v>
      </c>
      <c r="BN47" s="249"/>
      <c r="BO47" s="243"/>
      <c r="BP47" s="259">
        <v>61660</v>
      </c>
      <c r="BQ47" s="259"/>
      <c r="BR47" s="259"/>
      <c r="BS47" s="241"/>
      <c r="BT47" s="241"/>
      <c r="BU47" s="241"/>
      <c r="BV47" s="241"/>
      <c r="BW47" s="241"/>
      <c r="BX47" s="241"/>
      <c r="BY47" s="241"/>
      <c r="BZ47" s="241"/>
      <c r="CA47" s="241"/>
      <c r="CB47" s="241"/>
      <c r="CC47" s="241"/>
      <c r="CD47" s="241"/>
      <c r="CE47" s="241"/>
      <c r="CF47" s="241"/>
      <c r="CG47" s="241"/>
      <c r="CH47" s="241"/>
      <c r="CI47" s="241"/>
      <c r="CJ47" s="241"/>
      <c r="CK47" s="241"/>
      <c r="CL47" s="241"/>
      <c r="CM47" s="241"/>
      <c r="CN47" s="241"/>
      <c r="CO47" s="241"/>
      <c r="CP47" s="241"/>
      <c r="CQ47" s="241"/>
      <c r="CR47" s="241"/>
      <c r="CS47" s="241"/>
      <c r="CT47" s="241"/>
      <c r="CU47" s="241"/>
      <c r="CV47" s="241"/>
      <c r="CW47" s="241"/>
      <c r="CX47" s="241"/>
      <c r="CY47" s="241"/>
      <c r="CZ47" s="241"/>
      <c r="DA47" s="241"/>
      <c r="DB47" s="241"/>
      <c r="DC47" s="241"/>
      <c r="DD47" s="241"/>
    </row>
    <row r="48" spans="1:108" x14ac:dyDescent="0.25">
      <c r="B48" s="188" t="s">
        <v>243</v>
      </c>
      <c r="C48" s="191">
        <v>43255</v>
      </c>
      <c r="D48" s="188">
        <v>72449.463907040001</v>
      </c>
      <c r="E48" s="219">
        <v>1</v>
      </c>
      <c r="F48" s="213"/>
      <c r="G48" s="219" t="s">
        <v>68</v>
      </c>
      <c r="H48" s="219">
        <v>74120.607825059997</v>
      </c>
      <c r="I48" s="163"/>
      <c r="J48" s="159"/>
      <c r="K48" s="224"/>
      <c r="L48" s="224"/>
      <c r="M48" s="224"/>
      <c r="O48" s="237" t="s">
        <v>68</v>
      </c>
      <c r="P48" s="237">
        <v>76516.005792700002</v>
      </c>
      <c r="Q48" s="235"/>
      <c r="S48" s="249"/>
      <c r="T48" s="254"/>
      <c r="U48" s="254"/>
      <c r="V48" s="254"/>
      <c r="W48" s="254"/>
      <c r="X48" s="254"/>
      <c r="Y48" s="241"/>
      <c r="Z48" s="249" t="s">
        <v>588</v>
      </c>
      <c r="AA48" s="249">
        <v>2603834.9900000002</v>
      </c>
      <c r="AB48" s="249">
        <v>18</v>
      </c>
      <c r="AC48" s="249">
        <v>11</v>
      </c>
      <c r="AD48" s="249">
        <v>198</v>
      </c>
      <c r="AE48" s="249">
        <v>1</v>
      </c>
      <c r="AF48" s="249"/>
      <c r="AG48" s="249" t="s">
        <v>572</v>
      </c>
      <c r="AH48" s="249">
        <v>543437898.89999998</v>
      </c>
      <c r="AI48" s="249">
        <v>2208</v>
      </c>
      <c r="AJ48" s="249">
        <v>33</v>
      </c>
      <c r="AK48" s="249">
        <v>15309</v>
      </c>
      <c r="AL48" s="249">
        <v>1</v>
      </c>
      <c r="AM48" s="241"/>
      <c r="AN48" s="249" t="s">
        <v>570</v>
      </c>
      <c r="AO48" s="249">
        <v>680750</v>
      </c>
      <c r="AP48" s="249">
        <v>7</v>
      </c>
      <c r="AQ48" s="249">
        <v>1</v>
      </c>
      <c r="AR48" s="249">
        <v>939</v>
      </c>
      <c r="AS48" s="249">
        <v>1</v>
      </c>
      <c r="AT48" s="241"/>
      <c r="AU48" s="249" t="s">
        <v>570</v>
      </c>
      <c r="AV48" s="249">
        <v>0</v>
      </c>
      <c r="AW48" s="249">
        <v>0</v>
      </c>
      <c r="AX48" s="249">
        <v>0</v>
      </c>
      <c r="AY48" s="249">
        <v>46</v>
      </c>
      <c r="AZ48" s="249">
        <v>1</v>
      </c>
      <c r="BA48" s="241"/>
      <c r="BB48" s="249" t="s">
        <v>572</v>
      </c>
      <c r="BC48" s="249">
        <v>3906471632.4200001</v>
      </c>
      <c r="BD48" s="249">
        <v>18073</v>
      </c>
      <c r="BE48" s="249">
        <v>964</v>
      </c>
      <c r="BF48" s="249">
        <v>353196</v>
      </c>
      <c r="BG48" s="249">
        <v>1</v>
      </c>
      <c r="BH48" s="243" t="s">
        <v>572</v>
      </c>
      <c r="BI48" s="249">
        <v>103276780.88</v>
      </c>
      <c r="BJ48" s="249">
        <v>484</v>
      </c>
      <c r="BK48" s="249">
        <v>32</v>
      </c>
      <c r="BL48" s="249">
        <v>16809</v>
      </c>
      <c r="BM48" s="249">
        <v>1</v>
      </c>
      <c r="BN48" s="249"/>
      <c r="BO48" s="241"/>
      <c r="BP48" s="241"/>
      <c r="BQ48" s="241"/>
      <c r="BR48" s="241"/>
      <c r="BS48" s="241"/>
      <c r="BT48" s="241"/>
      <c r="BU48" s="241"/>
      <c r="BV48" s="241"/>
      <c r="BW48" s="241"/>
      <c r="BX48" s="241"/>
      <c r="BY48" s="241"/>
      <c r="BZ48" s="241"/>
      <c r="CA48" s="241"/>
      <c r="CB48" s="241"/>
      <c r="CC48" s="241"/>
      <c r="CD48" s="241"/>
      <c r="CE48" s="241"/>
      <c r="CF48" s="241"/>
      <c r="CG48" s="241"/>
      <c r="CH48" s="241"/>
      <c r="CI48" s="241"/>
      <c r="CJ48" s="241"/>
      <c r="CK48" s="241"/>
      <c r="CL48" s="241"/>
      <c r="CM48" s="241"/>
      <c r="CN48" s="241"/>
      <c r="CO48" s="241"/>
      <c r="CP48" s="241"/>
      <c r="CQ48" s="241"/>
      <c r="CR48" s="241"/>
      <c r="CS48" s="241"/>
      <c r="CT48" s="241"/>
      <c r="CU48" s="241"/>
      <c r="CV48" s="241"/>
      <c r="CW48" s="241"/>
      <c r="CX48" s="241"/>
      <c r="CY48" s="241"/>
      <c r="CZ48" s="241"/>
      <c r="DA48" s="241"/>
      <c r="DB48" s="241"/>
      <c r="DC48" s="241"/>
      <c r="DD48" s="241"/>
    </row>
    <row r="49" spans="1:70" x14ac:dyDescent="0.25">
      <c r="B49" s="188" t="s">
        <v>244</v>
      </c>
      <c r="C49" s="191">
        <v>38709</v>
      </c>
      <c r="D49" s="188">
        <v>1445.21</v>
      </c>
      <c r="E49" s="219">
        <v>1</v>
      </c>
      <c r="F49" s="213"/>
      <c r="G49" s="219" t="s">
        <v>114</v>
      </c>
      <c r="H49" s="219">
        <v>821.59498885999994</v>
      </c>
      <c r="I49" s="163"/>
      <c r="J49" s="159"/>
      <c r="K49" s="224"/>
      <c r="L49" s="224"/>
      <c r="M49" s="224"/>
      <c r="O49" s="237" t="s">
        <v>114</v>
      </c>
      <c r="P49" s="237">
        <v>819.38420771000006</v>
      </c>
      <c r="Q49" s="235"/>
      <c r="S49" s="249"/>
      <c r="T49" s="254"/>
      <c r="U49" s="254"/>
      <c r="V49" s="254"/>
      <c r="W49" s="254"/>
      <c r="X49" s="254"/>
      <c r="Y49" s="241"/>
      <c r="Z49" s="249" t="s">
        <v>589</v>
      </c>
      <c r="AA49" s="249">
        <v>0</v>
      </c>
      <c r="AB49" s="249">
        <v>0</v>
      </c>
      <c r="AC49" s="249">
        <v>0</v>
      </c>
      <c r="AD49" s="249">
        <v>0</v>
      </c>
      <c r="AE49" s="249">
        <v>0</v>
      </c>
      <c r="AF49" s="249"/>
      <c r="AG49" s="249" t="s">
        <v>573</v>
      </c>
      <c r="AH49" s="249">
        <v>6712754.2000000002</v>
      </c>
      <c r="AI49" s="249">
        <v>359</v>
      </c>
      <c r="AJ49" s="249">
        <v>18</v>
      </c>
      <c r="AK49" s="249">
        <v>13733</v>
      </c>
      <c r="AL49" s="249">
        <v>1</v>
      </c>
      <c r="AM49" s="241"/>
      <c r="AN49" s="249" t="s">
        <v>571</v>
      </c>
      <c r="AO49" s="249">
        <v>0</v>
      </c>
      <c r="AP49" s="249">
        <v>0</v>
      </c>
      <c r="AQ49" s="249">
        <v>0</v>
      </c>
      <c r="AR49" s="249">
        <v>0</v>
      </c>
      <c r="AS49" s="249">
        <v>1</v>
      </c>
      <c r="AT49" s="241"/>
      <c r="AU49" s="249" t="s">
        <v>571</v>
      </c>
      <c r="AV49" s="249">
        <v>0</v>
      </c>
      <c r="AW49" s="249">
        <v>0</v>
      </c>
      <c r="AX49" s="249">
        <v>0</v>
      </c>
      <c r="AY49" s="249">
        <v>0</v>
      </c>
      <c r="AZ49" s="249">
        <v>1</v>
      </c>
      <c r="BA49" s="241"/>
      <c r="BB49" s="249" t="s">
        <v>573</v>
      </c>
      <c r="BC49" s="249">
        <v>71934359.150000006</v>
      </c>
      <c r="BD49" s="249">
        <v>3881</v>
      </c>
      <c r="BE49" s="249">
        <v>221</v>
      </c>
      <c r="BF49" s="249">
        <v>46689</v>
      </c>
      <c r="BG49" s="249">
        <v>1</v>
      </c>
      <c r="BH49" s="243" t="s">
        <v>573</v>
      </c>
      <c r="BI49" s="249">
        <v>608893.5</v>
      </c>
      <c r="BJ49" s="249">
        <v>34</v>
      </c>
      <c r="BK49" s="249">
        <v>7</v>
      </c>
      <c r="BL49" s="249">
        <v>2650</v>
      </c>
      <c r="BM49" s="249">
        <v>1</v>
      </c>
      <c r="BN49" s="249"/>
      <c r="BO49" s="252" t="s">
        <v>480</v>
      </c>
      <c r="BP49" s="260" t="s">
        <v>529</v>
      </c>
      <c r="BQ49" s="260" t="s">
        <v>559</v>
      </c>
      <c r="BR49" s="260" t="s">
        <v>560</v>
      </c>
    </row>
    <row r="50" spans="1:70" x14ac:dyDescent="0.25">
      <c r="B50" s="188" t="s">
        <v>245</v>
      </c>
      <c r="C50" s="191">
        <v>38673</v>
      </c>
      <c r="D50" s="188">
        <v>110.01</v>
      </c>
      <c r="E50" s="219">
        <v>1</v>
      </c>
      <c r="F50" s="213"/>
      <c r="G50" s="219" t="s">
        <v>272</v>
      </c>
      <c r="H50" s="219">
        <v>313.45830883000002</v>
      </c>
      <c r="I50" s="163"/>
      <c r="J50" s="159"/>
      <c r="K50" s="224"/>
      <c r="L50" s="224"/>
      <c r="M50" s="224"/>
      <c r="O50" s="237" t="s">
        <v>272</v>
      </c>
      <c r="P50" s="237">
        <v>315.10763551999997</v>
      </c>
      <c r="Q50" s="235"/>
      <c r="R50" s="153" t="s">
        <v>444</v>
      </c>
      <c r="S50" s="249"/>
      <c r="T50" s="254"/>
      <c r="U50" s="254"/>
      <c r="V50" s="254"/>
      <c r="W50" s="254"/>
      <c r="X50" s="254"/>
      <c r="Y50" s="241"/>
      <c r="Z50" s="249" t="s">
        <v>589</v>
      </c>
      <c r="AA50" s="249">
        <v>33797490.004000001</v>
      </c>
      <c r="AB50" s="249">
        <v>253</v>
      </c>
      <c r="AC50" s="249">
        <v>13</v>
      </c>
      <c r="AD50" s="249">
        <v>4834</v>
      </c>
      <c r="AE50" s="249">
        <v>1</v>
      </c>
      <c r="AF50" s="249"/>
      <c r="AG50" s="249" t="s">
        <v>574</v>
      </c>
      <c r="AH50" s="249">
        <v>0</v>
      </c>
      <c r="AI50" s="249">
        <v>0</v>
      </c>
      <c r="AJ50" s="249">
        <v>0</v>
      </c>
      <c r="AK50" s="249">
        <v>0</v>
      </c>
      <c r="AL50" s="249">
        <v>1</v>
      </c>
      <c r="AM50" s="241"/>
      <c r="AN50" s="249" t="s">
        <v>572</v>
      </c>
      <c r="AO50" s="249">
        <v>4826273360.5500002</v>
      </c>
      <c r="AP50" s="249">
        <v>19597</v>
      </c>
      <c r="AQ50" s="249">
        <v>1557</v>
      </c>
      <c r="AR50" s="249">
        <v>258285</v>
      </c>
      <c r="AS50" s="249">
        <v>1</v>
      </c>
      <c r="AT50" s="241"/>
      <c r="AU50" s="249" t="s">
        <v>572</v>
      </c>
      <c r="AV50" s="249">
        <v>129219410.06999999</v>
      </c>
      <c r="AW50" s="249">
        <v>537</v>
      </c>
      <c r="AX50" s="249">
        <v>59</v>
      </c>
      <c r="AY50" s="249">
        <v>8869</v>
      </c>
      <c r="AZ50" s="249">
        <v>1</v>
      </c>
      <c r="BA50" s="241"/>
      <c r="BB50" s="249" t="s">
        <v>574</v>
      </c>
      <c r="BC50" s="249">
        <v>0</v>
      </c>
      <c r="BD50" s="249">
        <v>0</v>
      </c>
      <c r="BE50" s="249">
        <v>0</v>
      </c>
      <c r="BF50" s="249">
        <v>0</v>
      </c>
      <c r="BG50" s="249">
        <v>1</v>
      </c>
      <c r="BH50" s="243" t="s">
        <v>574</v>
      </c>
      <c r="BI50" s="249">
        <v>0</v>
      </c>
      <c r="BJ50" s="249">
        <v>0</v>
      </c>
      <c r="BK50" s="249">
        <v>0</v>
      </c>
      <c r="BL50" s="249">
        <v>0</v>
      </c>
      <c r="BM50" s="249">
        <v>1</v>
      </c>
      <c r="BN50" s="249"/>
      <c r="BO50" s="243"/>
      <c r="BP50" s="259">
        <v>0</v>
      </c>
      <c r="BQ50" s="259">
        <v>0</v>
      </c>
      <c r="BR50" s="259">
        <v>0</v>
      </c>
    </row>
    <row r="51" spans="1:70" x14ac:dyDescent="0.25">
      <c r="B51" s="188" t="s">
        <v>246</v>
      </c>
      <c r="C51" s="191">
        <v>38709</v>
      </c>
      <c r="D51" s="188">
        <v>34691.21</v>
      </c>
      <c r="E51" s="219">
        <v>1</v>
      </c>
      <c r="F51" s="210"/>
      <c r="G51" s="219" t="s">
        <v>273</v>
      </c>
      <c r="H51" s="219">
        <v>15.165821729999999</v>
      </c>
      <c r="I51" s="163"/>
      <c r="J51" s="157"/>
      <c r="K51" s="224"/>
      <c r="L51" s="224"/>
      <c r="M51" s="224"/>
      <c r="O51" s="237" t="s">
        <v>273</v>
      </c>
      <c r="P51" s="237">
        <v>17.590273880000002</v>
      </c>
      <c r="Q51" s="235"/>
      <c r="S51" s="249"/>
      <c r="T51" s="254"/>
      <c r="U51" s="254"/>
      <c r="V51" s="254"/>
      <c r="W51" s="254"/>
      <c r="X51" s="254"/>
      <c r="Y51" s="241"/>
      <c r="Z51" s="249" t="s">
        <v>590</v>
      </c>
      <c r="AA51" s="249">
        <v>0</v>
      </c>
      <c r="AB51" s="249">
        <v>0</v>
      </c>
      <c r="AC51" s="249">
        <v>0</v>
      </c>
      <c r="AD51" s="249">
        <v>0</v>
      </c>
      <c r="AE51" s="249">
        <v>0</v>
      </c>
      <c r="AF51" s="249"/>
      <c r="AG51" s="249" t="s">
        <v>575</v>
      </c>
      <c r="AH51" s="249">
        <v>0</v>
      </c>
      <c r="AI51" s="249">
        <v>0</v>
      </c>
      <c r="AJ51" s="249">
        <v>0</v>
      </c>
      <c r="AK51" s="249">
        <v>30</v>
      </c>
      <c r="AL51" s="249">
        <v>1</v>
      </c>
      <c r="AM51" s="241"/>
      <c r="AN51" s="249" t="s">
        <v>573</v>
      </c>
      <c r="AO51" s="249">
        <v>591197068.29999995</v>
      </c>
      <c r="AP51" s="249">
        <v>27232</v>
      </c>
      <c r="AQ51" s="249">
        <v>512</v>
      </c>
      <c r="AR51" s="249">
        <v>231611</v>
      </c>
      <c r="AS51" s="249">
        <v>1</v>
      </c>
      <c r="AT51" s="241"/>
      <c r="AU51" s="249" t="s">
        <v>573</v>
      </c>
      <c r="AV51" s="249">
        <v>20832308.800000001</v>
      </c>
      <c r="AW51" s="249">
        <v>1002</v>
      </c>
      <c r="AX51" s="249">
        <v>25</v>
      </c>
      <c r="AY51" s="249">
        <v>10753</v>
      </c>
      <c r="AZ51" s="249">
        <v>1</v>
      </c>
      <c r="BA51" s="241"/>
      <c r="BB51" s="249" t="s">
        <v>575</v>
      </c>
      <c r="BC51" s="249">
        <v>0</v>
      </c>
      <c r="BD51" s="249">
        <v>0</v>
      </c>
      <c r="BE51" s="249">
        <v>0</v>
      </c>
      <c r="BF51" s="249">
        <v>42</v>
      </c>
      <c r="BG51" s="249">
        <v>1</v>
      </c>
      <c r="BH51" s="243" t="s">
        <v>575</v>
      </c>
      <c r="BI51" s="249">
        <v>0</v>
      </c>
      <c r="BJ51" s="249">
        <v>0</v>
      </c>
      <c r="BK51" s="249">
        <v>0</v>
      </c>
      <c r="BL51" s="249">
        <v>2</v>
      </c>
      <c r="BM51" s="249">
        <v>1</v>
      </c>
      <c r="BN51" s="249"/>
      <c r="BO51" s="243"/>
      <c r="BP51" s="243"/>
      <c r="BQ51" s="243"/>
      <c r="BR51" s="243"/>
    </row>
    <row r="52" spans="1:70" x14ac:dyDescent="0.25">
      <c r="B52" s="188" t="s">
        <v>247</v>
      </c>
      <c r="C52" s="191">
        <v>38716</v>
      </c>
      <c r="D52" s="188">
        <v>14859.1</v>
      </c>
      <c r="E52" s="219">
        <v>1</v>
      </c>
      <c r="F52" s="205"/>
      <c r="G52" s="219" t="s">
        <v>274</v>
      </c>
      <c r="H52" s="219">
        <v>410.30734425000003</v>
      </c>
      <c r="I52" s="163"/>
      <c r="J52" s="157"/>
      <c r="K52" s="224"/>
      <c r="L52" s="224"/>
      <c r="M52" s="224"/>
      <c r="O52" s="237" t="s">
        <v>274</v>
      </c>
      <c r="P52" s="237">
        <v>391.92024693000002</v>
      </c>
      <c r="Q52" s="235"/>
      <c r="S52" s="249"/>
      <c r="T52" s="254"/>
      <c r="U52" s="254"/>
      <c r="V52" s="254"/>
      <c r="W52" s="254"/>
      <c r="X52" s="254"/>
      <c r="Y52" s="241"/>
      <c r="Z52" s="249" t="s">
        <v>590</v>
      </c>
      <c r="AA52" s="249">
        <v>18577750.039999999</v>
      </c>
      <c r="AB52" s="249">
        <v>209</v>
      </c>
      <c r="AC52" s="249">
        <v>57</v>
      </c>
      <c r="AD52" s="249">
        <v>1234</v>
      </c>
      <c r="AE52" s="249">
        <v>1</v>
      </c>
      <c r="AF52" s="249"/>
      <c r="AG52" s="249" t="s">
        <v>576</v>
      </c>
      <c r="AH52" s="249">
        <v>0</v>
      </c>
      <c r="AI52" s="249">
        <v>0</v>
      </c>
      <c r="AJ52" s="249">
        <v>0</v>
      </c>
      <c r="AK52" s="249">
        <v>335</v>
      </c>
      <c r="AL52" s="249">
        <v>1</v>
      </c>
      <c r="AM52" s="241"/>
      <c r="AN52" s="249" t="s">
        <v>574</v>
      </c>
      <c r="AO52" s="249">
        <v>0</v>
      </c>
      <c r="AP52" s="249">
        <v>0</v>
      </c>
      <c r="AQ52" s="249">
        <v>0</v>
      </c>
      <c r="AR52" s="249">
        <v>253</v>
      </c>
      <c r="AS52" s="249">
        <v>1</v>
      </c>
      <c r="AT52" s="241"/>
      <c r="AU52" s="249" t="s">
        <v>574</v>
      </c>
      <c r="AV52" s="249">
        <v>0</v>
      </c>
      <c r="AW52" s="249">
        <v>0</v>
      </c>
      <c r="AX52" s="249">
        <v>0</v>
      </c>
      <c r="AY52" s="249">
        <v>11</v>
      </c>
      <c r="AZ52" s="249">
        <v>1</v>
      </c>
      <c r="BA52" s="241"/>
      <c r="BB52" s="249" t="s">
        <v>576</v>
      </c>
      <c r="BC52" s="249">
        <v>18785713</v>
      </c>
      <c r="BD52" s="249">
        <v>451</v>
      </c>
      <c r="BE52" s="249">
        <v>4</v>
      </c>
      <c r="BF52" s="249">
        <v>27032</v>
      </c>
      <c r="BG52" s="249">
        <v>1</v>
      </c>
      <c r="BH52" s="243" t="s">
        <v>576</v>
      </c>
      <c r="BI52" s="249">
        <v>0</v>
      </c>
      <c r="BJ52" s="249">
        <v>0</v>
      </c>
      <c r="BK52" s="249">
        <v>0</v>
      </c>
      <c r="BL52" s="249">
        <v>1663</v>
      </c>
      <c r="BM52" s="249">
        <v>1</v>
      </c>
      <c r="BN52" s="249"/>
      <c r="BO52" s="255" t="s">
        <v>481</v>
      </c>
      <c r="BP52" s="260" t="s">
        <v>529</v>
      </c>
      <c r="BQ52" s="260" t="s">
        <v>559</v>
      </c>
      <c r="BR52" s="260" t="s">
        <v>560</v>
      </c>
    </row>
    <row r="53" spans="1:70" x14ac:dyDescent="0.25">
      <c r="B53" s="188" t="s">
        <v>248</v>
      </c>
      <c r="C53" s="191">
        <v>38708</v>
      </c>
      <c r="D53" s="188">
        <v>1357.01</v>
      </c>
      <c r="E53" s="219">
        <v>1</v>
      </c>
      <c r="F53" s="206"/>
      <c r="G53" s="219" t="s">
        <v>275</v>
      </c>
      <c r="H53" s="219">
        <v>252.87054757000001</v>
      </c>
      <c r="I53" s="163"/>
      <c r="J53" s="157"/>
      <c r="K53" s="224"/>
      <c r="L53" s="224"/>
      <c r="M53" s="224"/>
      <c r="O53" s="237" t="s">
        <v>275</v>
      </c>
      <c r="P53" s="237">
        <v>252.90902285000001</v>
      </c>
      <c r="Q53" s="235"/>
      <c r="S53" s="249"/>
      <c r="T53" s="254"/>
      <c r="U53" s="254"/>
      <c r="V53" s="254"/>
      <c r="W53" s="254"/>
      <c r="X53" s="254"/>
      <c r="Y53" s="241"/>
      <c r="Z53" s="249" t="s">
        <v>591</v>
      </c>
      <c r="AA53" s="249">
        <v>0</v>
      </c>
      <c r="AB53" s="249">
        <v>0</v>
      </c>
      <c r="AC53" s="249">
        <v>0</v>
      </c>
      <c r="AD53" s="249">
        <v>0</v>
      </c>
      <c r="AE53" s="249">
        <v>0</v>
      </c>
      <c r="AF53" s="249"/>
      <c r="AG53" s="249" t="s">
        <v>577</v>
      </c>
      <c r="AH53" s="249">
        <v>0</v>
      </c>
      <c r="AI53" s="249">
        <v>0</v>
      </c>
      <c r="AJ53" s="249">
        <v>0</v>
      </c>
      <c r="AK53" s="249">
        <v>0</v>
      </c>
      <c r="AL53" s="249">
        <v>1</v>
      </c>
      <c r="AM53" s="241"/>
      <c r="AN53" s="249" t="s">
        <v>575</v>
      </c>
      <c r="AO53" s="249">
        <v>6768322.6200000001</v>
      </c>
      <c r="AP53" s="249">
        <v>80</v>
      </c>
      <c r="AQ53" s="249">
        <v>7</v>
      </c>
      <c r="AR53" s="249">
        <v>2604</v>
      </c>
      <c r="AS53" s="249">
        <v>1</v>
      </c>
      <c r="AT53" s="241"/>
      <c r="AU53" s="249" t="s">
        <v>575</v>
      </c>
      <c r="AV53" s="249">
        <v>0</v>
      </c>
      <c r="AW53" s="249">
        <v>0</v>
      </c>
      <c r="AX53" s="249">
        <v>0</v>
      </c>
      <c r="AY53" s="249">
        <v>98</v>
      </c>
      <c r="AZ53" s="249">
        <v>1</v>
      </c>
      <c r="BA53" s="241"/>
      <c r="BB53" s="249" t="s">
        <v>577</v>
      </c>
      <c r="BC53" s="249">
        <v>0</v>
      </c>
      <c r="BD53" s="249">
        <v>0</v>
      </c>
      <c r="BE53" s="249">
        <v>0</v>
      </c>
      <c r="BF53" s="249">
        <v>0</v>
      </c>
      <c r="BG53" s="249">
        <v>1</v>
      </c>
      <c r="BH53" s="243" t="s">
        <v>577</v>
      </c>
      <c r="BI53" s="249">
        <v>0</v>
      </c>
      <c r="BJ53" s="249">
        <v>0</v>
      </c>
      <c r="BK53" s="249">
        <v>0</v>
      </c>
      <c r="BL53" s="249">
        <v>0</v>
      </c>
      <c r="BM53" s="249">
        <v>1</v>
      </c>
      <c r="BN53" s="249"/>
      <c r="BO53" s="247"/>
      <c r="BP53" s="259">
        <v>0</v>
      </c>
      <c r="BQ53" s="259">
        <v>0</v>
      </c>
      <c r="BR53" s="259">
        <v>0</v>
      </c>
    </row>
    <row r="54" spans="1:70" x14ac:dyDescent="0.25">
      <c r="B54" s="188" t="s">
        <v>249</v>
      </c>
      <c r="C54" s="191">
        <v>38713</v>
      </c>
      <c r="D54" s="188">
        <v>17869.22</v>
      </c>
      <c r="E54" s="219">
        <v>1</v>
      </c>
      <c r="F54" s="211"/>
      <c r="G54" s="219" t="s">
        <v>276</v>
      </c>
      <c r="H54" s="219">
        <v>220.41518393999999</v>
      </c>
      <c r="I54" s="163"/>
      <c r="J54" s="157"/>
      <c r="K54" s="224"/>
      <c r="L54" s="224"/>
      <c r="M54" s="224"/>
      <c r="O54" s="237" t="s">
        <v>276</v>
      </c>
      <c r="P54" s="237">
        <v>213.97773393</v>
      </c>
      <c r="Q54" s="235"/>
      <c r="S54" s="249"/>
      <c r="T54" s="254"/>
      <c r="U54" s="254"/>
      <c r="V54" s="254"/>
      <c r="W54" s="254"/>
      <c r="X54" s="254"/>
      <c r="Y54" s="241"/>
      <c r="Z54" s="249" t="s">
        <v>591</v>
      </c>
      <c r="AA54" s="249">
        <v>90767150.099999994</v>
      </c>
      <c r="AB54" s="249">
        <v>680</v>
      </c>
      <c r="AC54" s="249">
        <v>46</v>
      </c>
      <c r="AD54" s="249">
        <v>6000</v>
      </c>
      <c r="AE54" s="249">
        <v>1</v>
      </c>
      <c r="AF54" s="249"/>
      <c r="AG54" s="249" t="s">
        <v>578</v>
      </c>
      <c r="AH54" s="249">
        <v>0</v>
      </c>
      <c r="AI54" s="249">
        <v>0</v>
      </c>
      <c r="AJ54" s="249">
        <v>0</v>
      </c>
      <c r="AK54" s="249">
        <v>516</v>
      </c>
      <c r="AL54" s="249">
        <v>1</v>
      </c>
      <c r="AM54" s="241"/>
      <c r="AN54" s="249" t="s">
        <v>576</v>
      </c>
      <c r="AO54" s="249">
        <v>12930039.050000001</v>
      </c>
      <c r="AP54" s="249">
        <v>375</v>
      </c>
      <c r="AQ54" s="249">
        <v>6</v>
      </c>
      <c r="AR54" s="249">
        <v>5592</v>
      </c>
      <c r="AS54" s="249">
        <v>1</v>
      </c>
      <c r="AT54" s="241"/>
      <c r="AU54" s="249" t="s">
        <v>576</v>
      </c>
      <c r="AV54" s="249">
        <v>36262.5</v>
      </c>
      <c r="AW54" s="249">
        <v>1</v>
      </c>
      <c r="AX54" s="249">
        <v>1</v>
      </c>
      <c r="AY54" s="249">
        <v>4</v>
      </c>
      <c r="AZ54" s="249">
        <v>1</v>
      </c>
      <c r="BA54" s="241"/>
      <c r="BB54" s="249" t="s">
        <v>578</v>
      </c>
      <c r="BC54" s="249">
        <v>348193121.05599999</v>
      </c>
      <c r="BD54" s="249">
        <v>2004</v>
      </c>
      <c r="BE54" s="249">
        <v>42</v>
      </c>
      <c r="BF54" s="249">
        <v>16406</v>
      </c>
      <c r="BG54" s="249">
        <v>1</v>
      </c>
      <c r="BH54" s="243" t="s">
        <v>578</v>
      </c>
      <c r="BI54" s="249">
        <v>729230</v>
      </c>
      <c r="BJ54" s="249">
        <v>4</v>
      </c>
      <c r="BK54" s="249">
        <v>2</v>
      </c>
      <c r="BL54" s="249">
        <v>1204</v>
      </c>
      <c r="BM54" s="249">
        <v>1</v>
      </c>
      <c r="BN54" s="249"/>
      <c r="BO54" s="247"/>
      <c r="BP54" s="259"/>
      <c r="BQ54" s="259"/>
      <c r="BR54" s="259"/>
    </row>
    <row r="55" spans="1:70" x14ac:dyDescent="0.25">
      <c r="B55" s="188" t="s">
        <v>250</v>
      </c>
      <c r="C55" s="191">
        <v>38713</v>
      </c>
      <c r="D55" s="188">
        <v>30401.200000000001</v>
      </c>
      <c r="E55" s="219">
        <v>1</v>
      </c>
      <c r="F55" s="214"/>
      <c r="G55" s="219" t="s">
        <v>277</v>
      </c>
      <c r="H55" s="219">
        <v>555.45747384000003</v>
      </c>
      <c r="I55" s="163"/>
      <c r="J55" s="157"/>
      <c r="K55" s="224"/>
      <c r="L55" s="224"/>
      <c r="M55" s="224"/>
      <c r="O55" s="237" t="s">
        <v>277</v>
      </c>
      <c r="P55" s="237">
        <v>525.04143973999999</v>
      </c>
      <c r="Q55" s="235"/>
      <c r="S55" s="249"/>
      <c r="T55" s="254"/>
      <c r="U55" s="254"/>
      <c r="V55" s="254"/>
      <c r="W55" s="254"/>
      <c r="X55" s="254"/>
      <c r="Y55" s="241"/>
      <c r="Z55" s="249" t="s">
        <v>592</v>
      </c>
      <c r="AA55" s="249">
        <v>0</v>
      </c>
      <c r="AB55" s="249">
        <v>0</v>
      </c>
      <c r="AC55" s="249">
        <v>0</v>
      </c>
      <c r="AD55" s="249">
        <v>0</v>
      </c>
      <c r="AE55" s="249">
        <v>0</v>
      </c>
      <c r="AF55" s="249"/>
      <c r="AG55" s="249" t="s">
        <v>579</v>
      </c>
      <c r="AH55" s="249">
        <v>1538400</v>
      </c>
      <c r="AI55" s="249">
        <v>10</v>
      </c>
      <c r="AJ55" s="249">
        <v>1</v>
      </c>
      <c r="AK55" s="249">
        <v>78</v>
      </c>
      <c r="AL55" s="249">
        <v>1</v>
      </c>
      <c r="AM55" s="241"/>
      <c r="AN55" s="249" t="s">
        <v>577</v>
      </c>
      <c r="AO55" s="249">
        <v>0</v>
      </c>
      <c r="AP55" s="249">
        <v>0</v>
      </c>
      <c r="AQ55" s="249">
        <v>0</v>
      </c>
      <c r="AR55" s="249">
        <v>0</v>
      </c>
      <c r="AS55" s="249">
        <v>1</v>
      </c>
      <c r="AT55" s="241"/>
      <c r="AU55" s="249" t="s">
        <v>577</v>
      </c>
      <c r="AV55" s="249">
        <v>0</v>
      </c>
      <c r="AW55" s="249">
        <v>0</v>
      </c>
      <c r="AX55" s="249">
        <v>0</v>
      </c>
      <c r="AY55" s="249">
        <v>0</v>
      </c>
      <c r="AZ55" s="249">
        <v>1</v>
      </c>
      <c r="BA55" s="241"/>
      <c r="BB55" s="249" t="s">
        <v>579</v>
      </c>
      <c r="BC55" s="249">
        <v>13346989.99</v>
      </c>
      <c r="BD55" s="249">
        <v>111</v>
      </c>
      <c r="BE55" s="249">
        <v>37</v>
      </c>
      <c r="BF55" s="249">
        <v>1038</v>
      </c>
      <c r="BG55" s="249">
        <v>1</v>
      </c>
      <c r="BH55" s="243" t="s">
        <v>579</v>
      </c>
      <c r="BI55" s="249">
        <v>0</v>
      </c>
      <c r="BJ55" s="249">
        <v>0</v>
      </c>
      <c r="BK55" s="249">
        <v>0</v>
      </c>
      <c r="BL55" s="249">
        <v>40</v>
      </c>
      <c r="BM55" s="249">
        <v>1</v>
      </c>
      <c r="BN55" s="249"/>
      <c r="BO55" s="252" t="s">
        <v>482</v>
      </c>
      <c r="BP55" s="260" t="s">
        <v>609</v>
      </c>
      <c r="BQ55" s="260" t="s">
        <v>561</v>
      </c>
      <c r="BR55" s="259"/>
    </row>
    <row r="56" spans="1:70" x14ac:dyDescent="0.25">
      <c r="B56" s="188" t="s">
        <v>251</v>
      </c>
      <c r="C56" s="191">
        <v>38709</v>
      </c>
      <c r="D56" s="188">
        <v>16626.419999999998</v>
      </c>
      <c r="E56" s="219">
        <v>1</v>
      </c>
      <c r="F56" s="214"/>
      <c r="G56" s="219" t="s">
        <v>278</v>
      </c>
      <c r="H56" s="219">
        <v>7428.74319758</v>
      </c>
      <c r="I56" s="163"/>
      <c r="J56" s="157"/>
      <c r="K56" s="224"/>
      <c r="L56" s="224"/>
      <c r="M56" s="224"/>
      <c r="O56" s="237" t="s">
        <v>278</v>
      </c>
      <c r="P56" s="237">
        <v>7684.5448378000001</v>
      </c>
      <c r="Q56" s="235"/>
      <c r="S56" s="249"/>
      <c r="T56" s="254"/>
      <c r="U56" s="254"/>
      <c r="V56" s="254"/>
      <c r="W56" s="254"/>
      <c r="X56" s="254"/>
      <c r="Y56" s="241"/>
      <c r="Z56" s="249" t="s">
        <v>592</v>
      </c>
      <c r="AA56" s="249">
        <v>11232245.5</v>
      </c>
      <c r="AB56" s="249">
        <v>132</v>
      </c>
      <c r="AC56" s="249">
        <v>18</v>
      </c>
      <c r="AD56" s="249">
        <v>888</v>
      </c>
      <c r="AE56" s="249">
        <v>1</v>
      </c>
      <c r="AF56" s="249"/>
      <c r="AG56" s="249" t="s">
        <v>580</v>
      </c>
      <c r="AH56" s="249">
        <v>6732695.0250000004</v>
      </c>
      <c r="AI56" s="249">
        <v>59</v>
      </c>
      <c r="AJ56" s="249">
        <v>2</v>
      </c>
      <c r="AK56" s="249">
        <v>273</v>
      </c>
      <c r="AL56" s="249">
        <v>1</v>
      </c>
      <c r="AM56" s="241"/>
      <c r="AN56" s="249" t="s">
        <v>578</v>
      </c>
      <c r="AO56" s="249">
        <v>27810799.960000001</v>
      </c>
      <c r="AP56" s="249">
        <v>139</v>
      </c>
      <c r="AQ56" s="249">
        <v>14</v>
      </c>
      <c r="AR56" s="249">
        <v>12120</v>
      </c>
      <c r="AS56" s="249">
        <v>1</v>
      </c>
      <c r="AT56" s="241"/>
      <c r="AU56" s="249" t="s">
        <v>578</v>
      </c>
      <c r="AV56" s="249">
        <v>419860</v>
      </c>
      <c r="AW56" s="249">
        <v>2</v>
      </c>
      <c r="AX56" s="249">
        <v>1</v>
      </c>
      <c r="AY56" s="249">
        <v>506</v>
      </c>
      <c r="AZ56" s="249">
        <v>1</v>
      </c>
      <c r="BA56" s="241"/>
      <c r="BB56" s="249" t="s">
        <v>580</v>
      </c>
      <c r="BC56" s="249">
        <v>96462140.049999997</v>
      </c>
      <c r="BD56" s="249">
        <v>633</v>
      </c>
      <c r="BE56" s="249">
        <v>20</v>
      </c>
      <c r="BF56" s="249">
        <v>1665</v>
      </c>
      <c r="BG56" s="249">
        <v>1</v>
      </c>
      <c r="BH56" s="243" t="s">
        <v>580</v>
      </c>
      <c r="BI56" s="249">
        <v>0</v>
      </c>
      <c r="BJ56" s="249">
        <v>0</v>
      </c>
      <c r="BK56" s="249">
        <v>0</v>
      </c>
      <c r="BL56" s="249">
        <v>50</v>
      </c>
      <c r="BM56" s="249">
        <v>1</v>
      </c>
      <c r="BN56" s="249"/>
      <c r="BO56" s="243"/>
      <c r="BP56" s="259" t="s">
        <v>610</v>
      </c>
      <c r="BQ56" s="259">
        <v>0</v>
      </c>
      <c r="BR56" s="259"/>
    </row>
    <row r="57" spans="1:70" x14ac:dyDescent="0.25">
      <c r="B57" s="188" t="s">
        <v>252</v>
      </c>
      <c r="C57" s="191">
        <v>38713</v>
      </c>
      <c r="D57" s="188">
        <v>14630.23</v>
      </c>
      <c r="E57" s="219">
        <v>1</v>
      </c>
      <c r="F57" s="214"/>
      <c r="G57" s="219" t="s">
        <v>279</v>
      </c>
      <c r="H57" s="219">
        <v>876.69245851999995</v>
      </c>
      <c r="I57" s="163"/>
      <c r="J57" s="157"/>
      <c r="K57" s="224"/>
      <c r="L57" s="224"/>
      <c r="M57" s="224"/>
      <c r="O57" s="237" t="s">
        <v>279</v>
      </c>
      <c r="P57" s="237">
        <v>894.63846728999999</v>
      </c>
      <c r="Q57" s="235"/>
      <c r="S57" s="249"/>
      <c r="T57" s="254"/>
      <c r="U57" s="254"/>
      <c r="V57" s="254"/>
      <c r="W57" s="254"/>
      <c r="X57" s="254"/>
      <c r="Y57" s="241"/>
      <c r="Z57" s="249" t="s">
        <v>593</v>
      </c>
      <c r="AA57" s="249">
        <v>0</v>
      </c>
      <c r="AB57" s="249">
        <v>0</v>
      </c>
      <c r="AC57" s="249">
        <v>0</v>
      </c>
      <c r="AD57" s="249">
        <v>0</v>
      </c>
      <c r="AE57" s="249">
        <v>0</v>
      </c>
      <c r="AF57" s="249"/>
      <c r="AG57" s="249" t="s">
        <v>581</v>
      </c>
      <c r="AH57" s="249">
        <v>0</v>
      </c>
      <c r="AI57" s="249">
        <v>0</v>
      </c>
      <c r="AJ57" s="249">
        <v>0</v>
      </c>
      <c r="AK57" s="249">
        <v>0</v>
      </c>
      <c r="AL57" s="249">
        <v>1</v>
      </c>
      <c r="AM57" s="241"/>
      <c r="AN57" s="249" t="s">
        <v>579</v>
      </c>
      <c r="AO57" s="249">
        <v>2712720</v>
      </c>
      <c r="AP57" s="249">
        <v>19</v>
      </c>
      <c r="AQ57" s="249">
        <v>8</v>
      </c>
      <c r="AR57" s="249">
        <v>461</v>
      </c>
      <c r="AS57" s="249">
        <v>1</v>
      </c>
      <c r="AT57" s="241"/>
      <c r="AU57" s="249" t="s">
        <v>579</v>
      </c>
      <c r="AV57" s="249">
        <v>0</v>
      </c>
      <c r="AW57" s="249">
        <v>0</v>
      </c>
      <c r="AX57" s="249">
        <v>0</v>
      </c>
      <c r="AY57" s="249">
        <v>19</v>
      </c>
      <c r="AZ57" s="249">
        <v>1</v>
      </c>
      <c r="BA57" s="241"/>
      <c r="BB57" s="249" t="s">
        <v>581</v>
      </c>
      <c r="BC57" s="249">
        <v>0</v>
      </c>
      <c r="BD57" s="249">
        <v>0</v>
      </c>
      <c r="BE57" s="249">
        <v>0</v>
      </c>
      <c r="BF57" s="249">
        <v>0</v>
      </c>
      <c r="BG57" s="249">
        <v>1</v>
      </c>
      <c r="BH57" s="243" t="s">
        <v>581</v>
      </c>
      <c r="BI57" s="249">
        <v>0</v>
      </c>
      <c r="BJ57" s="249">
        <v>0</v>
      </c>
      <c r="BK57" s="249">
        <v>0</v>
      </c>
      <c r="BL57" s="249">
        <v>0</v>
      </c>
      <c r="BM57" s="249">
        <v>1</v>
      </c>
      <c r="BN57" s="249"/>
      <c r="BO57" s="243"/>
      <c r="BP57" s="259" t="s">
        <v>611</v>
      </c>
      <c r="BQ57" s="259">
        <v>0</v>
      </c>
      <c r="BR57" s="259"/>
    </row>
    <row r="58" spans="1:70" x14ac:dyDescent="0.25">
      <c r="B58" s="188" t="s">
        <v>253</v>
      </c>
      <c r="C58" s="191">
        <v>38713</v>
      </c>
      <c r="D58" s="188">
        <v>1547.81</v>
      </c>
      <c r="E58" s="219">
        <v>1</v>
      </c>
      <c r="F58" s="214"/>
      <c r="G58" s="219" t="s">
        <v>94</v>
      </c>
      <c r="H58" s="219">
        <v>461.71800665000001</v>
      </c>
      <c r="I58" s="163"/>
      <c r="J58" s="157"/>
      <c r="K58" s="224"/>
      <c r="L58" s="224"/>
      <c r="M58" s="224"/>
      <c r="O58" s="237" t="s">
        <v>94</v>
      </c>
      <c r="P58" s="237">
        <v>478.97021910000001</v>
      </c>
      <c r="Q58" s="235"/>
      <c r="S58" s="241"/>
      <c r="T58" s="241"/>
      <c r="U58" s="241"/>
      <c r="V58" s="241"/>
      <c r="W58" s="241"/>
      <c r="X58" s="241"/>
      <c r="Y58" s="241"/>
      <c r="Z58" s="249" t="s">
        <v>593</v>
      </c>
      <c r="AA58" s="249">
        <v>1073440</v>
      </c>
      <c r="AB58" s="249">
        <v>8</v>
      </c>
      <c r="AC58" s="249">
        <v>2</v>
      </c>
      <c r="AD58" s="249">
        <v>120</v>
      </c>
      <c r="AE58" s="249">
        <v>1</v>
      </c>
      <c r="AF58" s="249"/>
      <c r="AG58" s="249" t="s">
        <v>582</v>
      </c>
      <c r="AH58" s="249">
        <v>0</v>
      </c>
      <c r="AI58" s="249">
        <v>0</v>
      </c>
      <c r="AJ58" s="249">
        <v>0</v>
      </c>
      <c r="AK58" s="249">
        <v>0</v>
      </c>
      <c r="AL58" s="249">
        <v>1</v>
      </c>
      <c r="AM58" s="241"/>
      <c r="AN58" s="249" t="s">
        <v>580</v>
      </c>
      <c r="AO58" s="249">
        <v>16026919.960000001</v>
      </c>
      <c r="AP58" s="249">
        <v>137</v>
      </c>
      <c r="AQ58" s="249">
        <v>15</v>
      </c>
      <c r="AR58" s="249">
        <v>1694</v>
      </c>
      <c r="AS58" s="249">
        <v>1</v>
      </c>
      <c r="AT58" s="241"/>
      <c r="AU58" s="249" t="s">
        <v>580</v>
      </c>
      <c r="AV58" s="249">
        <v>0</v>
      </c>
      <c r="AW58" s="249">
        <v>0</v>
      </c>
      <c r="AX58" s="249">
        <v>0</v>
      </c>
      <c r="AY58" s="249">
        <v>78</v>
      </c>
      <c r="AZ58" s="249">
        <v>1</v>
      </c>
      <c r="BA58" s="241"/>
      <c r="BB58" s="249" t="s">
        <v>582</v>
      </c>
      <c r="BC58" s="249">
        <v>0</v>
      </c>
      <c r="BD58" s="249">
        <v>0</v>
      </c>
      <c r="BE58" s="249">
        <v>0</v>
      </c>
      <c r="BF58" s="249">
        <v>0</v>
      </c>
      <c r="BG58" s="249">
        <v>1</v>
      </c>
      <c r="BH58" s="243" t="s">
        <v>582</v>
      </c>
      <c r="BI58" s="249">
        <v>0</v>
      </c>
      <c r="BJ58" s="249">
        <v>0</v>
      </c>
      <c r="BK58" s="249">
        <v>0</v>
      </c>
      <c r="BL58" s="249">
        <v>0</v>
      </c>
      <c r="BM58" s="249">
        <v>1</v>
      </c>
      <c r="BN58" s="249"/>
      <c r="BO58" s="243"/>
      <c r="BP58" s="259"/>
      <c r="BQ58" s="259"/>
      <c r="BR58" s="259"/>
    </row>
    <row r="59" spans="1:70" x14ac:dyDescent="0.25">
      <c r="B59" s="188" t="s">
        <v>254</v>
      </c>
      <c r="C59" s="191">
        <v>38713</v>
      </c>
      <c r="D59" s="188">
        <v>590.19000000000005</v>
      </c>
      <c r="E59" s="219">
        <v>1</v>
      </c>
      <c r="F59" s="205"/>
      <c r="G59" s="219" t="s">
        <v>96</v>
      </c>
      <c r="H59" s="219">
        <v>347.90928783999999</v>
      </c>
      <c r="I59" s="163"/>
      <c r="J59" s="157"/>
      <c r="K59" s="224"/>
      <c r="L59" s="224"/>
      <c r="M59" s="224"/>
      <c r="O59" s="237" t="s">
        <v>96</v>
      </c>
      <c r="P59" s="237">
        <v>359.23825674</v>
      </c>
      <c r="Q59" s="235"/>
      <c r="S59" s="241"/>
      <c r="T59" s="241"/>
      <c r="U59" s="241"/>
      <c r="V59" s="241"/>
      <c r="W59" s="241"/>
      <c r="X59" s="241"/>
      <c r="Y59" s="241"/>
      <c r="Z59" s="249" t="s">
        <v>594</v>
      </c>
      <c r="AA59" s="249">
        <v>0</v>
      </c>
      <c r="AB59" s="249">
        <v>0</v>
      </c>
      <c r="AC59" s="249">
        <v>0</v>
      </c>
      <c r="AD59" s="249">
        <v>0</v>
      </c>
      <c r="AE59" s="249">
        <v>0</v>
      </c>
      <c r="AF59" s="249"/>
      <c r="AG59" s="249" t="s">
        <v>583</v>
      </c>
      <c r="AH59" s="249">
        <v>0</v>
      </c>
      <c r="AI59" s="249">
        <v>0</v>
      </c>
      <c r="AJ59" s="249">
        <v>0</v>
      </c>
      <c r="AK59" s="249">
        <v>0</v>
      </c>
      <c r="AL59" s="249">
        <v>1</v>
      </c>
      <c r="AM59" s="241"/>
      <c r="AN59" s="249" t="s">
        <v>581</v>
      </c>
      <c r="AO59" s="249">
        <v>0</v>
      </c>
      <c r="AP59" s="249">
        <v>0</v>
      </c>
      <c r="AQ59" s="249">
        <v>0</v>
      </c>
      <c r="AR59" s="249">
        <v>0</v>
      </c>
      <c r="AS59" s="249">
        <v>1</v>
      </c>
      <c r="AT59" s="241"/>
      <c r="AU59" s="249" t="s">
        <v>581</v>
      </c>
      <c r="AV59" s="249">
        <v>0</v>
      </c>
      <c r="AW59" s="249">
        <v>0</v>
      </c>
      <c r="AX59" s="249">
        <v>0</v>
      </c>
      <c r="AY59" s="249">
        <v>0</v>
      </c>
      <c r="AZ59" s="249">
        <v>1</v>
      </c>
      <c r="BA59" s="241"/>
      <c r="BB59" s="249" t="s">
        <v>583</v>
      </c>
      <c r="BC59" s="249">
        <v>0</v>
      </c>
      <c r="BD59" s="249">
        <v>0</v>
      </c>
      <c r="BE59" s="249">
        <v>0</v>
      </c>
      <c r="BF59" s="249">
        <v>0</v>
      </c>
      <c r="BG59" s="249">
        <v>1</v>
      </c>
      <c r="BH59" s="243" t="s">
        <v>583</v>
      </c>
      <c r="BI59" s="249">
        <v>0</v>
      </c>
      <c r="BJ59" s="249">
        <v>0</v>
      </c>
      <c r="BK59" s="249">
        <v>0</v>
      </c>
      <c r="BL59" s="249">
        <v>0</v>
      </c>
      <c r="BM59" s="249">
        <v>1</v>
      </c>
      <c r="BN59" s="249"/>
      <c r="BO59" s="252" t="s">
        <v>464</v>
      </c>
      <c r="BP59" s="260" t="s">
        <v>529</v>
      </c>
      <c r="BQ59" s="260" t="s">
        <v>559</v>
      </c>
      <c r="BR59" s="260" t="s">
        <v>560</v>
      </c>
    </row>
    <row r="60" spans="1:70" x14ac:dyDescent="0.25">
      <c r="B60" s="188" t="s">
        <v>255</v>
      </c>
      <c r="C60" s="191">
        <v>38713</v>
      </c>
      <c r="D60" s="188">
        <v>1846.94</v>
      </c>
      <c r="E60" s="219">
        <v>1</v>
      </c>
      <c r="F60" s="205"/>
      <c r="G60" s="219" t="s">
        <v>282</v>
      </c>
      <c r="H60" s="219">
        <v>76323.855470109993</v>
      </c>
      <c r="I60" s="163"/>
      <c r="J60" s="157"/>
      <c r="K60" s="224"/>
      <c r="L60" s="224"/>
      <c r="M60" s="224"/>
      <c r="O60" s="237" t="s">
        <v>282</v>
      </c>
      <c r="P60" s="237">
        <v>78763.967270130001</v>
      </c>
      <c r="Q60" s="235"/>
      <c r="S60" s="250"/>
      <c r="T60" s="253"/>
      <c r="U60" s="253"/>
      <c r="V60" s="253"/>
      <c r="W60" s="253"/>
      <c r="X60" s="253"/>
      <c r="Y60" s="241"/>
      <c r="Z60" s="249" t="s">
        <v>594</v>
      </c>
      <c r="AA60" s="249">
        <v>0</v>
      </c>
      <c r="AB60" s="249">
        <v>0</v>
      </c>
      <c r="AC60" s="249">
        <v>0</v>
      </c>
      <c r="AD60" s="249">
        <v>0</v>
      </c>
      <c r="AE60" s="249">
        <v>1</v>
      </c>
      <c r="AF60" s="249"/>
      <c r="AG60" s="249" t="s">
        <v>584</v>
      </c>
      <c r="AH60" s="249">
        <v>0</v>
      </c>
      <c r="AI60" s="249">
        <v>0</v>
      </c>
      <c r="AJ60" s="249">
        <v>0</v>
      </c>
      <c r="AK60" s="249">
        <v>0</v>
      </c>
      <c r="AL60" s="249">
        <v>1</v>
      </c>
      <c r="AM60" s="241"/>
      <c r="AN60" s="249" t="s">
        <v>582</v>
      </c>
      <c r="AO60" s="249">
        <v>0</v>
      </c>
      <c r="AP60" s="249">
        <v>0</v>
      </c>
      <c r="AQ60" s="249">
        <v>0</v>
      </c>
      <c r="AR60" s="249">
        <v>0</v>
      </c>
      <c r="AS60" s="249">
        <v>1</v>
      </c>
      <c r="AT60" s="241"/>
      <c r="AU60" s="249" t="s">
        <v>582</v>
      </c>
      <c r="AV60" s="249">
        <v>0</v>
      </c>
      <c r="AW60" s="249">
        <v>0</v>
      </c>
      <c r="AX60" s="249">
        <v>0</v>
      </c>
      <c r="AY60" s="249">
        <v>0</v>
      </c>
      <c r="AZ60" s="249">
        <v>1</v>
      </c>
      <c r="BA60" s="241"/>
      <c r="BB60" s="249" t="s">
        <v>586</v>
      </c>
      <c r="BC60" s="249">
        <v>0</v>
      </c>
      <c r="BD60" s="249">
        <v>0</v>
      </c>
      <c r="BE60" s="249">
        <v>0</v>
      </c>
      <c r="BF60" s="249">
        <v>0</v>
      </c>
      <c r="BG60" s="249">
        <v>1</v>
      </c>
      <c r="BH60" s="243" t="s">
        <v>586</v>
      </c>
      <c r="BI60" s="249">
        <v>0</v>
      </c>
      <c r="BJ60" s="249">
        <v>0</v>
      </c>
      <c r="BK60" s="249">
        <v>0</v>
      </c>
      <c r="BL60" s="249">
        <v>0</v>
      </c>
      <c r="BM60" s="249">
        <v>1</v>
      </c>
      <c r="BN60" s="249"/>
      <c r="BO60" s="243"/>
      <c r="BP60" s="259">
        <v>195922398158.29999</v>
      </c>
      <c r="BQ60" s="259">
        <v>13463662</v>
      </c>
      <c r="BR60" s="259">
        <v>14434</v>
      </c>
    </row>
    <row r="61" spans="1:70" x14ac:dyDescent="0.25">
      <c r="A61" s="35"/>
      <c r="B61" s="188" t="s">
        <v>256</v>
      </c>
      <c r="C61" s="191">
        <v>38709</v>
      </c>
      <c r="D61" s="188">
        <v>9758.19</v>
      </c>
      <c r="E61" s="219">
        <v>1</v>
      </c>
      <c r="F61" s="208"/>
      <c r="G61" s="219" t="s">
        <v>98</v>
      </c>
      <c r="H61" s="219">
        <v>25547.598087750001</v>
      </c>
      <c r="I61" s="163"/>
      <c r="J61" s="157"/>
      <c r="K61" s="224"/>
      <c r="L61" s="224"/>
      <c r="M61" s="224"/>
      <c r="O61" s="237" t="s">
        <v>98</v>
      </c>
      <c r="P61" s="237">
        <v>25772.478503390001</v>
      </c>
      <c r="Q61" s="235"/>
      <c r="R61" s="157"/>
      <c r="S61" s="249"/>
      <c r="T61" s="254"/>
      <c r="U61" s="254"/>
      <c r="V61" s="254"/>
      <c r="W61" s="254"/>
      <c r="X61" s="254"/>
      <c r="Y61" s="241"/>
      <c r="Z61" s="249" t="s">
        <v>595</v>
      </c>
      <c r="AA61" s="249">
        <v>0</v>
      </c>
      <c r="AB61" s="249">
        <v>0</v>
      </c>
      <c r="AC61" s="249">
        <v>0</v>
      </c>
      <c r="AD61" s="249">
        <v>0</v>
      </c>
      <c r="AE61" s="249">
        <v>0</v>
      </c>
      <c r="AF61" s="249"/>
      <c r="AG61" s="249" t="s">
        <v>585</v>
      </c>
      <c r="AH61" s="249">
        <v>0</v>
      </c>
      <c r="AI61" s="249">
        <v>0</v>
      </c>
      <c r="AJ61" s="249">
        <v>0</v>
      </c>
      <c r="AK61" s="249">
        <v>74</v>
      </c>
      <c r="AL61" s="249">
        <v>1</v>
      </c>
      <c r="AM61" s="241"/>
      <c r="AN61" s="249" t="s">
        <v>583</v>
      </c>
      <c r="AO61" s="249">
        <v>0</v>
      </c>
      <c r="AP61" s="249">
        <v>0</v>
      </c>
      <c r="AQ61" s="249">
        <v>0</v>
      </c>
      <c r="AR61" s="249">
        <v>0</v>
      </c>
      <c r="AS61" s="249">
        <v>1</v>
      </c>
      <c r="AT61" s="241"/>
      <c r="AU61" s="249" t="s">
        <v>583</v>
      </c>
      <c r="AV61" s="249">
        <v>0</v>
      </c>
      <c r="AW61" s="249">
        <v>0</v>
      </c>
      <c r="AX61" s="249">
        <v>0</v>
      </c>
      <c r="AY61" s="249">
        <v>0</v>
      </c>
      <c r="AZ61" s="249">
        <v>1</v>
      </c>
      <c r="BA61" s="241"/>
      <c r="BB61" s="249" t="s">
        <v>587</v>
      </c>
      <c r="BC61" s="249">
        <v>57303820.167999998</v>
      </c>
      <c r="BD61" s="249">
        <v>434</v>
      </c>
      <c r="BE61" s="249">
        <v>2</v>
      </c>
      <c r="BF61" s="249">
        <v>4557</v>
      </c>
      <c r="BG61" s="249">
        <v>1</v>
      </c>
      <c r="BH61" s="243" t="s">
        <v>587</v>
      </c>
      <c r="BI61" s="249">
        <v>0</v>
      </c>
      <c r="BJ61" s="249">
        <v>0</v>
      </c>
      <c r="BK61" s="249">
        <v>0</v>
      </c>
      <c r="BL61" s="249">
        <v>217</v>
      </c>
      <c r="BM61" s="249">
        <v>1</v>
      </c>
      <c r="BN61" s="249"/>
      <c r="BO61" s="243"/>
      <c r="BP61" s="243"/>
      <c r="BQ61" s="243"/>
      <c r="BR61" s="243"/>
    </row>
    <row r="62" spans="1:70" x14ac:dyDescent="0.25">
      <c r="A62" s="14"/>
      <c r="B62" s="188" t="s">
        <v>257</v>
      </c>
      <c r="C62" s="191">
        <v>38580</v>
      </c>
      <c r="D62" s="188">
        <v>673.25</v>
      </c>
      <c r="E62" s="219">
        <v>1</v>
      </c>
      <c r="F62" s="208"/>
      <c r="G62" s="219" t="s">
        <v>283</v>
      </c>
      <c r="H62" s="219">
        <v>234.35014025000001</v>
      </c>
      <c r="I62" s="163"/>
      <c r="J62" s="157"/>
      <c r="K62" s="224"/>
      <c r="L62" s="224"/>
      <c r="M62" s="224"/>
      <c r="O62" s="237" t="s">
        <v>283</v>
      </c>
      <c r="P62" s="237">
        <v>246.96522736</v>
      </c>
      <c r="Q62" s="235"/>
      <c r="R62" s="157"/>
      <c r="S62" s="249"/>
      <c r="T62" s="254"/>
      <c r="U62" s="254"/>
      <c r="V62" s="254"/>
      <c r="W62" s="254"/>
      <c r="X62" s="254"/>
      <c r="Y62" s="241"/>
      <c r="Z62" s="249" t="s">
        <v>595</v>
      </c>
      <c r="AA62" s="249">
        <v>0</v>
      </c>
      <c r="AB62" s="249">
        <v>0</v>
      </c>
      <c r="AC62" s="249">
        <v>0</v>
      </c>
      <c r="AD62" s="249">
        <v>0</v>
      </c>
      <c r="AE62" s="249">
        <v>1</v>
      </c>
      <c r="AF62" s="249"/>
      <c r="AG62" s="249" t="s">
        <v>586</v>
      </c>
      <c r="AH62" s="249">
        <v>0</v>
      </c>
      <c r="AI62" s="249">
        <v>0</v>
      </c>
      <c r="AJ62" s="249">
        <v>0</v>
      </c>
      <c r="AK62" s="249">
        <v>0</v>
      </c>
      <c r="AL62" s="249">
        <v>1</v>
      </c>
      <c r="AM62" s="241"/>
      <c r="AN62" s="249" t="s">
        <v>584</v>
      </c>
      <c r="AO62" s="249">
        <v>0</v>
      </c>
      <c r="AP62" s="249">
        <v>0</v>
      </c>
      <c r="AQ62" s="249">
        <v>0</v>
      </c>
      <c r="AR62" s="249">
        <v>0</v>
      </c>
      <c r="AS62" s="249">
        <v>1</v>
      </c>
      <c r="AT62" s="241"/>
      <c r="AU62" s="249" t="s">
        <v>584</v>
      </c>
      <c r="AV62" s="249">
        <v>0</v>
      </c>
      <c r="AW62" s="249">
        <v>0</v>
      </c>
      <c r="AX62" s="249">
        <v>0</v>
      </c>
      <c r="AY62" s="249">
        <v>0</v>
      </c>
      <c r="AZ62" s="249">
        <v>1</v>
      </c>
      <c r="BA62" s="241"/>
      <c r="BB62" s="249" t="s">
        <v>588</v>
      </c>
      <c r="BC62" s="249">
        <v>1815950</v>
      </c>
      <c r="BD62" s="249">
        <v>20</v>
      </c>
      <c r="BE62" s="249">
        <v>2</v>
      </c>
      <c r="BF62" s="249">
        <v>0</v>
      </c>
      <c r="BG62" s="249">
        <v>1</v>
      </c>
      <c r="BH62" s="243" t="s">
        <v>588</v>
      </c>
      <c r="BI62" s="249">
        <v>0</v>
      </c>
      <c r="BJ62" s="249">
        <v>0</v>
      </c>
      <c r="BK62" s="249">
        <v>0</v>
      </c>
      <c r="BL62" s="249">
        <v>0</v>
      </c>
      <c r="BM62" s="249">
        <v>1</v>
      </c>
      <c r="BN62" s="249"/>
      <c r="BO62" s="252" t="s">
        <v>479</v>
      </c>
      <c r="BP62" s="260" t="s">
        <v>529</v>
      </c>
      <c r="BQ62" s="260" t="s">
        <v>559</v>
      </c>
      <c r="BR62" s="260" t="s">
        <v>560</v>
      </c>
    </row>
    <row r="63" spans="1:70" x14ac:dyDescent="0.25">
      <c r="A63" s="14"/>
      <c r="B63" s="188" t="s">
        <v>258</v>
      </c>
      <c r="C63" s="191">
        <v>38709</v>
      </c>
      <c r="D63" s="188">
        <v>196.52</v>
      </c>
      <c r="E63" s="219">
        <v>1</v>
      </c>
      <c r="F63" s="208"/>
      <c r="G63" s="219" t="s">
        <v>286</v>
      </c>
      <c r="H63" s="219">
        <v>150.80990836999999</v>
      </c>
      <c r="I63" s="163"/>
      <c r="J63" s="157"/>
      <c r="K63" s="224"/>
      <c r="L63" s="224"/>
      <c r="M63" s="224"/>
      <c r="O63" s="237" t="s">
        <v>286</v>
      </c>
      <c r="P63" s="237">
        <v>157.58095419</v>
      </c>
      <c r="Q63" s="235"/>
      <c r="R63" s="153" t="s">
        <v>445</v>
      </c>
      <c r="S63" s="249" t="s">
        <v>557</v>
      </c>
      <c r="T63" s="254" t="s">
        <v>558</v>
      </c>
      <c r="U63" s="254" t="s">
        <v>559</v>
      </c>
      <c r="V63" s="254" t="s">
        <v>560</v>
      </c>
      <c r="W63" s="254" t="s">
        <v>561</v>
      </c>
      <c r="X63" s="254" t="s">
        <v>562</v>
      </c>
      <c r="Y63" s="241"/>
      <c r="Z63" s="249" t="s">
        <v>596</v>
      </c>
      <c r="AA63" s="249">
        <v>1040628</v>
      </c>
      <c r="AB63" s="249">
        <v>69</v>
      </c>
      <c r="AC63" s="249">
        <v>7</v>
      </c>
      <c r="AD63" s="249">
        <v>10541</v>
      </c>
      <c r="AE63" s="249">
        <v>0</v>
      </c>
      <c r="AF63" s="249"/>
      <c r="AG63" s="249" t="s">
        <v>587</v>
      </c>
      <c r="AH63" s="249">
        <v>0</v>
      </c>
      <c r="AI63" s="249">
        <v>0</v>
      </c>
      <c r="AJ63" s="249">
        <v>0</v>
      </c>
      <c r="AK63" s="249">
        <v>45</v>
      </c>
      <c r="AL63" s="249">
        <v>1</v>
      </c>
      <c r="AM63" s="241"/>
      <c r="AN63" s="249" t="s">
        <v>585</v>
      </c>
      <c r="AO63" s="249">
        <v>4034400</v>
      </c>
      <c r="AP63" s="249">
        <v>41</v>
      </c>
      <c r="AQ63" s="249">
        <v>3</v>
      </c>
      <c r="AR63" s="249">
        <v>1406</v>
      </c>
      <c r="AS63" s="249">
        <v>1</v>
      </c>
      <c r="AT63" s="241"/>
      <c r="AU63" s="249" t="s">
        <v>585</v>
      </c>
      <c r="AV63" s="249">
        <v>0</v>
      </c>
      <c r="AW63" s="249">
        <v>0</v>
      </c>
      <c r="AX63" s="249">
        <v>0</v>
      </c>
      <c r="AY63" s="249">
        <v>69</v>
      </c>
      <c r="AZ63" s="249">
        <v>1</v>
      </c>
      <c r="BA63" s="241"/>
      <c r="BB63" s="249" t="s">
        <v>589</v>
      </c>
      <c r="BC63" s="249">
        <v>22429890.045000002</v>
      </c>
      <c r="BD63" s="249">
        <v>192</v>
      </c>
      <c r="BE63" s="249">
        <v>21</v>
      </c>
      <c r="BF63" s="249">
        <v>751</v>
      </c>
      <c r="BG63" s="249">
        <v>1</v>
      </c>
      <c r="BH63" s="243" t="s">
        <v>589</v>
      </c>
      <c r="BI63" s="249">
        <v>117400</v>
      </c>
      <c r="BJ63" s="249">
        <v>1</v>
      </c>
      <c r="BK63" s="249">
        <v>1</v>
      </c>
      <c r="BL63" s="249">
        <v>172</v>
      </c>
      <c r="BM63" s="249">
        <v>1</v>
      </c>
      <c r="BN63" s="249"/>
      <c r="BO63" s="247"/>
      <c r="BP63" s="259">
        <v>181695647104.70001</v>
      </c>
      <c r="BQ63" s="259">
        <v>12228057</v>
      </c>
      <c r="BR63" s="259">
        <v>1138</v>
      </c>
    </row>
    <row r="64" spans="1:70" x14ac:dyDescent="0.25">
      <c r="A64" s="14"/>
      <c r="B64" s="188" t="s">
        <v>90</v>
      </c>
      <c r="C64" s="191">
        <v>41849</v>
      </c>
      <c r="D64" s="188">
        <v>22461.45680964</v>
      </c>
      <c r="E64" s="219">
        <v>1</v>
      </c>
      <c r="F64" s="208"/>
      <c r="G64" s="219" t="s">
        <v>287</v>
      </c>
      <c r="H64" s="219">
        <v>10882.54840933</v>
      </c>
      <c r="I64" s="163"/>
      <c r="J64" s="3"/>
      <c r="K64" s="224"/>
      <c r="L64" s="224"/>
      <c r="M64" s="224"/>
      <c r="O64" s="237" t="s">
        <v>287</v>
      </c>
      <c r="P64" s="237">
        <v>11000.653585870001</v>
      </c>
      <c r="Q64" s="235"/>
      <c r="R64" s="157"/>
      <c r="S64" s="249" t="s">
        <v>440</v>
      </c>
      <c r="T64" s="254">
        <v>47681624.890000001</v>
      </c>
      <c r="U64" s="254">
        <v>38578</v>
      </c>
      <c r="V64" s="254">
        <v>35</v>
      </c>
      <c r="W64" s="254">
        <v>150615</v>
      </c>
      <c r="X64" s="254">
        <v>0</v>
      </c>
      <c r="Y64" s="241"/>
      <c r="Z64" s="249" t="s">
        <v>596</v>
      </c>
      <c r="AA64" s="249">
        <v>11442678007.190001</v>
      </c>
      <c r="AB64" s="249">
        <v>40337</v>
      </c>
      <c r="AC64" s="249">
        <v>2738</v>
      </c>
      <c r="AD64" s="249">
        <v>342676</v>
      </c>
      <c r="AE64" s="249">
        <v>1</v>
      </c>
      <c r="AF64" s="249"/>
      <c r="AG64" s="249" t="s">
        <v>588</v>
      </c>
      <c r="AH64" s="249">
        <v>153415</v>
      </c>
      <c r="AI64" s="249">
        <v>1</v>
      </c>
      <c r="AJ64" s="249">
        <v>1</v>
      </c>
      <c r="AK64" s="249">
        <v>13</v>
      </c>
      <c r="AL64" s="249">
        <v>1</v>
      </c>
      <c r="AM64" s="241"/>
      <c r="AN64" s="249" t="s">
        <v>586</v>
      </c>
      <c r="AO64" s="249">
        <v>0</v>
      </c>
      <c r="AP64" s="249">
        <v>0</v>
      </c>
      <c r="AQ64" s="249">
        <v>0</v>
      </c>
      <c r="AR64" s="249">
        <v>0</v>
      </c>
      <c r="AS64" s="249">
        <v>1</v>
      </c>
      <c r="AT64" s="241"/>
      <c r="AU64" s="249" t="s">
        <v>586</v>
      </c>
      <c r="AV64" s="249">
        <v>0</v>
      </c>
      <c r="AW64" s="249">
        <v>0</v>
      </c>
      <c r="AX64" s="249">
        <v>0</v>
      </c>
      <c r="AY64" s="249">
        <v>0</v>
      </c>
      <c r="AZ64" s="249">
        <v>1</v>
      </c>
      <c r="BA64" s="241"/>
      <c r="BB64" s="249" t="s">
        <v>590</v>
      </c>
      <c r="BC64" s="249">
        <v>27307999.780000001</v>
      </c>
      <c r="BD64" s="249">
        <v>341</v>
      </c>
      <c r="BE64" s="249">
        <v>41</v>
      </c>
      <c r="BF64" s="249">
        <v>228</v>
      </c>
      <c r="BG64" s="249">
        <v>1</v>
      </c>
      <c r="BH64" s="243" t="s">
        <v>590</v>
      </c>
      <c r="BI64" s="249">
        <v>0</v>
      </c>
      <c r="BJ64" s="249">
        <v>0</v>
      </c>
      <c r="BK64" s="249">
        <v>0</v>
      </c>
      <c r="BL64" s="249">
        <v>15</v>
      </c>
      <c r="BM64" s="249">
        <v>1</v>
      </c>
      <c r="BN64" s="249"/>
      <c r="BO64" s="243"/>
      <c r="BP64" s="243"/>
      <c r="BQ64" s="243"/>
      <c r="BR64" s="243"/>
    </row>
    <row r="65" spans="1:70" x14ac:dyDescent="0.25">
      <c r="A65" s="14"/>
      <c r="B65" s="188" t="s">
        <v>259</v>
      </c>
      <c r="C65" s="191">
        <v>42122</v>
      </c>
      <c r="D65" s="188">
        <v>9390.5427286199993</v>
      </c>
      <c r="E65" s="219">
        <v>1</v>
      </c>
      <c r="F65" s="208"/>
      <c r="G65" s="219" t="s">
        <v>288</v>
      </c>
      <c r="H65" s="219">
        <v>2300.5025935499998</v>
      </c>
      <c r="I65" s="163"/>
      <c r="J65" s="3"/>
      <c r="K65" s="224"/>
      <c r="L65" s="224"/>
      <c r="M65" s="224"/>
      <c r="O65" s="237" t="s">
        <v>288</v>
      </c>
      <c r="P65" s="237">
        <v>2873.2117476200001</v>
      </c>
      <c r="Q65" s="235"/>
      <c r="R65" s="157"/>
      <c r="S65" s="249" t="s">
        <v>437</v>
      </c>
      <c r="T65" s="254">
        <v>0</v>
      </c>
      <c r="U65" s="254">
        <v>0</v>
      </c>
      <c r="V65" s="254">
        <v>0</v>
      </c>
      <c r="W65" s="254">
        <v>0</v>
      </c>
      <c r="X65" s="254">
        <v>0</v>
      </c>
      <c r="Y65" s="241"/>
      <c r="Z65" s="249" t="s">
        <v>597</v>
      </c>
      <c r="AA65" s="249">
        <v>0</v>
      </c>
      <c r="AB65" s="249">
        <v>0</v>
      </c>
      <c r="AC65" s="249">
        <v>0</v>
      </c>
      <c r="AD65" s="249">
        <v>0</v>
      </c>
      <c r="AE65" s="249">
        <v>1</v>
      </c>
      <c r="AF65" s="249"/>
      <c r="AG65" s="249" t="s">
        <v>589</v>
      </c>
      <c r="AH65" s="249">
        <v>0</v>
      </c>
      <c r="AI65" s="249">
        <v>0</v>
      </c>
      <c r="AJ65" s="249">
        <v>0</v>
      </c>
      <c r="AK65" s="249">
        <v>273</v>
      </c>
      <c r="AL65" s="249">
        <v>1</v>
      </c>
      <c r="AM65" s="241"/>
      <c r="AN65" s="249" t="s">
        <v>587</v>
      </c>
      <c r="AO65" s="249">
        <v>4467399.9929999998</v>
      </c>
      <c r="AP65" s="249">
        <v>21</v>
      </c>
      <c r="AQ65" s="249">
        <v>1</v>
      </c>
      <c r="AR65" s="249">
        <v>699</v>
      </c>
      <c r="AS65" s="249">
        <v>1</v>
      </c>
      <c r="AT65" s="241"/>
      <c r="AU65" s="249" t="s">
        <v>587</v>
      </c>
      <c r="AV65" s="249">
        <v>0</v>
      </c>
      <c r="AW65" s="249">
        <v>0</v>
      </c>
      <c r="AX65" s="249">
        <v>0</v>
      </c>
      <c r="AY65" s="249">
        <v>45</v>
      </c>
      <c r="AZ65" s="249">
        <v>1</v>
      </c>
      <c r="BA65" s="241"/>
      <c r="BB65" s="249" t="s">
        <v>591</v>
      </c>
      <c r="BC65" s="249">
        <v>78600162.549999997</v>
      </c>
      <c r="BD65" s="249">
        <v>727</v>
      </c>
      <c r="BE65" s="249">
        <v>16</v>
      </c>
      <c r="BF65" s="249">
        <v>6961</v>
      </c>
      <c r="BG65" s="249">
        <v>1</v>
      </c>
      <c r="BH65" s="243" t="s">
        <v>591</v>
      </c>
      <c r="BI65" s="249">
        <v>0</v>
      </c>
      <c r="BJ65" s="249">
        <v>0</v>
      </c>
      <c r="BK65" s="249">
        <v>0</v>
      </c>
      <c r="BL65" s="249">
        <v>375</v>
      </c>
      <c r="BM65" s="249">
        <v>1</v>
      </c>
      <c r="BN65" s="249"/>
      <c r="BO65" s="252" t="s">
        <v>465</v>
      </c>
      <c r="BP65" s="260" t="s">
        <v>529</v>
      </c>
      <c r="BQ65" s="260" t="s">
        <v>559</v>
      </c>
      <c r="BR65" s="260" t="s">
        <v>560</v>
      </c>
    </row>
    <row r="66" spans="1:70" x14ac:dyDescent="0.25">
      <c r="A66" s="83"/>
      <c r="B66" s="188" t="s">
        <v>260</v>
      </c>
      <c r="C66" s="191">
        <v>43637</v>
      </c>
      <c r="D66" s="188">
        <v>12709.461117409999</v>
      </c>
      <c r="E66" s="219">
        <v>1</v>
      </c>
      <c r="F66" s="216"/>
      <c r="G66" s="219" t="s">
        <v>289</v>
      </c>
      <c r="H66" s="219">
        <v>112.79277893</v>
      </c>
      <c r="I66" s="163"/>
      <c r="J66" s="3"/>
      <c r="K66" s="224"/>
      <c r="L66" s="224"/>
      <c r="M66" s="224"/>
      <c r="O66" s="237" t="s">
        <v>289</v>
      </c>
      <c r="P66" s="237">
        <v>111.68853937999999</v>
      </c>
      <c r="Q66" s="235"/>
      <c r="R66" s="157"/>
      <c r="S66" s="249" t="s">
        <v>435</v>
      </c>
      <c r="T66" s="254">
        <v>2709208111.0100002</v>
      </c>
      <c r="U66" s="254">
        <v>562395</v>
      </c>
      <c r="V66" s="254">
        <v>678</v>
      </c>
      <c r="W66" s="254">
        <v>993826</v>
      </c>
      <c r="X66" s="254">
        <v>0</v>
      </c>
      <c r="Y66" s="241"/>
      <c r="Z66" s="249" t="s">
        <v>598</v>
      </c>
      <c r="AA66" s="249">
        <v>0</v>
      </c>
      <c r="AB66" s="249">
        <v>0</v>
      </c>
      <c r="AC66" s="249">
        <v>0</v>
      </c>
      <c r="AD66" s="249">
        <v>0</v>
      </c>
      <c r="AE66" s="249">
        <v>0</v>
      </c>
      <c r="AF66" s="249"/>
      <c r="AG66" s="249" t="s">
        <v>590</v>
      </c>
      <c r="AH66" s="249">
        <v>1039570</v>
      </c>
      <c r="AI66" s="249">
        <v>11</v>
      </c>
      <c r="AJ66" s="249">
        <v>2</v>
      </c>
      <c r="AK66" s="249">
        <v>84</v>
      </c>
      <c r="AL66" s="249">
        <v>1</v>
      </c>
      <c r="AM66" s="241"/>
      <c r="AN66" s="249" t="s">
        <v>588</v>
      </c>
      <c r="AO66" s="249">
        <v>2626400</v>
      </c>
      <c r="AP66" s="249">
        <v>17</v>
      </c>
      <c r="AQ66" s="249">
        <v>9</v>
      </c>
      <c r="AR66" s="249">
        <v>163</v>
      </c>
      <c r="AS66" s="249">
        <v>1</v>
      </c>
      <c r="AT66" s="241"/>
      <c r="AU66" s="249" t="s">
        <v>588</v>
      </c>
      <c r="AV66" s="249">
        <v>153000</v>
      </c>
      <c r="AW66" s="249">
        <v>1</v>
      </c>
      <c r="AX66" s="249">
        <v>1</v>
      </c>
      <c r="AY66" s="249">
        <v>4</v>
      </c>
      <c r="AZ66" s="249">
        <v>1</v>
      </c>
      <c r="BA66" s="241"/>
      <c r="BB66" s="249" t="s">
        <v>592</v>
      </c>
      <c r="BC66" s="249">
        <v>7290889.5</v>
      </c>
      <c r="BD66" s="249">
        <v>97</v>
      </c>
      <c r="BE66" s="249">
        <v>20</v>
      </c>
      <c r="BF66" s="249">
        <v>599</v>
      </c>
      <c r="BG66" s="249">
        <v>1</v>
      </c>
      <c r="BH66" s="243" t="s">
        <v>592</v>
      </c>
      <c r="BI66" s="249">
        <v>0</v>
      </c>
      <c r="BJ66" s="249">
        <v>0</v>
      </c>
      <c r="BK66" s="249">
        <v>0</v>
      </c>
      <c r="BL66" s="249">
        <v>36</v>
      </c>
      <c r="BM66" s="249">
        <v>1</v>
      </c>
      <c r="BN66" s="249"/>
      <c r="BO66" s="243"/>
      <c r="BP66" s="259">
        <v>367427672951.52893</v>
      </c>
      <c r="BQ66" s="259">
        <v>27622964</v>
      </c>
      <c r="BR66" s="259">
        <v>33206</v>
      </c>
    </row>
    <row r="67" spans="1:70" x14ac:dyDescent="0.25">
      <c r="A67" s="83"/>
      <c r="B67" s="188" t="s">
        <v>261</v>
      </c>
      <c r="C67" s="191">
        <v>43125</v>
      </c>
      <c r="D67" s="188">
        <v>12254.868716880001</v>
      </c>
      <c r="E67" s="219">
        <v>1</v>
      </c>
      <c r="F67" s="209"/>
      <c r="G67" s="219" t="s">
        <v>290</v>
      </c>
      <c r="H67" s="219">
        <v>1543.0622384000001</v>
      </c>
      <c r="I67" s="163"/>
      <c r="J67" s="3"/>
      <c r="K67" s="224"/>
      <c r="L67" s="224"/>
      <c r="M67" s="224"/>
      <c r="O67" s="237" t="s">
        <v>290</v>
      </c>
      <c r="P67" s="237">
        <v>1615.9005689999999</v>
      </c>
      <c r="Q67" s="235"/>
      <c r="R67" s="157"/>
      <c r="S67" s="249" t="s">
        <v>438</v>
      </c>
      <c r="T67" s="254">
        <v>0</v>
      </c>
      <c r="U67" s="254">
        <v>0</v>
      </c>
      <c r="V67" s="254">
        <v>0</v>
      </c>
      <c r="W67" s="254">
        <v>0</v>
      </c>
      <c r="X67" s="254">
        <v>0</v>
      </c>
      <c r="Y67" s="241"/>
      <c r="Z67" s="249" t="s">
        <v>598</v>
      </c>
      <c r="AA67" s="249">
        <v>352480339.86000001</v>
      </c>
      <c r="AB67" s="249">
        <v>704</v>
      </c>
      <c r="AC67" s="249">
        <v>132</v>
      </c>
      <c r="AD67" s="249">
        <v>7249</v>
      </c>
      <c r="AE67" s="249">
        <v>1</v>
      </c>
      <c r="AF67" s="249"/>
      <c r="AG67" s="249" t="s">
        <v>591</v>
      </c>
      <c r="AH67" s="249">
        <v>860975</v>
      </c>
      <c r="AI67" s="249">
        <v>6</v>
      </c>
      <c r="AJ67" s="249">
        <v>2</v>
      </c>
      <c r="AK67" s="249">
        <v>274</v>
      </c>
      <c r="AL67" s="249">
        <v>1</v>
      </c>
      <c r="AM67" s="241"/>
      <c r="AN67" s="249" t="s">
        <v>589</v>
      </c>
      <c r="AO67" s="249">
        <v>31071950</v>
      </c>
      <c r="AP67" s="249">
        <v>257</v>
      </c>
      <c r="AQ67" s="249">
        <v>12</v>
      </c>
      <c r="AR67" s="249">
        <v>2873</v>
      </c>
      <c r="AS67" s="249">
        <v>1</v>
      </c>
      <c r="AT67" s="241"/>
      <c r="AU67" s="249" t="s">
        <v>589</v>
      </c>
      <c r="AV67" s="249">
        <v>252000</v>
      </c>
      <c r="AW67" s="249">
        <v>2</v>
      </c>
      <c r="AX67" s="249">
        <v>1</v>
      </c>
      <c r="AY67" s="249">
        <v>64</v>
      </c>
      <c r="AZ67" s="249">
        <v>1</v>
      </c>
      <c r="BA67" s="241"/>
      <c r="BB67" s="249" t="s">
        <v>593</v>
      </c>
      <c r="BC67" s="249">
        <v>27340370.010000002</v>
      </c>
      <c r="BD67" s="249">
        <v>188</v>
      </c>
      <c r="BE67" s="249">
        <v>20</v>
      </c>
      <c r="BF67" s="249">
        <v>1010</v>
      </c>
      <c r="BG67" s="249">
        <v>1</v>
      </c>
      <c r="BH67" s="243" t="s">
        <v>593</v>
      </c>
      <c r="BI67" s="249">
        <v>0</v>
      </c>
      <c r="BJ67" s="249">
        <v>0</v>
      </c>
      <c r="BK67" s="249">
        <v>0</v>
      </c>
      <c r="BL67" s="249">
        <v>32</v>
      </c>
      <c r="BM67" s="249">
        <v>1</v>
      </c>
      <c r="BN67" s="249"/>
      <c r="BO67" s="243"/>
      <c r="BP67" s="243"/>
      <c r="BQ67" s="243"/>
      <c r="BR67" s="243"/>
    </row>
    <row r="68" spans="1:70" x14ac:dyDescent="0.25">
      <c r="A68" s="83"/>
      <c r="B68" s="188" t="s">
        <v>262</v>
      </c>
      <c r="C68" s="191">
        <v>43347</v>
      </c>
      <c r="D68" s="188">
        <v>28871.375256529998</v>
      </c>
      <c r="E68" s="219">
        <v>1</v>
      </c>
      <c r="F68" s="209"/>
      <c r="G68" s="219" t="s">
        <v>292</v>
      </c>
      <c r="H68" s="219">
        <v>14739.5551</v>
      </c>
      <c r="I68" s="163"/>
      <c r="J68" s="3"/>
      <c r="K68" s="224"/>
      <c r="L68" s="224"/>
      <c r="M68" s="224"/>
      <c r="O68" s="237" t="s">
        <v>292</v>
      </c>
      <c r="P68" s="237">
        <v>14617.972299999999</v>
      </c>
      <c r="Q68" s="235"/>
      <c r="R68" s="157"/>
      <c r="S68" s="249" t="s">
        <v>436</v>
      </c>
      <c r="T68" s="254">
        <v>215917640.02000001</v>
      </c>
      <c r="U68" s="254">
        <v>250180</v>
      </c>
      <c r="V68" s="254">
        <v>382</v>
      </c>
      <c r="W68" s="254">
        <v>1380519</v>
      </c>
      <c r="X68" s="254">
        <v>0</v>
      </c>
      <c r="Y68" s="241"/>
      <c r="Z68" s="249" t="s">
        <v>599</v>
      </c>
      <c r="AA68" s="249">
        <v>0</v>
      </c>
      <c r="AB68" s="249">
        <v>0</v>
      </c>
      <c r="AC68" s="249">
        <v>0</v>
      </c>
      <c r="AD68" s="249">
        <v>0</v>
      </c>
      <c r="AE68" s="249">
        <v>0</v>
      </c>
      <c r="AF68" s="249"/>
      <c r="AG68" s="249" t="s">
        <v>592</v>
      </c>
      <c r="AH68" s="249">
        <v>0</v>
      </c>
      <c r="AI68" s="249">
        <v>0</v>
      </c>
      <c r="AJ68" s="249">
        <v>0</v>
      </c>
      <c r="AK68" s="249">
        <v>41</v>
      </c>
      <c r="AL68" s="249">
        <v>1</v>
      </c>
      <c r="AM68" s="241"/>
      <c r="AN68" s="249" t="s">
        <v>590</v>
      </c>
      <c r="AO68" s="249">
        <v>3638130.04</v>
      </c>
      <c r="AP68" s="249">
        <v>42</v>
      </c>
      <c r="AQ68" s="249">
        <v>11</v>
      </c>
      <c r="AR68" s="249">
        <v>1320</v>
      </c>
      <c r="AS68" s="249">
        <v>1</v>
      </c>
      <c r="AT68" s="241"/>
      <c r="AU68" s="249" t="s">
        <v>590</v>
      </c>
      <c r="AV68" s="249">
        <v>87740</v>
      </c>
      <c r="AW68" s="249">
        <v>1</v>
      </c>
      <c r="AX68" s="249">
        <v>1</v>
      </c>
      <c r="AY68" s="249">
        <v>41</v>
      </c>
      <c r="AZ68" s="249">
        <v>1</v>
      </c>
      <c r="BA68" s="241"/>
      <c r="BB68" s="249" t="s">
        <v>594</v>
      </c>
      <c r="BC68" s="249">
        <v>1479200</v>
      </c>
      <c r="BD68" s="249">
        <v>4</v>
      </c>
      <c r="BE68" s="249">
        <v>1</v>
      </c>
      <c r="BF68" s="249">
        <v>808</v>
      </c>
      <c r="BG68" s="249">
        <v>1</v>
      </c>
      <c r="BH68" s="243" t="s">
        <v>594</v>
      </c>
      <c r="BI68" s="249">
        <v>0</v>
      </c>
      <c r="BJ68" s="249">
        <v>0</v>
      </c>
      <c r="BK68" s="249">
        <v>0</v>
      </c>
      <c r="BL68" s="249">
        <v>36</v>
      </c>
      <c r="BM68" s="249">
        <v>1</v>
      </c>
      <c r="BN68" s="249"/>
      <c r="BO68" s="252" t="s">
        <v>466</v>
      </c>
      <c r="BP68" s="260" t="s">
        <v>529</v>
      </c>
      <c r="BQ68" s="260" t="s">
        <v>559</v>
      </c>
      <c r="BR68" s="260" t="s">
        <v>560</v>
      </c>
    </row>
    <row r="69" spans="1:70" x14ac:dyDescent="0.25">
      <c r="A69" s="83"/>
      <c r="B69" s="188" t="s">
        <v>263</v>
      </c>
      <c r="C69" s="191">
        <v>41849</v>
      </c>
      <c r="D69" s="188">
        <v>4482.8823280400002</v>
      </c>
      <c r="E69" s="219">
        <v>1</v>
      </c>
      <c r="F69" s="209"/>
      <c r="G69" s="219" t="s">
        <v>293</v>
      </c>
      <c r="H69" s="219">
        <v>21125.069761430001</v>
      </c>
      <c r="I69" s="163"/>
      <c r="J69" s="3"/>
      <c r="K69" s="224"/>
      <c r="L69" s="224"/>
      <c r="M69" s="224"/>
      <c r="O69" s="237" t="s">
        <v>293</v>
      </c>
      <c r="P69" s="237">
        <v>21854.758827199999</v>
      </c>
      <c r="Q69" s="235"/>
      <c r="R69" s="157"/>
      <c r="S69" s="249" t="s">
        <v>563</v>
      </c>
      <c r="T69" s="254">
        <v>0</v>
      </c>
      <c r="U69" s="254">
        <v>0</v>
      </c>
      <c r="V69" s="254">
        <v>0</v>
      </c>
      <c r="W69" s="254">
        <v>0</v>
      </c>
      <c r="X69" s="254">
        <v>1</v>
      </c>
      <c r="Y69" s="241"/>
      <c r="Z69" s="249" t="s">
        <v>599</v>
      </c>
      <c r="AA69" s="249">
        <v>513479083.56999999</v>
      </c>
      <c r="AB69" s="249">
        <v>1025</v>
      </c>
      <c r="AC69" s="249">
        <v>35</v>
      </c>
      <c r="AD69" s="249">
        <v>2202</v>
      </c>
      <c r="AE69" s="249">
        <v>1</v>
      </c>
      <c r="AF69" s="249"/>
      <c r="AG69" s="249" t="s">
        <v>593</v>
      </c>
      <c r="AH69" s="249">
        <v>0</v>
      </c>
      <c r="AI69" s="249">
        <v>0</v>
      </c>
      <c r="AJ69" s="249">
        <v>0</v>
      </c>
      <c r="AK69" s="249">
        <v>10</v>
      </c>
      <c r="AL69" s="249">
        <v>1</v>
      </c>
      <c r="AM69" s="241"/>
      <c r="AN69" s="249" t="s">
        <v>591</v>
      </c>
      <c r="AO69" s="249">
        <v>6033075</v>
      </c>
      <c r="AP69" s="249">
        <v>53</v>
      </c>
      <c r="AQ69" s="249">
        <v>17</v>
      </c>
      <c r="AR69" s="249">
        <v>7310</v>
      </c>
      <c r="AS69" s="249">
        <v>1</v>
      </c>
      <c r="AT69" s="241"/>
      <c r="AU69" s="249" t="s">
        <v>591</v>
      </c>
      <c r="AV69" s="249">
        <v>236900</v>
      </c>
      <c r="AW69" s="249">
        <v>2</v>
      </c>
      <c r="AX69" s="249">
        <v>1</v>
      </c>
      <c r="AY69" s="249">
        <v>317</v>
      </c>
      <c r="AZ69" s="249">
        <v>1</v>
      </c>
      <c r="BA69" s="241"/>
      <c r="BB69" s="249" t="s">
        <v>595</v>
      </c>
      <c r="BC69" s="249">
        <v>1050000</v>
      </c>
      <c r="BD69" s="249">
        <v>3</v>
      </c>
      <c r="BE69" s="249">
        <v>3</v>
      </c>
      <c r="BF69" s="249">
        <v>167</v>
      </c>
      <c r="BG69" s="249">
        <v>1</v>
      </c>
      <c r="BH69" s="243" t="s">
        <v>595</v>
      </c>
      <c r="BI69" s="249">
        <v>0</v>
      </c>
      <c r="BJ69" s="249">
        <v>0</v>
      </c>
      <c r="BK69" s="249">
        <v>0</v>
      </c>
      <c r="BL69" s="249">
        <v>10</v>
      </c>
      <c r="BM69" s="249">
        <v>1</v>
      </c>
      <c r="BN69" s="249"/>
      <c r="BO69" s="243"/>
      <c r="BP69" s="259">
        <v>318700000035.625</v>
      </c>
      <c r="BQ69" s="259">
        <v>18497398</v>
      </c>
      <c r="BR69" s="259">
        <v>2222</v>
      </c>
    </row>
    <row r="70" spans="1:70" x14ac:dyDescent="0.25">
      <c r="A70" s="83"/>
      <c r="B70" s="188" t="s">
        <v>264</v>
      </c>
      <c r="C70" s="191">
        <v>41849</v>
      </c>
      <c r="D70" s="188">
        <v>4264.0820106800002</v>
      </c>
      <c r="E70" s="219">
        <v>1</v>
      </c>
      <c r="F70" s="208"/>
      <c r="G70" s="219" t="s">
        <v>57</v>
      </c>
      <c r="H70" s="219">
        <v>24977.01347346</v>
      </c>
      <c r="I70" s="163"/>
      <c r="J70" s="3"/>
      <c r="K70" s="224"/>
      <c r="L70" s="224"/>
      <c r="M70" s="224"/>
      <c r="O70" s="237" t="s">
        <v>57</v>
      </c>
      <c r="P70" s="237">
        <v>25773.166104169999</v>
      </c>
      <c r="Q70" s="235"/>
      <c r="R70" s="157"/>
      <c r="S70" s="249" t="s">
        <v>440</v>
      </c>
      <c r="T70" s="254">
        <v>1947590716.9400001</v>
      </c>
      <c r="U70" s="254">
        <v>54102</v>
      </c>
      <c r="V70" s="254">
        <v>119</v>
      </c>
      <c r="W70" s="254">
        <v>155372</v>
      </c>
      <c r="X70" s="254">
        <v>1</v>
      </c>
      <c r="Y70" s="241"/>
      <c r="Z70" s="249" t="s">
        <v>600</v>
      </c>
      <c r="AA70" s="249">
        <v>0</v>
      </c>
      <c r="AB70" s="249">
        <v>0</v>
      </c>
      <c r="AC70" s="249">
        <v>0</v>
      </c>
      <c r="AD70" s="249">
        <v>0</v>
      </c>
      <c r="AE70" s="249">
        <v>0</v>
      </c>
      <c r="AF70" s="249"/>
      <c r="AG70" s="249" t="s">
        <v>594</v>
      </c>
      <c r="AH70" s="249">
        <v>0</v>
      </c>
      <c r="AI70" s="249">
        <v>0</v>
      </c>
      <c r="AJ70" s="249">
        <v>0</v>
      </c>
      <c r="AK70" s="249">
        <v>0</v>
      </c>
      <c r="AL70" s="249">
        <v>1</v>
      </c>
      <c r="AM70" s="241"/>
      <c r="AN70" s="249" t="s">
        <v>592</v>
      </c>
      <c r="AO70" s="249">
        <v>2569775</v>
      </c>
      <c r="AP70" s="249">
        <v>32</v>
      </c>
      <c r="AQ70" s="249">
        <v>4</v>
      </c>
      <c r="AR70" s="249">
        <v>941</v>
      </c>
      <c r="AS70" s="249">
        <v>1</v>
      </c>
      <c r="AT70" s="241"/>
      <c r="AU70" s="249" t="s">
        <v>592</v>
      </c>
      <c r="AV70" s="249">
        <v>0</v>
      </c>
      <c r="AW70" s="249">
        <v>0</v>
      </c>
      <c r="AX70" s="249">
        <v>0</v>
      </c>
      <c r="AY70" s="249">
        <v>34</v>
      </c>
      <c r="AZ70" s="249">
        <v>1</v>
      </c>
      <c r="BA70" s="241"/>
      <c r="BB70" s="249" t="s">
        <v>596</v>
      </c>
      <c r="BC70" s="249">
        <v>6461780885.9799995</v>
      </c>
      <c r="BD70" s="249">
        <v>28110</v>
      </c>
      <c r="BE70" s="249">
        <v>3043</v>
      </c>
      <c r="BF70" s="249">
        <v>456491</v>
      </c>
      <c r="BG70" s="249">
        <v>1</v>
      </c>
      <c r="BH70" s="243" t="s">
        <v>596</v>
      </c>
      <c r="BI70" s="249">
        <v>391154678.11000001</v>
      </c>
      <c r="BJ70" s="249">
        <v>1739</v>
      </c>
      <c r="BK70" s="249">
        <v>82</v>
      </c>
      <c r="BL70" s="249">
        <v>21061</v>
      </c>
      <c r="BM70" s="249">
        <v>1</v>
      </c>
      <c r="BN70" s="249"/>
      <c r="BO70" s="241"/>
      <c r="BP70" s="241"/>
      <c r="BQ70" s="241"/>
      <c r="BR70" s="241"/>
    </row>
    <row r="71" spans="1:70" x14ac:dyDescent="0.25">
      <c r="A71" s="14"/>
      <c r="B71" s="188" t="s">
        <v>92</v>
      </c>
      <c r="C71" s="191">
        <v>41849</v>
      </c>
      <c r="D71" s="188">
        <v>4599.9677435399999</v>
      </c>
      <c r="E71" s="219">
        <v>1</v>
      </c>
      <c r="F71" s="208"/>
      <c r="G71" s="219" t="s">
        <v>50</v>
      </c>
      <c r="H71" s="219">
        <v>27273.872225039999</v>
      </c>
      <c r="I71" s="163"/>
      <c r="J71" s="3"/>
      <c r="K71" s="224"/>
      <c r="L71" s="224"/>
      <c r="M71" s="224"/>
      <c r="O71" s="237" t="s">
        <v>50</v>
      </c>
      <c r="P71" s="237">
        <v>28061.788181280001</v>
      </c>
      <c r="Q71" s="235"/>
      <c r="R71" s="157"/>
      <c r="S71" s="249" t="s">
        <v>437</v>
      </c>
      <c r="T71" s="254">
        <v>0</v>
      </c>
      <c r="U71" s="254">
        <v>233371</v>
      </c>
      <c r="V71" s="254">
        <v>3415</v>
      </c>
      <c r="W71" s="254">
        <v>532297</v>
      </c>
      <c r="X71" s="254">
        <v>1</v>
      </c>
      <c r="Y71" s="241"/>
      <c r="Z71" s="249" t="s">
        <v>600</v>
      </c>
      <c r="AA71" s="249">
        <v>203736780.34999999</v>
      </c>
      <c r="AB71" s="249">
        <v>812</v>
      </c>
      <c r="AC71" s="249">
        <v>19</v>
      </c>
      <c r="AD71" s="249">
        <v>3990</v>
      </c>
      <c r="AE71" s="249">
        <v>1</v>
      </c>
      <c r="AF71" s="249"/>
      <c r="AG71" s="249" t="s">
        <v>595</v>
      </c>
      <c r="AH71" s="249">
        <v>0</v>
      </c>
      <c r="AI71" s="249">
        <v>0</v>
      </c>
      <c r="AJ71" s="249">
        <v>0</v>
      </c>
      <c r="AK71" s="249">
        <v>0</v>
      </c>
      <c r="AL71" s="249">
        <v>1</v>
      </c>
      <c r="AM71" s="241"/>
      <c r="AN71" s="249" t="s">
        <v>593</v>
      </c>
      <c r="AO71" s="249">
        <v>8196110</v>
      </c>
      <c r="AP71" s="249">
        <v>62</v>
      </c>
      <c r="AQ71" s="249">
        <v>4</v>
      </c>
      <c r="AR71" s="249">
        <v>766</v>
      </c>
      <c r="AS71" s="249">
        <v>1</v>
      </c>
      <c r="AT71" s="241"/>
      <c r="AU71" s="249" t="s">
        <v>593</v>
      </c>
      <c r="AV71" s="249">
        <v>0</v>
      </c>
      <c r="AW71" s="249">
        <v>0</v>
      </c>
      <c r="AX71" s="249">
        <v>0</v>
      </c>
      <c r="AY71" s="249">
        <v>2</v>
      </c>
      <c r="AZ71" s="249">
        <v>1</v>
      </c>
      <c r="BA71" s="241"/>
      <c r="BB71" s="249" t="s">
        <v>597</v>
      </c>
      <c r="BC71" s="249">
        <v>0</v>
      </c>
      <c r="BD71" s="249">
        <v>0</v>
      </c>
      <c r="BE71" s="249">
        <v>0</v>
      </c>
      <c r="BF71" s="249">
        <v>0</v>
      </c>
      <c r="BG71" s="249">
        <v>1</v>
      </c>
      <c r="BH71" s="243" t="s">
        <v>597</v>
      </c>
      <c r="BI71" s="249">
        <v>0</v>
      </c>
      <c r="BJ71" s="249">
        <v>0</v>
      </c>
      <c r="BK71" s="249">
        <v>0</v>
      </c>
      <c r="BL71" s="249">
        <v>0</v>
      </c>
      <c r="BM71" s="249">
        <v>1</v>
      </c>
      <c r="BN71" s="249"/>
      <c r="BO71" s="252" t="s">
        <v>483</v>
      </c>
      <c r="BP71" s="260" t="s">
        <v>609</v>
      </c>
      <c r="BQ71" s="260" t="s">
        <v>561</v>
      </c>
      <c r="BR71" s="243"/>
    </row>
    <row r="72" spans="1:70" x14ac:dyDescent="0.25">
      <c r="A72" s="150"/>
      <c r="B72" s="188" t="s">
        <v>62</v>
      </c>
      <c r="C72" s="191">
        <v>37515</v>
      </c>
      <c r="D72" s="188">
        <v>3456.48</v>
      </c>
      <c r="E72" s="219">
        <v>1</v>
      </c>
      <c r="F72" s="209"/>
      <c r="G72" s="219" t="s">
        <v>294</v>
      </c>
      <c r="H72" s="219">
        <v>16110.99</v>
      </c>
      <c r="I72" s="163"/>
      <c r="J72" s="3"/>
      <c r="K72" s="224"/>
      <c r="L72" s="224"/>
      <c r="M72" s="224"/>
      <c r="O72" s="237" t="s">
        <v>294</v>
      </c>
      <c r="P72" s="237">
        <v>16293.5</v>
      </c>
      <c r="Q72" s="235"/>
      <c r="R72" s="157"/>
      <c r="S72" s="249" t="s">
        <v>175</v>
      </c>
      <c r="T72" s="254">
        <v>38810725.582999997</v>
      </c>
      <c r="U72" s="254">
        <v>264135</v>
      </c>
      <c r="V72" s="254">
        <v>104</v>
      </c>
      <c r="W72" s="254">
        <v>1398107</v>
      </c>
      <c r="X72" s="254">
        <v>1</v>
      </c>
      <c r="Y72" s="241"/>
      <c r="Z72" s="249" t="s">
        <v>601</v>
      </c>
      <c r="AA72" s="249">
        <v>0</v>
      </c>
      <c r="AB72" s="249">
        <v>0</v>
      </c>
      <c r="AC72" s="249">
        <v>0</v>
      </c>
      <c r="AD72" s="249">
        <v>0</v>
      </c>
      <c r="AE72" s="249">
        <v>0</v>
      </c>
      <c r="AF72" s="249"/>
      <c r="AG72" s="249" t="s">
        <v>596</v>
      </c>
      <c r="AH72" s="249">
        <v>614785624.16999996</v>
      </c>
      <c r="AI72" s="249">
        <v>2184</v>
      </c>
      <c r="AJ72" s="249">
        <v>126</v>
      </c>
      <c r="AK72" s="249">
        <v>15717</v>
      </c>
      <c r="AL72" s="249">
        <v>1</v>
      </c>
      <c r="AM72" s="241"/>
      <c r="AN72" s="249" t="s">
        <v>594</v>
      </c>
      <c r="AO72" s="249">
        <v>0</v>
      </c>
      <c r="AP72" s="249">
        <v>0</v>
      </c>
      <c r="AQ72" s="249">
        <v>0</v>
      </c>
      <c r="AR72" s="249">
        <v>0</v>
      </c>
      <c r="AS72" s="249">
        <v>1</v>
      </c>
      <c r="AT72" s="241"/>
      <c r="AU72" s="249" t="s">
        <v>594</v>
      </c>
      <c r="AV72" s="249">
        <v>0</v>
      </c>
      <c r="AW72" s="249">
        <v>0</v>
      </c>
      <c r="AX72" s="249">
        <v>0</v>
      </c>
      <c r="AY72" s="249">
        <v>0</v>
      </c>
      <c r="AZ72" s="249">
        <v>1</v>
      </c>
      <c r="BA72" s="241"/>
      <c r="BB72" s="249" t="s">
        <v>598</v>
      </c>
      <c r="BC72" s="249">
        <v>446523391.83999997</v>
      </c>
      <c r="BD72" s="249">
        <v>934</v>
      </c>
      <c r="BE72" s="249">
        <v>163</v>
      </c>
      <c r="BF72" s="249">
        <v>10245</v>
      </c>
      <c r="BG72" s="249">
        <v>1</v>
      </c>
      <c r="BH72" s="243" t="s">
        <v>598</v>
      </c>
      <c r="BI72" s="249">
        <v>2340460</v>
      </c>
      <c r="BJ72" s="249">
        <v>5</v>
      </c>
      <c r="BK72" s="249">
        <v>4</v>
      </c>
      <c r="BL72" s="249">
        <v>471</v>
      </c>
      <c r="BM72" s="249">
        <v>1</v>
      </c>
      <c r="BN72" s="249"/>
      <c r="BO72" s="243"/>
      <c r="BP72" s="259" t="s">
        <v>610</v>
      </c>
      <c r="BQ72" s="259">
        <v>5936737</v>
      </c>
      <c r="BR72" s="243"/>
    </row>
    <row r="73" spans="1:70" x14ac:dyDescent="0.25">
      <c r="A73" s="83"/>
      <c r="B73" s="188" t="s">
        <v>265</v>
      </c>
      <c r="C73" s="191">
        <v>39629</v>
      </c>
      <c r="D73" s="188">
        <v>51541.23</v>
      </c>
      <c r="E73" s="219">
        <v>1</v>
      </c>
      <c r="F73" s="209"/>
      <c r="G73" s="219" t="s">
        <v>540</v>
      </c>
      <c r="H73" s="219">
        <v>67440.665808060003</v>
      </c>
      <c r="I73" s="163"/>
      <c r="J73" s="3"/>
      <c r="K73" s="224"/>
      <c r="L73" s="224"/>
      <c r="M73" s="224"/>
      <c r="O73" s="237" t="s">
        <v>540</v>
      </c>
      <c r="P73" s="237">
        <v>69708.965761519998</v>
      </c>
      <c r="Q73" s="235"/>
      <c r="R73" s="157"/>
      <c r="S73" s="243" t="s">
        <v>435</v>
      </c>
      <c r="T73" s="243">
        <v>328367954558.29626</v>
      </c>
      <c r="U73" s="243">
        <v>934325</v>
      </c>
      <c r="V73" s="243">
        <v>271897</v>
      </c>
      <c r="W73" s="243">
        <v>593018</v>
      </c>
      <c r="X73" s="243">
        <v>1</v>
      </c>
      <c r="Y73" s="241"/>
      <c r="Z73" s="249" t="s">
        <v>601</v>
      </c>
      <c r="AA73" s="249">
        <v>93234445</v>
      </c>
      <c r="AB73" s="249">
        <v>2126</v>
      </c>
      <c r="AC73" s="249">
        <v>192</v>
      </c>
      <c r="AD73" s="249">
        <v>16634</v>
      </c>
      <c r="AE73" s="249">
        <v>1</v>
      </c>
      <c r="AF73" s="249"/>
      <c r="AG73" s="249" t="s">
        <v>597</v>
      </c>
      <c r="AH73" s="249">
        <v>0</v>
      </c>
      <c r="AI73" s="249">
        <v>0</v>
      </c>
      <c r="AJ73" s="249">
        <v>0</v>
      </c>
      <c r="AK73" s="249">
        <v>0</v>
      </c>
      <c r="AL73" s="249">
        <v>1</v>
      </c>
      <c r="AM73" s="241"/>
      <c r="AN73" s="249" t="s">
        <v>595</v>
      </c>
      <c r="AO73" s="249">
        <v>0</v>
      </c>
      <c r="AP73" s="249">
        <v>0</v>
      </c>
      <c r="AQ73" s="249">
        <v>0</v>
      </c>
      <c r="AR73" s="249">
        <v>0</v>
      </c>
      <c r="AS73" s="249">
        <v>1</v>
      </c>
      <c r="AT73" s="241"/>
      <c r="AU73" s="249" t="s">
        <v>595</v>
      </c>
      <c r="AV73" s="249">
        <v>0</v>
      </c>
      <c r="AW73" s="249">
        <v>0</v>
      </c>
      <c r="AX73" s="249">
        <v>0</v>
      </c>
      <c r="AY73" s="249">
        <v>0</v>
      </c>
      <c r="AZ73" s="249">
        <v>1</v>
      </c>
      <c r="BA73" s="241"/>
      <c r="BB73" s="249" t="s">
        <v>599</v>
      </c>
      <c r="BC73" s="249">
        <v>9957900.0099999998</v>
      </c>
      <c r="BD73" s="249">
        <v>19</v>
      </c>
      <c r="BE73" s="249">
        <v>9</v>
      </c>
      <c r="BF73" s="249">
        <v>300</v>
      </c>
      <c r="BG73" s="249">
        <v>1</v>
      </c>
      <c r="BH73" s="243" t="s">
        <v>599</v>
      </c>
      <c r="BI73" s="249">
        <v>0</v>
      </c>
      <c r="BJ73" s="249">
        <v>0</v>
      </c>
      <c r="BK73" s="249">
        <v>0</v>
      </c>
      <c r="BL73" s="249">
        <v>14</v>
      </c>
      <c r="BM73" s="249">
        <v>1</v>
      </c>
      <c r="BN73" s="249"/>
      <c r="BO73" s="243"/>
      <c r="BP73" s="259" t="s">
        <v>611</v>
      </c>
      <c r="BQ73" s="259">
        <v>1664596</v>
      </c>
      <c r="BR73" s="243"/>
    </row>
    <row r="74" spans="1:70" x14ac:dyDescent="0.25">
      <c r="A74" s="83"/>
      <c r="B74" s="188" t="s">
        <v>266</v>
      </c>
      <c r="C74" s="191">
        <v>37970</v>
      </c>
      <c r="D74" s="188">
        <v>1201.19</v>
      </c>
      <c r="E74" s="219">
        <v>1</v>
      </c>
      <c r="F74" s="209"/>
      <c r="G74" s="219" t="s">
        <v>100</v>
      </c>
      <c r="H74" s="219">
        <v>350.70780723000001</v>
      </c>
      <c r="I74" s="163"/>
      <c r="J74" s="3"/>
      <c r="K74" s="224"/>
      <c r="L74" s="224"/>
      <c r="M74" s="224"/>
      <c r="O74" s="237" t="s">
        <v>100</v>
      </c>
      <c r="P74" s="237">
        <v>364.78453345999998</v>
      </c>
      <c r="Q74" s="235"/>
      <c r="R74" s="157"/>
      <c r="S74" s="243" t="s">
        <v>438</v>
      </c>
      <c r="T74" s="243">
        <v>227472524.5264</v>
      </c>
      <c r="U74" s="243">
        <v>254932</v>
      </c>
      <c r="V74" s="243">
        <v>103</v>
      </c>
      <c r="W74" s="243">
        <v>1720050</v>
      </c>
      <c r="X74" s="243">
        <v>1</v>
      </c>
      <c r="Y74" s="241"/>
      <c r="Z74" s="249" t="s">
        <v>602</v>
      </c>
      <c r="AA74" s="249">
        <v>0</v>
      </c>
      <c r="AB74" s="249">
        <v>0</v>
      </c>
      <c r="AC74" s="249">
        <v>0</v>
      </c>
      <c r="AD74" s="249">
        <v>0</v>
      </c>
      <c r="AE74" s="249">
        <v>0</v>
      </c>
      <c r="AF74" s="249"/>
      <c r="AG74" s="249" t="s">
        <v>598</v>
      </c>
      <c r="AH74" s="249">
        <v>22223480.010000002</v>
      </c>
      <c r="AI74" s="249">
        <v>43</v>
      </c>
      <c r="AJ74" s="249">
        <v>6</v>
      </c>
      <c r="AK74" s="249">
        <v>314</v>
      </c>
      <c r="AL74" s="249">
        <v>1</v>
      </c>
      <c r="AM74" s="241"/>
      <c r="AN74" s="249" t="s">
        <v>596</v>
      </c>
      <c r="AO74" s="249">
        <v>5916022105.7600002</v>
      </c>
      <c r="AP74" s="249">
        <v>21885</v>
      </c>
      <c r="AQ74" s="249">
        <v>2100</v>
      </c>
      <c r="AR74" s="249">
        <v>413394</v>
      </c>
      <c r="AS74" s="249">
        <v>1</v>
      </c>
      <c r="AT74" s="241"/>
      <c r="AU74" s="249" t="s">
        <v>596</v>
      </c>
      <c r="AV74" s="249">
        <v>248239105.86500001</v>
      </c>
      <c r="AW74" s="249">
        <v>920</v>
      </c>
      <c r="AX74" s="249">
        <v>93</v>
      </c>
      <c r="AY74" s="249">
        <v>16249</v>
      </c>
      <c r="AZ74" s="249">
        <v>1</v>
      </c>
      <c r="BA74" s="241"/>
      <c r="BB74" s="249" t="s">
        <v>600</v>
      </c>
      <c r="BC74" s="249">
        <v>2977645</v>
      </c>
      <c r="BD74" s="249">
        <v>13</v>
      </c>
      <c r="BE74" s="249">
        <v>5</v>
      </c>
      <c r="BF74" s="249">
        <v>87</v>
      </c>
      <c r="BG74" s="249">
        <v>1</v>
      </c>
      <c r="BH74" s="243" t="s">
        <v>600</v>
      </c>
      <c r="BI74" s="249">
        <v>0</v>
      </c>
      <c r="BJ74" s="249">
        <v>0</v>
      </c>
      <c r="BK74" s="249">
        <v>0</v>
      </c>
      <c r="BL74" s="249">
        <v>5</v>
      </c>
      <c r="BM74" s="249">
        <v>1</v>
      </c>
      <c r="BN74" s="249"/>
      <c r="BO74" s="243"/>
      <c r="BP74" s="259"/>
      <c r="BQ74" s="243"/>
      <c r="BR74" s="243"/>
    </row>
    <row r="75" spans="1:70" x14ac:dyDescent="0.25">
      <c r="A75" s="83"/>
      <c r="B75" s="188" t="s">
        <v>105</v>
      </c>
      <c r="C75" s="191">
        <v>39587</v>
      </c>
      <c r="D75" s="188">
        <v>146.47999999999999</v>
      </c>
      <c r="E75" s="219">
        <v>1</v>
      </c>
      <c r="F75" s="215"/>
      <c r="G75" s="219" t="s">
        <v>102</v>
      </c>
      <c r="H75" s="219">
        <v>670.19896888999995</v>
      </c>
      <c r="I75" s="163"/>
      <c r="J75" s="3"/>
      <c r="K75" s="224"/>
      <c r="L75" s="224"/>
      <c r="M75" s="224"/>
      <c r="O75" s="237" t="s">
        <v>102</v>
      </c>
      <c r="P75" s="237">
        <v>681.41133483999999</v>
      </c>
      <c r="Q75" s="235"/>
      <c r="S75" s="250" t="s">
        <v>439</v>
      </c>
      <c r="T75" s="253">
        <v>0</v>
      </c>
      <c r="U75" s="253">
        <v>202486</v>
      </c>
      <c r="V75" s="253">
        <v>95</v>
      </c>
      <c r="W75" s="253">
        <v>1651907</v>
      </c>
      <c r="X75" s="253">
        <v>1</v>
      </c>
      <c r="Y75" s="241"/>
      <c r="Z75" s="249" t="s">
        <v>602</v>
      </c>
      <c r="AA75" s="249">
        <v>530432</v>
      </c>
      <c r="AB75" s="249">
        <v>40</v>
      </c>
      <c r="AC75" s="249">
        <v>1</v>
      </c>
      <c r="AD75" s="249">
        <v>1710</v>
      </c>
      <c r="AE75" s="249">
        <v>1</v>
      </c>
      <c r="AF75" s="249"/>
      <c r="AG75" s="249" t="s">
        <v>599</v>
      </c>
      <c r="AH75" s="249">
        <v>0</v>
      </c>
      <c r="AI75" s="249">
        <v>0</v>
      </c>
      <c r="AJ75" s="249">
        <v>0</v>
      </c>
      <c r="AK75" s="249">
        <v>118</v>
      </c>
      <c r="AL75" s="249">
        <v>1</v>
      </c>
      <c r="AM75" s="241"/>
      <c r="AN75" s="249" t="s">
        <v>597</v>
      </c>
      <c r="AO75" s="249">
        <v>0</v>
      </c>
      <c r="AP75" s="249">
        <v>0</v>
      </c>
      <c r="AQ75" s="249">
        <v>0</v>
      </c>
      <c r="AR75" s="249">
        <v>0</v>
      </c>
      <c r="AS75" s="249">
        <v>1</v>
      </c>
      <c r="AT75" s="241"/>
      <c r="AU75" s="249" t="s">
        <v>597</v>
      </c>
      <c r="AV75" s="249">
        <v>0</v>
      </c>
      <c r="AW75" s="249">
        <v>0</v>
      </c>
      <c r="AX75" s="249">
        <v>0</v>
      </c>
      <c r="AY75" s="249">
        <v>0</v>
      </c>
      <c r="AZ75" s="249">
        <v>1</v>
      </c>
      <c r="BA75" s="241"/>
      <c r="BB75" s="249" t="s">
        <v>601</v>
      </c>
      <c r="BC75" s="249">
        <v>138469635</v>
      </c>
      <c r="BD75" s="249">
        <v>3174</v>
      </c>
      <c r="BE75" s="249">
        <v>152</v>
      </c>
      <c r="BF75" s="249">
        <v>9300</v>
      </c>
      <c r="BG75" s="249">
        <v>1</v>
      </c>
      <c r="BH75" s="243" t="s">
        <v>601</v>
      </c>
      <c r="BI75" s="249">
        <v>3801175</v>
      </c>
      <c r="BJ75" s="249">
        <v>91</v>
      </c>
      <c r="BK75" s="249">
        <v>8</v>
      </c>
      <c r="BL75" s="249">
        <v>526</v>
      </c>
      <c r="BM75" s="249">
        <v>1</v>
      </c>
      <c r="BN75" s="249"/>
      <c r="BO75" s="252" t="s">
        <v>467</v>
      </c>
      <c r="BP75" s="260" t="s">
        <v>558</v>
      </c>
      <c r="BQ75" s="260" t="s">
        <v>559</v>
      </c>
      <c r="BR75" s="260" t="s">
        <v>560</v>
      </c>
    </row>
    <row r="76" spans="1:70" x14ac:dyDescent="0.25">
      <c r="B76" s="188" t="s">
        <v>107</v>
      </c>
      <c r="C76" s="191">
        <v>39590</v>
      </c>
      <c r="D76" s="188">
        <v>12608.67</v>
      </c>
      <c r="E76" s="219">
        <v>1</v>
      </c>
      <c r="F76" s="205"/>
      <c r="G76" s="219" t="s">
        <v>295</v>
      </c>
      <c r="H76" s="219">
        <v>4981.8087487900002</v>
      </c>
      <c r="I76" s="163"/>
      <c r="J76" s="3"/>
      <c r="K76" s="224"/>
      <c r="L76" s="224"/>
      <c r="M76" s="224"/>
      <c r="O76" s="237" t="s">
        <v>295</v>
      </c>
      <c r="P76" s="237">
        <v>5400.7335753899997</v>
      </c>
      <c r="Q76" s="235"/>
      <c r="R76" s="157"/>
      <c r="S76" s="249" t="s">
        <v>436</v>
      </c>
      <c r="T76" s="254">
        <v>4589787875.5889997</v>
      </c>
      <c r="U76" s="254">
        <v>288040</v>
      </c>
      <c r="V76" s="254">
        <v>3569</v>
      </c>
      <c r="W76" s="254">
        <v>756616</v>
      </c>
      <c r="X76" s="254">
        <v>1</v>
      </c>
      <c r="Y76" s="241"/>
      <c r="Z76" s="249" t="s">
        <v>603</v>
      </c>
      <c r="AA76" s="249">
        <v>146550</v>
      </c>
      <c r="AB76" s="249">
        <v>13</v>
      </c>
      <c r="AC76" s="249">
        <v>10</v>
      </c>
      <c r="AD76" s="249">
        <v>20232</v>
      </c>
      <c r="AE76" s="249">
        <v>0</v>
      </c>
      <c r="AF76" s="249"/>
      <c r="AG76" s="249" t="s">
        <v>600</v>
      </c>
      <c r="AH76" s="249">
        <v>2910540</v>
      </c>
      <c r="AI76" s="249">
        <v>12</v>
      </c>
      <c r="AJ76" s="249">
        <v>2</v>
      </c>
      <c r="AK76" s="249">
        <v>306</v>
      </c>
      <c r="AL76" s="249">
        <v>1</v>
      </c>
      <c r="AM76" s="241"/>
      <c r="AN76" s="249" t="s">
        <v>598</v>
      </c>
      <c r="AO76" s="249">
        <v>222462620.12</v>
      </c>
      <c r="AP76" s="249">
        <v>460</v>
      </c>
      <c r="AQ76" s="249">
        <v>104</v>
      </c>
      <c r="AR76" s="249">
        <v>12334</v>
      </c>
      <c r="AS76" s="249">
        <v>1</v>
      </c>
      <c r="AT76" s="241"/>
      <c r="AU76" s="249" t="s">
        <v>598</v>
      </c>
      <c r="AV76" s="249">
        <v>9973219.9800000004</v>
      </c>
      <c r="AW76" s="249">
        <v>21</v>
      </c>
      <c r="AX76" s="249">
        <v>3</v>
      </c>
      <c r="AY76" s="249">
        <v>444</v>
      </c>
      <c r="AZ76" s="249">
        <v>1</v>
      </c>
      <c r="BA76" s="241"/>
      <c r="BB76" s="249" t="s">
        <v>602</v>
      </c>
      <c r="BC76" s="249">
        <v>1066469.6000000001</v>
      </c>
      <c r="BD76" s="249">
        <v>85</v>
      </c>
      <c r="BE76" s="249">
        <v>8</v>
      </c>
      <c r="BF76" s="249">
        <v>1000</v>
      </c>
      <c r="BG76" s="249">
        <v>1</v>
      </c>
      <c r="BH76" s="241" t="s">
        <v>602</v>
      </c>
      <c r="BI76" s="249">
        <v>126336</v>
      </c>
      <c r="BJ76" s="249">
        <v>10</v>
      </c>
      <c r="BK76" s="249">
        <v>1</v>
      </c>
      <c r="BL76" s="249">
        <v>50</v>
      </c>
      <c r="BM76" s="249">
        <v>1</v>
      </c>
      <c r="BN76" s="249"/>
      <c r="BO76" s="243"/>
      <c r="BP76" s="259">
        <v>540778284923.42798</v>
      </c>
      <c r="BQ76" s="259">
        <v>2168151</v>
      </c>
      <c r="BR76" s="259">
        <v>280557</v>
      </c>
    </row>
    <row r="77" spans="1:70" x14ac:dyDescent="0.25">
      <c r="B77" s="188" t="s">
        <v>267</v>
      </c>
      <c r="C77" s="191">
        <v>38009</v>
      </c>
      <c r="D77" s="188">
        <v>999.63</v>
      </c>
      <c r="E77" s="219">
        <v>1</v>
      </c>
      <c r="F77" s="205"/>
      <c r="G77" s="219" t="s">
        <v>296</v>
      </c>
      <c r="H77" s="219">
        <v>243.07044482000001</v>
      </c>
      <c r="I77" s="163"/>
      <c r="J77" s="3"/>
      <c r="K77" s="224"/>
      <c r="L77" s="224"/>
      <c r="M77" s="224"/>
      <c r="O77" s="237" t="s">
        <v>296</v>
      </c>
      <c r="P77" s="237">
        <v>244.0878519</v>
      </c>
      <c r="Q77" s="235"/>
      <c r="R77" s="157"/>
      <c r="S77" s="249"/>
      <c r="T77" s="254"/>
      <c r="U77" s="254"/>
      <c r="V77" s="254"/>
      <c r="W77" s="254"/>
      <c r="X77" s="254"/>
      <c r="Y77" s="241"/>
      <c r="Z77" s="249" t="s">
        <v>603</v>
      </c>
      <c r="AA77" s="249">
        <v>8419901783.4700003</v>
      </c>
      <c r="AB77" s="249">
        <v>30216</v>
      </c>
      <c r="AC77" s="249">
        <v>4909</v>
      </c>
      <c r="AD77" s="249">
        <v>180174</v>
      </c>
      <c r="AE77" s="249">
        <v>1</v>
      </c>
      <c r="AF77" s="249"/>
      <c r="AG77" s="249" t="s">
        <v>601</v>
      </c>
      <c r="AH77" s="249">
        <v>479338</v>
      </c>
      <c r="AI77" s="249">
        <v>11</v>
      </c>
      <c r="AJ77" s="249">
        <v>2</v>
      </c>
      <c r="AK77" s="249">
        <v>805</v>
      </c>
      <c r="AL77" s="249">
        <v>1</v>
      </c>
      <c r="AM77" s="241"/>
      <c r="AN77" s="249" t="s">
        <v>599</v>
      </c>
      <c r="AO77" s="249">
        <v>288438780</v>
      </c>
      <c r="AP77" s="249">
        <v>591</v>
      </c>
      <c r="AQ77" s="249">
        <v>24</v>
      </c>
      <c r="AR77" s="249">
        <v>2313</v>
      </c>
      <c r="AS77" s="249">
        <v>1</v>
      </c>
      <c r="AT77" s="241"/>
      <c r="AU77" s="249" t="s">
        <v>599</v>
      </c>
      <c r="AV77" s="249">
        <v>35856920</v>
      </c>
      <c r="AW77" s="249">
        <v>74</v>
      </c>
      <c r="AX77" s="249">
        <v>6</v>
      </c>
      <c r="AY77" s="249">
        <v>199</v>
      </c>
      <c r="AZ77" s="249">
        <v>1</v>
      </c>
      <c r="BA77" s="241"/>
      <c r="BB77" s="249" t="s">
        <v>603</v>
      </c>
      <c r="BC77" s="249">
        <v>6718845512.1350002</v>
      </c>
      <c r="BD77" s="249">
        <v>26712</v>
      </c>
      <c r="BE77" s="249">
        <v>4200</v>
      </c>
      <c r="BF77" s="249">
        <v>217467</v>
      </c>
      <c r="BG77" s="249">
        <v>1</v>
      </c>
      <c r="BH77" s="241" t="s">
        <v>603</v>
      </c>
      <c r="BI77" s="249">
        <v>266826490.12</v>
      </c>
      <c r="BJ77" s="249">
        <v>1041</v>
      </c>
      <c r="BK77" s="249">
        <v>160</v>
      </c>
      <c r="BL77" s="249">
        <v>10202</v>
      </c>
      <c r="BM77" s="249">
        <v>1</v>
      </c>
      <c r="BN77" s="249"/>
      <c r="BO77" s="243"/>
      <c r="BP77" s="243"/>
      <c r="BQ77" s="243"/>
      <c r="BR77" s="243"/>
    </row>
    <row r="78" spans="1:70" x14ac:dyDescent="0.25">
      <c r="A78" s="149"/>
      <c r="B78" s="188" t="s">
        <v>268</v>
      </c>
      <c r="C78" s="191">
        <v>43348</v>
      </c>
      <c r="D78" s="188">
        <v>76814.837934449999</v>
      </c>
      <c r="E78" s="219">
        <v>1</v>
      </c>
      <c r="F78" s="205"/>
      <c r="G78" s="219" t="s">
        <v>297</v>
      </c>
      <c r="H78" s="219">
        <v>6432.4813830000003</v>
      </c>
      <c r="I78" s="163"/>
      <c r="J78" s="63"/>
      <c r="K78" s="224"/>
      <c r="L78" s="224"/>
      <c r="M78" s="224"/>
      <c r="O78" s="237" t="s">
        <v>297</v>
      </c>
      <c r="P78" s="237">
        <v>6695.4447744299996</v>
      </c>
      <c r="Q78" s="235"/>
      <c r="R78" s="157"/>
      <c r="S78" s="249"/>
      <c r="T78" s="254"/>
      <c r="U78" s="254"/>
      <c r="V78" s="254"/>
      <c r="W78" s="254"/>
      <c r="X78" s="254"/>
      <c r="Y78" s="241"/>
      <c r="Z78" s="249" t="s">
        <v>604</v>
      </c>
      <c r="AA78" s="249">
        <v>248103082.68000001</v>
      </c>
      <c r="AB78" s="249">
        <v>13639</v>
      </c>
      <c r="AC78" s="249">
        <v>1264</v>
      </c>
      <c r="AD78" s="249">
        <v>367739</v>
      </c>
      <c r="AE78" s="249">
        <v>0</v>
      </c>
      <c r="AF78" s="249"/>
      <c r="AG78" s="249" t="s">
        <v>602</v>
      </c>
      <c r="AH78" s="249">
        <v>0</v>
      </c>
      <c r="AI78" s="249">
        <v>0</v>
      </c>
      <c r="AJ78" s="249">
        <v>0</v>
      </c>
      <c r="AK78" s="249">
        <v>70</v>
      </c>
      <c r="AL78" s="249">
        <v>1</v>
      </c>
      <c r="AM78" s="241"/>
      <c r="AN78" s="249" t="s">
        <v>600</v>
      </c>
      <c r="AO78" s="249">
        <v>1324810</v>
      </c>
      <c r="AP78" s="249">
        <v>6</v>
      </c>
      <c r="AQ78" s="249">
        <v>2</v>
      </c>
      <c r="AR78" s="249">
        <v>36</v>
      </c>
      <c r="AS78" s="249">
        <v>1</v>
      </c>
      <c r="AT78" s="241"/>
      <c r="AU78" s="249" t="s">
        <v>600</v>
      </c>
      <c r="AV78" s="249">
        <v>0</v>
      </c>
      <c r="AW78" s="249">
        <v>0</v>
      </c>
      <c r="AX78" s="249">
        <v>0</v>
      </c>
      <c r="AY78" s="249">
        <v>0</v>
      </c>
      <c r="AZ78" s="249">
        <v>1</v>
      </c>
      <c r="BA78" s="241"/>
      <c r="BB78" s="249" t="s">
        <v>604</v>
      </c>
      <c r="BC78" s="249">
        <v>21910508664.450001</v>
      </c>
      <c r="BD78" s="249">
        <v>92602</v>
      </c>
      <c r="BE78" s="249">
        <v>17817</v>
      </c>
      <c r="BF78" s="249">
        <v>850582</v>
      </c>
      <c r="BG78" s="249">
        <v>1</v>
      </c>
      <c r="BH78" s="241" t="s">
        <v>604</v>
      </c>
      <c r="BI78" s="249">
        <v>975016700.63</v>
      </c>
      <c r="BJ78" s="249">
        <v>4066</v>
      </c>
      <c r="BK78" s="249">
        <v>588</v>
      </c>
      <c r="BL78" s="249">
        <v>43330</v>
      </c>
      <c r="BM78" s="249">
        <v>1</v>
      </c>
      <c r="BN78" s="249"/>
      <c r="BO78" s="252" t="s">
        <v>486</v>
      </c>
      <c r="BP78" s="260" t="s">
        <v>558</v>
      </c>
      <c r="BQ78" s="260" t="s">
        <v>559</v>
      </c>
      <c r="BR78" s="260" t="s">
        <v>560</v>
      </c>
    </row>
    <row r="79" spans="1:70" x14ac:dyDescent="0.25">
      <c r="A79" s="149"/>
      <c r="B79" s="188" t="s">
        <v>269</v>
      </c>
      <c r="C79" s="191">
        <v>39604</v>
      </c>
      <c r="D79" s="188">
        <v>61121.71</v>
      </c>
      <c r="E79" s="219">
        <v>1</v>
      </c>
      <c r="F79" s="205"/>
      <c r="G79" s="219" t="s">
        <v>298</v>
      </c>
      <c r="H79" s="219">
        <v>8.2353480300000008</v>
      </c>
      <c r="I79" s="163"/>
      <c r="J79" s="63"/>
      <c r="K79" s="224"/>
      <c r="L79" s="224"/>
      <c r="M79" s="224"/>
      <c r="O79" s="237" t="s">
        <v>298</v>
      </c>
      <c r="P79" s="237">
        <v>8.0980922300000007</v>
      </c>
      <c r="Q79" s="235"/>
      <c r="R79" s="157"/>
      <c r="S79" s="249"/>
      <c r="T79" s="254"/>
      <c r="U79" s="254"/>
      <c r="V79" s="254"/>
      <c r="W79" s="254"/>
      <c r="X79" s="254"/>
      <c r="Y79" s="241"/>
      <c r="Z79" s="249" t="s">
        <v>604</v>
      </c>
      <c r="AA79" s="249">
        <v>25856084540.82</v>
      </c>
      <c r="AB79" s="249">
        <v>88329</v>
      </c>
      <c r="AC79" s="249">
        <v>16203</v>
      </c>
      <c r="AD79" s="249">
        <v>623266</v>
      </c>
      <c r="AE79" s="249">
        <v>1</v>
      </c>
      <c r="AF79" s="249"/>
      <c r="AG79" s="249" t="s">
        <v>603</v>
      </c>
      <c r="AH79" s="249">
        <v>233819109.97</v>
      </c>
      <c r="AI79" s="249">
        <v>839</v>
      </c>
      <c r="AJ79" s="249">
        <v>81</v>
      </c>
      <c r="AK79" s="249">
        <v>7704</v>
      </c>
      <c r="AL79" s="249">
        <v>1</v>
      </c>
      <c r="AM79" s="241"/>
      <c r="AN79" s="249" t="s">
        <v>601</v>
      </c>
      <c r="AO79" s="249">
        <v>121742707.5</v>
      </c>
      <c r="AP79" s="249">
        <v>2679</v>
      </c>
      <c r="AQ79" s="249">
        <v>49</v>
      </c>
      <c r="AR79" s="249">
        <v>3916</v>
      </c>
      <c r="AS79" s="249">
        <v>1</v>
      </c>
      <c r="AT79" s="241"/>
      <c r="AU79" s="249" t="s">
        <v>601</v>
      </c>
      <c r="AV79" s="249">
        <v>1792250</v>
      </c>
      <c r="AW79" s="249">
        <v>40</v>
      </c>
      <c r="AX79" s="249">
        <v>2</v>
      </c>
      <c r="AY79" s="249">
        <v>310</v>
      </c>
      <c r="AZ79" s="249">
        <v>1</v>
      </c>
      <c r="BA79" s="241"/>
      <c r="BB79" s="249" t="s">
        <v>606</v>
      </c>
      <c r="BC79" s="249">
        <v>15639800978.110001</v>
      </c>
      <c r="BD79" s="249">
        <v>64507</v>
      </c>
      <c r="BE79" s="249">
        <v>11621</v>
      </c>
      <c r="BF79" s="249">
        <v>675566</v>
      </c>
      <c r="BG79" s="249">
        <v>1</v>
      </c>
      <c r="BH79" s="241" t="s">
        <v>606</v>
      </c>
      <c r="BI79" s="249">
        <v>722210363.12</v>
      </c>
      <c r="BJ79" s="249">
        <v>2968</v>
      </c>
      <c r="BK79" s="249">
        <v>326</v>
      </c>
      <c r="BL79" s="249">
        <v>32995</v>
      </c>
      <c r="BM79" s="249">
        <v>1</v>
      </c>
      <c r="BN79" s="249"/>
      <c r="BO79" s="247"/>
      <c r="BP79" s="259">
        <v>3929349056.5799899</v>
      </c>
      <c r="BQ79" s="259">
        <v>223797</v>
      </c>
      <c r="BR79" s="259">
        <v>20683</v>
      </c>
    </row>
    <row r="80" spans="1:70" x14ac:dyDescent="0.25">
      <c r="A80" s="149"/>
      <c r="B80" s="188" t="s">
        <v>270</v>
      </c>
      <c r="C80" s="191">
        <v>39590</v>
      </c>
      <c r="D80" s="188">
        <v>50553.22</v>
      </c>
      <c r="E80" s="219">
        <v>1</v>
      </c>
      <c r="F80" s="205"/>
      <c r="G80" s="219" t="s">
        <v>300</v>
      </c>
      <c r="H80" s="219">
        <v>1182.1359912</v>
      </c>
      <c r="I80" s="163"/>
      <c r="J80" s="3"/>
      <c r="K80" s="224"/>
      <c r="L80" s="224"/>
      <c r="M80" s="224"/>
      <c r="O80" s="237" t="s">
        <v>300</v>
      </c>
      <c r="P80" s="237">
        <v>1225.4823092199999</v>
      </c>
      <c r="Q80" s="235"/>
      <c r="R80" s="153" t="s">
        <v>446</v>
      </c>
      <c r="S80" s="249" t="s">
        <v>557</v>
      </c>
      <c r="T80" s="254" t="s">
        <v>558</v>
      </c>
      <c r="U80" s="254" t="s">
        <v>559</v>
      </c>
      <c r="V80" s="254" t="s">
        <v>560</v>
      </c>
      <c r="W80" s="254" t="s">
        <v>561</v>
      </c>
      <c r="X80" s="254" t="s">
        <v>562</v>
      </c>
      <c r="Y80" s="241"/>
      <c r="Z80" s="241" t="s">
        <v>605</v>
      </c>
      <c r="AA80" s="241">
        <v>3330450</v>
      </c>
      <c r="AB80" s="241">
        <v>300</v>
      </c>
      <c r="AC80" s="241">
        <v>12</v>
      </c>
      <c r="AD80" s="241">
        <v>0</v>
      </c>
      <c r="AE80" s="241">
        <v>0</v>
      </c>
      <c r="AF80" s="241"/>
      <c r="AG80" s="241" t="s">
        <v>604</v>
      </c>
      <c r="AH80" s="241">
        <v>1115897599.6300001</v>
      </c>
      <c r="AI80" s="241">
        <v>3934</v>
      </c>
      <c r="AJ80" s="241">
        <v>472</v>
      </c>
      <c r="AK80" s="241">
        <v>31023</v>
      </c>
      <c r="AL80" s="241">
        <v>1</v>
      </c>
      <c r="AM80" s="241"/>
      <c r="AN80" s="241" t="s">
        <v>602</v>
      </c>
      <c r="AO80" s="241">
        <v>1194928</v>
      </c>
      <c r="AP80" s="241">
        <v>80</v>
      </c>
      <c r="AQ80" s="241">
        <v>8</v>
      </c>
      <c r="AR80" s="241">
        <v>2560</v>
      </c>
      <c r="AS80" s="241">
        <v>1</v>
      </c>
      <c r="AT80" s="241"/>
      <c r="AU80" s="241" t="s">
        <v>602</v>
      </c>
      <c r="AV80" s="241">
        <v>0</v>
      </c>
      <c r="AW80" s="241">
        <v>0</v>
      </c>
      <c r="AX80" s="241">
        <v>0</v>
      </c>
      <c r="AY80" s="241">
        <v>110</v>
      </c>
      <c r="AZ80" s="241">
        <v>1</v>
      </c>
      <c r="BA80" s="241"/>
      <c r="BB80" s="241"/>
      <c r="BC80" s="241"/>
      <c r="BD80" s="241"/>
      <c r="BE80" s="241"/>
      <c r="BF80" s="241"/>
      <c r="BG80" s="241"/>
      <c r="BH80" s="241"/>
      <c r="BI80" s="241"/>
      <c r="BJ80" s="241"/>
      <c r="BK80" s="241"/>
      <c r="BL80" s="241"/>
      <c r="BM80" s="241"/>
      <c r="BN80" s="241"/>
      <c r="BO80" s="243"/>
      <c r="BP80" s="243"/>
      <c r="BQ80" s="243"/>
      <c r="BR80" s="243"/>
    </row>
    <row r="81" spans="1:70" x14ac:dyDescent="0.25">
      <c r="A81" s="149"/>
      <c r="B81" s="188" t="s">
        <v>55</v>
      </c>
      <c r="C81" s="191">
        <v>43060</v>
      </c>
      <c r="D81" s="188">
        <v>55065.365928040002</v>
      </c>
      <c r="E81" s="219">
        <v>1</v>
      </c>
      <c r="F81" s="205"/>
      <c r="G81" s="219" t="s">
        <v>301</v>
      </c>
      <c r="H81" s="219">
        <v>6839.6826844799998</v>
      </c>
      <c r="I81" s="163"/>
      <c r="J81" s="3"/>
      <c r="K81" s="224"/>
      <c r="L81" s="224"/>
      <c r="M81" s="224"/>
      <c r="O81" s="237" t="s">
        <v>301</v>
      </c>
      <c r="P81" s="237">
        <v>6547.6998175700001</v>
      </c>
      <c r="Q81" s="235"/>
      <c r="R81" s="157"/>
      <c r="S81" s="249" t="s">
        <v>440</v>
      </c>
      <c r="T81" s="254">
        <v>19001849.760000002</v>
      </c>
      <c r="U81" s="254">
        <v>25653</v>
      </c>
      <c r="V81" s="254">
        <v>19</v>
      </c>
      <c r="W81" s="254">
        <v>150615</v>
      </c>
      <c r="X81" s="254">
        <v>0</v>
      </c>
      <c r="Y81" s="241"/>
      <c r="Z81" s="241" t="s">
        <v>605</v>
      </c>
      <c r="AA81" s="241">
        <v>0</v>
      </c>
      <c r="AB81" s="241">
        <v>0</v>
      </c>
      <c r="AC81" s="241">
        <v>0</v>
      </c>
      <c r="AD81" s="241">
        <v>0</v>
      </c>
      <c r="AE81" s="241">
        <v>1</v>
      </c>
      <c r="AF81" s="241"/>
      <c r="AG81" s="241" t="s">
        <v>605</v>
      </c>
      <c r="AH81" s="241">
        <v>0</v>
      </c>
      <c r="AI81" s="241">
        <v>0</v>
      </c>
      <c r="AJ81" s="241">
        <v>0</v>
      </c>
      <c r="AK81" s="241">
        <v>0</v>
      </c>
      <c r="AL81" s="241">
        <v>1</v>
      </c>
      <c r="AM81" s="241"/>
      <c r="AN81" s="241" t="s">
        <v>603</v>
      </c>
      <c r="AO81" s="241">
        <v>7661636805.1949997</v>
      </c>
      <c r="AP81" s="241">
        <v>29211</v>
      </c>
      <c r="AQ81" s="241">
        <v>4150</v>
      </c>
      <c r="AR81" s="241">
        <v>193466</v>
      </c>
      <c r="AS81" s="241">
        <v>1</v>
      </c>
      <c r="AT81" s="241"/>
      <c r="AU81" s="241" t="s">
        <v>603</v>
      </c>
      <c r="AV81" s="241">
        <v>191040916.63999999</v>
      </c>
      <c r="AW81" s="241">
        <v>736</v>
      </c>
      <c r="AX81" s="241">
        <v>97</v>
      </c>
      <c r="AY81" s="241">
        <v>8908</v>
      </c>
      <c r="AZ81" s="241">
        <v>1</v>
      </c>
      <c r="BA81" s="241"/>
      <c r="BB81" s="241"/>
      <c r="BC81" s="241"/>
      <c r="BD81" s="241"/>
      <c r="BE81" s="241"/>
      <c r="BF81" s="241"/>
      <c r="BG81" s="241"/>
      <c r="BH81" s="241"/>
      <c r="BI81" s="241"/>
      <c r="BJ81" s="241"/>
      <c r="BK81" s="241"/>
      <c r="BL81" s="241"/>
      <c r="BM81" s="241"/>
      <c r="BN81" s="241"/>
      <c r="BO81" s="252" t="s">
        <v>468</v>
      </c>
      <c r="BP81" s="260" t="s">
        <v>558</v>
      </c>
      <c r="BQ81" s="260" t="s">
        <v>559</v>
      </c>
      <c r="BR81" s="260" t="s">
        <v>560</v>
      </c>
    </row>
    <row r="82" spans="1:70" x14ac:dyDescent="0.25">
      <c r="A82" s="149"/>
      <c r="B82" s="188" t="s">
        <v>44</v>
      </c>
      <c r="C82" s="191">
        <v>42594</v>
      </c>
      <c r="D82" s="188">
        <v>82603.124167989998</v>
      </c>
      <c r="E82" s="219">
        <v>1</v>
      </c>
      <c r="F82" s="205"/>
      <c r="G82" s="219" t="s">
        <v>302</v>
      </c>
      <c r="H82" s="219">
        <v>1454.3121748900001</v>
      </c>
      <c r="I82" s="163"/>
      <c r="J82" s="157"/>
      <c r="K82" s="224"/>
      <c r="L82" s="224"/>
      <c r="M82" s="224"/>
      <c r="O82" s="237" t="s">
        <v>302</v>
      </c>
      <c r="P82" s="237">
        <v>1413.0393582900001</v>
      </c>
      <c r="Q82" s="235"/>
      <c r="R82" s="157"/>
      <c r="S82" s="249" t="s">
        <v>437</v>
      </c>
      <c r="T82" s="254">
        <v>0</v>
      </c>
      <c r="U82" s="254">
        <v>0</v>
      </c>
      <c r="V82" s="254">
        <v>0</v>
      </c>
      <c r="W82" s="254">
        <v>0</v>
      </c>
      <c r="X82" s="254">
        <v>0</v>
      </c>
      <c r="Y82" s="241"/>
      <c r="Z82" s="241" t="s">
        <v>606</v>
      </c>
      <c r="AA82" s="241">
        <v>158473636.78</v>
      </c>
      <c r="AB82" s="241">
        <v>10931</v>
      </c>
      <c r="AC82" s="241">
        <v>533</v>
      </c>
      <c r="AD82" s="241">
        <v>358673</v>
      </c>
      <c r="AE82" s="241">
        <v>0</v>
      </c>
      <c r="AF82" s="241"/>
      <c r="AG82" s="241" t="s">
        <v>606</v>
      </c>
      <c r="AH82" s="241">
        <v>975913879.63999999</v>
      </c>
      <c r="AI82" s="241">
        <v>3610</v>
      </c>
      <c r="AJ82" s="241">
        <v>370</v>
      </c>
      <c r="AK82" s="241">
        <v>36164</v>
      </c>
      <c r="AL82" s="241">
        <v>1</v>
      </c>
      <c r="AM82" s="241"/>
      <c r="AN82" s="241" t="s">
        <v>604</v>
      </c>
      <c r="AO82" s="241">
        <v>21232295439.32</v>
      </c>
      <c r="AP82" s="241">
        <v>71104</v>
      </c>
      <c r="AQ82" s="241">
        <v>12587</v>
      </c>
      <c r="AR82" s="241">
        <v>614268</v>
      </c>
      <c r="AS82" s="241">
        <v>1</v>
      </c>
      <c r="AT82" s="241"/>
      <c r="AU82" s="241" t="s">
        <v>604</v>
      </c>
      <c r="AV82" s="241">
        <v>987002679</v>
      </c>
      <c r="AW82" s="241">
        <v>3361</v>
      </c>
      <c r="AX82" s="241">
        <v>425</v>
      </c>
      <c r="AY82" s="241">
        <v>26762</v>
      </c>
      <c r="AZ82" s="241">
        <v>1</v>
      </c>
      <c r="BA82" s="241"/>
      <c r="BB82" s="241"/>
      <c r="BC82" s="241"/>
      <c r="BD82" s="241"/>
      <c r="BE82" s="241"/>
      <c r="BF82" s="241"/>
      <c r="BG82" s="241"/>
      <c r="BH82" s="241"/>
      <c r="BI82" s="241"/>
      <c r="BJ82" s="241"/>
      <c r="BK82" s="241"/>
      <c r="BL82" s="241"/>
      <c r="BM82" s="241"/>
      <c r="BN82" s="241"/>
      <c r="BO82" s="243"/>
      <c r="BP82" s="259">
        <v>424269135190.29895</v>
      </c>
      <c r="BQ82" s="259">
        <v>2022276</v>
      </c>
      <c r="BR82" s="259">
        <v>265051</v>
      </c>
    </row>
    <row r="83" spans="1:70" x14ac:dyDescent="0.25">
      <c r="A83" s="14"/>
      <c r="B83" s="188" t="s">
        <v>46</v>
      </c>
      <c r="C83" s="191">
        <v>42814</v>
      </c>
      <c r="D83" s="188">
        <v>65469.71245626</v>
      </c>
      <c r="E83" s="219">
        <v>1</v>
      </c>
      <c r="F83" s="208"/>
      <c r="G83" s="219" t="s">
        <v>59</v>
      </c>
      <c r="H83" s="219">
        <v>10385.092865029999</v>
      </c>
      <c r="I83" s="163"/>
      <c r="J83" s="157"/>
      <c r="K83" s="224"/>
      <c r="L83" s="224"/>
      <c r="M83" s="224"/>
      <c r="O83" s="237" t="s">
        <v>59</v>
      </c>
      <c r="P83" s="237">
        <v>10714.450913029999</v>
      </c>
      <c r="Q83" s="235"/>
      <c r="R83" s="157"/>
      <c r="S83" s="249" t="s">
        <v>435</v>
      </c>
      <c r="T83" s="254">
        <v>76251729.359999999</v>
      </c>
      <c r="U83" s="254">
        <v>6948</v>
      </c>
      <c r="V83" s="254">
        <v>18</v>
      </c>
      <c r="W83" s="254">
        <v>993826</v>
      </c>
      <c r="X83" s="254">
        <v>0</v>
      </c>
      <c r="Y83" s="241"/>
      <c r="Z83" s="241" t="s">
        <v>606</v>
      </c>
      <c r="AA83" s="241">
        <v>19354514539.77</v>
      </c>
      <c r="AB83" s="241">
        <v>69447</v>
      </c>
      <c r="AC83" s="241">
        <v>11873</v>
      </c>
      <c r="AD83" s="241">
        <v>701908</v>
      </c>
      <c r="AE83" s="241">
        <v>1</v>
      </c>
      <c r="AF83" s="241"/>
      <c r="AG83" s="241" t="s">
        <v>607</v>
      </c>
      <c r="AH83" s="241">
        <v>0</v>
      </c>
      <c r="AI83" s="241">
        <v>0</v>
      </c>
      <c r="AJ83" s="241">
        <v>0</v>
      </c>
      <c r="AK83" s="241">
        <v>0</v>
      </c>
      <c r="AL83" s="241">
        <v>1</v>
      </c>
      <c r="AM83" s="241"/>
      <c r="AN83" s="241" t="s">
        <v>605</v>
      </c>
      <c r="AO83" s="241">
        <v>0</v>
      </c>
      <c r="AP83" s="241">
        <v>0</v>
      </c>
      <c r="AQ83" s="241">
        <v>0</v>
      </c>
      <c r="AR83" s="241">
        <v>0</v>
      </c>
      <c r="AS83" s="241">
        <v>1</v>
      </c>
      <c r="AT83" s="241"/>
      <c r="AU83" s="241" t="s">
        <v>605</v>
      </c>
      <c r="AV83" s="241">
        <v>0</v>
      </c>
      <c r="AW83" s="241">
        <v>0</v>
      </c>
      <c r="AX83" s="241">
        <v>0</v>
      </c>
      <c r="AY83" s="241">
        <v>0</v>
      </c>
      <c r="AZ83" s="241">
        <v>1</v>
      </c>
      <c r="BA83" s="241"/>
      <c r="BB83" s="241"/>
      <c r="BC83" s="241"/>
      <c r="BD83" s="241"/>
      <c r="BE83" s="241"/>
      <c r="BF83" s="241"/>
      <c r="BG83" s="241"/>
      <c r="BH83" s="241"/>
      <c r="BI83" s="241"/>
      <c r="BJ83" s="241"/>
      <c r="BK83" s="241"/>
      <c r="BL83" s="241"/>
      <c r="BM83" s="241"/>
      <c r="BN83" s="241"/>
      <c r="BO83" s="243"/>
      <c r="BP83" s="243"/>
      <c r="BQ83" s="243"/>
      <c r="BR83" s="243"/>
    </row>
    <row r="84" spans="1:70" x14ac:dyDescent="0.25">
      <c r="A84" s="149"/>
      <c r="B84" s="188" t="s">
        <v>42</v>
      </c>
      <c r="C84" s="191">
        <v>43125</v>
      </c>
      <c r="D84" s="188">
        <v>61684.771932919997</v>
      </c>
      <c r="E84" s="219">
        <v>1</v>
      </c>
      <c r="F84" s="209"/>
      <c r="G84" s="219" t="s">
        <v>52</v>
      </c>
      <c r="H84" s="219">
        <v>11601.15254995</v>
      </c>
      <c r="I84" s="163"/>
      <c r="J84" s="157"/>
      <c r="K84" s="224"/>
      <c r="L84" s="224"/>
      <c r="M84" s="224"/>
      <c r="O84" s="237" t="s">
        <v>52</v>
      </c>
      <c r="P84" s="237">
        <v>11926.85722991</v>
      </c>
      <c r="Q84" s="235"/>
      <c r="R84" s="157"/>
      <c r="S84" s="249" t="s">
        <v>438</v>
      </c>
      <c r="T84" s="254">
        <v>0</v>
      </c>
      <c r="U84" s="254">
        <v>0</v>
      </c>
      <c r="V84" s="254">
        <v>0</v>
      </c>
      <c r="W84" s="254">
        <v>0</v>
      </c>
      <c r="X84" s="254">
        <v>0</v>
      </c>
      <c r="Y84" s="241"/>
      <c r="Z84" s="241" t="s">
        <v>607</v>
      </c>
      <c r="AA84" s="241">
        <v>0</v>
      </c>
      <c r="AB84" s="241">
        <v>0</v>
      </c>
      <c r="AC84" s="241">
        <v>0</v>
      </c>
      <c r="AD84" s="241">
        <v>0</v>
      </c>
      <c r="AE84" s="241">
        <v>0</v>
      </c>
      <c r="AF84" s="241"/>
      <c r="AG84" s="241"/>
      <c r="AH84" s="241"/>
      <c r="AI84" s="241"/>
      <c r="AJ84" s="241"/>
      <c r="AK84" s="241"/>
      <c r="AL84" s="241"/>
      <c r="AM84" s="241"/>
      <c r="AN84" s="241" t="s">
        <v>606</v>
      </c>
      <c r="AO84" s="241">
        <v>23847844642.66</v>
      </c>
      <c r="AP84" s="241">
        <v>83160</v>
      </c>
      <c r="AQ84" s="241">
        <v>9877</v>
      </c>
      <c r="AR84" s="241">
        <v>649436</v>
      </c>
      <c r="AS84" s="241">
        <v>1</v>
      </c>
      <c r="AT84" s="241"/>
      <c r="AU84" s="241" t="s">
        <v>606</v>
      </c>
      <c r="AV84" s="241">
        <v>589502159.33000004</v>
      </c>
      <c r="AW84" s="241">
        <v>2095</v>
      </c>
      <c r="AX84" s="241">
        <v>355</v>
      </c>
      <c r="AY84" s="241">
        <v>28918</v>
      </c>
      <c r="AZ84" s="241">
        <v>1</v>
      </c>
      <c r="BA84" s="241"/>
      <c r="BB84" s="241"/>
      <c r="BC84" s="241"/>
      <c r="BD84" s="241"/>
      <c r="BE84" s="241"/>
      <c r="BF84" s="241"/>
      <c r="BG84" s="241"/>
      <c r="BH84" s="241"/>
      <c r="BI84" s="241"/>
      <c r="BJ84" s="241"/>
      <c r="BK84" s="241"/>
      <c r="BL84" s="241"/>
      <c r="BM84" s="241"/>
      <c r="BN84" s="241"/>
      <c r="BO84" s="252" t="s">
        <v>469</v>
      </c>
      <c r="BP84" s="260" t="s">
        <v>558</v>
      </c>
      <c r="BQ84" s="260" t="s">
        <v>559</v>
      </c>
      <c r="BR84" s="260" t="s">
        <v>560</v>
      </c>
    </row>
    <row r="85" spans="1:70" x14ac:dyDescent="0.25">
      <c r="A85" s="149"/>
      <c r="B85" s="188" t="s">
        <v>549</v>
      </c>
      <c r="C85" s="191">
        <v>42115</v>
      </c>
      <c r="D85" s="188">
        <v>1374.4866460000001</v>
      </c>
      <c r="E85" s="219">
        <v>1</v>
      </c>
      <c r="F85" s="209"/>
      <c r="G85" s="219" t="s">
        <v>541</v>
      </c>
      <c r="H85" s="219">
        <v>15510.32813528</v>
      </c>
      <c r="I85" s="163"/>
      <c r="J85" s="157"/>
      <c r="K85" s="224"/>
      <c r="L85" s="224"/>
      <c r="M85" s="224"/>
      <c r="O85" s="237" t="s">
        <v>541</v>
      </c>
      <c r="P85" s="237">
        <v>16080.740307710001</v>
      </c>
      <c r="Q85" s="235"/>
      <c r="R85" s="157"/>
      <c r="S85" s="249" t="s">
        <v>436</v>
      </c>
      <c r="T85" s="254">
        <v>1673991.19</v>
      </c>
      <c r="U85" s="254">
        <v>7702</v>
      </c>
      <c r="V85" s="254">
        <v>2</v>
      </c>
      <c r="W85" s="254">
        <v>1380519</v>
      </c>
      <c r="X85" s="254">
        <v>0</v>
      </c>
      <c r="Y85" s="241"/>
      <c r="Z85" s="241" t="s">
        <v>607</v>
      </c>
      <c r="AA85" s="241">
        <v>0</v>
      </c>
      <c r="AB85" s="241">
        <v>0</v>
      </c>
      <c r="AC85" s="241">
        <v>0</v>
      </c>
      <c r="AD85" s="241">
        <v>0</v>
      </c>
      <c r="AE85" s="241">
        <v>1</v>
      </c>
      <c r="AF85" s="241"/>
      <c r="AG85" s="241"/>
      <c r="AH85" s="241"/>
      <c r="AI85" s="241"/>
      <c r="AJ85" s="241"/>
      <c r="AK85" s="241"/>
      <c r="AL85" s="241"/>
      <c r="AM85" s="241"/>
      <c r="AN85" s="241" t="s">
        <v>607</v>
      </c>
      <c r="AO85" s="241">
        <v>0</v>
      </c>
      <c r="AP85" s="241">
        <v>0</v>
      </c>
      <c r="AQ85" s="241">
        <v>0</v>
      </c>
      <c r="AR85" s="241">
        <v>0</v>
      </c>
      <c r="AS85" s="241">
        <v>1</v>
      </c>
      <c r="AT85" s="241"/>
      <c r="AU85" s="241" t="s">
        <v>607</v>
      </c>
      <c r="AV85" s="241">
        <v>0</v>
      </c>
      <c r="AW85" s="241">
        <v>0</v>
      </c>
      <c r="AX85" s="241">
        <v>0</v>
      </c>
      <c r="AY85" s="241">
        <v>0</v>
      </c>
      <c r="AZ85" s="241">
        <v>1</v>
      </c>
      <c r="BA85" s="241"/>
      <c r="BB85" s="241"/>
      <c r="BC85" s="241"/>
      <c r="BD85" s="241"/>
      <c r="BE85" s="241"/>
      <c r="BF85" s="241"/>
      <c r="BG85" s="241"/>
      <c r="BH85" s="241"/>
      <c r="BI85" s="241"/>
      <c r="BJ85" s="241"/>
      <c r="BK85" s="241"/>
      <c r="BL85" s="241"/>
      <c r="BM85" s="241"/>
      <c r="BN85" s="241"/>
      <c r="BO85" s="243"/>
      <c r="BP85" s="259">
        <v>1624804322.4299901</v>
      </c>
      <c r="BQ85" s="259">
        <v>203482</v>
      </c>
      <c r="BR85" s="259">
        <v>19257</v>
      </c>
    </row>
    <row r="86" spans="1:70" x14ac:dyDescent="0.25">
      <c r="A86" s="149"/>
      <c r="B86" s="188" t="s">
        <v>550</v>
      </c>
      <c r="C86" s="191">
        <v>42118</v>
      </c>
      <c r="D86" s="188">
        <v>1225.1600000000001</v>
      </c>
      <c r="E86" s="219">
        <v>1</v>
      </c>
      <c r="F86" s="209"/>
      <c r="G86" s="219" t="s">
        <v>542</v>
      </c>
      <c r="H86" s="219">
        <v>16608.676757140001</v>
      </c>
      <c r="I86" s="163"/>
      <c r="J86" s="157"/>
      <c r="K86" s="224"/>
      <c r="L86" s="224"/>
      <c r="M86" s="224"/>
      <c r="O86" s="237" t="s">
        <v>542</v>
      </c>
      <c r="P86" s="237">
        <v>17117.65930589</v>
      </c>
      <c r="Q86" s="235"/>
      <c r="R86" s="157"/>
      <c r="S86" s="249" t="s">
        <v>563</v>
      </c>
      <c r="T86" s="254">
        <v>0</v>
      </c>
      <c r="U86" s="254">
        <v>0</v>
      </c>
      <c r="V86" s="254">
        <v>0</v>
      </c>
      <c r="W86" s="254">
        <v>0</v>
      </c>
      <c r="X86" s="254">
        <v>1</v>
      </c>
      <c r="Y86" s="241"/>
      <c r="Z86" s="241"/>
      <c r="AA86" s="241"/>
      <c r="AB86" s="241"/>
      <c r="AC86" s="241"/>
      <c r="AD86" s="241"/>
      <c r="AE86" s="241"/>
      <c r="AF86" s="241"/>
      <c r="AG86" s="241"/>
      <c r="AH86" s="241"/>
      <c r="AI86" s="241"/>
      <c r="AJ86" s="241"/>
      <c r="AK86" s="241"/>
      <c r="AL86" s="241"/>
      <c r="AM86" s="241"/>
      <c r="AN86" s="241"/>
      <c r="AO86" s="241"/>
      <c r="AP86" s="241"/>
      <c r="AQ86" s="241"/>
      <c r="AR86" s="241"/>
      <c r="AS86" s="241"/>
      <c r="AT86" s="241"/>
      <c r="AU86" s="241"/>
      <c r="AV86" s="241"/>
      <c r="AW86" s="241"/>
      <c r="AX86" s="241"/>
      <c r="AY86" s="241"/>
      <c r="AZ86" s="241"/>
      <c r="BA86" s="241"/>
      <c r="BB86" s="241"/>
      <c r="BC86" s="241"/>
      <c r="BD86" s="241"/>
      <c r="BE86" s="241"/>
      <c r="BF86" s="241"/>
      <c r="BG86" s="241"/>
      <c r="BH86" s="241"/>
      <c r="BI86" s="241"/>
      <c r="BJ86" s="241"/>
      <c r="BK86" s="241"/>
      <c r="BL86" s="241"/>
      <c r="BM86" s="241"/>
      <c r="BN86" s="241"/>
      <c r="BO86" s="241"/>
      <c r="BP86" s="241"/>
      <c r="BQ86" s="241"/>
      <c r="BR86" s="241"/>
    </row>
    <row r="87" spans="1:70" x14ac:dyDescent="0.25">
      <c r="A87" s="151"/>
      <c r="B87" s="188" t="s">
        <v>551</v>
      </c>
      <c r="C87" s="191">
        <v>42143</v>
      </c>
      <c r="D87" s="188">
        <v>1310.1099999999999</v>
      </c>
      <c r="E87" s="219">
        <v>1</v>
      </c>
      <c r="F87" s="209"/>
      <c r="G87" s="219" t="s">
        <v>303</v>
      </c>
      <c r="H87" s="219">
        <v>5285.5556331500002</v>
      </c>
      <c r="I87" s="163"/>
      <c r="J87" s="157"/>
      <c r="K87" s="224"/>
      <c r="L87" s="224"/>
      <c r="M87" s="224"/>
      <c r="O87" s="237" t="s">
        <v>303</v>
      </c>
      <c r="P87" s="237">
        <v>5254.8899986300003</v>
      </c>
      <c r="Q87" s="235"/>
      <c r="R87" s="157"/>
      <c r="S87" s="249" t="s">
        <v>440</v>
      </c>
      <c r="T87" s="254">
        <v>3373101.7</v>
      </c>
      <c r="U87" s="254">
        <v>1001</v>
      </c>
      <c r="V87" s="254">
        <v>2</v>
      </c>
      <c r="W87" s="254">
        <v>155372</v>
      </c>
      <c r="X87" s="254">
        <v>1</v>
      </c>
      <c r="Y87" s="241"/>
      <c r="Z87" s="241"/>
      <c r="AA87" s="241"/>
      <c r="AB87" s="241"/>
      <c r="AC87" s="241"/>
      <c r="AD87" s="241"/>
      <c r="AE87" s="241"/>
      <c r="AF87" s="241"/>
      <c r="AG87" s="241"/>
      <c r="AH87" s="241"/>
      <c r="AI87" s="241"/>
      <c r="AJ87" s="241"/>
      <c r="AK87" s="241"/>
      <c r="AL87" s="241"/>
      <c r="AM87" s="241"/>
      <c r="AN87" s="241"/>
      <c r="AO87" s="241"/>
      <c r="AP87" s="241"/>
      <c r="AQ87" s="241"/>
      <c r="AR87" s="241"/>
      <c r="AS87" s="241"/>
      <c r="AT87" s="241"/>
      <c r="AU87" s="241"/>
      <c r="AV87" s="241"/>
      <c r="AW87" s="241"/>
      <c r="AX87" s="241"/>
      <c r="AY87" s="241"/>
      <c r="AZ87" s="241"/>
      <c r="BA87" s="241"/>
      <c r="BB87" s="241"/>
      <c r="BC87" s="241"/>
      <c r="BD87" s="241"/>
      <c r="BE87" s="241"/>
      <c r="BF87" s="241"/>
      <c r="BG87" s="241"/>
      <c r="BH87" s="241"/>
      <c r="BI87" s="241"/>
      <c r="BJ87" s="241"/>
      <c r="BK87" s="241"/>
      <c r="BL87" s="241"/>
      <c r="BM87" s="241"/>
      <c r="BN87" s="241"/>
      <c r="BO87" s="252" t="s">
        <v>484</v>
      </c>
      <c r="BP87" s="260" t="s">
        <v>561</v>
      </c>
      <c r="BQ87" s="241"/>
      <c r="BR87" s="241"/>
    </row>
    <row r="88" spans="1:70" x14ac:dyDescent="0.25">
      <c r="A88" s="151"/>
      <c r="B88" s="188" t="s">
        <v>552</v>
      </c>
      <c r="C88" s="191">
        <v>42312</v>
      </c>
      <c r="D88" s="188">
        <v>1315.4607390000001</v>
      </c>
      <c r="E88" s="219">
        <v>1</v>
      </c>
      <c r="F88" s="205"/>
      <c r="G88" s="219" t="s">
        <v>304</v>
      </c>
      <c r="H88" s="219">
        <v>8608.2584291200001</v>
      </c>
      <c r="I88" s="163"/>
      <c r="J88" s="157"/>
      <c r="K88" s="224"/>
      <c r="L88" s="224"/>
      <c r="M88" s="224"/>
      <c r="O88" s="237" t="s">
        <v>304</v>
      </c>
      <c r="P88" s="237">
        <v>9713.2350941099994</v>
      </c>
      <c r="Q88" s="235"/>
      <c r="R88" s="157"/>
      <c r="S88" s="243" t="s">
        <v>437</v>
      </c>
      <c r="T88" s="243">
        <v>0</v>
      </c>
      <c r="U88" s="243">
        <v>6565</v>
      </c>
      <c r="V88" s="243">
        <v>195</v>
      </c>
      <c r="W88" s="243">
        <v>532297</v>
      </c>
      <c r="X88" s="243">
        <v>1</v>
      </c>
      <c r="Y88" s="241"/>
      <c r="Z88" s="241"/>
      <c r="AA88" s="241"/>
      <c r="AB88" s="241"/>
      <c r="AC88" s="241"/>
      <c r="AD88" s="241"/>
      <c r="AE88" s="241"/>
      <c r="AF88" s="241"/>
      <c r="AG88" s="241"/>
      <c r="AH88" s="241"/>
      <c r="AI88" s="241"/>
      <c r="AJ88" s="241"/>
      <c r="AK88" s="241"/>
      <c r="AL88" s="241"/>
      <c r="AM88" s="241"/>
      <c r="AN88" s="241"/>
      <c r="AO88" s="241"/>
      <c r="AP88" s="241"/>
      <c r="AQ88" s="241"/>
      <c r="AR88" s="241"/>
      <c r="AS88" s="241"/>
      <c r="AT88" s="241"/>
      <c r="AU88" s="241"/>
      <c r="AV88" s="241"/>
      <c r="AW88" s="241"/>
      <c r="AX88" s="241"/>
      <c r="AY88" s="241"/>
      <c r="AZ88" s="241"/>
      <c r="BA88" s="241"/>
      <c r="BB88" s="241"/>
      <c r="BC88" s="241"/>
      <c r="BD88" s="241"/>
      <c r="BE88" s="241"/>
      <c r="BF88" s="241"/>
      <c r="BG88" s="241"/>
      <c r="BH88" s="241"/>
      <c r="BI88" s="241"/>
      <c r="BJ88" s="241"/>
      <c r="BK88" s="241"/>
      <c r="BL88" s="241"/>
      <c r="BM88" s="241"/>
      <c r="BN88" s="241"/>
      <c r="BO88" s="243"/>
      <c r="BP88" s="259">
        <v>148208</v>
      </c>
      <c r="BQ88" s="241"/>
      <c r="BR88" s="241"/>
    </row>
    <row r="89" spans="1:70" x14ac:dyDescent="0.25">
      <c r="A89" s="14"/>
      <c r="B89" s="188" t="s">
        <v>553</v>
      </c>
      <c r="C89" s="191">
        <v>42312</v>
      </c>
      <c r="D89" s="188">
        <v>1209.71</v>
      </c>
      <c r="E89" s="219">
        <v>1</v>
      </c>
      <c r="F89" s="205"/>
      <c r="G89" s="219" t="s">
        <v>305</v>
      </c>
      <c r="H89" s="219">
        <v>5040.18632239</v>
      </c>
      <c r="I89" s="163"/>
      <c r="J89" s="157"/>
      <c r="K89" s="224"/>
      <c r="L89" s="224"/>
      <c r="M89" s="224"/>
      <c r="O89" s="237" t="s">
        <v>305</v>
      </c>
      <c r="P89" s="237">
        <v>5296.3755084000004</v>
      </c>
      <c r="Q89" s="235"/>
      <c r="S89" s="241" t="s">
        <v>175</v>
      </c>
      <c r="T89" s="241">
        <v>57542.400000000001</v>
      </c>
      <c r="U89" s="241">
        <v>100</v>
      </c>
      <c r="V89" s="241">
        <v>1</v>
      </c>
      <c r="W89" s="241">
        <v>1398107</v>
      </c>
      <c r="X89" s="241">
        <v>1</v>
      </c>
      <c r="Y89" s="241"/>
      <c r="Z89" s="241"/>
      <c r="AA89" s="241"/>
      <c r="AB89" s="241"/>
      <c r="AC89" s="241"/>
      <c r="AD89" s="241"/>
      <c r="AE89" s="241"/>
      <c r="AF89" s="241"/>
      <c r="AG89" s="241"/>
      <c r="AH89" s="241"/>
      <c r="AI89" s="241"/>
      <c r="AJ89" s="241"/>
      <c r="AK89" s="241"/>
      <c r="AL89" s="241"/>
      <c r="AM89" s="241"/>
      <c r="AN89" s="241"/>
      <c r="AO89" s="241"/>
      <c r="AP89" s="241"/>
      <c r="AQ89" s="241"/>
      <c r="AR89" s="241"/>
      <c r="AS89" s="241"/>
      <c r="AT89" s="241"/>
      <c r="AU89" s="241"/>
      <c r="AV89" s="241"/>
      <c r="AW89" s="241"/>
      <c r="AX89" s="241"/>
      <c r="AY89" s="241"/>
      <c r="AZ89" s="241"/>
      <c r="BA89" s="241"/>
      <c r="BB89" s="241"/>
      <c r="BC89" s="241"/>
      <c r="BD89" s="241"/>
      <c r="BE89" s="241"/>
      <c r="BF89" s="241"/>
      <c r="BG89" s="241"/>
      <c r="BH89" s="241"/>
      <c r="BI89" s="241"/>
      <c r="BJ89" s="241"/>
      <c r="BK89" s="241"/>
      <c r="BL89" s="241"/>
      <c r="BM89" s="241"/>
      <c r="BN89" s="241"/>
      <c r="BO89" s="243"/>
      <c r="BP89" s="259"/>
      <c r="BQ89" s="241"/>
      <c r="BR89" s="241"/>
    </row>
    <row r="90" spans="1:70" x14ac:dyDescent="0.25">
      <c r="A90" s="149"/>
      <c r="B90" s="188" t="s">
        <v>554</v>
      </c>
      <c r="C90" s="191">
        <v>42594</v>
      </c>
      <c r="D90" s="188">
        <v>1327.18</v>
      </c>
      <c r="E90" s="219">
        <v>1</v>
      </c>
      <c r="F90" s="209"/>
      <c r="G90" s="219" t="s">
        <v>73</v>
      </c>
      <c r="H90" s="219">
        <v>32047.631408040001</v>
      </c>
      <c r="I90" s="163"/>
      <c r="J90" s="157"/>
      <c r="K90" s="224"/>
      <c r="L90" s="224"/>
      <c r="M90" s="224"/>
      <c r="O90" s="237" t="s">
        <v>73</v>
      </c>
      <c r="P90" s="237">
        <v>32329.72777759</v>
      </c>
      <c r="Q90" s="235"/>
      <c r="S90" s="241" t="s">
        <v>435</v>
      </c>
      <c r="T90" s="241">
        <v>17263140143.406101</v>
      </c>
      <c r="U90" s="241">
        <v>48907</v>
      </c>
      <c r="V90" s="241">
        <v>12980</v>
      </c>
      <c r="W90" s="241">
        <v>593018</v>
      </c>
      <c r="X90" s="241">
        <v>1</v>
      </c>
      <c r="Y90" s="241"/>
      <c r="Z90" s="241"/>
      <c r="AA90" s="241"/>
      <c r="AB90" s="241"/>
      <c r="AC90" s="241"/>
      <c r="AD90" s="241"/>
      <c r="AE90" s="241"/>
      <c r="AF90" s="241"/>
      <c r="AG90" s="241"/>
      <c r="AH90" s="241"/>
      <c r="AI90" s="241"/>
      <c r="AJ90" s="241"/>
      <c r="AK90" s="241"/>
      <c r="AL90" s="241"/>
      <c r="AM90" s="241"/>
      <c r="AN90" s="241"/>
      <c r="AO90" s="241"/>
      <c r="AP90" s="241"/>
      <c r="AQ90" s="241"/>
      <c r="AR90" s="241"/>
      <c r="AS90" s="241"/>
      <c r="AT90" s="241"/>
      <c r="AU90" s="241"/>
      <c r="AV90" s="241"/>
      <c r="AW90" s="241"/>
      <c r="AX90" s="241"/>
      <c r="AY90" s="241"/>
      <c r="AZ90" s="241"/>
      <c r="BA90" s="241"/>
      <c r="BB90" s="241"/>
      <c r="BC90" s="241"/>
      <c r="BD90" s="241"/>
      <c r="BE90" s="241"/>
      <c r="BF90" s="241"/>
      <c r="BG90" s="241"/>
      <c r="BH90" s="241"/>
      <c r="BI90" s="241"/>
      <c r="BJ90" s="241"/>
      <c r="BK90" s="241"/>
      <c r="BL90" s="241"/>
      <c r="BM90" s="241"/>
      <c r="BN90" s="241"/>
      <c r="BO90" s="252" t="s">
        <v>485</v>
      </c>
      <c r="BP90" s="260" t="s">
        <v>561</v>
      </c>
      <c r="BQ90" s="241"/>
      <c r="BR90" s="241"/>
    </row>
    <row r="91" spans="1:70" x14ac:dyDescent="0.25">
      <c r="A91" s="149"/>
      <c r="B91" s="188" t="s">
        <v>555</v>
      </c>
      <c r="C91" s="191">
        <v>42118</v>
      </c>
      <c r="D91" s="188">
        <v>1238.74</v>
      </c>
      <c r="E91" s="219">
        <v>1</v>
      </c>
      <c r="F91" s="209"/>
      <c r="G91" s="219" t="s">
        <v>75</v>
      </c>
      <c r="H91" s="219">
        <v>37907.20855304</v>
      </c>
      <c r="I91" s="163"/>
      <c r="J91" s="157"/>
      <c r="K91" s="224"/>
      <c r="L91" s="224"/>
      <c r="M91" s="224"/>
      <c r="O91" s="237" t="s">
        <v>75</v>
      </c>
      <c r="P91" s="237">
        <v>39651.739538330003</v>
      </c>
      <c r="Q91" s="235"/>
      <c r="S91" s="241" t="s">
        <v>438</v>
      </c>
      <c r="T91" s="241">
        <v>7933779.5999999996</v>
      </c>
      <c r="U91" s="241">
        <v>12330</v>
      </c>
      <c r="V91" s="241">
        <v>3</v>
      </c>
      <c r="W91" s="241">
        <v>1720050</v>
      </c>
      <c r="X91" s="241">
        <v>1</v>
      </c>
      <c r="Y91" s="241"/>
      <c r="Z91" s="241"/>
      <c r="AA91" s="241"/>
      <c r="AB91" s="241"/>
      <c r="AC91" s="241"/>
      <c r="AD91" s="241"/>
      <c r="AE91" s="241"/>
      <c r="AF91" s="241"/>
      <c r="AG91" s="241"/>
      <c r="AH91" s="241"/>
      <c r="AI91" s="241"/>
      <c r="AJ91" s="241"/>
      <c r="AK91" s="241"/>
      <c r="AL91" s="241"/>
      <c r="AM91" s="241"/>
      <c r="AN91" s="241"/>
      <c r="AO91" s="241"/>
      <c r="AP91" s="241"/>
      <c r="AQ91" s="241"/>
      <c r="AR91" s="241"/>
      <c r="AS91" s="241"/>
      <c r="AT91" s="241"/>
      <c r="AU91" s="241"/>
      <c r="AV91" s="241"/>
      <c r="AW91" s="241"/>
      <c r="AX91" s="241"/>
      <c r="AY91" s="241"/>
      <c r="AZ91" s="241"/>
      <c r="BA91" s="241"/>
      <c r="BB91" s="241"/>
      <c r="BC91" s="241"/>
      <c r="BD91" s="241"/>
      <c r="BE91" s="241"/>
      <c r="BF91" s="241"/>
      <c r="BG91" s="241"/>
      <c r="BH91" s="241"/>
      <c r="BI91" s="241"/>
      <c r="BJ91" s="241"/>
      <c r="BK91" s="241"/>
      <c r="BL91" s="241"/>
      <c r="BM91" s="241"/>
      <c r="BN91" s="241"/>
      <c r="BO91" s="243"/>
      <c r="BP91" s="259">
        <v>57272</v>
      </c>
      <c r="BQ91" s="241"/>
      <c r="BR91" s="241"/>
    </row>
    <row r="92" spans="1:70" x14ac:dyDescent="0.25">
      <c r="A92" s="149"/>
      <c r="B92" s="188" t="s">
        <v>556</v>
      </c>
      <c r="C92" s="191">
        <v>42118</v>
      </c>
      <c r="D92" s="188">
        <v>1315.36</v>
      </c>
      <c r="E92" s="219">
        <v>1</v>
      </c>
      <c r="F92" s="209"/>
      <c r="G92" s="219" t="s">
        <v>77</v>
      </c>
      <c r="H92" s="219">
        <v>59903.152302510003</v>
      </c>
      <c r="I92" s="163"/>
      <c r="J92" s="157"/>
      <c r="K92" s="224"/>
      <c r="L92" s="224"/>
      <c r="M92" s="224"/>
      <c r="O92" s="237" t="s">
        <v>77</v>
      </c>
      <c r="P92" s="237">
        <v>61235.564769129996</v>
      </c>
      <c r="Q92" s="235"/>
      <c r="S92" s="241" t="s">
        <v>439</v>
      </c>
      <c r="T92" s="241">
        <v>0</v>
      </c>
      <c r="U92" s="241">
        <v>6281</v>
      </c>
      <c r="V92" s="241">
        <v>2</v>
      </c>
      <c r="W92" s="241">
        <v>1651907</v>
      </c>
      <c r="X92" s="241">
        <v>1</v>
      </c>
      <c r="Y92" s="241"/>
      <c r="Z92" s="241"/>
      <c r="AA92" s="241"/>
      <c r="AB92" s="241"/>
      <c r="AC92" s="241"/>
      <c r="AD92" s="241"/>
      <c r="AE92" s="241"/>
      <c r="AF92" s="241"/>
      <c r="AG92" s="241"/>
      <c r="AH92" s="241"/>
      <c r="AI92" s="241"/>
      <c r="AJ92" s="241"/>
      <c r="AK92" s="241"/>
      <c r="AL92" s="241"/>
      <c r="AM92" s="241"/>
      <c r="AN92" s="241"/>
      <c r="AO92" s="241"/>
      <c r="AP92" s="241"/>
      <c r="AQ92" s="241"/>
      <c r="AR92" s="241"/>
      <c r="AS92" s="241"/>
      <c r="AT92" s="241"/>
      <c r="AU92" s="241"/>
      <c r="AV92" s="241"/>
      <c r="AW92" s="241"/>
      <c r="AX92" s="241"/>
      <c r="AY92" s="241"/>
      <c r="AZ92" s="241"/>
      <c r="BA92" s="241"/>
      <c r="BB92" s="241"/>
      <c r="BC92" s="241"/>
      <c r="BD92" s="241"/>
      <c r="BE92" s="241"/>
      <c r="BF92" s="241"/>
      <c r="BG92" s="241"/>
      <c r="BH92" s="241"/>
      <c r="BI92" s="241"/>
      <c r="BJ92" s="241"/>
      <c r="BK92" s="241"/>
      <c r="BL92" s="241"/>
      <c r="BM92" s="241"/>
      <c r="BN92" s="241"/>
      <c r="BO92" s="241"/>
      <c r="BP92" s="241"/>
      <c r="BQ92" s="241"/>
      <c r="BR92" s="241"/>
    </row>
    <row r="93" spans="1:70" x14ac:dyDescent="0.25">
      <c r="A93" s="151"/>
      <c r="B93" s="188" t="s">
        <v>48</v>
      </c>
      <c r="C93" s="191">
        <v>42783</v>
      </c>
      <c r="D93" s="188">
        <v>8292.5284918300003</v>
      </c>
      <c r="E93" s="219">
        <v>1</v>
      </c>
      <c r="F93" s="209"/>
      <c r="G93" s="219" t="s">
        <v>306</v>
      </c>
      <c r="H93" s="219">
        <v>10332.13560895</v>
      </c>
      <c r="I93" s="163"/>
      <c r="J93" s="157"/>
      <c r="K93" s="224"/>
      <c r="L93" s="224"/>
      <c r="M93" s="224"/>
      <c r="O93" s="237" t="s">
        <v>306</v>
      </c>
      <c r="P93" s="237">
        <v>11004.14786053</v>
      </c>
      <c r="Q93" s="235"/>
      <c r="S93" s="241" t="s">
        <v>436</v>
      </c>
      <c r="T93" s="241">
        <v>226213536.59999999</v>
      </c>
      <c r="U93" s="241">
        <v>8478</v>
      </c>
      <c r="V93" s="241">
        <v>200</v>
      </c>
      <c r="W93" s="241">
        <v>756616</v>
      </c>
      <c r="X93" s="241">
        <v>1</v>
      </c>
      <c r="Y93" s="241"/>
      <c r="Z93" s="241"/>
      <c r="AA93" s="241"/>
      <c r="AB93" s="241"/>
      <c r="AC93" s="241"/>
      <c r="AD93" s="241"/>
      <c r="AE93" s="241"/>
      <c r="AF93" s="241"/>
      <c r="AG93" s="241"/>
      <c r="AH93" s="241"/>
      <c r="AI93" s="241"/>
      <c r="AJ93" s="241"/>
      <c r="AK93" s="241"/>
      <c r="AL93" s="241"/>
      <c r="AM93" s="241"/>
      <c r="AN93" s="241"/>
      <c r="AO93" s="241"/>
      <c r="AP93" s="241"/>
      <c r="AQ93" s="241"/>
      <c r="AR93" s="241"/>
      <c r="AS93" s="241"/>
      <c r="AT93" s="241"/>
      <c r="AU93" s="241"/>
      <c r="AV93" s="241"/>
      <c r="AW93" s="241"/>
      <c r="AX93" s="241"/>
      <c r="AY93" s="241"/>
      <c r="AZ93" s="241"/>
      <c r="BA93" s="241"/>
      <c r="BB93" s="241"/>
      <c r="BC93" s="241"/>
      <c r="BD93" s="241"/>
      <c r="BE93" s="241"/>
      <c r="BF93" s="241"/>
      <c r="BG93" s="241"/>
      <c r="BH93" s="241"/>
      <c r="BI93" s="241"/>
      <c r="BJ93" s="241"/>
      <c r="BK93" s="241"/>
      <c r="BL93" s="241"/>
      <c r="BM93" s="241"/>
      <c r="BN93" s="241"/>
      <c r="BO93" s="241"/>
      <c r="BP93" s="241"/>
      <c r="BQ93" s="241"/>
      <c r="BR93" s="241"/>
    </row>
    <row r="94" spans="1:70" x14ac:dyDescent="0.25">
      <c r="B94" s="188" t="s">
        <v>538</v>
      </c>
      <c r="C94" s="191">
        <v>43060</v>
      </c>
      <c r="D94" s="188">
        <v>61066.919248099999</v>
      </c>
      <c r="E94" s="219">
        <v>1</v>
      </c>
      <c r="F94" s="205"/>
      <c r="G94" s="219" t="s">
        <v>307</v>
      </c>
      <c r="H94" s="219">
        <v>5700.2856180600002</v>
      </c>
      <c r="I94" s="163"/>
      <c r="J94" s="157"/>
      <c r="K94" s="224"/>
      <c r="L94" s="224"/>
      <c r="M94" s="224"/>
      <c r="O94" s="237" t="s">
        <v>307</v>
      </c>
      <c r="P94" s="237">
        <v>6006.5485725099998</v>
      </c>
      <c r="Q94" s="235"/>
      <c r="S94" s="241"/>
      <c r="T94" s="241"/>
      <c r="U94" s="241"/>
      <c r="V94" s="241"/>
      <c r="W94" s="241"/>
      <c r="X94" s="241"/>
      <c r="Y94" s="241"/>
      <c r="Z94" s="241"/>
      <c r="AA94" s="241"/>
      <c r="AB94" s="241"/>
      <c r="AC94" s="241"/>
      <c r="AD94" s="241"/>
      <c r="AE94" s="241"/>
      <c r="AF94" s="241"/>
      <c r="AG94" s="241"/>
      <c r="AH94" s="241"/>
      <c r="AI94" s="241"/>
      <c r="AJ94" s="241"/>
      <c r="AK94" s="241"/>
      <c r="AL94" s="241"/>
      <c r="AM94" s="241"/>
      <c r="AN94" s="241"/>
      <c r="AO94" s="241"/>
      <c r="AP94" s="241"/>
      <c r="AQ94" s="241"/>
      <c r="AR94" s="241"/>
      <c r="AS94" s="241"/>
      <c r="AT94" s="241"/>
      <c r="AU94" s="241"/>
      <c r="AV94" s="241"/>
      <c r="AW94" s="241"/>
      <c r="AX94" s="241"/>
      <c r="AY94" s="241"/>
      <c r="AZ94" s="241"/>
      <c r="BA94" s="241"/>
      <c r="BB94" s="241"/>
      <c r="BC94" s="241"/>
      <c r="BD94" s="241"/>
      <c r="BE94" s="241"/>
      <c r="BF94" s="241"/>
      <c r="BG94" s="241"/>
      <c r="BH94" s="241"/>
      <c r="BI94" s="241"/>
      <c r="BJ94" s="241"/>
      <c r="BK94" s="241"/>
      <c r="BL94" s="241"/>
      <c r="BM94" s="241"/>
      <c r="BN94" s="241"/>
      <c r="BO94" s="241"/>
      <c r="BP94" s="241"/>
      <c r="BQ94" s="241"/>
      <c r="BR94" s="241"/>
    </row>
    <row r="95" spans="1:70" x14ac:dyDescent="0.25">
      <c r="A95" s="14"/>
      <c r="B95" s="188" t="s">
        <v>539</v>
      </c>
      <c r="C95" s="191">
        <v>43125</v>
      </c>
      <c r="D95" s="188">
        <v>59875.289842060003</v>
      </c>
      <c r="E95" s="219">
        <v>1</v>
      </c>
      <c r="F95" s="205"/>
      <c r="G95" s="219" t="s">
        <v>87</v>
      </c>
      <c r="H95" s="219">
        <v>3620.1411051499999</v>
      </c>
      <c r="I95" s="163"/>
      <c r="J95" s="157"/>
      <c r="K95" s="224"/>
      <c r="L95" s="224"/>
      <c r="M95" s="224"/>
      <c r="O95" s="237" t="s">
        <v>87</v>
      </c>
      <c r="P95" s="237">
        <v>3749.68402754</v>
      </c>
      <c r="Q95" s="235"/>
      <c r="S95" s="241"/>
      <c r="T95" s="241"/>
      <c r="U95" s="241"/>
      <c r="V95" s="241"/>
      <c r="W95" s="241"/>
      <c r="X95" s="241"/>
      <c r="Y95" s="241"/>
      <c r="Z95" s="241"/>
      <c r="AA95" s="241"/>
      <c r="AB95" s="241"/>
      <c r="AC95" s="241"/>
      <c r="AD95" s="241"/>
      <c r="AE95" s="241"/>
      <c r="AF95" s="241"/>
      <c r="AG95" s="241"/>
      <c r="AH95" s="241"/>
      <c r="AI95" s="241"/>
      <c r="AJ95" s="241"/>
      <c r="AK95" s="241"/>
      <c r="AL95" s="241"/>
      <c r="AM95" s="241"/>
      <c r="AN95" s="241"/>
      <c r="AO95" s="241"/>
      <c r="AP95" s="241"/>
      <c r="AQ95" s="241"/>
      <c r="AR95" s="241"/>
      <c r="AS95" s="241"/>
      <c r="AT95" s="241"/>
      <c r="AU95" s="241"/>
      <c r="AV95" s="241"/>
      <c r="AW95" s="241"/>
      <c r="AX95" s="241"/>
      <c r="AY95" s="241"/>
      <c r="AZ95" s="241"/>
      <c r="BA95" s="241"/>
      <c r="BB95" s="241"/>
      <c r="BC95" s="241"/>
      <c r="BD95" s="241"/>
      <c r="BE95" s="241"/>
      <c r="BF95" s="241"/>
      <c r="BG95" s="241"/>
      <c r="BH95" s="241"/>
      <c r="BI95" s="241"/>
      <c r="BJ95" s="241"/>
      <c r="BK95" s="241"/>
      <c r="BL95" s="241"/>
      <c r="BM95" s="241"/>
      <c r="BN95" s="241"/>
      <c r="BO95" s="241"/>
      <c r="BP95" s="241"/>
      <c r="BQ95" s="241"/>
      <c r="BR95" s="241"/>
    </row>
    <row r="96" spans="1:70" x14ac:dyDescent="0.25">
      <c r="A96" s="149"/>
      <c r="B96" s="188" t="s">
        <v>271</v>
      </c>
      <c r="C96" s="191">
        <v>43125</v>
      </c>
      <c r="D96" s="188">
        <v>4957.9597465699999</v>
      </c>
      <c r="E96" s="219">
        <v>1</v>
      </c>
      <c r="F96" s="209"/>
      <c r="G96" s="219" t="s">
        <v>79</v>
      </c>
      <c r="H96" s="219">
        <v>21139.350890599999</v>
      </c>
      <c r="I96" s="163"/>
      <c r="J96" s="157"/>
      <c r="K96" s="224"/>
      <c r="L96" s="224"/>
      <c r="M96" s="224"/>
      <c r="O96" s="237" t="s">
        <v>79</v>
      </c>
      <c r="P96" s="237">
        <v>22371.649513910001</v>
      </c>
      <c r="Q96" s="235"/>
      <c r="S96" s="241"/>
      <c r="T96" s="241"/>
      <c r="U96" s="241"/>
      <c r="V96" s="241"/>
      <c r="W96" s="241"/>
      <c r="X96" s="241"/>
      <c r="Y96" s="241"/>
      <c r="Z96" s="241"/>
      <c r="AA96" s="241"/>
      <c r="AB96" s="241"/>
      <c r="AC96" s="241"/>
      <c r="AD96" s="241"/>
      <c r="AE96" s="241"/>
      <c r="AF96" s="241"/>
      <c r="AG96" s="241"/>
      <c r="AH96" s="241"/>
      <c r="AI96" s="241"/>
      <c r="AJ96" s="241"/>
      <c r="AK96" s="241"/>
      <c r="AL96" s="241"/>
      <c r="AM96" s="241"/>
      <c r="AN96" s="241"/>
      <c r="AO96" s="241"/>
      <c r="AP96" s="241"/>
      <c r="AQ96" s="241"/>
      <c r="AR96" s="241"/>
      <c r="AS96" s="241"/>
      <c r="AT96" s="241"/>
      <c r="AU96" s="241"/>
      <c r="AV96" s="241"/>
      <c r="AW96" s="241"/>
      <c r="AX96" s="241"/>
      <c r="AY96" s="241"/>
      <c r="AZ96" s="241"/>
      <c r="BA96" s="241"/>
      <c r="BB96" s="241"/>
      <c r="BC96" s="241"/>
      <c r="BD96" s="241"/>
      <c r="BE96" s="241"/>
      <c r="BF96" s="241"/>
      <c r="BG96" s="241"/>
      <c r="BH96" s="241"/>
      <c r="BI96" s="241"/>
      <c r="BJ96" s="241"/>
      <c r="BK96" s="241"/>
      <c r="BL96" s="241"/>
      <c r="BM96" s="241"/>
      <c r="BN96" s="241"/>
      <c r="BO96" s="241"/>
      <c r="BP96" s="241"/>
      <c r="BQ96" s="241"/>
      <c r="BR96" s="241"/>
    </row>
    <row r="97" spans="1:16" x14ac:dyDescent="0.25">
      <c r="A97" s="149"/>
      <c r="B97" s="188" t="s">
        <v>60</v>
      </c>
      <c r="C97" s="191">
        <v>39590</v>
      </c>
      <c r="D97" s="188">
        <v>77308.45</v>
      </c>
      <c r="E97" s="219">
        <v>1</v>
      </c>
      <c r="F97" s="209"/>
      <c r="G97" s="219" t="s">
        <v>308</v>
      </c>
      <c r="H97" s="219">
        <v>867.91074747000005</v>
      </c>
      <c r="I97" s="163"/>
      <c r="K97" s="224"/>
      <c r="L97" s="224"/>
      <c r="M97" s="224"/>
      <c r="O97" s="237" t="s">
        <v>308</v>
      </c>
      <c r="P97" s="237">
        <v>876.32124074000001</v>
      </c>
    </row>
    <row r="98" spans="1:16" x14ac:dyDescent="0.25">
      <c r="A98" s="149"/>
      <c r="B98" s="188" t="s">
        <v>64</v>
      </c>
      <c r="C98" s="191">
        <v>43060</v>
      </c>
      <c r="D98" s="188">
        <v>87017.951262529998</v>
      </c>
      <c r="E98" s="219">
        <v>1</v>
      </c>
      <c r="F98" s="209"/>
      <c r="G98" s="219" t="s">
        <v>85</v>
      </c>
      <c r="H98" s="219">
        <v>5589.8565298499998</v>
      </c>
      <c r="I98" s="163"/>
      <c r="K98" s="224"/>
      <c r="L98" s="224"/>
      <c r="M98" s="224"/>
      <c r="O98" s="237" t="s">
        <v>85</v>
      </c>
      <c r="P98" s="237">
        <v>6033.9470871499998</v>
      </c>
    </row>
    <row r="99" spans="1:16" x14ac:dyDescent="0.25">
      <c r="A99" s="149"/>
      <c r="B99" s="188" t="s">
        <v>66</v>
      </c>
      <c r="C99" s="191">
        <v>43165</v>
      </c>
      <c r="D99" s="188">
        <v>18847.577311370002</v>
      </c>
      <c r="E99" s="219">
        <v>1</v>
      </c>
      <c r="F99" s="209"/>
      <c r="G99" s="219" t="s">
        <v>309</v>
      </c>
      <c r="H99" s="219">
        <v>3537.11966996</v>
      </c>
      <c r="I99" s="163"/>
      <c r="K99" s="224"/>
      <c r="L99" s="224"/>
      <c r="M99" s="224"/>
      <c r="O99" s="237" t="s">
        <v>309</v>
      </c>
      <c r="P99" s="237">
        <v>4005.4708256200001</v>
      </c>
    </row>
    <row r="100" spans="1:16" x14ac:dyDescent="0.25">
      <c r="B100" s="188" t="s">
        <v>68</v>
      </c>
      <c r="C100" s="191">
        <v>43060</v>
      </c>
      <c r="D100" s="188">
        <v>88373.331097460003</v>
      </c>
      <c r="E100" s="219">
        <v>1</v>
      </c>
      <c r="F100" s="205"/>
      <c r="G100" s="219" t="s">
        <v>81</v>
      </c>
      <c r="H100" s="219">
        <v>37875.691210199999</v>
      </c>
      <c r="I100" s="163"/>
      <c r="K100" s="224"/>
      <c r="L100" s="224"/>
      <c r="M100" s="224"/>
      <c r="O100" s="237" t="s">
        <v>81</v>
      </c>
      <c r="P100" s="237">
        <v>39385.048743699997</v>
      </c>
    </row>
    <row r="101" spans="1:16" x14ac:dyDescent="0.25">
      <c r="B101" s="188" t="s">
        <v>110</v>
      </c>
      <c r="C101" s="191">
        <v>42346</v>
      </c>
      <c r="D101" s="188">
        <v>1703.8449540300001</v>
      </c>
      <c r="E101" s="219">
        <v>1</v>
      </c>
      <c r="F101" s="209"/>
      <c r="G101" s="219" t="s">
        <v>83</v>
      </c>
      <c r="H101" s="219">
        <v>31137.793684849999</v>
      </c>
      <c r="I101" s="163"/>
      <c r="K101" s="224"/>
      <c r="L101" s="224"/>
      <c r="M101" s="224"/>
      <c r="O101" s="237" t="s">
        <v>83</v>
      </c>
      <c r="P101" s="237">
        <v>31645.697837200001</v>
      </c>
    </row>
    <row r="102" spans="1:16" x14ac:dyDescent="0.25">
      <c r="B102" s="188" t="s">
        <v>112</v>
      </c>
      <c r="C102" s="191">
        <v>38723</v>
      </c>
      <c r="D102" s="188">
        <v>641.64</v>
      </c>
      <c r="E102" s="219">
        <v>1</v>
      </c>
      <c r="F102" s="205"/>
      <c r="G102" s="219" t="s">
        <v>310</v>
      </c>
      <c r="H102" s="219">
        <v>7218.9479217899998</v>
      </c>
      <c r="I102" s="163"/>
      <c r="K102" s="224"/>
      <c r="L102" s="224"/>
      <c r="M102" s="224"/>
      <c r="O102" s="237" t="s">
        <v>310</v>
      </c>
      <c r="P102" s="237">
        <v>7554.5394418200003</v>
      </c>
    </row>
    <row r="103" spans="1:16" x14ac:dyDescent="0.25">
      <c r="A103" s="14"/>
      <c r="B103" s="188" t="s">
        <v>114</v>
      </c>
      <c r="C103" s="191">
        <v>39400</v>
      </c>
      <c r="D103" s="188">
        <v>5041.9399999999996</v>
      </c>
      <c r="E103" s="219">
        <v>1</v>
      </c>
      <c r="F103" s="209"/>
      <c r="G103" s="219" t="s">
        <v>311</v>
      </c>
      <c r="H103" s="219">
        <v>2555.3492065</v>
      </c>
      <c r="I103" s="163"/>
      <c r="K103" s="224"/>
      <c r="L103" s="224"/>
      <c r="M103" s="224"/>
      <c r="O103" s="237" t="s">
        <v>311</v>
      </c>
      <c r="P103" s="237">
        <v>2765.59336304</v>
      </c>
    </row>
    <row r="104" spans="1:16" x14ac:dyDescent="0.25">
      <c r="B104" s="188" t="s">
        <v>272</v>
      </c>
      <c r="C104" s="191">
        <v>39400</v>
      </c>
      <c r="D104" s="188">
        <v>2186.16</v>
      </c>
      <c r="E104" s="219">
        <v>1</v>
      </c>
      <c r="F104" s="209"/>
      <c r="G104" s="219" t="s">
        <v>312</v>
      </c>
      <c r="H104" s="219">
        <v>176.98845911000001</v>
      </c>
      <c r="I104" s="163"/>
      <c r="K104" s="224"/>
      <c r="L104" s="224"/>
      <c r="M104" s="224"/>
      <c r="O104" s="237" t="s">
        <v>312</v>
      </c>
      <c r="P104" s="237">
        <v>191.00354480999999</v>
      </c>
    </row>
    <row r="105" spans="1:16" x14ac:dyDescent="0.25">
      <c r="B105" s="188" t="s">
        <v>273</v>
      </c>
      <c r="C105" s="191">
        <v>39381</v>
      </c>
      <c r="D105" s="188">
        <v>90476.79</v>
      </c>
      <c r="E105" s="219">
        <v>1</v>
      </c>
      <c r="F105" s="209"/>
      <c r="G105" s="219" t="s">
        <v>543</v>
      </c>
      <c r="H105" s="219">
        <v>11841.05998561</v>
      </c>
      <c r="I105" s="163"/>
      <c r="K105" s="224"/>
      <c r="L105" s="224"/>
      <c r="M105" s="224"/>
      <c r="O105" s="237" t="s">
        <v>543</v>
      </c>
      <c r="P105" s="237">
        <v>12253.25967877</v>
      </c>
    </row>
    <row r="106" spans="1:16" x14ac:dyDescent="0.25">
      <c r="B106" s="188" t="s">
        <v>274</v>
      </c>
      <c r="C106" s="191">
        <v>43348</v>
      </c>
      <c r="D106" s="188">
        <v>421.77493391000002</v>
      </c>
      <c r="E106" s="219">
        <v>1</v>
      </c>
      <c r="F106" s="209"/>
      <c r="G106" s="219" t="s">
        <v>544</v>
      </c>
      <c r="H106" s="219">
        <v>11447.65630844</v>
      </c>
      <c r="I106" s="163"/>
      <c r="K106" s="224"/>
      <c r="L106" s="224"/>
      <c r="M106" s="224"/>
      <c r="O106" s="237" t="s">
        <v>544</v>
      </c>
      <c r="P106" s="237">
        <v>11820.29044329</v>
      </c>
    </row>
    <row r="107" spans="1:16" x14ac:dyDescent="0.25">
      <c r="B107" s="188" t="s">
        <v>275</v>
      </c>
      <c r="C107" s="191">
        <v>43348</v>
      </c>
      <c r="D107" s="188">
        <v>302.76282674999999</v>
      </c>
      <c r="E107" s="219">
        <v>1</v>
      </c>
      <c r="F107" s="209"/>
      <c r="G107" s="219" t="s">
        <v>545</v>
      </c>
      <c r="H107" s="219">
        <v>8919.7351871499995</v>
      </c>
      <c r="I107" s="163"/>
      <c r="K107" s="224"/>
      <c r="L107" s="224"/>
      <c r="M107" s="224"/>
      <c r="O107" s="237" t="s">
        <v>545</v>
      </c>
      <c r="P107" s="237">
        <v>9367.0764282799992</v>
      </c>
    </row>
    <row r="108" spans="1:16" x14ac:dyDescent="0.25">
      <c r="B108" s="188" t="s">
        <v>276</v>
      </c>
      <c r="C108" s="191">
        <v>43348</v>
      </c>
      <c r="D108" s="188">
        <v>234.75259614999999</v>
      </c>
      <c r="E108" s="219">
        <v>1</v>
      </c>
      <c r="F108" s="205"/>
      <c r="G108" s="219" t="s">
        <v>313</v>
      </c>
      <c r="H108" s="219">
        <v>8554.3173556599995</v>
      </c>
      <c r="I108" s="163"/>
      <c r="K108" s="224"/>
      <c r="L108" s="224"/>
      <c r="M108" s="224"/>
      <c r="O108" s="237" t="s">
        <v>313</v>
      </c>
      <c r="P108" s="237">
        <v>8866.3674798499997</v>
      </c>
    </row>
    <row r="109" spans="1:16" x14ac:dyDescent="0.25">
      <c r="B109" s="188" t="s">
        <v>277</v>
      </c>
      <c r="C109" s="191">
        <v>43696</v>
      </c>
      <c r="D109" s="188">
        <v>561.20035641000004</v>
      </c>
      <c r="E109" s="219">
        <v>1</v>
      </c>
      <c r="F109" s="205"/>
      <c r="G109" s="219" t="s">
        <v>314</v>
      </c>
      <c r="H109" s="219">
        <v>75330.302257910007</v>
      </c>
      <c r="I109" s="163"/>
      <c r="K109" s="224"/>
      <c r="L109" s="224"/>
      <c r="M109" s="224"/>
      <c r="O109" s="237" t="s">
        <v>314</v>
      </c>
      <c r="P109" s="237">
        <v>78047.479476189998</v>
      </c>
    </row>
    <row r="110" spans="1:16" x14ac:dyDescent="0.25">
      <c r="B110" s="188" t="s">
        <v>278</v>
      </c>
      <c r="C110" s="191">
        <v>39381</v>
      </c>
      <c r="D110" s="188">
        <v>31030.1</v>
      </c>
      <c r="E110" s="219">
        <v>1</v>
      </c>
      <c r="F110" s="205"/>
      <c r="G110" s="219" t="s">
        <v>315</v>
      </c>
      <c r="H110" s="219">
        <v>36919.095837059998</v>
      </c>
      <c r="I110" s="163"/>
      <c r="K110" s="224"/>
      <c r="L110" s="224"/>
      <c r="M110" s="224"/>
      <c r="O110" s="237" t="s">
        <v>315</v>
      </c>
      <c r="P110" s="237">
        <v>38837.665509550003</v>
      </c>
    </row>
    <row r="111" spans="1:16" x14ac:dyDescent="0.25">
      <c r="B111" s="188" t="s">
        <v>279</v>
      </c>
      <c r="C111" s="191">
        <v>40926</v>
      </c>
      <c r="D111" s="188">
        <v>1131.78</v>
      </c>
      <c r="E111" s="219">
        <v>1</v>
      </c>
      <c r="F111" s="205"/>
      <c r="G111" s="219" t="s">
        <v>316</v>
      </c>
      <c r="H111" s="219">
        <v>1148.2951713</v>
      </c>
      <c r="I111" s="163"/>
      <c r="K111" s="224"/>
      <c r="L111" s="224"/>
      <c r="M111" s="224"/>
      <c r="O111" s="237" t="s">
        <v>316</v>
      </c>
      <c r="P111" s="237">
        <v>1129.0916211900001</v>
      </c>
    </row>
    <row r="112" spans="1:16" x14ac:dyDescent="0.25">
      <c r="B112" s="188" t="s">
        <v>94</v>
      </c>
      <c r="C112" s="191">
        <v>43098</v>
      </c>
      <c r="D112" s="188">
        <v>694.66658584000004</v>
      </c>
      <c r="E112" s="219">
        <v>1</v>
      </c>
      <c r="F112" s="205"/>
      <c r="G112" s="219" t="s">
        <v>183</v>
      </c>
      <c r="H112" s="219">
        <v>578.28084206000005</v>
      </c>
      <c r="I112" s="163"/>
      <c r="K112" s="224"/>
      <c r="L112" s="224"/>
      <c r="M112" s="224"/>
      <c r="O112" s="237" t="s">
        <v>183</v>
      </c>
      <c r="P112" s="237">
        <v>606.80658425000001</v>
      </c>
    </row>
    <row r="113" spans="2:16" x14ac:dyDescent="0.25">
      <c r="B113" s="188" t="s">
        <v>96</v>
      </c>
      <c r="C113" s="191">
        <v>42305</v>
      </c>
      <c r="D113" s="188">
        <v>597.8558587</v>
      </c>
      <c r="E113" s="219">
        <v>1</v>
      </c>
      <c r="F113" s="205"/>
      <c r="G113" s="219" t="s">
        <v>318</v>
      </c>
      <c r="H113" s="219">
        <v>2957.91114371</v>
      </c>
      <c r="I113" s="163"/>
      <c r="K113" s="224"/>
      <c r="L113" s="224"/>
      <c r="M113" s="224"/>
      <c r="O113" s="237" t="s">
        <v>318</v>
      </c>
      <c r="P113" s="237">
        <v>3111.6089526400001</v>
      </c>
    </row>
    <row r="114" spans="2:16" x14ac:dyDescent="0.25">
      <c r="B114" s="188" t="s">
        <v>280</v>
      </c>
      <c r="C114" s="191">
        <v>42032</v>
      </c>
      <c r="D114" s="188">
        <v>695.5143372</v>
      </c>
      <c r="E114" s="219">
        <v>1</v>
      </c>
      <c r="F114" s="205"/>
      <c r="G114" s="219" t="s">
        <v>319</v>
      </c>
      <c r="H114" s="219">
        <v>4362.7334938599997</v>
      </c>
      <c r="I114" s="163"/>
      <c r="K114" s="224"/>
      <c r="L114" s="224"/>
      <c r="M114" s="224"/>
      <c r="O114" s="237" t="s">
        <v>319</v>
      </c>
      <c r="P114" s="237">
        <v>4368.8302547399999</v>
      </c>
    </row>
    <row r="115" spans="2:16" x14ac:dyDescent="0.25">
      <c r="B115" s="188" t="s">
        <v>281</v>
      </c>
      <c r="C115" s="191">
        <v>41411</v>
      </c>
      <c r="D115" s="188">
        <v>2240.63</v>
      </c>
      <c r="E115" s="219">
        <v>1</v>
      </c>
      <c r="F115" s="205"/>
      <c r="G115" s="219" t="s">
        <v>320</v>
      </c>
      <c r="H115" s="219">
        <v>667.53784781000002</v>
      </c>
      <c r="I115" s="163"/>
      <c r="K115" s="224"/>
      <c r="L115" s="224"/>
      <c r="M115" s="224"/>
      <c r="O115" s="237" t="s">
        <v>320</v>
      </c>
      <c r="P115" s="237">
        <v>678.42639208000003</v>
      </c>
    </row>
    <row r="116" spans="2:16" x14ac:dyDescent="0.25">
      <c r="B116" s="188" t="s">
        <v>282</v>
      </c>
      <c r="C116" s="191">
        <v>43060</v>
      </c>
      <c r="D116" s="188">
        <v>94610.911279070002</v>
      </c>
      <c r="E116" s="219">
        <v>1</v>
      </c>
      <c r="F116" s="205"/>
      <c r="G116" s="219" t="s">
        <v>322</v>
      </c>
      <c r="H116" s="219">
        <v>66.220566020000007</v>
      </c>
      <c r="I116" s="163"/>
      <c r="K116" s="224"/>
      <c r="L116" s="224"/>
      <c r="M116" s="224"/>
      <c r="O116" s="237" t="s">
        <v>322</v>
      </c>
      <c r="P116" s="237">
        <v>67.917174950000003</v>
      </c>
    </row>
    <row r="117" spans="2:16" x14ac:dyDescent="0.25">
      <c r="B117" s="188" t="s">
        <v>98</v>
      </c>
      <c r="C117" s="191">
        <v>39590</v>
      </c>
      <c r="D117" s="188">
        <v>42495.61</v>
      </c>
      <c r="E117" s="219">
        <v>1</v>
      </c>
      <c r="F117" s="205"/>
      <c r="G117" s="219" t="s">
        <v>323</v>
      </c>
      <c r="H117" s="219">
        <v>130.26279898999999</v>
      </c>
      <c r="I117" s="163"/>
      <c r="K117" s="224"/>
      <c r="L117" s="224"/>
      <c r="M117" s="224"/>
      <c r="O117" s="237" t="s">
        <v>323</v>
      </c>
      <c r="P117" s="237">
        <v>124.71332377</v>
      </c>
    </row>
    <row r="118" spans="2:16" x14ac:dyDescent="0.25">
      <c r="B118" s="188" t="s">
        <v>283</v>
      </c>
      <c r="C118" s="191">
        <v>43158</v>
      </c>
      <c r="D118" s="188">
        <v>268.36495516999997</v>
      </c>
      <c r="E118" s="219">
        <v>1</v>
      </c>
      <c r="F118" s="205"/>
      <c r="G118" s="219" t="s">
        <v>324</v>
      </c>
      <c r="H118" s="219">
        <v>48.61965988</v>
      </c>
      <c r="I118" s="163"/>
      <c r="K118" s="224"/>
      <c r="L118" s="224"/>
      <c r="M118" s="224"/>
      <c r="O118" s="237" t="s">
        <v>324</v>
      </c>
      <c r="P118" s="237">
        <v>47.604374370000002</v>
      </c>
    </row>
    <row r="119" spans="2:16" x14ac:dyDescent="0.25">
      <c r="B119" s="188" t="s">
        <v>284</v>
      </c>
      <c r="C119" s="191">
        <v>43125</v>
      </c>
      <c r="D119" s="188">
        <v>11610.59631465</v>
      </c>
      <c r="E119" s="219">
        <v>1</v>
      </c>
      <c r="F119" s="205"/>
      <c r="G119" s="219" t="s">
        <v>325</v>
      </c>
      <c r="H119" s="219">
        <v>91.655625220000005</v>
      </c>
      <c r="I119" s="163"/>
      <c r="K119" s="224"/>
      <c r="L119" s="224"/>
      <c r="M119" s="224"/>
      <c r="O119" s="237" t="s">
        <v>325</v>
      </c>
      <c r="P119" s="237">
        <v>83.772175439999998</v>
      </c>
    </row>
    <row r="120" spans="2:16" x14ac:dyDescent="0.25">
      <c r="B120" s="188" t="s">
        <v>285</v>
      </c>
      <c r="C120" s="191">
        <v>43125</v>
      </c>
      <c r="D120" s="188">
        <v>10936.001684839999</v>
      </c>
      <c r="E120" s="219">
        <v>1</v>
      </c>
      <c r="F120" s="205"/>
      <c r="G120" s="219" t="s">
        <v>326</v>
      </c>
      <c r="H120" s="219">
        <v>49320.232600119998</v>
      </c>
      <c r="I120" s="163"/>
      <c r="K120" s="224"/>
      <c r="L120" s="224"/>
      <c r="M120" s="224"/>
      <c r="O120" s="237" t="s">
        <v>326</v>
      </c>
      <c r="P120" s="237">
        <v>50798.696445410002</v>
      </c>
    </row>
    <row r="121" spans="2:16" x14ac:dyDescent="0.25">
      <c r="B121" s="188" t="s">
        <v>286</v>
      </c>
      <c r="C121" s="191">
        <v>41009</v>
      </c>
      <c r="D121" s="188">
        <v>91356.97</v>
      </c>
      <c r="E121" s="219">
        <v>1</v>
      </c>
      <c r="F121" s="205"/>
      <c r="G121" s="219" t="s">
        <v>327</v>
      </c>
      <c r="H121" s="219">
        <v>3491.63895512</v>
      </c>
      <c r="I121" s="163"/>
      <c r="K121" s="224"/>
      <c r="L121" s="224"/>
      <c r="M121" s="224"/>
      <c r="O121" s="237" t="s">
        <v>327</v>
      </c>
      <c r="P121" s="237">
        <v>3852.57460997</v>
      </c>
    </row>
    <row r="122" spans="2:16" x14ac:dyDescent="0.25">
      <c r="B122" s="188" t="s">
        <v>287</v>
      </c>
      <c r="C122" s="191">
        <v>39226</v>
      </c>
      <c r="D122" s="188">
        <v>30904.43</v>
      </c>
      <c r="E122" s="219">
        <v>1</v>
      </c>
      <c r="F122" s="205"/>
      <c r="G122" s="219" t="s">
        <v>328</v>
      </c>
      <c r="H122" s="219">
        <v>55259.566770409998</v>
      </c>
      <c r="I122" s="163"/>
      <c r="K122" s="224"/>
      <c r="L122" s="224"/>
      <c r="M122" s="224"/>
      <c r="O122" s="237" t="s">
        <v>328</v>
      </c>
      <c r="P122" s="237">
        <v>56784.614288659999</v>
      </c>
    </row>
    <row r="123" spans="2:16" x14ac:dyDescent="0.25">
      <c r="B123" s="188" t="s">
        <v>288</v>
      </c>
      <c r="C123" s="191">
        <v>39381</v>
      </c>
      <c r="D123" s="188">
        <v>70277.3</v>
      </c>
      <c r="E123" s="219">
        <v>1</v>
      </c>
      <c r="F123" s="205"/>
      <c r="G123" s="219" t="s">
        <v>329</v>
      </c>
      <c r="H123" s="219">
        <v>11601.15254995</v>
      </c>
      <c r="I123" s="163"/>
      <c r="K123" s="224"/>
      <c r="L123" s="224"/>
      <c r="M123" s="224"/>
      <c r="O123" s="237" t="s">
        <v>329</v>
      </c>
      <c r="P123" s="237">
        <v>11926.85722991</v>
      </c>
    </row>
    <row r="124" spans="2:16" x14ac:dyDescent="0.25">
      <c r="B124" s="188" t="s">
        <v>289</v>
      </c>
      <c r="C124" s="191">
        <v>43131</v>
      </c>
      <c r="D124" s="188">
        <v>227.82227137999999</v>
      </c>
      <c r="E124" s="219">
        <v>1</v>
      </c>
      <c r="F124" s="205"/>
      <c r="G124" s="219" t="s">
        <v>546</v>
      </c>
      <c r="H124" s="219">
        <v>15510.32813528</v>
      </c>
      <c r="I124" s="163"/>
      <c r="K124" s="224"/>
      <c r="L124" s="224"/>
      <c r="M124" s="224"/>
      <c r="O124" s="237" t="s">
        <v>546</v>
      </c>
      <c r="P124" s="237">
        <v>16080.740307710001</v>
      </c>
    </row>
    <row r="125" spans="2:16" x14ac:dyDescent="0.25">
      <c r="B125" s="188" t="s">
        <v>290</v>
      </c>
      <c r="C125" s="191">
        <v>42193</v>
      </c>
      <c r="D125" s="188">
        <v>3470.8482101700001</v>
      </c>
      <c r="E125" s="219">
        <v>1</v>
      </c>
      <c r="F125" s="205"/>
      <c r="G125" s="219" t="s">
        <v>547</v>
      </c>
      <c r="H125" s="219">
        <v>16608.676757140001</v>
      </c>
      <c r="I125" s="163"/>
      <c r="K125" s="224"/>
      <c r="L125" s="224"/>
      <c r="M125" s="224"/>
      <c r="O125" s="237" t="s">
        <v>547</v>
      </c>
      <c r="P125" s="237">
        <v>17117.65930589</v>
      </c>
    </row>
    <row r="126" spans="2:16" x14ac:dyDescent="0.25">
      <c r="B126" s="188" t="s">
        <v>291</v>
      </c>
      <c r="C126" s="191">
        <v>43125</v>
      </c>
      <c r="D126" s="188">
        <v>11425.13000949</v>
      </c>
      <c r="E126" s="219">
        <v>1</v>
      </c>
      <c r="F126" s="205"/>
      <c r="G126" s="219" t="s">
        <v>330</v>
      </c>
      <c r="H126" s="219">
        <v>876.69245851999995</v>
      </c>
      <c r="I126" s="163"/>
      <c r="K126" s="224"/>
      <c r="L126" s="224"/>
      <c r="M126" s="224"/>
      <c r="O126" s="237" t="s">
        <v>330</v>
      </c>
      <c r="P126" s="237">
        <v>894.63846728999999</v>
      </c>
    </row>
    <row r="127" spans="2:16" x14ac:dyDescent="0.25">
      <c r="B127" s="188" t="s">
        <v>292</v>
      </c>
      <c r="C127" s="191">
        <v>43705</v>
      </c>
      <c r="D127" s="188">
        <v>14739.5551</v>
      </c>
      <c r="E127" s="219">
        <v>1</v>
      </c>
      <c r="F127" s="205"/>
      <c r="G127" s="219" t="s">
        <v>332</v>
      </c>
      <c r="H127" s="219">
        <v>3093.89027807</v>
      </c>
      <c r="I127" s="163"/>
      <c r="K127" s="224"/>
      <c r="L127" s="224"/>
      <c r="M127" s="224"/>
      <c r="O127" s="237" t="s">
        <v>332</v>
      </c>
      <c r="P127" s="237">
        <v>3181.83682383</v>
      </c>
    </row>
    <row r="128" spans="2:16" x14ac:dyDescent="0.25">
      <c r="B128" s="188" t="s">
        <v>293</v>
      </c>
      <c r="C128" s="191">
        <v>42122</v>
      </c>
      <c r="D128" s="188">
        <v>26558.425318059999</v>
      </c>
      <c r="E128" s="219">
        <v>1</v>
      </c>
      <c r="F128" s="205"/>
      <c r="G128" s="219" t="s">
        <v>333</v>
      </c>
      <c r="H128" s="219">
        <v>10385.092865029999</v>
      </c>
      <c r="I128" s="163"/>
      <c r="K128" s="224"/>
      <c r="L128" s="224"/>
      <c r="M128" s="224"/>
      <c r="O128" s="237" t="s">
        <v>333</v>
      </c>
      <c r="P128" s="237">
        <v>10714.450913029999</v>
      </c>
    </row>
    <row r="129" spans="2:16" x14ac:dyDescent="0.25">
      <c r="B129" s="188" t="s">
        <v>57</v>
      </c>
      <c r="C129" s="191">
        <v>43125</v>
      </c>
      <c r="D129" s="188">
        <v>28107.866765129998</v>
      </c>
      <c r="E129" s="219">
        <v>1</v>
      </c>
      <c r="F129" s="205"/>
      <c r="G129" s="219" t="s">
        <v>335</v>
      </c>
      <c r="H129" s="219">
        <v>5639.64</v>
      </c>
      <c r="I129" s="163"/>
      <c r="K129" s="224"/>
      <c r="L129" s="224"/>
      <c r="M129" s="224"/>
      <c r="O129" s="237" t="s">
        <v>335</v>
      </c>
      <c r="P129" s="237">
        <v>6036</v>
      </c>
    </row>
    <row r="130" spans="2:16" x14ac:dyDescent="0.25">
      <c r="B130" s="188" t="s">
        <v>50</v>
      </c>
      <c r="C130" s="191">
        <v>43125</v>
      </c>
      <c r="D130" s="188">
        <v>30767.717573220001</v>
      </c>
      <c r="E130" s="219">
        <v>1</v>
      </c>
      <c r="F130" s="205"/>
      <c r="G130" s="219" t="s">
        <v>336</v>
      </c>
      <c r="H130" s="219">
        <v>11471.17</v>
      </c>
      <c r="I130" s="163"/>
      <c r="K130" s="224"/>
      <c r="L130" s="224"/>
      <c r="M130" s="224"/>
      <c r="O130" s="237" t="s">
        <v>336</v>
      </c>
      <c r="P130" s="237">
        <v>12410.08</v>
      </c>
    </row>
    <row r="131" spans="2:16" x14ac:dyDescent="0.25">
      <c r="B131" s="188" t="s">
        <v>294</v>
      </c>
      <c r="C131" s="191">
        <v>40588</v>
      </c>
      <c r="D131" s="188">
        <v>24209.279999999999</v>
      </c>
      <c r="E131" s="219">
        <v>1</v>
      </c>
      <c r="F131" s="205"/>
      <c r="G131" s="219" t="s">
        <v>337</v>
      </c>
      <c r="H131" s="219">
        <v>5424.81</v>
      </c>
      <c r="I131" s="163"/>
      <c r="K131" s="224"/>
      <c r="L131" s="224"/>
      <c r="M131" s="224"/>
      <c r="O131" s="237" t="s">
        <v>337</v>
      </c>
      <c r="P131" s="237">
        <v>6579.34</v>
      </c>
    </row>
    <row r="132" spans="2:16" x14ac:dyDescent="0.25">
      <c r="B132" s="188" t="s">
        <v>540</v>
      </c>
      <c r="C132" s="191">
        <v>43060</v>
      </c>
      <c r="D132" s="188">
        <v>85296.650230529995</v>
      </c>
      <c r="E132" s="219">
        <v>1</v>
      </c>
      <c r="F132" s="205"/>
      <c r="G132" s="219" t="s">
        <v>338</v>
      </c>
      <c r="H132" s="219">
        <v>6592.86</v>
      </c>
      <c r="I132" s="163"/>
      <c r="K132" s="224"/>
      <c r="L132" s="224"/>
      <c r="M132" s="224"/>
      <c r="O132" s="237" t="s">
        <v>338</v>
      </c>
      <c r="P132" s="237">
        <v>6356.86</v>
      </c>
    </row>
    <row r="133" spans="2:16" x14ac:dyDescent="0.25">
      <c r="B133" s="188" t="s">
        <v>100</v>
      </c>
      <c r="C133" s="191">
        <v>42129</v>
      </c>
      <c r="D133" s="188">
        <v>431.46959335999998</v>
      </c>
      <c r="E133" s="219">
        <v>1</v>
      </c>
      <c r="F133" s="205"/>
      <c r="G133" s="219" t="s">
        <v>339</v>
      </c>
      <c r="H133" s="219">
        <v>2061.56</v>
      </c>
      <c r="I133" s="163"/>
      <c r="K133" s="224"/>
      <c r="L133" s="224"/>
      <c r="M133" s="224"/>
      <c r="O133" s="237" t="s">
        <v>339</v>
      </c>
      <c r="P133" s="237">
        <v>2391.12</v>
      </c>
    </row>
    <row r="134" spans="2:16" x14ac:dyDescent="0.25">
      <c r="B134" s="188" t="s">
        <v>102</v>
      </c>
      <c r="C134" s="191">
        <v>43060</v>
      </c>
      <c r="D134" s="188">
        <v>738.92755879000003</v>
      </c>
      <c r="E134" s="219">
        <v>1</v>
      </c>
      <c r="F134" s="205"/>
      <c r="G134" s="219" t="s">
        <v>340</v>
      </c>
      <c r="H134" s="219">
        <v>17556.79</v>
      </c>
      <c r="I134" s="163"/>
      <c r="K134" s="224"/>
      <c r="L134" s="224"/>
      <c r="M134" s="224"/>
      <c r="O134" s="237" t="s">
        <v>340</v>
      </c>
      <c r="P134" s="237">
        <v>18345.04</v>
      </c>
    </row>
    <row r="135" spans="2:16" x14ac:dyDescent="0.25">
      <c r="B135" s="188" t="s">
        <v>295</v>
      </c>
      <c r="C135" s="191">
        <v>41689</v>
      </c>
      <c r="D135" s="188">
        <v>10314.608568510001</v>
      </c>
      <c r="E135" s="219">
        <v>1</v>
      </c>
      <c r="F135" s="205"/>
      <c r="G135" s="219" t="s">
        <v>341</v>
      </c>
      <c r="H135" s="219">
        <v>2354.1799999999998</v>
      </c>
      <c r="I135" s="163"/>
      <c r="K135" s="224"/>
      <c r="L135" s="224"/>
      <c r="M135" s="224"/>
      <c r="O135" s="237" t="s">
        <v>341</v>
      </c>
      <c r="P135" s="237">
        <v>2379.73</v>
      </c>
    </row>
    <row r="136" spans="2:16" x14ac:dyDescent="0.25">
      <c r="B136" s="188" t="s">
        <v>296</v>
      </c>
      <c r="C136" s="191">
        <v>40581</v>
      </c>
      <c r="D136" s="188">
        <v>82132.160000000003</v>
      </c>
      <c r="E136" s="219">
        <v>1</v>
      </c>
      <c r="F136" s="205"/>
      <c r="G136" s="219" t="s">
        <v>342</v>
      </c>
      <c r="H136" s="219">
        <v>3307.8</v>
      </c>
      <c r="I136" s="163"/>
      <c r="K136" s="224"/>
      <c r="L136" s="224"/>
      <c r="M136" s="224"/>
      <c r="O136" s="237" t="s">
        <v>342</v>
      </c>
      <c r="P136" s="237">
        <v>4131.28</v>
      </c>
    </row>
    <row r="137" spans="2:16" x14ac:dyDescent="0.25">
      <c r="B137" s="188" t="s">
        <v>297</v>
      </c>
      <c r="C137" s="191">
        <v>41893</v>
      </c>
      <c r="D137" s="188">
        <v>83071.234493240001</v>
      </c>
      <c r="E137" s="219">
        <v>1</v>
      </c>
      <c r="F137" s="205"/>
      <c r="G137" s="219" t="s">
        <v>343</v>
      </c>
      <c r="H137" s="219">
        <v>4063.33</v>
      </c>
      <c r="I137" s="163"/>
      <c r="K137" s="224"/>
      <c r="L137" s="224"/>
      <c r="M137" s="224"/>
      <c r="O137" s="237" t="s">
        <v>343</v>
      </c>
      <c r="P137" s="237">
        <v>4023.54</v>
      </c>
    </row>
    <row r="138" spans="2:16" x14ac:dyDescent="0.25">
      <c r="B138" s="188" t="s">
        <v>298</v>
      </c>
      <c r="C138" s="191">
        <v>42460</v>
      </c>
      <c r="D138" s="188">
        <v>664.66121383999996</v>
      </c>
      <c r="E138" s="219">
        <v>1</v>
      </c>
      <c r="F138" s="205"/>
      <c r="G138" s="219" t="s">
        <v>344</v>
      </c>
      <c r="H138" s="219">
        <v>4139.34</v>
      </c>
      <c r="I138" s="163"/>
      <c r="K138" s="224"/>
      <c r="L138" s="224"/>
      <c r="M138" s="224"/>
      <c r="O138" s="237" t="s">
        <v>344</v>
      </c>
      <c r="P138" s="237">
        <v>4345.8100000000004</v>
      </c>
    </row>
    <row r="139" spans="2:16" x14ac:dyDescent="0.25">
      <c r="B139" s="188" t="s">
        <v>299</v>
      </c>
      <c r="C139" s="191">
        <v>38840</v>
      </c>
      <c r="D139" s="188">
        <v>2905.13</v>
      </c>
      <c r="E139" s="219">
        <v>1</v>
      </c>
      <c r="F139" s="205"/>
      <c r="G139" s="219" t="s">
        <v>345</v>
      </c>
      <c r="H139" s="219">
        <v>8846.5300000000007</v>
      </c>
      <c r="I139" s="163"/>
      <c r="K139" s="224"/>
      <c r="L139" s="224"/>
      <c r="M139" s="224"/>
      <c r="O139" s="237" t="s">
        <v>345</v>
      </c>
      <c r="P139" s="237">
        <v>9590.44</v>
      </c>
    </row>
    <row r="140" spans="2:16" x14ac:dyDescent="0.25">
      <c r="B140" s="188" t="s">
        <v>300</v>
      </c>
      <c r="C140" s="191">
        <v>43342</v>
      </c>
      <c r="D140" s="188">
        <v>1323.46096818</v>
      </c>
      <c r="E140" s="219">
        <v>1</v>
      </c>
      <c r="F140" s="205"/>
      <c r="G140" s="219" t="s">
        <v>346</v>
      </c>
      <c r="H140" s="219">
        <v>23239.8</v>
      </c>
      <c r="I140" s="163"/>
      <c r="K140" s="224"/>
      <c r="L140" s="224"/>
      <c r="M140" s="224"/>
      <c r="O140" s="237" t="s">
        <v>346</v>
      </c>
      <c r="P140" s="237">
        <v>23337.07</v>
      </c>
    </row>
    <row r="141" spans="2:16" x14ac:dyDescent="0.25">
      <c r="B141" s="188" t="s">
        <v>301</v>
      </c>
      <c r="C141" s="191">
        <v>42521</v>
      </c>
      <c r="D141" s="188">
        <v>12393.618495070001</v>
      </c>
      <c r="E141" s="219">
        <v>1</v>
      </c>
      <c r="F141" s="205"/>
      <c r="G141" s="219" t="s">
        <v>347</v>
      </c>
      <c r="H141" s="219">
        <v>9662.9</v>
      </c>
      <c r="I141" s="163"/>
      <c r="K141" s="224"/>
      <c r="L141" s="224"/>
      <c r="M141" s="224"/>
      <c r="O141" s="237" t="s">
        <v>347</v>
      </c>
      <c r="P141" s="237">
        <v>10062.01</v>
      </c>
    </row>
    <row r="142" spans="2:16" x14ac:dyDescent="0.25">
      <c r="B142" s="188" t="s">
        <v>302</v>
      </c>
      <c r="C142" s="191">
        <v>40934</v>
      </c>
      <c r="D142" s="188">
        <v>2257.3200000000002</v>
      </c>
      <c r="E142" s="219">
        <v>1</v>
      </c>
      <c r="F142" s="205"/>
      <c r="G142" s="219" t="s">
        <v>348</v>
      </c>
      <c r="H142" s="219">
        <v>318.22000000000003</v>
      </c>
      <c r="I142" s="163"/>
      <c r="K142" s="224"/>
      <c r="L142" s="224"/>
      <c r="M142" s="224"/>
      <c r="O142" s="237" t="s">
        <v>348</v>
      </c>
      <c r="P142" s="237">
        <v>312.92</v>
      </c>
    </row>
    <row r="143" spans="2:16" x14ac:dyDescent="0.25">
      <c r="B143" s="188" t="s">
        <v>59</v>
      </c>
      <c r="C143" s="191">
        <v>43060</v>
      </c>
      <c r="D143" s="188">
        <v>12491.5886923</v>
      </c>
      <c r="E143" s="219">
        <v>1</v>
      </c>
      <c r="F143" s="205"/>
      <c r="G143" s="219" t="s">
        <v>349</v>
      </c>
      <c r="H143" s="219">
        <v>45679.19</v>
      </c>
      <c r="I143" s="163"/>
      <c r="K143" s="224"/>
      <c r="L143" s="224"/>
      <c r="M143" s="224"/>
      <c r="O143" s="237" t="s">
        <v>349</v>
      </c>
      <c r="P143" s="237">
        <v>47354.14</v>
      </c>
    </row>
    <row r="144" spans="2:16" x14ac:dyDescent="0.25">
      <c r="B144" s="188" t="s">
        <v>52</v>
      </c>
      <c r="C144" s="191">
        <v>43125</v>
      </c>
      <c r="D144" s="188">
        <v>13771.555498350001</v>
      </c>
      <c r="E144" s="219">
        <v>1</v>
      </c>
      <c r="F144" s="205"/>
      <c r="G144" s="219" t="s">
        <v>350</v>
      </c>
      <c r="H144" s="219">
        <v>6715.68</v>
      </c>
      <c r="I144" s="163"/>
      <c r="K144" s="224"/>
      <c r="L144" s="224"/>
      <c r="M144" s="224"/>
      <c r="O144" s="237" t="s">
        <v>350</v>
      </c>
      <c r="P144" s="237">
        <v>6428.99</v>
      </c>
    </row>
    <row r="145" spans="2:16" x14ac:dyDescent="0.25">
      <c r="B145" s="188" t="s">
        <v>541</v>
      </c>
      <c r="C145" s="191">
        <v>43125</v>
      </c>
      <c r="D145" s="188">
        <v>19449.716547939999</v>
      </c>
      <c r="E145" s="219">
        <v>1</v>
      </c>
      <c r="F145" s="205"/>
      <c r="G145" s="219" t="s">
        <v>351</v>
      </c>
      <c r="H145" s="219">
        <v>11217.48</v>
      </c>
      <c r="I145" s="163"/>
      <c r="K145" s="224"/>
      <c r="L145" s="224"/>
      <c r="M145" s="224"/>
      <c r="O145" s="237" t="s">
        <v>351</v>
      </c>
      <c r="P145" s="237">
        <v>11152.4</v>
      </c>
    </row>
    <row r="146" spans="2:16" x14ac:dyDescent="0.25">
      <c r="B146" s="188" t="s">
        <v>542</v>
      </c>
      <c r="C146" s="191">
        <v>43125</v>
      </c>
      <c r="D146" s="188">
        <v>20280.098055819999</v>
      </c>
      <c r="E146" s="219">
        <v>1</v>
      </c>
      <c r="F146" s="205"/>
      <c r="G146" s="219" t="s">
        <v>352</v>
      </c>
      <c r="H146" s="219">
        <v>7402.88</v>
      </c>
      <c r="I146" s="163"/>
      <c r="K146" s="224"/>
      <c r="L146" s="224"/>
      <c r="M146" s="224"/>
      <c r="O146" s="237" t="s">
        <v>352</v>
      </c>
      <c r="P146" s="237">
        <v>8353.14</v>
      </c>
    </row>
    <row r="147" spans="2:16" x14ac:dyDescent="0.25">
      <c r="B147" s="188" t="s">
        <v>303</v>
      </c>
      <c r="C147" s="191">
        <v>39381</v>
      </c>
      <c r="D147" s="188">
        <v>30836.11</v>
      </c>
      <c r="E147" s="219">
        <v>1</v>
      </c>
      <c r="F147" s="205"/>
      <c r="G147" s="219" t="s">
        <v>353</v>
      </c>
      <c r="H147" s="219">
        <v>26868.39</v>
      </c>
      <c r="I147" s="163"/>
      <c r="K147" s="224"/>
      <c r="L147" s="224"/>
      <c r="M147" s="224"/>
      <c r="O147" s="237" t="s">
        <v>353</v>
      </c>
      <c r="P147" s="237">
        <v>28615.95</v>
      </c>
    </row>
    <row r="148" spans="2:16" x14ac:dyDescent="0.25">
      <c r="B148" s="188" t="s">
        <v>304</v>
      </c>
      <c r="C148" s="191">
        <v>42030</v>
      </c>
      <c r="D148" s="188">
        <v>42581.471937620001</v>
      </c>
      <c r="E148" s="219">
        <v>1</v>
      </c>
      <c r="F148" s="205"/>
      <c r="G148" s="219" t="s">
        <v>354</v>
      </c>
      <c r="H148" s="219">
        <v>9745.2099999999991</v>
      </c>
      <c r="I148" s="163"/>
      <c r="K148" s="224"/>
      <c r="L148" s="224"/>
      <c r="M148" s="224"/>
      <c r="O148" s="237" t="s">
        <v>354</v>
      </c>
      <c r="P148" s="237">
        <v>10268.799999999999</v>
      </c>
    </row>
    <row r="149" spans="2:16" x14ac:dyDescent="0.25">
      <c r="B149" s="188" t="s">
        <v>305</v>
      </c>
      <c r="C149" s="191">
        <v>43125</v>
      </c>
      <c r="D149" s="188">
        <v>6026.6277274599997</v>
      </c>
      <c r="E149" s="219">
        <v>1</v>
      </c>
      <c r="F149" s="205"/>
      <c r="G149" s="219" t="s">
        <v>355</v>
      </c>
      <c r="H149" s="219">
        <v>119435.12</v>
      </c>
      <c r="I149" s="163"/>
      <c r="K149" s="224"/>
      <c r="L149" s="224"/>
      <c r="M149" s="224"/>
      <c r="O149" s="237" t="s">
        <v>355</v>
      </c>
      <c r="P149" s="237">
        <v>120592.51</v>
      </c>
    </row>
    <row r="150" spans="2:16" x14ac:dyDescent="0.25">
      <c r="B150" s="188" t="s">
        <v>71</v>
      </c>
      <c r="C150" s="191">
        <v>39381</v>
      </c>
      <c r="D150" s="188">
        <v>24943.07</v>
      </c>
      <c r="E150" s="219">
        <v>1</v>
      </c>
      <c r="F150" s="205"/>
      <c r="G150" s="219" t="s">
        <v>356</v>
      </c>
      <c r="H150" s="219">
        <v>4721.5</v>
      </c>
      <c r="I150" s="163"/>
      <c r="K150" s="224"/>
      <c r="L150" s="224"/>
      <c r="M150" s="224"/>
      <c r="O150" s="237" t="s">
        <v>356</v>
      </c>
      <c r="P150" s="237">
        <v>5346.67</v>
      </c>
    </row>
    <row r="151" spans="2:16" x14ac:dyDescent="0.25">
      <c r="B151" s="188" t="s">
        <v>73</v>
      </c>
      <c r="C151" s="191">
        <v>39590</v>
      </c>
      <c r="D151" s="188">
        <v>42763.39</v>
      </c>
      <c r="E151" s="219">
        <v>1</v>
      </c>
      <c r="F151" s="205"/>
      <c r="G151" s="219" t="s">
        <v>357</v>
      </c>
      <c r="H151" s="219">
        <v>7482.61</v>
      </c>
      <c r="I151" s="163"/>
      <c r="K151" s="224"/>
      <c r="L151" s="224"/>
      <c r="M151" s="224"/>
      <c r="O151" s="237" t="s">
        <v>357</v>
      </c>
      <c r="P151" s="237">
        <v>8098.25</v>
      </c>
    </row>
    <row r="152" spans="2:16" x14ac:dyDescent="0.25">
      <c r="B152" s="188" t="s">
        <v>75</v>
      </c>
      <c r="C152" s="191">
        <v>43126</v>
      </c>
      <c r="D152" s="188">
        <v>57747.257279739999</v>
      </c>
      <c r="E152" s="219">
        <v>1</v>
      </c>
      <c r="F152" s="205"/>
      <c r="G152" s="219" t="s">
        <v>358</v>
      </c>
      <c r="H152" s="219">
        <v>6839.05</v>
      </c>
      <c r="I152" s="163"/>
      <c r="K152" s="224"/>
      <c r="L152" s="224"/>
      <c r="M152" s="224"/>
      <c r="O152" s="237" t="s">
        <v>358</v>
      </c>
      <c r="P152" s="237">
        <v>7380.61</v>
      </c>
    </row>
    <row r="153" spans="2:16" x14ac:dyDescent="0.25">
      <c r="B153" s="188" t="s">
        <v>77</v>
      </c>
      <c r="C153" s="191">
        <v>43042</v>
      </c>
      <c r="D153" s="188">
        <v>84330.008150740003</v>
      </c>
      <c r="E153" s="219">
        <v>1</v>
      </c>
      <c r="F153" s="205"/>
      <c r="G153" s="219" t="s">
        <v>359</v>
      </c>
      <c r="H153" s="219">
        <v>11561.13</v>
      </c>
      <c r="I153" s="163"/>
      <c r="K153" s="224"/>
      <c r="L153" s="224"/>
      <c r="M153" s="224"/>
      <c r="O153" s="237" t="s">
        <v>359</v>
      </c>
      <c r="P153" s="237">
        <v>11982.86</v>
      </c>
    </row>
    <row r="154" spans="2:16" x14ac:dyDescent="0.25">
      <c r="B154" s="188" t="s">
        <v>306</v>
      </c>
      <c r="C154" s="191">
        <v>41250</v>
      </c>
      <c r="D154" s="188">
        <v>94719.679999999993</v>
      </c>
      <c r="E154" s="219">
        <v>1</v>
      </c>
      <c r="F154" s="205"/>
      <c r="G154" s="219" t="s">
        <v>360</v>
      </c>
      <c r="H154" s="219">
        <v>17798.61</v>
      </c>
      <c r="I154" s="163"/>
      <c r="K154" s="224"/>
      <c r="L154" s="224"/>
      <c r="M154" s="224"/>
      <c r="O154" s="237" t="s">
        <v>360</v>
      </c>
      <c r="P154" s="237">
        <v>18440.61</v>
      </c>
    </row>
    <row r="155" spans="2:16" x14ac:dyDescent="0.25">
      <c r="B155" s="188" t="s">
        <v>307</v>
      </c>
      <c r="C155" s="191">
        <v>39381</v>
      </c>
      <c r="D155" s="188">
        <v>31088.74</v>
      </c>
      <c r="E155" s="219">
        <v>1</v>
      </c>
      <c r="F155" s="205"/>
      <c r="G155" s="219" t="s">
        <v>361</v>
      </c>
      <c r="H155" s="219">
        <v>11538.9</v>
      </c>
      <c r="I155" s="163"/>
      <c r="K155" s="224"/>
      <c r="L155" s="224"/>
      <c r="M155" s="224"/>
      <c r="O155" s="237" t="s">
        <v>361</v>
      </c>
      <c r="P155" s="237">
        <v>12136.9</v>
      </c>
    </row>
    <row r="156" spans="2:16" x14ac:dyDescent="0.25">
      <c r="B156" s="188" t="s">
        <v>87</v>
      </c>
      <c r="C156" s="191">
        <v>41893</v>
      </c>
      <c r="D156" s="188">
        <v>95446.135778840006</v>
      </c>
      <c r="E156" s="219">
        <v>1</v>
      </c>
      <c r="F156" s="205"/>
      <c r="G156" s="219" t="s">
        <v>362</v>
      </c>
      <c r="H156" s="219">
        <v>8617.68</v>
      </c>
      <c r="I156" s="163"/>
      <c r="K156" s="224"/>
      <c r="L156" s="224"/>
      <c r="M156" s="224"/>
      <c r="O156" s="237" t="s">
        <v>362</v>
      </c>
      <c r="P156" s="237">
        <v>8473.57</v>
      </c>
    </row>
    <row r="157" spans="2:16" x14ac:dyDescent="0.25">
      <c r="B157" s="188" t="s">
        <v>79</v>
      </c>
      <c r="C157" s="191">
        <v>39381</v>
      </c>
      <c r="D157" s="188">
        <v>35813.949999999997</v>
      </c>
      <c r="E157" s="219">
        <v>1</v>
      </c>
      <c r="F157" s="205"/>
      <c r="G157" s="219" t="s">
        <v>363</v>
      </c>
      <c r="H157" s="219">
        <v>4732.09</v>
      </c>
      <c r="I157" s="163"/>
      <c r="K157" s="224"/>
      <c r="L157" s="224"/>
      <c r="M157" s="224"/>
      <c r="O157" s="237" t="s">
        <v>363</v>
      </c>
      <c r="P157" s="237">
        <v>4960.24</v>
      </c>
    </row>
    <row r="158" spans="2:16" x14ac:dyDescent="0.25">
      <c r="B158" s="188" t="s">
        <v>308</v>
      </c>
      <c r="C158" s="191">
        <v>40581</v>
      </c>
      <c r="D158" s="188">
        <v>88089.14</v>
      </c>
      <c r="E158" s="219">
        <v>1</v>
      </c>
      <c r="F158" s="205"/>
      <c r="G158" s="219" t="s">
        <v>364</v>
      </c>
      <c r="H158" s="219">
        <v>6507.28</v>
      </c>
      <c r="I158" s="163"/>
      <c r="K158" s="224"/>
      <c r="L158" s="224"/>
      <c r="M158" s="224"/>
      <c r="O158" s="237" t="s">
        <v>364</v>
      </c>
      <c r="P158" s="237">
        <v>6855.14</v>
      </c>
    </row>
    <row r="159" spans="2:16" x14ac:dyDescent="0.25">
      <c r="B159" s="188" t="s">
        <v>85</v>
      </c>
      <c r="C159" s="191">
        <v>39381</v>
      </c>
      <c r="D159" s="188">
        <v>65291.38</v>
      </c>
      <c r="E159" s="219">
        <v>1</v>
      </c>
      <c r="F159" s="205"/>
      <c r="G159" s="219" t="s">
        <v>365</v>
      </c>
      <c r="H159" s="219">
        <v>9901.93</v>
      </c>
      <c r="I159" s="163"/>
      <c r="K159" s="224"/>
      <c r="L159" s="224"/>
      <c r="M159" s="224"/>
      <c r="O159" s="237" t="s">
        <v>365</v>
      </c>
      <c r="P159" s="237">
        <v>9915.77</v>
      </c>
    </row>
    <row r="160" spans="2:16" x14ac:dyDescent="0.25">
      <c r="B160" s="188" t="s">
        <v>309</v>
      </c>
      <c r="C160" s="191">
        <v>42655</v>
      </c>
      <c r="D160" s="188">
        <v>6829.7257960500001</v>
      </c>
      <c r="E160" s="219">
        <v>1</v>
      </c>
      <c r="F160" s="205"/>
      <c r="G160" s="219" t="s">
        <v>366</v>
      </c>
      <c r="H160" s="219">
        <v>12301.18</v>
      </c>
      <c r="I160" s="163"/>
      <c r="K160" s="224"/>
      <c r="L160" s="224"/>
      <c r="M160" s="224"/>
      <c r="O160" s="237" t="s">
        <v>366</v>
      </c>
      <c r="P160" s="237">
        <v>12501.83</v>
      </c>
    </row>
    <row r="161" spans="2:16" x14ac:dyDescent="0.25">
      <c r="B161" s="188" t="s">
        <v>81</v>
      </c>
      <c r="C161" s="191">
        <v>43125</v>
      </c>
      <c r="D161" s="188">
        <v>48467.669364840003</v>
      </c>
      <c r="E161" s="219">
        <v>1</v>
      </c>
      <c r="F161" s="205"/>
      <c r="G161" s="219" t="s">
        <v>369</v>
      </c>
      <c r="H161" s="219">
        <v>5950.85</v>
      </c>
      <c r="I161" s="163"/>
      <c r="K161" s="224"/>
      <c r="L161" s="224"/>
      <c r="M161" s="224"/>
      <c r="O161" s="237" t="s">
        <v>369</v>
      </c>
      <c r="P161" s="237">
        <v>5947.61</v>
      </c>
    </row>
    <row r="162" spans="2:16" x14ac:dyDescent="0.25">
      <c r="B162" s="188" t="s">
        <v>83</v>
      </c>
      <c r="C162" s="191">
        <v>42222</v>
      </c>
      <c r="D162" s="188">
        <v>71088.506129760004</v>
      </c>
      <c r="E162" s="219">
        <v>1</v>
      </c>
      <c r="F162" s="205"/>
      <c r="G162" s="219" t="s">
        <v>370</v>
      </c>
      <c r="H162" s="219">
        <v>8465.2099999999991</v>
      </c>
      <c r="I162" s="163"/>
      <c r="K162" s="224"/>
      <c r="L162" s="224"/>
      <c r="M162" s="224"/>
      <c r="O162" s="237" t="s">
        <v>370</v>
      </c>
      <c r="P162" s="237">
        <v>8855.2999999999993</v>
      </c>
    </row>
    <row r="163" spans="2:16" x14ac:dyDescent="0.25">
      <c r="B163" s="188" t="s">
        <v>310</v>
      </c>
      <c r="C163" s="191">
        <v>43125</v>
      </c>
      <c r="D163" s="188">
        <v>9856.3269865999991</v>
      </c>
      <c r="E163" s="219">
        <v>1</v>
      </c>
      <c r="F163" s="205"/>
      <c r="G163" s="219" t="s">
        <v>371</v>
      </c>
      <c r="H163" s="219">
        <v>13001.44</v>
      </c>
      <c r="I163" s="163"/>
      <c r="K163" s="224"/>
      <c r="L163" s="224"/>
      <c r="M163" s="224"/>
      <c r="O163" s="237" t="s">
        <v>371</v>
      </c>
      <c r="P163" s="237">
        <v>13057.15</v>
      </c>
    </row>
    <row r="164" spans="2:16" x14ac:dyDescent="0.25">
      <c r="B164" s="188" t="s">
        <v>311</v>
      </c>
      <c r="C164" s="191">
        <v>43627</v>
      </c>
      <c r="D164" s="188">
        <v>3193.7852788199998</v>
      </c>
      <c r="E164" s="219">
        <v>1</v>
      </c>
      <c r="F164" s="205"/>
      <c r="G164" s="219" t="s">
        <v>372</v>
      </c>
      <c r="H164" s="219">
        <v>9994.57</v>
      </c>
      <c r="I164" s="163"/>
      <c r="K164" s="224"/>
      <c r="L164" s="224"/>
      <c r="M164" s="224"/>
      <c r="O164" s="237" t="s">
        <v>372</v>
      </c>
      <c r="P164" s="237">
        <v>10352.219999999999</v>
      </c>
    </row>
    <row r="165" spans="2:16" x14ac:dyDescent="0.25">
      <c r="B165" s="188" t="s">
        <v>312</v>
      </c>
      <c r="C165" s="191">
        <v>41887</v>
      </c>
      <c r="D165" s="188">
        <v>417.67220522999997</v>
      </c>
      <c r="E165" s="219">
        <v>1</v>
      </c>
      <c r="F165" s="205"/>
      <c r="G165" s="219" t="s">
        <v>373</v>
      </c>
      <c r="H165" s="219">
        <v>35684.06</v>
      </c>
      <c r="I165" s="163"/>
      <c r="K165" s="224"/>
      <c r="L165" s="224"/>
      <c r="M165" s="224"/>
      <c r="O165" s="237" t="s">
        <v>373</v>
      </c>
      <c r="P165" s="237">
        <v>37764.22</v>
      </c>
    </row>
    <row r="166" spans="2:16" x14ac:dyDescent="0.25">
      <c r="B166" s="188" t="s">
        <v>543</v>
      </c>
      <c r="C166" s="191">
        <v>42488</v>
      </c>
      <c r="D166" s="188">
        <v>19062.31522</v>
      </c>
      <c r="E166" s="219">
        <v>1</v>
      </c>
      <c r="F166" s="205"/>
      <c r="G166" s="219" t="s">
        <v>374</v>
      </c>
      <c r="H166" s="219">
        <v>6429.66</v>
      </c>
      <c r="I166" s="163"/>
      <c r="K166" s="224"/>
      <c r="L166" s="224"/>
      <c r="M166" s="224"/>
      <c r="O166" s="237" t="s">
        <v>374</v>
      </c>
      <c r="P166" s="237">
        <v>6940.47</v>
      </c>
    </row>
    <row r="167" spans="2:16" x14ac:dyDescent="0.25">
      <c r="B167" s="188" t="s">
        <v>544</v>
      </c>
      <c r="C167" s="191">
        <v>42305</v>
      </c>
      <c r="D167" s="188">
        <v>18548.60542</v>
      </c>
      <c r="E167" s="219">
        <v>1</v>
      </c>
      <c r="F167" s="205"/>
      <c r="G167" s="219" t="s">
        <v>375</v>
      </c>
      <c r="H167" s="219">
        <v>9163.43</v>
      </c>
      <c r="I167" s="163"/>
      <c r="K167" s="224"/>
      <c r="L167" s="224"/>
      <c r="M167" s="224"/>
      <c r="O167" s="237" t="s">
        <v>375</v>
      </c>
      <c r="P167" s="237">
        <v>9525.98</v>
      </c>
    </row>
    <row r="168" spans="2:16" x14ac:dyDescent="0.25">
      <c r="B168" s="188" t="s">
        <v>545</v>
      </c>
      <c r="C168" s="191">
        <v>42578</v>
      </c>
      <c r="D168" s="188">
        <v>13742.29947</v>
      </c>
      <c r="E168" s="219">
        <v>1</v>
      </c>
      <c r="F168" s="205"/>
      <c r="G168" s="219" t="s">
        <v>376</v>
      </c>
      <c r="H168" s="219">
        <v>11439.83</v>
      </c>
      <c r="I168" s="163"/>
      <c r="K168" s="224"/>
      <c r="L168" s="224"/>
      <c r="M168" s="224"/>
      <c r="O168" s="237" t="s">
        <v>376</v>
      </c>
      <c r="P168" s="237">
        <v>11626.43</v>
      </c>
    </row>
    <row r="169" spans="2:16" x14ac:dyDescent="0.25">
      <c r="B169" s="188" t="s">
        <v>313</v>
      </c>
      <c r="C169" s="191">
        <v>39381</v>
      </c>
      <c r="D169" s="188">
        <v>42355.94</v>
      </c>
      <c r="E169" s="219">
        <v>1</v>
      </c>
      <c r="F169" s="205"/>
      <c r="G169" s="219" t="s">
        <v>377</v>
      </c>
      <c r="H169" s="219">
        <v>4107.1499999999996</v>
      </c>
      <c r="I169" s="163"/>
      <c r="K169" s="224"/>
      <c r="L169" s="224"/>
      <c r="M169" s="224"/>
      <c r="O169" s="237" t="s">
        <v>377</v>
      </c>
      <c r="P169" s="237">
        <v>4144.87</v>
      </c>
    </row>
    <row r="170" spans="2:16" x14ac:dyDescent="0.25">
      <c r="B170" s="188" t="s">
        <v>314</v>
      </c>
      <c r="C170" s="191">
        <v>43587</v>
      </c>
      <c r="D170" s="188">
        <v>89801.649796929996</v>
      </c>
      <c r="E170" s="219">
        <v>1</v>
      </c>
      <c r="F170" s="205"/>
      <c r="G170" s="219" t="s">
        <v>378</v>
      </c>
      <c r="H170" s="219">
        <v>18869.150000000001</v>
      </c>
      <c r="I170" s="163"/>
      <c r="K170" s="224"/>
      <c r="L170" s="224"/>
      <c r="M170" s="224"/>
      <c r="O170" s="237" t="s">
        <v>378</v>
      </c>
      <c r="P170" s="237">
        <v>19416.509999999998</v>
      </c>
    </row>
    <row r="171" spans="2:16" x14ac:dyDescent="0.25">
      <c r="B171" s="188" t="s">
        <v>315</v>
      </c>
      <c r="C171" s="191">
        <v>43165</v>
      </c>
      <c r="D171" s="188">
        <v>47641.71241624</v>
      </c>
      <c r="E171" s="219">
        <v>1</v>
      </c>
      <c r="F171" s="205"/>
      <c r="G171" s="219" t="s">
        <v>379</v>
      </c>
      <c r="H171" s="219">
        <v>12580.35</v>
      </c>
      <c r="I171" s="163"/>
      <c r="K171" s="224"/>
      <c r="L171" s="224"/>
      <c r="M171" s="224"/>
      <c r="O171" s="237" t="s">
        <v>379</v>
      </c>
      <c r="P171" s="237">
        <v>13109.66</v>
      </c>
    </row>
    <row r="172" spans="2:16" x14ac:dyDescent="0.25">
      <c r="B172" s="188" t="s">
        <v>316</v>
      </c>
      <c r="C172" s="191">
        <v>42374</v>
      </c>
      <c r="D172" s="188">
        <v>1792.3439825099999</v>
      </c>
      <c r="E172" s="219">
        <v>1</v>
      </c>
      <c r="F172" s="205"/>
      <c r="G172" s="219" t="s">
        <v>380</v>
      </c>
      <c r="H172" s="219">
        <v>16903.09</v>
      </c>
      <c r="I172" s="163"/>
      <c r="K172" s="224"/>
      <c r="L172" s="224"/>
      <c r="M172" s="224"/>
      <c r="O172" s="237" t="s">
        <v>380</v>
      </c>
      <c r="P172" s="237">
        <v>17438.04</v>
      </c>
    </row>
    <row r="173" spans="2:16" x14ac:dyDescent="0.25">
      <c r="B173" s="188" t="s">
        <v>183</v>
      </c>
      <c r="C173" s="191">
        <v>42303</v>
      </c>
      <c r="D173" s="188">
        <v>1035.8389392900001</v>
      </c>
      <c r="E173" s="219">
        <v>1</v>
      </c>
      <c r="F173" s="205"/>
      <c r="G173" s="219" t="s">
        <v>381</v>
      </c>
      <c r="H173" s="219">
        <v>4698.71</v>
      </c>
      <c r="I173" s="163"/>
      <c r="K173" s="224"/>
      <c r="L173" s="224"/>
      <c r="M173" s="224"/>
      <c r="O173" s="237" t="s">
        <v>381</v>
      </c>
      <c r="P173" s="237">
        <v>4696.1499999999996</v>
      </c>
    </row>
    <row r="174" spans="2:16" x14ac:dyDescent="0.25">
      <c r="B174" s="188" t="s">
        <v>317</v>
      </c>
      <c r="C174" s="191">
        <v>39209</v>
      </c>
      <c r="D174" s="188">
        <v>910.48</v>
      </c>
      <c r="E174" s="219">
        <v>1</v>
      </c>
      <c r="F174" s="205"/>
      <c r="G174" s="219" t="s">
        <v>382</v>
      </c>
      <c r="H174" s="219">
        <v>16816.310000000001</v>
      </c>
      <c r="I174" s="163"/>
      <c r="K174" s="224"/>
      <c r="L174" s="224"/>
      <c r="M174" s="224"/>
      <c r="O174" s="237" t="s">
        <v>382</v>
      </c>
      <c r="P174" s="237">
        <v>17341.32</v>
      </c>
    </row>
    <row r="175" spans="2:16" x14ac:dyDescent="0.25">
      <c r="B175" s="188" t="s">
        <v>318</v>
      </c>
      <c r="C175" s="191">
        <v>42334</v>
      </c>
      <c r="D175" s="188">
        <v>5012.4318484900004</v>
      </c>
      <c r="E175" s="219">
        <v>1</v>
      </c>
      <c r="F175" s="205"/>
      <c r="G175" s="219" t="s">
        <v>383</v>
      </c>
      <c r="H175" s="219">
        <v>11980.06</v>
      </c>
      <c r="I175" s="163"/>
      <c r="K175" s="224"/>
      <c r="L175" s="224"/>
      <c r="M175" s="224"/>
      <c r="O175" s="237" t="s">
        <v>383</v>
      </c>
      <c r="P175" s="237">
        <v>12454.05</v>
      </c>
    </row>
    <row r="176" spans="2:16" x14ac:dyDescent="0.25">
      <c r="B176" s="188" t="s">
        <v>319</v>
      </c>
      <c r="C176" s="191">
        <v>42877</v>
      </c>
      <c r="D176" s="188">
        <v>5389.3519094800004</v>
      </c>
      <c r="E176" s="219">
        <v>1</v>
      </c>
      <c r="F176" s="205"/>
      <c r="G176" s="219" t="s">
        <v>384</v>
      </c>
      <c r="H176" s="219">
        <v>15054.46</v>
      </c>
      <c r="I176" s="163"/>
      <c r="K176" s="224"/>
      <c r="L176" s="224"/>
      <c r="M176" s="224"/>
      <c r="O176" s="237" t="s">
        <v>384</v>
      </c>
      <c r="P176" s="237">
        <v>15567.31</v>
      </c>
    </row>
    <row r="177" spans="2:16" x14ac:dyDescent="0.25">
      <c r="B177" s="188" t="s">
        <v>320</v>
      </c>
      <c r="C177" s="191">
        <v>42222</v>
      </c>
      <c r="D177" s="188">
        <v>1524.0086971600001</v>
      </c>
      <c r="E177" s="219">
        <v>1</v>
      </c>
      <c r="F177" s="205"/>
      <c r="G177" s="219" t="s">
        <v>385</v>
      </c>
      <c r="H177" s="219">
        <v>60528.991068299998</v>
      </c>
      <c r="I177" s="163"/>
      <c r="K177" s="224"/>
      <c r="L177" s="224"/>
      <c r="M177" s="224"/>
      <c r="O177" s="237" t="s">
        <v>385</v>
      </c>
      <c r="P177" s="237">
        <v>58387.402888490004</v>
      </c>
    </row>
    <row r="178" spans="2:16" x14ac:dyDescent="0.25">
      <c r="B178" s="188" t="s">
        <v>321</v>
      </c>
      <c r="C178" s="191">
        <v>41492</v>
      </c>
      <c r="D178" s="188">
        <v>4293.55</v>
      </c>
      <c r="E178" s="219">
        <v>1</v>
      </c>
      <c r="F178" s="205"/>
      <c r="G178" s="219"/>
      <c r="H178" s="219"/>
      <c r="I178" s="163"/>
      <c r="K178" s="224"/>
      <c r="L178" s="224"/>
      <c r="M178" s="224"/>
      <c r="O178" s="237"/>
      <c r="P178" s="237"/>
    </row>
    <row r="179" spans="2:16" x14ac:dyDescent="0.25">
      <c r="B179" s="188" t="s">
        <v>322</v>
      </c>
      <c r="C179" s="191">
        <v>43172</v>
      </c>
      <c r="D179" s="188">
        <v>82.544370499999999</v>
      </c>
      <c r="E179" s="219">
        <v>1</v>
      </c>
      <c r="F179" s="205"/>
      <c r="G179" s="219"/>
      <c r="H179" s="219"/>
      <c r="I179" s="163"/>
      <c r="K179" s="224"/>
      <c r="L179" s="224"/>
      <c r="M179" s="224"/>
      <c r="O179" s="237"/>
      <c r="P179" s="237"/>
    </row>
    <row r="180" spans="2:16" x14ac:dyDescent="0.25">
      <c r="B180" s="188" t="s">
        <v>323</v>
      </c>
      <c r="C180" s="191">
        <v>43341</v>
      </c>
      <c r="D180" s="188">
        <v>135.65917651999999</v>
      </c>
      <c r="E180" s="219">
        <v>1</v>
      </c>
      <c r="F180" s="205"/>
      <c r="G180" s="219"/>
      <c r="H180" s="219"/>
      <c r="I180" s="163"/>
      <c r="K180" s="224"/>
      <c r="L180" s="224"/>
      <c r="M180" s="224"/>
      <c r="O180" s="237"/>
      <c r="P180" s="237"/>
    </row>
    <row r="181" spans="2:16" x14ac:dyDescent="0.25">
      <c r="B181" s="188" t="s">
        <v>324</v>
      </c>
      <c r="C181" s="191">
        <v>43220</v>
      </c>
      <c r="D181" s="188">
        <v>60.391819920000003</v>
      </c>
      <c r="E181" s="219">
        <v>1</v>
      </c>
      <c r="F181" s="205"/>
      <c r="G181" s="219"/>
      <c r="H181" s="219"/>
      <c r="I181" s="163"/>
      <c r="K181" s="224"/>
      <c r="L181" s="224"/>
      <c r="M181" s="224"/>
      <c r="O181" s="237"/>
      <c r="P181" s="237"/>
    </row>
    <row r="182" spans="2:16" x14ac:dyDescent="0.25">
      <c r="B182" s="188" t="s">
        <v>325</v>
      </c>
      <c r="C182" s="191">
        <v>43348</v>
      </c>
      <c r="D182" s="188">
        <v>98.026254199999997</v>
      </c>
      <c r="E182" s="219">
        <v>1</v>
      </c>
      <c r="F182" s="205"/>
      <c r="G182" s="219"/>
      <c r="H182" s="219"/>
      <c r="I182" s="163"/>
      <c r="K182" s="224"/>
      <c r="L182" s="224"/>
      <c r="M182" s="224"/>
      <c r="O182" s="237"/>
      <c r="P182" s="237"/>
    </row>
    <row r="183" spans="2:16" x14ac:dyDescent="0.25">
      <c r="B183" s="188" t="s">
        <v>326</v>
      </c>
      <c r="C183" s="191">
        <v>43060</v>
      </c>
      <c r="D183" s="188">
        <v>55065.365928040002</v>
      </c>
      <c r="E183" s="219">
        <v>1</v>
      </c>
      <c r="F183" s="205"/>
      <c r="G183" s="219"/>
      <c r="H183" s="219"/>
      <c r="I183" s="163"/>
      <c r="K183" s="224"/>
      <c r="L183" s="224"/>
      <c r="M183" s="224"/>
      <c r="O183" s="237"/>
      <c r="P183" s="237"/>
    </row>
    <row r="184" spans="2:16" x14ac:dyDescent="0.25">
      <c r="B184" s="188" t="s">
        <v>327</v>
      </c>
      <c r="C184" s="191">
        <v>43125</v>
      </c>
      <c r="D184" s="188">
        <v>4957.9597465699999</v>
      </c>
      <c r="E184" s="219">
        <v>1</v>
      </c>
      <c r="F184" s="205"/>
      <c r="G184" s="219"/>
      <c r="H184" s="219"/>
      <c r="I184" s="163"/>
      <c r="K184" s="224"/>
      <c r="L184" s="224"/>
      <c r="M184" s="224"/>
      <c r="O184" s="237"/>
      <c r="P184" s="237"/>
    </row>
    <row r="185" spans="2:16" x14ac:dyDescent="0.25">
      <c r="B185" s="188" t="s">
        <v>328</v>
      </c>
      <c r="C185" s="191">
        <v>43125</v>
      </c>
      <c r="D185" s="188">
        <v>61684.771932919997</v>
      </c>
      <c r="E185" s="219">
        <v>1</v>
      </c>
      <c r="F185" s="205"/>
      <c r="G185" s="219"/>
      <c r="H185" s="219"/>
      <c r="I185" s="163"/>
      <c r="K185" s="224"/>
      <c r="L185" s="224"/>
      <c r="M185" s="224"/>
      <c r="O185" s="237"/>
      <c r="P185" s="237"/>
    </row>
    <row r="186" spans="2:16" x14ac:dyDescent="0.25">
      <c r="B186" s="188" t="s">
        <v>329</v>
      </c>
      <c r="C186" s="191">
        <v>43125</v>
      </c>
      <c r="D186" s="188">
        <v>13771.555498350001</v>
      </c>
      <c r="E186" s="219">
        <v>1</v>
      </c>
      <c r="F186" s="205"/>
      <c r="G186" s="219"/>
      <c r="H186" s="219"/>
      <c r="I186" s="163"/>
      <c r="K186" s="224"/>
      <c r="L186" s="224"/>
      <c r="M186" s="224"/>
      <c r="O186" s="237"/>
      <c r="P186" s="237"/>
    </row>
    <row r="187" spans="2:16" x14ac:dyDescent="0.25">
      <c r="B187" s="188" t="s">
        <v>546</v>
      </c>
      <c r="C187" s="191">
        <v>43636</v>
      </c>
      <c r="D187" s="188">
        <v>17168.030079600001</v>
      </c>
      <c r="E187" s="219">
        <v>1</v>
      </c>
      <c r="F187" s="205"/>
      <c r="G187" s="219"/>
      <c r="H187" s="219"/>
      <c r="I187" s="163"/>
      <c r="K187" s="224"/>
      <c r="L187" s="224"/>
      <c r="M187" s="224"/>
      <c r="O187" s="237"/>
      <c r="P187" s="237"/>
    </row>
    <row r="188" spans="2:16" x14ac:dyDescent="0.25">
      <c r="B188" s="188" t="s">
        <v>547</v>
      </c>
      <c r="C188" s="191">
        <v>43637</v>
      </c>
      <c r="D188" s="188">
        <v>18043.943900850001</v>
      </c>
      <c r="E188" s="219">
        <v>1</v>
      </c>
      <c r="F188" s="205"/>
      <c r="G188" s="219"/>
      <c r="H188" s="219"/>
      <c r="I188" s="163"/>
      <c r="K188" s="224"/>
      <c r="L188" s="224"/>
      <c r="M188" s="224"/>
      <c r="O188" s="237"/>
      <c r="P188" s="237"/>
    </row>
    <row r="189" spans="2:16" x14ac:dyDescent="0.25">
      <c r="B189" s="188" t="s">
        <v>330</v>
      </c>
      <c r="C189" s="191">
        <v>41065</v>
      </c>
      <c r="D189" s="188">
        <v>1120.92</v>
      </c>
      <c r="E189" s="219">
        <v>1</v>
      </c>
      <c r="F189" s="205"/>
      <c r="G189" s="219"/>
      <c r="H189" s="219"/>
      <c r="I189" s="163"/>
      <c r="K189" s="224"/>
      <c r="L189" s="224"/>
      <c r="M189" s="224"/>
      <c r="O189" s="237"/>
      <c r="P189" s="237"/>
    </row>
    <row r="190" spans="2:16" x14ac:dyDescent="0.25">
      <c r="B190" s="188" t="s">
        <v>331</v>
      </c>
      <c r="C190" s="191">
        <v>43125</v>
      </c>
      <c r="D190" s="188">
        <v>11610.59631465</v>
      </c>
      <c r="E190" s="219">
        <v>1</v>
      </c>
      <c r="F190" s="205"/>
      <c r="G190" s="219"/>
      <c r="H190" s="219"/>
      <c r="I190" s="163"/>
      <c r="K190" s="224"/>
      <c r="L190" s="224"/>
      <c r="M190" s="224"/>
      <c r="O190" s="237"/>
      <c r="P190" s="237"/>
    </row>
    <row r="191" spans="2:16" x14ac:dyDescent="0.25">
      <c r="B191" s="188" t="s">
        <v>332</v>
      </c>
      <c r="C191" s="191">
        <v>41849</v>
      </c>
      <c r="D191" s="188">
        <v>4482.8823280400002</v>
      </c>
      <c r="E191" s="219">
        <v>1</v>
      </c>
      <c r="F191" s="205"/>
      <c r="G191" s="219"/>
      <c r="H191" s="219"/>
      <c r="I191" s="163"/>
      <c r="K191" s="224"/>
      <c r="L191" s="224"/>
      <c r="M191" s="224"/>
      <c r="O191" s="237"/>
      <c r="P191" s="237"/>
    </row>
    <row r="192" spans="2:16" x14ac:dyDescent="0.25">
      <c r="B192" s="188" t="s">
        <v>333</v>
      </c>
      <c r="C192" s="191">
        <v>43060</v>
      </c>
      <c r="D192" s="188">
        <v>12491.5886923</v>
      </c>
      <c r="E192" s="219">
        <v>1</v>
      </c>
      <c r="F192" s="205"/>
      <c r="G192" s="219"/>
      <c r="H192" s="219"/>
      <c r="I192" s="163"/>
      <c r="K192" s="224"/>
      <c r="L192" s="224"/>
      <c r="M192" s="224"/>
      <c r="O192" s="237"/>
      <c r="P192" s="237"/>
    </row>
    <row r="193" spans="2:16" x14ac:dyDescent="0.25">
      <c r="B193" s="188" t="s">
        <v>334</v>
      </c>
      <c r="C193" s="191">
        <v>43255</v>
      </c>
      <c r="D193" s="188">
        <v>30300.78</v>
      </c>
      <c r="E193" s="219">
        <v>1</v>
      </c>
      <c r="F193" s="205"/>
      <c r="G193" s="219"/>
      <c r="H193" s="219"/>
      <c r="I193" s="163"/>
      <c r="K193" s="224"/>
      <c r="L193" s="224"/>
      <c r="M193" s="224"/>
      <c r="O193" s="237"/>
      <c r="P193" s="237"/>
    </row>
    <row r="194" spans="2:16" x14ac:dyDescent="0.25">
      <c r="B194" s="188" t="s">
        <v>335</v>
      </c>
      <c r="C194" s="191">
        <v>43347</v>
      </c>
      <c r="D194" s="188">
        <v>11098.43</v>
      </c>
      <c r="E194" s="219">
        <v>1</v>
      </c>
      <c r="F194" s="205"/>
      <c r="G194" s="219"/>
      <c r="H194" s="219"/>
      <c r="I194" s="163"/>
      <c r="K194" s="224"/>
      <c r="L194" s="224"/>
      <c r="M194" s="224"/>
      <c r="O194" s="237"/>
      <c r="P194" s="237"/>
    </row>
    <row r="195" spans="2:16" x14ac:dyDescent="0.25">
      <c r="B195" s="188" t="s">
        <v>336</v>
      </c>
      <c r="C195" s="191">
        <v>43348</v>
      </c>
      <c r="D195" s="188">
        <v>19072.88</v>
      </c>
      <c r="E195" s="219">
        <v>1</v>
      </c>
      <c r="F195" s="205"/>
      <c r="G195" s="219"/>
      <c r="H195" s="219"/>
      <c r="I195" s="163"/>
      <c r="K195" s="224"/>
      <c r="L195" s="224"/>
      <c r="M195" s="224"/>
      <c r="O195" s="237"/>
      <c r="P195" s="237"/>
    </row>
    <row r="196" spans="2:16" x14ac:dyDescent="0.25">
      <c r="B196" s="188" t="s">
        <v>337</v>
      </c>
      <c r="C196" s="191">
        <v>43649</v>
      </c>
      <c r="D196" s="188">
        <v>7179.69</v>
      </c>
      <c r="E196" s="219">
        <v>1</v>
      </c>
      <c r="F196" s="205"/>
      <c r="G196" s="219"/>
      <c r="H196" s="219"/>
      <c r="I196" s="163"/>
      <c r="K196" s="224"/>
      <c r="L196" s="224"/>
      <c r="M196" s="224"/>
      <c r="O196" s="237"/>
      <c r="P196" s="237"/>
    </row>
    <row r="197" spans="2:16" x14ac:dyDescent="0.25">
      <c r="B197" s="188" t="s">
        <v>338</v>
      </c>
      <c r="C197" s="191">
        <v>43641</v>
      </c>
      <c r="D197" s="188">
        <v>6653.6</v>
      </c>
      <c r="E197" s="219">
        <v>1</v>
      </c>
      <c r="F197" s="205"/>
      <c r="G197" s="205"/>
      <c r="H197" s="205"/>
      <c r="K197" s="224"/>
      <c r="L197" s="224"/>
      <c r="M197" s="224"/>
      <c r="O197" s="235"/>
      <c r="P197" s="235"/>
    </row>
    <row r="198" spans="2:16" x14ac:dyDescent="0.25">
      <c r="B198" s="188" t="s">
        <v>339</v>
      </c>
      <c r="C198" s="191">
        <v>41904</v>
      </c>
      <c r="D198" s="188">
        <v>5684.71</v>
      </c>
      <c r="E198" s="219">
        <v>1</v>
      </c>
      <c r="F198" s="205"/>
      <c r="G198" s="205"/>
      <c r="H198" s="205"/>
      <c r="K198" s="224"/>
      <c r="L198" s="224"/>
      <c r="M198" s="224"/>
      <c r="O198" s="235"/>
      <c r="P198" s="235"/>
    </row>
    <row r="199" spans="2:16" x14ac:dyDescent="0.25">
      <c r="B199" s="188" t="s">
        <v>340</v>
      </c>
      <c r="C199" s="191">
        <v>43126</v>
      </c>
      <c r="D199" s="188">
        <v>25359.33</v>
      </c>
      <c r="E199" s="219">
        <v>1</v>
      </c>
      <c r="F199" s="205"/>
      <c r="G199" s="205"/>
      <c r="H199" s="205"/>
      <c r="K199" s="224"/>
      <c r="L199" s="224"/>
      <c r="M199" s="224"/>
      <c r="O199" s="235"/>
      <c r="P199" s="235"/>
    </row>
    <row r="200" spans="2:16" x14ac:dyDescent="0.25">
      <c r="B200" s="188" t="s">
        <v>341</v>
      </c>
      <c r="C200" s="191">
        <v>41904</v>
      </c>
      <c r="D200" s="188">
        <v>4598.12</v>
      </c>
      <c r="E200" s="219">
        <v>1</v>
      </c>
      <c r="F200" s="205"/>
      <c r="G200" s="205"/>
      <c r="H200" s="205"/>
      <c r="K200" s="224"/>
      <c r="L200" s="224"/>
      <c r="M200" s="224"/>
      <c r="O200" s="235"/>
      <c r="P200" s="235"/>
    </row>
    <row r="201" spans="2:16" x14ac:dyDescent="0.25">
      <c r="B201" s="188" t="s">
        <v>342</v>
      </c>
      <c r="C201" s="191">
        <v>42146</v>
      </c>
      <c r="D201" s="188">
        <v>12996.36</v>
      </c>
      <c r="E201" s="219">
        <v>1</v>
      </c>
      <c r="F201" s="205"/>
      <c r="G201" s="205"/>
      <c r="H201" s="205"/>
      <c r="K201" s="224"/>
      <c r="L201" s="224"/>
      <c r="M201" s="224"/>
      <c r="O201" s="235"/>
      <c r="P201" s="235"/>
    </row>
    <row r="202" spans="2:16" x14ac:dyDescent="0.25">
      <c r="B202" s="188" t="s">
        <v>343</v>
      </c>
      <c r="C202" s="191">
        <v>43131</v>
      </c>
      <c r="D202" s="188">
        <v>8207.27</v>
      </c>
      <c r="E202" s="219">
        <v>1</v>
      </c>
      <c r="F202" s="205"/>
      <c r="G202" s="205"/>
      <c r="H202" s="205"/>
      <c r="K202" s="224"/>
      <c r="L202" s="224"/>
      <c r="M202" s="224"/>
      <c r="O202" s="235"/>
      <c r="P202" s="235"/>
    </row>
    <row r="203" spans="2:16" x14ac:dyDescent="0.25">
      <c r="B203" s="188" t="s">
        <v>344</v>
      </c>
      <c r="C203" s="191">
        <v>42193</v>
      </c>
      <c r="D203" s="188">
        <v>9363.98</v>
      </c>
      <c r="E203" s="219">
        <v>1</v>
      </c>
      <c r="F203" s="205"/>
      <c r="G203" s="205"/>
      <c r="H203" s="205"/>
      <c r="K203" s="224"/>
      <c r="L203" s="224"/>
      <c r="M203" s="224"/>
      <c r="O203" s="235"/>
      <c r="P203" s="235"/>
    </row>
    <row r="204" spans="2:16" x14ac:dyDescent="0.25">
      <c r="B204" s="188" t="s">
        <v>345</v>
      </c>
      <c r="C204" s="191">
        <v>41948</v>
      </c>
      <c r="D204" s="188">
        <v>15682.48</v>
      </c>
      <c r="E204" s="219">
        <v>1</v>
      </c>
      <c r="F204" s="205"/>
      <c r="G204" s="205"/>
      <c r="H204" s="205"/>
      <c r="K204" s="224"/>
      <c r="L204" s="224"/>
      <c r="M204" s="224"/>
      <c r="O204" s="235"/>
      <c r="P204" s="235"/>
    </row>
    <row r="205" spans="2:16" x14ac:dyDescent="0.25">
      <c r="B205" s="188" t="s">
        <v>346</v>
      </c>
      <c r="C205" s="191">
        <v>42520</v>
      </c>
      <c r="D205" s="188">
        <v>31469.57</v>
      </c>
      <c r="E205" s="219">
        <v>1</v>
      </c>
      <c r="F205" s="205"/>
      <c r="G205" s="205"/>
      <c r="H205" s="205"/>
      <c r="K205" s="224"/>
      <c r="L205" s="224"/>
      <c r="M205" s="224"/>
      <c r="O205" s="235"/>
      <c r="P205" s="235"/>
    </row>
    <row r="206" spans="2:16" x14ac:dyDescent="0.25">
      <c r="B206" s="188" t="s">
        <v>347</v>
      </c>
      <c r="C206" s="191">
        <v>43125</v>
      </c>
      <c r="D206" s="188">
        <v>16687.3</v>
      </c>
      <c r="E206" s="219">
        <v>1</v>
      </c>
      <c r="F206" s="205"/>
      <c r="G206" s="205"/>
      <c r="H206" s="205"/>
      <c r="K206" s="224"/>
      <c r="L206" s="224"/>
      <c r="M206" s="224"/>
      <c r="O206" s="235"/>
      <c r="P206" s="235"/>
    </row>
    <row r="207" spans="2:16" x14ac:dyDescent="0.25">
      <c r="B207" s="188" t="s">
        <v>348</v>
      </c>
      <c r="C207" s="191">
        <v>42460</v>
      </c>
      <c r="D207" s="188">
        <v>25683.33</v>
      </c>
      <c r="E207" s="219">
        <v>1</v>
      </c>
      <c r="F207" s="205"/>
      <c r="G207" s="205"/>
      <c r="H207" s="205"/>
      <c r="K207" s="224"/>
      <c r="L207" s="224"/>
      <c r="M207" s="224"/>
      <c r="O207" s="235"/>
      <c r="P207" s="235"/>
    </row>
    <row r="208" spans="2:16" x14ac:dyDescent="0.25">
      <c r="B208" s="188" t="s">
        <v>349</v>
      </c>
      <c r="C208" s="191">
        <v>43342</v>
      </c>
      <c r="D208" s="188">
        <v>51140.160000000003</v>
      </c>
      <c r="E208" s="219">
        <v>1</v>
      </c>
      <c r="F208" s="205"/>
      <c r="G208" s="205"/>
      <c r="H208" s="205"/>
      <c r="K208" s="224"/>
      <c r="L208" s="224"/>
      <c r="M208" s="224"/>
      <c r="O208" s="235"/>
      <c r="P208" s="235"/>
    </row>
    <row r="209" spans="2:5" x14ac:dyDescent="0.25">
      <c r="B209" s="188" t="s">
        <v>350</v>
      </c>
      <c r="C209" s="191">
        <v>42521</v>
      </c>
      <c r="D209" s="188">
        <v>12168.93</v>
      </c>
      <c r="E209" s="219">
        <v>1</v>
      </c>
    </row>
    <row r="210" spans="2:5" x14ac:dyDescent="0.25">
      <c r="B210" s="188" t="s">
        <v>351</v>
      </c>
      <c r="C210" s="191">
        <v>42117</v>
      </c>
      <c r="D210" s="188">
        <v>27409.74</v>
      </c>
      <c r="E210" s="219">
        <v>1</v>
      </c>
    </row>
    <row r="211" spans="2:5" x14ac:dyDescent="0.25">
      <c r="B211" s="188" t="s">
        <v>352</v>
      </c>
      <c r="C211" s="191">
        <v>42030</v>
      </c>
      <c r="D211" s="188">
        <v>36618.99</v>
      </c>
      <c r="E211" s="219">
        <v>1</v>
      </c>
    </row>
    <row r="212" spans="2:5" x14ac:dyDescent="0.25">
      <c r="B212" s="188" t="s">
        <v>353</v>
      </c>
      <c r="C212" s="191">
        <v>43220</v>
      </c>
      <c r="D212" s="188">
        <v>34255.11</v>
      </c>
      <c r="E212" s="219">
        <v>1</v>
      </c>
    </row>
    <row r="213" spans="2:5" x14ac:dyDescent="0.25">
      <c r="B213" s="188" t="s">
        <v>354</v>
      </c>
      <c r="C213" s="191">
        <v>43166</v>
      </c>
      <c r="D213" s="188">
        <v>15441.01</v>
      </c>
      <c r="E213" s="219">
        <v>1</v>
      </c>
    </row>
    <row r="214" spans="2:5" x14ac:dyDescent="0.25">
      <c r="B214" s="188" t="s">
        <v>355</v>
      </c>
      <c r="C214" s="191">
        <v>43662</v>
      </c>
      <c r="D214" s="188">
        <v>123499.43</v>
      </c>
      <c r="E214" s="219">
        <v>1</v>
      </c>
    </row>
    <row r="215" spans="2:5" x14ac:dyDescent="0.25">
      <c r="B215" s="188" t="s">
        <v>356</v>
      </c>
      <c r="C215" s="191">
        <v>42655</v>
      </c>
      <c r="D215" s="188">
        <v>9116.6</v>
      </c>
      <c r="E215" s="219">
        <v>1</v>
      </c>
    </row>
    <row r="216" spans="2:5" x14ac:dyDescent="0.25">
      <c r="B216" s="188" t="s">
        <v>357</v>
      </c>
      <c r="C216" s="191">
        <v>43627</v>
      </c>
      <c r="D216" s="188">
        <v>9352.09</v>
      </c>
      <c r="E216" s="219">
        <v>1</v>
      </c>
    </row>
    <row r="217" spans="2:5" x14ac:dyDescent="0.25">
      <c r="B217" s="188" t="s">
        <v>358</v>
      </c>
      <c r="C217" s="191">
        <v>42122</v>
      </c>
      <c r="D217" s="188">
        <v>15553.66</v>
      </c>
      <c r="E217" s="219">
        <v>1</v>
      </c>
    </row>
    <row r="218" spans="2:5" x14ac:dyDescent="0.25">
      <c r="B218" s="188" t="s">
        <v>359</v>
      </c>
      <c r="C218" s="191">
        <v>43165</v>
      </c>
      <c r="D218" s="188">
        <v>14437.3</v>
      </c>
      <c r="E218" s="219">
        <v>1</v>
      </c>
    </row>
    <row r="219" spans="2:5" x14ac:dyDescent="0.25">
      <c r="B219" s="188" t="s">
        <v>360</v>
      </c>
      <c r="C219" s="191">
        <v>43587</v>
      </c>
      <c r="D219" s="188">
        <v>21217.81</v>
      </c>
      <c r="E219" s="219">
        <v>1</v>
      </c>
    </row>
    <row r="220" spans="2:5" x14ac:dyDescent="0.25">
      <c r="B220" s="188" t="s">
        <v>361</v>
      </c>
      <c r="C220" s="191">
        <v>43165</v>
      </c>
      <c r="D220" s="188">
        <v>15182</v>
      </c>
      <c r="E220" s="219">
        <v>1</v>
      </c>
    </row>
    <row r="221" spans="2:5" x14ac:dyDescent="0.25">
      <c r="B221" s="188" t="s">
        <v>362</v>
      </c>
      <c r="C221" s="191">
        <v>42374</v>
      </c>
      <c r="D221" s="188">
        <v>13453.03</v>
      </c>
      <c r="E221" s="219">
        <v>1</v>
      </c>
    </row>
    <row r="222" spans="2:5" x14ac:dyDescent="0.25">
      <c r="B222" s="188" t="s">
        <v>363</v>
      </c>
      <c r="C222" s="191">
        <v>42303</v>
      </c>
      <c r="D222" s="188">
        <v>7915.02</v>
      </c>
      <c r="E222" s="219">
        <v>1</v>
      </c>
    </row>
    <row r="223" spans="2:5" x14ac:dyDescent="0.25">
      <c r="B223" s="188" t="s">
        <v>364</v>
      </c>
      <c r="C223" s="191">
        <v>42310</v>
      </c>
      <c r="D223" s="188">
        <v>11222.21</v>
      </c>
      <c r="E223" s="219">
        <v>1</v>
      </c>
    </row>
    <row r="224" spans="2:5" x14ac:dyDescent="0.25">
      <c r="B224" s="188" t="s">
        <v>365</v>
      </c>
      <c r="C224" s="191">
        <v>42877</v>
      </c>
      <c r="D224" s="188">
        <v>12232.01</v>
      </c>
      <c r="E224" s="219">
        <v>1</v>
      </c>
    </row>
    <row r="225" spans="2:5" x14ac:dyDescent="0.25">
      <c r="B225" s="188" t="s">
        <v>366</v>
      </c>
      <c r="C225" s="191">
        <v>42222</v>
      </c>
      <c r="D225" s="188">
        <v>28083.96</v>
      </c>
      <c r="E225" s="219">
        <v>1</v>
      </c>
    </row>
    <row r="226" spans="2:5" x14ac:dyDescent="0.25">
      <c r="B226" s="188" t="s">
        <v>367</v>
      </c>
      <c r="C226" s="191">
        <v>41947</v>
      </c>
      <c r="D226" s="188">
        <v>7127.6</v>
      </c>
      <c r="E226" s="219">
        <v>1</v>
      </c>
    </row>
    <row r="227" spans="2:5" x14ac:dyDescent="0.25">
      <c r="B227" s="188" t="s">
        <v>368</v>
      </c>
      <c r="C227" s="191">
        <v>43255</v>
      </c>
      <c r="D227" s="188">
        <v>30300.78</v>
      </c>
      <c r="E227" s="219">
        <v>1</v>
      </c>
    </row>
    <row r="228" spans="2:5" x14ac:dyDescent="0.25">
      <c r="B228" s="188" t="s">
        <v>369</v>
      </c>
      <c r="C228" s="191">
        <v>43563</v>
      </c>
      <c r="D228" s="188">
        <v>6623.77</v>
      </c>
      <c r="E228" s="219">
        <v>1</v>
      </c>
    </row>
    <row r="229" spans="2:5" x14ac:dyDescent="0.25">
      <c r="B229" s="188" t="s">
        <v>370</v>
      </c>
      <c r="C229" s="191">
        <v>43126</v>
      </c>
      <c r="D229" s="188">
        <v>12900.1</v>
      </c>
      <c r="E229" s="219">
        <v>1</v>
      </c>
    </row>
    <row r="230" spans="2:5" x14ac:dyDescent="0.25">
      <c r="B230" s="188" t="s">
        <v>371</v>
      </c>
      <c r="C230" s="191">
        <v>42520</v>
      </c>
      <c r="D230" s="188">
        <v>26408.99</v>
      </c>
      <c r="E230" s="219">
        <v>1</v>
      </c>
    </row>
    <row r="231" spans="2:5" x14ac:dyDescent="0.25">
      <c r="B231" s="188" t="s">
        <v>372</v>
      </c>
      <c r="C231" s="191">
        <v>42069</v>
      </c>
      <c r="D231" s="188">
        <v>31823.85</v>
      </c>
      <c r="E231" s="219">
        <v>1</v>
      </c>
    </row>
    <row r="232" spans="2:5" x14ac:dyDescent="0.25">
      <c r="B232" s="188" t="s">
        <v>373</v>
      </c>
      <c r="C232" s="191">
        <v>43060</v>
      </c>
      <c r="D232" s="188">
        <v>47173.61</v>
      </c>
      <c r="E232" s="219">
        <v>1</v>
      </c>
    </row>
    <row r="233" spans="2:5" x14ac:dyDescent="0.25">
      <c r="B233" s="188" t="s">
        <v>374</v>
      </c>
      <c r="C233" s="191">
        <v>42122</v>
      </c>
      <c r="D233" s="188">
        <v>13908.83</v>
      </c>
      <c r="E233" s="219">
        <v>1</v>
      </c>
    </row>
    <row r="234" spans="2:5" x14ac:dyDescent="0.25">
      <c r="B234" s="188" t="s">
        <v>375</v>
      </c>
      <c r="C234" s="191">
        <v>43125</v>
      </c>
      <c r="D234" s="188">
        <v>11736.27</v>
      </c>
      <c r="E234" s="219">
        <v>1</v>
      </c>
    </row>
    <row r="235" spans="2:5" x14ac:dyDescent="0.25">
      <c r="B235" s="188" t="s">
        <v>376</v>
      </c>
      <c r="C235" s="191">
        <v>42222</v>
      </c>
      <c r="D235" s="188">
        <v>26117.47</v>
      </c>
      <c r="E235" s="219">
        <v>1</v>
      </c>
    </row>
    <row r="236" spans="2:5" x14ac:dyDescent="0.25">
      <c r="B236" s="188" t="s">
        <v>377</v>
      </c>
      <c r="C236" s="191">
        <v>41904</v>
      </c>
      <c r="D236" s="188">
        <v>6904.09</v>
      </c>
      <c r="E236" s="219">
        <v>1</v>
      </c>
    </row>
    <row r="237" spans="2:5" x14ac:dyDescent="0.25">
      <c r="B237" s="188" t="s">
        <v>378</v>
      </c>
      <c r="C237" s="191">
        <v>43060</v>
      </c>
      <c r="D237" s="188">
        <v>23850.18</v>
      </c>
      <c r="E237" s="219">
        <v>1</v>
      </c>
    </row>
    <row r="238" spans="2:5" x14ac:dyDescent="0.25">
      <c r="B238" s="188" t="s">
        <v>379</v>
      </c>
      <c r="C238" s="191">
        <v>43165</v>
      </c>
      <c r="D238" s="188">
        <v>15739.25</v>
      </c>
      <c r="E238" s="219">
        <v>1</v>
      </c>
    </row>
    <row r="239" spans="2:5" x14ac:dyDescent="0.25">
      <c r="B239" s="188" t="s">
        <v>380</v>
      </c>
      <c r="C239" s="191">
        <v>43060</v>
      </c>
      <c r="D239" s="188">
        <v>20575.990000000002</v>
      </c>
      <c r="E239" s="219">
        <v>1</v>
      </c>
    </row>
    <row r="240" spans="2:5" x14ac:dyDescent="0.25">
      <c r="B240" s="188" t="s">
        <v>381</v>
      </c>
      <c r="C240" s="191">
        <v>41904</v>
      </c>
      <c r="D240" s="188">
        <v>6817.36</v>
      </c>
      <c r="E240" s="219">
        <v>1</v>
      </c>
    </row>
    <row r="241" spans="2:5" x14ac:dyDescent="0.25">
      <c r="B241" s="188" t="s">
        <v>382</v>
      </c>
      <c r="C241" s="191">
        <v>43060</v>
      </c>
      <c r="D241" s="188">
        <v>21366.95</v>
      </c>
      <c r="E241" s="219">
        <v>1</v>
      </c>
    </row>
    <row r="242" spans="2:5" x14ac:dyDescent="0.25">
      <c r="B242" s="188" t="s">
        <v>383</v>
      </c>
      <c r="C242" s="191">
        <v>43125</v>
      </c>
      <c r="D242" s="188">
        <v>15343.72</v>
      </c>
      <c r="E242" s="219">
        <v>1</v>
      </c>
    </row>
    <row r="243" spans="2:5" x14ac:dyDescent="0.25">
      <c r="B243" s="188" t="s">
        <v>384</v>
      </c>
      <c r="C243" s="191">
        <v>43125</v>
      </c>
      <c r="D243" s="188">
        <v>18705.11</v>
      </c>
      <c r="E243" s="219">
        <v>1</v>
      </c>
    </row>
    <row r="244" spans="2:5" x14ac:dyDescent="0.25">
      <c r="B244" s="188" t="s">
        <v>385</v>
      </c>
      <c r="C244" s="191">
        <v>43696</v>
      </c>
      <c r="D244" s="188">
        <v>60675.241162830003</v>
      </c>
      <c r="E244" s="219">
        <v>1</v>
      </c>
    </row>
    <row r="245" spans="2:5" x14ac:dyDescent="0.25">
      <c r="B245" s="188" t="s">
        <v>386</v>
      </c>
      <c r="C245" s="191">
        <v>37469</v>
      </c>
      <c r="D245" s="188">
        <v>394.88</v>
      </c>
      <c r="E245" s="219">
        <v>1</v>
      </c>
    </row>
    <row r="246" spans="2:5" x14ac:dyDescent="0.25">
      <c r="B246" s="188" t="s">
        <v>387</v>
      </c>
      <c r="C246" s="191">
        <v>37469</v>
      </c>
      <c r="D246" s="188">
        <v>394.88</v>
      </c>
      <c r="E246" s="219">
        <v>1</v>
      </c>
    </row>
    <row r="247" spans="2:5" x14ac:dyDescent="0.25">
      <c r="B247" s="188" t="s">
        <v>388</v>
      </c>
      <c r="C247" s="191">
        <v>38665</v>
      </c>
      <c r="D247" s="188">
        <v>225.62</v>
      </c>
      <c r="E247" s="219">
        <v>1</v>
      </c>
    </row>
    <row r="248" spans="2:5" x14ac:dyDescent="0.25">
      <c r="B248" s="188" t="s">
        <v>389</v>
      </c>
      <c r="C248" s="191">
        <v>38665</v>
      </c>
      <c r="D248" s="188">
        <v>225.62</v>
      </c>
      <c r="E248" s="219">
        <v>1</v>
      </c>
    </row>
    <row r="249" spans="2:5" x14ac:dyDescent="0.25">
      <c r="B249" s="188" t="s">
        <v>390</v>
      </c>
      <c r="C249" s="191">
        <v>38624</v>
      </c>
      <c r="D249" s="188">
        <v>173.45</v>
      </c>
      <c r="E249" s="219">
        <v>1</v>
      </c>
    </row>
    <row r="250" spans="2:5" x14ac:dyDescent="0.25">
      <c r="B250" s="188" t="s">
        <v>391</v>
      </c>
      <c r="C250" s="191">
        <v>38624</v>
      </c>
      <c r="D250" s="188">
        <v>173.45</v>
      </c>
      <c r="E250" s="219">
        <v>1</v>
      </c>
    </row>
    <row r="251" spans="2:5" x14ac:dyDescent="0.25">
      <c r="B251" s="188" t="s">
        <v>392</v>
      </c>
      <c r="C251" s="191">
        <v>38027</v>
      </c>
      <c r="D251" s="188">
        <v>108.65</v>
      </c>
      <c r="E251" s="219">
        <v>1</v>
      </c>
    </row>
    <row r="252" spans="2:5" x14ac:dyDescent="0.25">
      <c r="B252" s="188" t="s">
        <v>393</v>
      </c>
      <c r="C252" s="191">
        <v>37757</v>
      </c>
      <c r="D252" s="188">
        <v>125</v>
      </c>
      <c r="E252" s="219">
        <v>1</v>
      </c>
    </row>
    <row r="253" spans="2:5" x14ac:dyDescent="0.25">
      <c r="B253" s="188" t="s">
        <v>394</v>
      </c>
      <c r="C253" s="191">
        <v>38006</v>
      </c>
      <c r="D253" s="188">
        <v>106.83</v>
      </c>
      <c r="E253" s="219">
        <v>1</v>
      </c>
    </row>
    <row r="254" spans="2:5" x14ac:dyDescent="0.25">
      <c r="B254" s="188" t="s">
        <v>395</v>
      </c>
      <c r="C254" s="191">
        <v>38715</v>
      </c>
      <c r="D254" s="188">
        <v>508.88</v>
      </c>
      <c r="E254" s="219">
        <v>1</v>
      </c>
    </row>
    <row r="255" spans="2:5" x14ac:dyDescent="0.25">
      <c r="B255" s="188" t="s">
        <v>396</v>
      </c>
      <c r="C255" s="191">
        <v>38715</v>
      </c>
      <c r="D255" s="188">
        <v>510.55</v>
      </c>
      <c r="E255" s="219">
        <v>1</v>
      </c>
    </row>
    <row r="256" spans="2:5" x14ac:dyDescent="0.25">
      <c r="B256" s="188" t="s">
        <v>397</v>
      </c>
      <c r="C256" s="191">
        <v>38260</v>
      </c>
      <c r="D256" s="188">
        <v>730.16</v>
      </c>
      <c r="E256" s="219">
        <v>1</v>
      </c>
    </row>
    <row r="257" spans="2:5" x14ac:dyDescent="0.25">
      <c r="B257" s="188" t="s">
        <v>398</v>
      </c>
      <c r="C257" s="191">
        <v>38716</v>
      </c>
      <c r="D257" s="188">
        <v>250.34</v>
      </c>
      <c r="E257" s="219">
        <v>1</v>
      </c>
    </row>
    <row r="258" spans="2:5" x14ac:dyDescent="0.25">
      <c r="B258" s="188" t="s">
        <v>399</v>
      </c>
      <c r="C258" s="191">
        <v>38716</v>
      </c>
      <c r="D258" s="188">
        <v>250.34</v>
      </c>
      <c r="E258" s="219">
        <v>1</v>
      </c>
    </row>
    <row r="259" spans="2:5" x14ac:dyDescent="0.25">
      <c r="B259" s="188" t="s">
        <v>400</v>
      </c>
      <c r="C259" s="191">
        <v>38713</v>
      </c>
      <c r="D259" s="188">
        <v>185.77</v>
      </c>
      <c r="E259" s="219">
        <v>1</v>
      </c>
    </row>
    <row r="260" spans="2:5" x14ac:dyDescent="0.25">
      <c r="B260" s="188" t="s">
        <v>401</v>
      </c>
      <c r="C260" s="191">
        <v>38713</v>
      </c>
      <c r="D260" s="188">
        <v>232.72</v>
      </c>
      <c r="E260" s="219">
        <v>1</v>
      </c>
    </row>
    <row r="261" spans="2:5" x14ac:dyDescent="0.25">
      <c r="B261" s="188" t="s">
        <v>402</v>
      </c>
      <c r="C261" s="191">
        <v>38713</v>
      </c>
      <c r="D261" s="188">
        <v>137.76</v>
      </c>
      <c r="E261" s="219">
        <v>1</v>
      </c>
    </row>
    <row r="262" spans="2:5" x14ac:dyDescent="0.25">
      <c r="B262" s="188" t="s">
        <v>403</v>
      </c>
      <c r="C262" s="191">
        <v>38713</v>
      </c>
      <c r="D262" s="188">
        <v>141.75</v>
      </c>
      <c r="E262" s="219">
        <v>1</v>
      </c>
    </row>
    <row r="263" spans="2:5" x14ac:dyDescent="0.25">
      <c r="B263" s="188" t="s">
        <v>404</v>
      </c>
      <c r="C263" s="191">
        <v>38370</v>
      </c>
      <c r="D263" s="188">
        <v>242.71</v>
      </c>
      <c r="E263" s="219">
        <v>1</v>
      </c>
    </row>
    <row r="264" spans="2:5" x14ac:dyDescent="0.25">
      <c r="B264" s="188" t="s">
        <v>405</v>
      </c>
      <c r="C264" s="191">
        <v>38706</v>
      </c>
      <c r="D264" s="188">
        <v>128.63</v>
      </c>
      <c r="E264" s="219">
        <v>1</v>
      </c>
    </row>
    <row r="265" spans="2:5" x14ac:dyDescent="0.25">
      <c r="B265" s="188" t="s">
        <v>406</v>
      </c>
      <c r="C265" s="191">
        <v>38705</v>
      </c>
      <c r="D265" s="188">
        <v>217.85</v>
      </c>
      <c r="E265" s="219">
        <v>1</v>
      </c>
    </row>
    <row r="266" spans="2:5" x14ac:dyDescent="0.25">
      <c r="B266" s="188" t="s">
        <v>407</v>
      </c>
      <c r="C266" s="191">
        <v>42129</v>
      </c>
      <c r="D266" s="188">
        <v>1211.2244297899999</v>
      </c>
      <c r="E266" s="219">
        <v>1</v>
      </c>
    </row>
    <row r="267" spans="2:5" x14ac:dyDescent="0.25">
      <c r="B267" s="188" t="s">
        <v>408</v>
      </c>
      <c r="C267" s="191">
        <v>42552</v>
      </c>
      <c r="D267" s="188">
        <v>532.75119029999996</v>
      </c>
      <c r="E267" s="219">
        <v>1</v>
      </c>
    </row>
    <row r="268" spans="2:5" x14ac:dyDescent="0.25">
      <c r="B268" s="188" t="s">
        <v>409</v>
      </c>
      <c r="C268" s="191">
        <v>39329</v>
      </c>
      <c r="D268" s="188">
        <v>321.83999999999997</v>
      </c>
      <c r="E268" s="219">
        <v>1</v>
      </c>
    </row>
    <row r="269" spans="2:5" x14ac:dyDescent="0.25">
      <c r="B269" s="188" t="s">
        <v>410</v>
      </c>
      <c r="C269" s="191">
        <v>40577</v>
      </c>
      <c r="D269" s="188">
        <v>493.46</v>
      </c>
      <c r="E269" s="219">
        <v>1</v>
      </c>
    </row>
    <row r="270" spans="2:5" x14ac:dyDescent="0.25">
      <c r="B270" s="188" t="s">
        <v>411</v>
      </c>
      <c r="C270" s="191">
        <v>39618</v>
      </c>
      <c r="D270" s="188">
        <v>303</v>
      </c>
      <c r="E270" s="219">
        <v>1</v>
      </c>
    </row>
    <row r="271" spans="2:5" x14ac:dyDescent="0.25">
      <c r="B271" s="188" t="s">
        <v>412</v>
      </c>
      <c r="C271" s="191">
        <v>39394</v>
      </c>
      <c r="D271" s="188">
        <v>363.69</v>
      </c>
      <c r="E271" s="219">
        <v>1</v>
      </c>
    </row>
    <row r="272" spans="2:5" x14ac:dyDescent="0.25">
      <c r="B272" s="188" t="s">
        <v>413</v>
      </c>
      <c r="C272" s="191">
        <v>40478</v>
      </c>
      <c r="D272" s="188">
        <v>148.34</v>
      </c>
      <c r="E272" s="219">
        <v>1</v>
      </c>
    </row>
    <row r="273" spans="2:5" x14ac:dyDescent="0.25">
      <c r="B273" s="188" t="s">
        <v>414</v>
      </c>
      <c r="C273" s="191">
        <v>42552</v>
      </c>
      <c r="D273" s="188">
        <v>1062.7544994699999</v>
      </c>
      <c r="E273" s="219">
        <v>1</v>
      </c>
    </row>
    <row r="274" spans="2:5" x14ac:dyDescent="0.25">
      <c r="B274" s="10" t="s">
        <v>415</v>
      </c>
      <c r="C274" s="126">
        <v>42227</v>
      </c>
      <c r="D274" s="10">
        <v>4757.8587041199999</v>
      </c>
      <c r="E274" s="10">
        <v>1</v>
      </c>
    </row>
    <row r="275" spans="2:5" x14ac:dyDescent="0.25">
      <c r="B275" s="10" t="s">
        <v>416</v>
      </c>
      <c r="C275" s="126">
        <v>42550</v>
      </c>
      <c r="D275" s="10">
        <v>147.67885862</v>
      </c>
      <c r="E275" s="10">
        <v>1</v>
      </c>
    </row>
    <row r="276" spans="2:5" x14ac:dyDescent="0.25">
      <c r="B276" s="10" t="s">
        <v>417</v>
      </c>
      <c r="C276" s="126">
        <v>39618</v>
      </c>
      <c r="D276" s="10">
        <v>562.29</v>
      </c>
      <c r="E276" s="10">
        <v>1</v>
      </c>
    </row>
    <row r="277" spans="2:5" x14ac:dyDescent="0.25">
      <c r="B277" s="10" t="s">
        <v>418</v>
      </c>
      <c r="C277" s="126">
        <v>39394</v>
      </c>
      <c r="D277" s="10">
        <v>363.69</v>
      </c>
      <c r="E277" s="10">
        <v>1</v>
      </c>
    </row>
    <row r="278" spans="2:5" x14ac:dyDescent="0.25">
      <c r="B278" s="10" t="s">
        <v>419</v>
      </c>
      <c r="C278" s="126">
        <v>42227</v>
      </c>
      <c r="D278" s="10">
        <v>4215.8333879900001</v>
      </c>
      <c r="E278" s="10">
        <v>1</v>
      </c>
    </row>
    <row r="279" spans="2:5" x14ac:dyDescent="0.25">
      <c r="B279" s="10" t="s">
        <v>420</v>
      </c>
      <c r="C279" s="126">
        <v>41277</v>
      </c>
      <c r="D279" s="10">
        <v>2807.39</v>
      </c>
      <c r="E279" s="10">
        <v>1</v>
      </c>
    </row>
    <row r="280" spans="2:5" x14ac:dyDescent="0.25">
      <c r="B280" s="10" t="s">
        <v>421</v>
      </c>
      <c r="C280" s="126">
        <v>41283</v>
      </c>
      <c r="D280" s="10">
        <v>2316.58</v>
      </c>
      <c r="E280" s="10">
        <v>1</v>
      </c>
    </row>
    <row r="281" spans="2:5" x14ac:dyDescent="0.25">
      <c r="B281" s="10" t="s">
        <v>422</v>
      </c>
      <c r="C281" s="126">
        <v>42550</v>
      </c>
      <c r="D281" s="10">
        <v>130.66139737</v>
      </c>
      <c r="E281" s="10">
        <v>1</v>
      </c>
    </row>
    <row r="282" spans="2:5" x14ac:dyDescent="0.25">
      <c r="B282" s="10" t="s">
        <v>423</v>
      </c>
      <c r="C282" s="126">
        <v>41281</v>
      </c>
      <c r="D282" s="10">
        <v>3365.22</v>
      </c>
      <c r="E282" s="10">
        <v>1</v>
      </c>
    </row>
    <row r="283" spans="2:5" x14ac:dyDescent="0.25">
      <c r="B283" s="10" t="s">
        <v>424</v>
      </c>
      <c r="C283" s="126">
        <v>42110</v>
      </c>
      <c r="D283" s="10">
        <v>522.89537319999999</v>
      </c>
      <c r="E283" s="10">
        <v>1</v>
      </c>
    </row>
    <row r="284" spans="2:5" x14ac:dyDescent="0.25">
      <c r="B284" s="10" t="s">
        <v>425</v>
      </c>
      <c r="C284" s="126">
        <v>42117</v>
      </c>
      <c r="D284" s="10">
        <v>650.14363865999997</v>
      </c>
      <c r="E284" s="10">
        <v>1</v>
      </c>
    </row>
    <row r="285" spans="2:5" x14ac:dyDescent="0.25">
      <c r="B285" s="10" t="s">
        <v>426</v>
      </c>
      <c r="C285" s="126">
        <v>42479</v>
      </c>
      <c r="D285" s="10">
        <v>517.55154836999998</v>
      </c>
      <c r="E285" s="10">
        <v>1</v>
      </c>
    </row>
    <row r="286" spans="2:5" x14ac:dyDescent="0.25">
      <c r="B286" s="10" t="s">
        <v>427</v>
      </c>
      <c r="C286" s="126">
        <v>42110</v>
      </c>
      <c r="D286" s="10">
        <v>419.85620591000003</v>
      </c>
      <c r="E286" s="10">
        <v>1</v>
      </c>
    </row>
    <row r="287" spans="2:5" x14ac:dyDescent="0.25">
      <c r="B287" s="10" t="s">
        <v>428</v>
      </c>
      <c r="C287" s="126">
        <v>41444</v>
      </c>
      <c r="D287" s="10">
        <v>1386.8</v>
      </c>
      <c r="E287" s="10">
        <v>1</v>
      </c>
    </row>
    <row r="288" spans="2:5" x14ac:dyDescent="0.25">
      <c r="B288" s="10" t="s">
        <v>429</v>
      </c>
      <c r="C288" s="126">
        <v>42030</v>
      </c>
      <c r="D288" s="10">
        <v>227.86509369000001</v>
      </c>
      <c r="E288" s="10">
        <v>1</v>
      </c>
    </row>
    <row r="289" spans="2:5" x14ac:dyDescent="0.25">
      <c r="B289" s="10" t="s">
        <v>430</v>
      </c>
      <c r="C289" s="126">
        <v>39604</v>
      </c>
      <c r="D289" s="10">
        <v>233.37</v>
      </c>
      <c r="E289" s="10">
        <v>1</v>
      </c>
    </row>
    <row r="290" spans="2:5" x14ac:dyDescent="0.25">
      <c r="B290" s="10" t="s">
        <v>431</v>
      </c>
      <c r="C290" s="126">
        <v>42339</v>
      </c>
      <c r="D290" s="10">
        <v>487.53221783999999</v>
      </c>
      <c r="E290" s="10">
        <v>1</v>
      </c>
    </row>
    <row r="291" spans="2:5" x14ac:dyDescent="0.25">
      <c r="B291" s="10" t="s">
        <v>432</v>
      </c>
      <c r="C291" s="126">
        <v>38866</v>
      </c>
      <c r="D291" s="10">
        <v>203.88</v>
      </c>
      <c r="E291" s="10">
        <v>1</v>
      </c>
    </row>
  </sheetData>
  <pageMargins left="0.70866141732283472" right="0.70866141732283472" top="0.74803149606299213" bottom="0.74803149606299213" header="0.31496062992125984" footer="0.31496062992125984"/>
  <pageSetup paperSize="9" scale="81"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62"/>
  <sheetViews>
    <sheetView zoomScaleNormal="100" workbookViewId="0">
      <selection activeCell="A24" sqref="A24:I58"/>
    </sheetView>
  </sheetViews>
  <sheetFormatPr defaultColWidth="9.109375" defaultRowHeight="13.2" x14ac:dyDescent="0.25"/>
  <cols>
    <col min="1" max="1" width="39.88671875" style="10" customWidth="1"/>
    <col min="2" max="2" width="17.88671875" style="10" bestFit="1" customWidth="1"/>
    <col min="3" max="3" width="15" style="10" bestFit="1" customWidth="1"/>
    <col min="4" max="4" width="11.44140625" style="10" bestFit="1" customWidth="1"/>
    <col min="5" max="5" width="10.5546875" style="10" bestFit="1" customWidth="1"/>
    <col min="6" max="6" width="13.44140625" style="10" bestFit="1" customWidth="1"/>
    <col min="7" max="7" width="11.109375" style="10" bestFit="1" customWidth="1"/>
    <col min="8" max="9" width="11.33203125" style="10" bestFit="1" customWidth="1"/>
    <col min="10" max="10" width="10.33203125" style="10" bestFit="1" customWidth="1"/>
    <col min="11" max="16384" width="9.109375" style="10"/>
  </cols>
  <sheetData>
    <row r="1" spans="1:13" s="35" customFormat="1" x14ac:dyDescent="0.25">
      <c r="A1" s="61"/>
    </row>
    <row r="2" spans="1:13" s="56" customFormat="1" x14ac:dyDescent="0.25">
      <c r="F2" s="397"/>
      <c r="G2" s="397"/>
      <c r="H2" s="397"/>
      <c r="I2" s="397"/>
    </row>
    <row r="3" spans="1:13" s="56" customFormat="1" x14ac:dyDescent="0.25">
      <c r="B3" s="11"/>
      <c r="C3" s="24"/>
      <c r="D3" s="11"/>
      <c r="E3" s="24"/>
      <c r="G3" s="24"/>
      <c r="I3" s="24"/>
      <c r="K3" s="10"/>
    </row>
    <row r="4" spans="1:13" x14ac:dyDescent="0.25">
      <c r="B4" s="27"/>
      <c r="C4" s="48"/>
      <c r="D4" s="27"/>
      <c r="E4" s="48"/>
      <c r="G4" s="48"/>
      <c r="I4" s="48"/>
      <c r="J4" s="44"/>
    </row>
    <row r="5" spans="1:13" x14ac:dyDescent="0.25">
      <c r="B5" s="27"/>
      <c r="C5" s="48"/>
      <c r="D5" s="27"/>
      <c r="E5" s="48"/>
      <c r="G5" s="48"/>
      <c r="I5" s="48"/>
      <c r="J5" s="44"/>
    </row>
    <row r="6" spans="1:13" x14ac:dyDescent="0.25">
      <c r="B6" s="57"/>
      <c r="C6" s="48"/>
      <c r="D6" s="57"/>
      <c r="E6" s="48"/>
      <c r="G6" s="48"/>
      <c r="I6" s="48"/>
      <c r="J6" s="44"/>
    </row>
    <row r="7" spans="1:13" x14ac:dyDescent="0.25">
      <c r="B7" s="57"/>
      <c r="C7" s="48"/>
      <c r="D7" s="57"/>
      <c r="E7" s="48"/>
      <c r="G7" s="48"/>
      <c r="I7" s="48"/>
    </row>
    <row r="8" spans="1:13" x14ac:dyDescent="0.25">
      <c r="A8" s="18"/>
      <c r="B8" s="18"/>
      <c r="D8" s="27"/>
      <c r="E8" s="49"/>
    </row>
    <row r="9" spans="1:13" x14ac:dyDescent="0.25">
      <c r="A9" s="18"/>
      <c r="B9" s="36"/>
      <c r="J9" s="27"/>
    </row>
    <row r="10" spans="1:13" x14ac:dyDescent="0.25">
      <c r="J10" s="27"/>
    </row>
    <row r="11" spans="1:13" x14ac:dyDescent="0.25">
      <c r="A11" s="35"/>
      <c r="J11" s="27"/>
      <c r="K11" s="27"/>
    </row>
    <row r="12" spans="1:13" s="56" customFormat="1" x14ac:dyDescent="0.25">
      <c r="J12" s="33"/>
      <c r="K12" s="33"/>
    </row>
    <row r="13" spans="1:13" s="56" customFormat="1" x14ac:dyDescent="0.25">
      <c r="B13" s="24"/>
      <c r="C13" s="24"/>
      <c r="D13" s="24"/>
      <c r="E13" s="24"/>
      <c r="F13" s="16"/>
    </row>
    <row r="14" spans="1:13" s="56" customFormat="1" x14ac:dyDescent="0.25">
      <c r="B14" s="24"/>
      <c r="C14" s="24"/>
      <c r="D14" s="24"/>
      <c r="E14" s="24"/>
      <c r="F14" s="16"/>
    </row>
    <row r="15" spans="1:13" s="56" customFormat="1" x14ac:dyDescent="0.25">
      <c r="B15" s="25"/>
      <c r="C15" s="25"/>
      <c r="D15" s="25"/>
      <c r="E15" s="24"/>
      <c r="F15" s="24"/>
      <c r="G15" s="24"/>
      <c r="H15" s="24"/>
      <c r="I15" s="24"/>
      <c r="J15" s="24"/>
      <c r="M15" s="10"/>
    </row>
    <row r="16" spans="1:13" ht="14.4" x14ac:dyDescent="0.3">
      <c r="B16" s="88"/>
      <c r="C16" s="72"/>
      <c r="D16" s="27"/>
      <c r="E16" s="28"/>
      <c r="F16" s="45"/>
      <c r="G16" s="27"/>
      <c r="H16" s="27"/>
      <c r="I16" s="27"/>
      <c r="J16" s="27"/>
      <c r="K16" s="49"/>
      <c r="L16" s="16"/>
    </row>
    <row r="17" spans="1:12" ht="14.4" x14ac:dyDescent="0.3">
      <c r="B17" s="88"/>
      <c r="C17" s="72"/>
      <c r="D17" s="27"/>
      <c r="E17" s="28"/>
      <c r="F17" s="45"/>
      <c r="G17" s="27"/>
      <c r="H17" s="27"/>
      <c r="I17" s="27"/>
      <c r="J17" s="27"/>
      <c r="K17" s="49"/>
      <c r="L17" s="19"/>
    </row>
    <row r="18" spans="1:12" x14ac:dyDescent="0.25">
      <c r="A18" s="43"/>
      <c r="B18" s="3"/>
      <c r="C18" s="27"/>
      <c r="D18" s="27"/>
      <c r="E18" s="28"/>
      <c r="F18" s="45"/>
      <c r="G18" s="2"/>
      <c r="H18" s="2"/>
      <c r="I18" s="2"/>
      <c r="J18" s="2"/>
      <c r="K18" s="49"/>
      <c r="L18" s="19"/>
    </row>
    <row r="19" spans="1:12" ht="14.4" x14ac:dyDescent="0.3">
      <c r="B19" s="88"/>
      <c r="C19" s="73"/>
      <c r="D19" s="27"/>
      <c r="E19" s="28"/>
      <c r="F19" s="45"/>
      <c r="G19" s="27"/>
      <c r="H19" s="27"/>
      <c r="I19" s="27"/>
      <c r="J19" s="27"/>
      <c r="K19" s="49"/>
      <c r="L19" s="19"/>
    </row>
    <row r="20" spans="1:12" ht="14.4" x14ac:dyDescent="0.3">
      <c r="B20" s="88"/>
      <c r="C20" s="73"/>
      <c r="D20" s="27"/>
      <c r="E20" s="28"/>
      <c r="F20" s="45"/>
      <c r="G20" s="27"/>
      <c r="H20" s="27"/>
      <c r="I20" s="27"/>
      <c r="J20" s="27"/>
      <c r="K20" s="49"/>
      <c r="L20" s="19"/>
    </row>
    <row r="21" spans="1:12" s="60" customFormat="1" x14ac:dyDescent="0.25">
      <c r="B21" s="33"/>
      <c r="C21" s="33"/>
      <c r="D21" s="33"/>
      <c r="E21" s="34"/>
      <c r="F21" s="33"/>
      <c r="G21" s="33"/>
      <c r="H21" s="33"/>
      <c r="I21" s="33"/>
      <c r="J21" s="33"/>
      <c r="K21" s="50"/>
      <c r="L21" s="16"/>
    </row>
    <row r="22" spans="1:12" x14ac:dyDescent="0.25">
      <c r="A22" s="18"/>
      <c r="B22" s="27"/>
      <c r="D22" s="28"/>
      <c r="E22" s="28"/>
      <c r="F22" s="28"/>
    </row>
    <row r="24" spans="1:12" x14ac:dyDescent="0.25">
      <c r="A24" s="35"/>
    </row>
    <row r="25" spans="1:12" s="56" customFormat="1" x14ac:dyDescent="0.25">
      <c r="B25" s="24"/>
      <c r="C25" s="24"/>
      <c r="D25" s="24"/>
      <c r="E25" s="24"/>
      <c r="F25" s="24"/>
      <c r="G25" s="65"/>
      <c r="H25" s="65"/>
      <c r="I25" s="65"/>
    </row>
    <row r="26" spans="1:12" s="56" customFormat="1" x14ac:dyDescent="0.25">
      <c r="B26" s="24"/>
      <c r="C26" s="24"/>
      <c r="D26" s="24"/>
      <c r="E26" s="24"/>
      <c r="F26" s="24"/>
      <c r="G26" s="65"/>
      <c r="H26" s="65"/>
      <c r="I26" s="65"/>
    </row>
    <row r="27" spans="1:12" s="56" customFormat="1" x14ac:dyDescent="0.25">
      <c r="B27" s="25"/>
      <c r="C27" s="25"/>
      <c r="D27" s="25"/>
      <c r="E27" s="24"/>
      <c r="F27" s="24"/>
      <c r="G27" s="24"/>
      <c r="H27" s="24"/>
      <c r="I27" s="24"/>
      <c r="J27" s="24"/>
    </row>
    <row r="28" spans="1:12" ht="13.5" customHeight="1" x14ac:dyDescent="0.25">
      <c r="A28" s="43"/>
      <c r="B28" s="37"/>
      <c r="C28" s="37"/>
      <c r="D28" s="37"/>
      <c r="E28" s="28"/>
      <c r="F28" s="53"/>
      <c r="G28" s="53"/>
      <c r="H28" s="53"/>
      <c r="I28" s="53"/>
      <c r="J28" s="53"/>
      <c r="K28" s="43"/>
    </row>
    <row r="29" spans="1:12" x14ac:dyDescent="0.25">
      <c r="A29" s="43"/>
      <c r="B29" s="57"/>
      <c r="C29" s="57"/>
      <c r="D29" s="37"/>
      <c r="E29" s="28"/>
      <c r="F29" s="53"/>
      <c r="G29" s="53"/>
      <c r="H29" s="53"/>
      <c r="I29" s="53"/>
      <c r="J29" s="53"/>
      <c r="K29" s="43"/>
    </row>
    <row r="30" spans="1:12" x14ac:dyDescent="0.25">
      <c r="A30" s="18"/>
      <c r="B30" s="37"/>
      <c r="C30" s="53"/>
      <c r="D30" s="46"/>
      <c r="E30" s="53"/>
      <c r="F30" s="53"/>
      <c r="G30" s="53"/>
      <c r="H30" s="37"/>
      <c r="I30" s="37"/>
    </row>
    <row r="32" spans="1:12" s="56" customFormat="1" x14ac:dyDescent="0.25">
      <c r="A32" s="35"/>
      <c r="F32" s="84"/>
      <c r="G32" s="65"/>
      <c r="H32" s="65"/>
      <c r="I32" s="65"/>
      <c r="J32" s="65"/>
    </row>
    <row r="33" spans="1:11" s="56" customFormat="1" x14ac:dyDescent="0.25">
      <c r="F33" s="84"/>
      <c r="G33" s="65"/>
      <c r="H33" s="65"/>
      <c r="I33" s="65"/>
      <c r="J33" s="65"/>
    </row>
    <row r="34" spans="1:11" s="56" customFormat="1" x14ac:dyDescent="0.25">
      <c r="B34" s="24"/>
      <c r="C34" s="24"/>
      <c r="D34" s="24"/>
      <c r="E34" s="24"/>
      <c r="F34" s="84"/>
      <c r="G34" s="65"/>
      <c r="H34" s="65"/>
      <c r="I34" s="65"/>
      <c r="J34" s="65"/>
    </row>
    <row r="35" spans="1:11" s="56" customFormat="1" x14ac:dyDescent="0.25">
      <c r="B35" s="24"/>
      <c r="C35" s="24"/>
      <c r="D35" s="24"/>
      <c r="E35" s="24"/>
      <c r="F35" s="84"/>
      <c r="G35" s="65"/>
      <c r="H35" s="65"/>
      <c r="I35" s="65"/>
      <c r="J35" s="65"/>
    </row>
    <row r="36" spans="1:11" s="56" customFormat="1" x14ac:dyDescent="0.25">
      <c r="B36" s="25"/>
      <c r="C36" s="25"/>
      <c r="D36" s="25"/>
      <c r="E36" s="24"/>
      <c r="F36" s="24"/>
      <c r="G36" s="24"/>
      <c r="H36" s="24"/>
      <c r="I36" s="24"/>
      <c r="J36" s="24"/>
    </row>
    <row r="37" spans="1:11" x14ac:dyDescent="0.25">
      <c r="A37" s="35"/>
      <c r="E37" s="28"/>
      <c r="F37" s="28"/>
      <c r="G37" s="28"/>
      <c r="H37" s="28"/>
      <c r="I37" s="28"/>
      <c r="J37" s="28"/>
    </row>
    <row r="38" spans="1:11" x14ac:dyDescent="0.25">
      <c r="B38" s="27"/>
      <c r="C38" s="27"/>
      <c r="E38" s="28"/>
      <c r="F38" s="27"/>
      <c r="G38" s="27"/>
      <c r="H38" s="27"/>
      <c r="I38" s="27"/>
      <c r="J38" s="27"/>
      <c r="K38" s="49"/>
    </row>
    <row r="39" spans="1:11" x14ac:dyDescent="0.25">
      <c r="B39" s="27"/>
      <c r="C39" s="27"/>
      <c r="D39" s="27"/>
      <c r="E39" s="28"/>
      <c r="F39" s="27"/>
      <c r="G39" s="27"/>
      <c r="H39" s="27"/>
      <c r="I39" s="27"/>
      <c r="J39" s="27"/>
      <c r="K39" s="49"/>
    </row>
    <row r="40" spans="1:11" x14ac:dyDescent="0.25">
      <c r="B40" s="27"/>
      <c r="C40" s="27"/>
      <c r="D40" s="27"/>
      <c r="E40" s="28"/>
      <c r="F40" s="27"/>
      <c r="G40" s="27"/>
      <c r="H40" s="27"/>
      <c r="I40" s="27"/>
      <c r="J40" s="27"/>
      <c r="K40" s="49"/>
    </row>
    <row r="41" spans="1:11" ht="13.8" x14ac:dyDescent="0.25">
      <c r="A41" s="21"/>
      <c r="B41" s="40"/>
      <c r="C41" s="40"/>
      <c r="D41" s="40"/>
      <c r="E41" s="28"/>
      <c r="F41" s="27"/>
      <c r="G41" s="27"/>
      <c r="H41" s="40"/>
      <c r="I41" s="40"/>
      <c r="J41" s="40"/>
      <c r="K41" s="27"/>
    </row>
    <row r="42" spans="1:11" x14ac:dyDescent="0.25">
      <c r="A42" s="56"/>
      <c r="B42" s="27"/>
      <c r="C42" s="27"/>
      <c r="D42" s="27"/>
      <c r="E42" s="28"/>
      <c r="F42" s="27"/>
      <c r="G42" s="27"/>
      <c r="H42" s="27"/>
      <c r="I42" s="27"/>
      <c r="J42" s="27"/>
      <c r="K42" s="27"/>
    </row>
    <row r="43" spans="1:11" x14ac:dyDescent="0.25">
      <c r="B43" s="27"/>
      <c r="C43" s="27"/>
      <c r="D43" s="27"/>
      <c r="E43" s="28"/>
      <c r="F43" s="27"/>
      <c r="G43" s="27"/>
      <c r="H43" s="27"/>
      <c r="I43" s="27"/>
      <c r="J43" s="27"/>
      <c r="K43" s="49"/>
    </row>
    <row r="44" spans="1:11" x14ac:dyDescent="0.25">
      <c r="B44" s="27"/>
      <c r="C44" s="27"/>
      <c r="D44" s="27"/>
      <c r="E44" s="28"/>
      <c r="F44" s="27"/>
      <c r="G44" s="27"/>
      <c r="H44" s="27"/>
      <c r="I44" s="27"/>
      <c r="J44" s="27"/>
      <c r="K44" s="49"/>
    </row>
    <row r="45" spans="1:11" x14ac:dyDescent="0.25">
      <c r="B45" s="27"/>
      <c r="C45" s="27"/>
      <c r="D45" s="27"/>
      <c r="E45" s="28"/>
      <c r="F45" s="27"/>
      <c r="G45" s="27"/>
      <c r="H45" s="27"/>
      <c r="I45" s="27"/>
      <c r="J45" s="27"/>
      <c r="K45" s="49"/>
    </row>
    <row r="46" spans="1:11" ht="13.8" x14ac:dyDescent="0.25">
      <c r="A46" s="21"/>
      <c r="B46" s="40"/>
      <c r="C46" s="40"/>
      <c r="D46" s="40"/>
      <c r="E46" s="28"/>
      <c r="F46" s="40"/>
      <c r="G46" s="40"/>
      <c r="H46" s="40"/>
      <c r="I46" s="40"/>
      <c r="J46" s="40"/>
      <c r="K46" s="27"/>
    </row>
    <row r="47" spans="1:11" x14ac:dyDescent="0.25">
      <c r="A47" s="56"/>
      <c r="B47" s="27"/>
      <c r="C47" s="27"/>
      <c r="D47" s="27"/>
      <c r="E47" s="28"/>
      <c r="F47" s="27"/>
      <c r="G47" s="27"/>
      <c r="H47" s="27"/>
      <c r="I47" s="27"/>
      <c r="J47" s="27"/>
      <c r="K47" s="27"/>
    </row>
    <row r="48" spans="1:11" x14ac:dyDescent="0.25">
      <c r="B48" s="27"/>
      <c r="C48" s="27"/>
      <c r="D48" s="27"/>
      <c r="E48" s="28"/>
      <c r="F48" s="27"/>
      <c r="G48" s="27"/>
      <c r="H48" s="27"/>
      <c r="I48" s="27"/>
      <c r="J48" s="27"/>
      <c r="K48" s="49"/>
    </row>
    <row r="49" spans="1:11" x14ac:dyDescent="0.25">
      <c r="B49" s="27"/>
      <c r="C49" s="27"/>
      <c r="D49" s="27"/>
      <c r="E49" s="28"/>
      <c r="F49" s="27"/>
      <c r="G49" s="27"/>
      <c r="H49" s="27"/>
      <c r="I49" s="27"/>
      <c r="J49" s="27"/>
      <c r="K49" s="49"/>
    </row>
    <row r="50" spans="1:11" x14ac:dyDescent="0.25">
      <c r="B50" s="27"/>
      <c r="C50" s="27"/>
      <c r="D50" s="27"/>
      <c r="E50" s="28"/>
      <c r="F50" s="27"/>
      <c r="G50" s="27"/>
      <c r="H50" s="27"/>
      <c r="I50" s="27"/>
      <c r="J50" s="27"/>
      <c r="K50" s="49"/>
    </row>
    <row r="51" spans="1:11" x14ac:dyDescent="0.25">
      <c r="B51" s="27"/>
      <c r="C51" s="27"/>
      <c r="D51" s="27"/>
      <c r="E51" s="28"/>
      <c r="F51" s="27"/>
      <c r="G51" s="27"/>
      <c r="H51" s="27"/>
      <c r="I51" s="27"/>
      <c r="J51" s="27"/>
      <c r="K51" s="49"/>
    </row>
    <row r="52" spans="1:11" s="56" customFormat="1" x14ac:dyDescent="0.25">
      <c r="B52" s="33"/>
      <c r="C52" s="33"/>
      <c r="D52" s="33"/>
      <c r="E52" s="34"/>
      <c r="F52" s="33"/>
      <c r="G52" s="33"/>
      <c r="H52" s="33"/>
      <c r="I52" s="33"/>
      <c r="J52" s="33"/>
      <c r="K52" s="50"/>
    </row>
    <row r="53" spans="1:11" s="56" customFormat="1" x14ac:dyDescent="0.25">
      <c r="B53" s="27"/>
      <c r="C53" s="27"/>
      <c r="D53" s="33"/>
      <c r="E53" s="28"/>
      <c r="F53" s="27"/>
      <c r="G53" s="27"/>
      <c r="H53" s="27"/>
      <c r="I53" s="27"/>
      <c r="J53" s="27"/>
      <c r="K53" s="33"/>
    </row>
    <row r="54" spans="1:11" s="56" customFormat="1" x14ac:dyDescent="0.25">
      <c r="B54" s="33"/>
      <c r="C54" s="33"/>
      <c r="D54" s="33"/>
      <c r="E54" s="34"/>
      <c r="F54" s="33"/>
      <c r="G54" s="33"/>
      <c r="H54" s="33"/>
      <c r="I54" s="33"/>
      <c r="J54" s="33"/>
      <c r="K54" s="50"/>
    </row>
    <row r="55" spans="1:11" s="56" customFormat="1" x14ac:dyDescent="0.25">
      <c r="B55" s="27"/>
      <c r="C55" s="27"/>
      <c r="D55" s="27"/>
      <c r="E55" s="28"/>
      <c r="F55" s="28"/>
      <c r="G55" s="28"/>
      <c r="H55" s="28"/>
      <c r="I55" s="28"/>
      <c r="J55" s="28"/>
      <c r="K55" s="33"/>
    </row>
    <row r="56" spans="1:11" s="56" customFormat="1" x14ac:dyDescent="0.25">
      <c r="B56" s="23"/>
      <c r="C56" s="23"/>
      <c r="D56" s="23"/>
      <c r="E56" s="34"/>
      <c r="F56" s="38"/>
      <c r="G56" s="38"/>
      <c r="H56" s="23"/>
      <c r="I56" s="23"/>
      <c r="J56" s="23"/>
      <c r="K56" s="51"/>
    </row>
    <row r="57" spans="1:11" x14ac:dyDescent="0.25">
      <c r="B57" s="37"/>
      <c r="C57" s="37"/>
      <c r="D57" s="37"/>
      <c r="E57" s="37"/>
      <c r="F57" s="27"/>
      <c r="G57" s="37"/>
      <c r="H57" s="37"/>
      <c r="I57" s="37"/>
    </row>
    <row r="58" spans="1:11" ht="13.8" x14ac:dyDescent="0.3">
      <c r="A58" s="18"/>
      <c r="B58" s="47"/>
      <c r="C58" s="27"/>
      <c r="D58" s="27"/>
      <c r="E58" s="27"/>
      <c r="F58" s="27"/>
      <c r="G58" s="27"/>
      <c r="H58" s="27"/>
      <c r="I58" s="27"/>
    </row>
    <row r="59" spans="1:11" x14ac:dyDescent="0.25">
      <c r="A59" s="18"/>
    </row>
    <row r="60" spans="1:11" x14ac:dyDescent="0.25">
      <c r="A60" s="18"/>
      <c r="B60" s="37"/>
    </row>
    <row r="61" spans="1:11" x14ac:dyDescent="0.25">
      <c r="A61" s="18"/>
    </row>
    <row r="62" spans="1:11" x14ac:dyDescent="0.25">
      <c r="A62" s="18"/>
    </row>
  </sheetData>
  <mergeCells count="1">
    <mergeCell ref="F2:I2"/>
  </mergeCells>
  <pageMargins left="0.70866141732283472" right="0.70866141732283472" top="0.74803149606299213" bottom="0.74803149606299213" header="0.31496062992125984" footer="0.31496062992125984"/>
  <pageSetup paperSize="9"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3:F66"/>
  <sheetViews>
    <sheetView topLeftCell="A67" zoomScaleNormal="100" workbookViewId="0">
      <selection activeCell="M12" sqref="M12"/>
    </sheetView>
  </sheetViews>
  <sheetFormatPr defaultRowHeight="13.2" x14ac:dyDescent="0.25"/>
  <cols>
    <col min="1" max="1" width="31" customWidth="1"/>
    <col min="2" max="2" width="11.44140625" bestFit="1" customWidth="1"/>
    <col min="3" max="3" width="12.5546875" style="43" customWidth="1"/>
    <col min="4" max="4" width="11.109375" style="2" customWidth="1"/>
    <col min="5" max="5" width="21" style="2" customWidth="1"/>
    <col min="6" max="6" width="15.33203125" style="6" customWidth="1"/>
  </cols>
  <sheetData>
    <row r="3" spans="1:6" x14ac:dyDescent="0.25">
      <c r="D3" s="5"/>
      <c r="E3" s="5"/>
    </row>
    <row r="6" spans="1:6" s="1" customFormat="1" x14ac:dyDescent="0.25">
      <c r="C6" s="64"/>
      <c r="D6" s="5"/>
      <c r="E6" s="5"/>
      <c r="F6" s="7"/>
    </row>
    <row r="7" spans="1:6" s="1" customFormat="1" x14ac:dyDescent="0.25">
      <c r="A7" s="17"/>
      <c r="B7" s="17"/>
      <c r="C7" s="64"/>
      <c r="D7" s="5"/>
      <c r="E7" s="5"/>
      <c r="F7" s="7"/>
    </row>
    <row r="8" spans="1:6" s="1" customFormat="1" x14ac:dyDescent="0.25">
      <c r="A8" s="17"/>
      <c r="B8" s="17"/>
      <c r="C8" s="64"/>
      <c r="D8" s="5"/>
      <c r="E8" s="5"/>
      <c r="F8" s="7"/>
    </row>
    <row r="9" spans="1:6" s="1" customFormat="1" x14ac:dyDescent="0.25">
      <c r="A9" s="17"/>
      <c r="B9" s="17"/>
      <c r="C9" s="64"/>
      <c r="D9" s="5"/>
      <c r="E9" s="5"/>
      <c r="F9" s="7"/>
    </row>
    <row r="10" spans="1:6" s="1" customFormat="1" x14ac:dyDescent="0.25">
      <c r="A10" s="85"/>
      <c r="B10" s="85"/>
      <c r="C10" s="85"/>
      <c r="D10" s="86"/>
      <c r="E10" s="86"/>
      <c r="F10" s="87"/>
    </row>
    <row r="11" spans="1:6" x14ac:dyDescent="0.25">
      <c r="A11" s="10"/>
      <c r="B11" s="10"/>
      <c r="C11" s="2"/>
      <c r="F11" s="12"/>
    </row>
    <row r="12" spans="1:6" x14ac:dyDescent="0.25">
      <c r="A12" s="10"/>
      <c r="B12" s="10"/>
      <c r="C12" s="2"/>
      <c r="F12" s="12"/>
    </row>
    <row r="13" spans="1:6" x14ac:dyDescent="0.25">
      <c r="A13" s="10"/>
      <c r="B13" s="10"/>
      <c r="C13" s="2"/>
      <c r="F13" s="12"/>
    </row>
    <row r="14" spans="1:6" x14ac:dyDescent="0.25">
      <c r="A14" s="10"/>
      <c r="B14" s="10"/>
      <c r="C14" s="2"/>
      <c r="F14" s="12"/>
    </row>
    <row r="15" spans="1:6" x14ac:dyDescent="0.25">
      <c r="A15" s="10"/>
      <c r="B15" s="10"/>
      <c r="C15" s="2"/>
      <c r="F15" s="12"/>
    </row>
    <row r="16" spans="1:6" x14ac:dyDescent="0.25">
      <c r="A16" s="10"/>
      <c r="B16" s="10"/>
      <c r="C16" s="2"/>
      <c r="F16" s="12"/>
    </row>
    <row r="17" spans="1:6" x14ac:dyDescent="0.25">
      <c r="A17" s="10"/>
      <c r="B17" s="10"/>
      <c r="C17" s="2"/>
      <c r="F17" s="12"/>
    </row>
    <row r="18" spans="1:6" s="1" customFormat="1" x14ac:dyDescent="0.25">
      <c r="A18" s="26"/>
      <c r="B18" s="26"/>
      <c r="C18" s="2"/>
      <c r="D18" s="2"/>
      <c r="E18" s="2"/>
      <c r="F18" s="7"/>
    </row>
    <row r="19" spans="1:6" x14ac:dyDescent="0.25">
      <c r="A19" s="10"/>
      <c r="B19" s="10"/>
      <c r="C19" s="2"/>
      <c r="F19" s="12"/>
    </row>
    <row r="20" spans="1:6" x14ac:dyDescent="0.25">
      <c r="A20" s="10"/>
      <c r="B20" s="10"/>
      <c r="C20" s="2"/>
      <c r="F20" s="12"/>
    </row>
    <row r="21" spans="1:6" x14ac:dyDescent="0.25">
      <c r="A21" s="10"/>
      <c r="B21" s="10"/>
      <c r="C21" s="2"/>
      <c r="F21" s="12"/>
    </row>
    <row r="22" spans="1:6" x14ac:dyDescent="0.25">
      <c r="A22" s="10"/>
      <c r="B22" s="10"/>
      <c r="C22" s="2"/>
      <c r="F22" s="12"/>
    </row>
    <row r="23" spans="1:6" x14ac:dyDescent="0.25">
      <c r="A23" s="10"/>
      <c r="B23" s="10"/>
      <c r="C23" s="2"/>
      <c r="F23" s="12"/>
    </row>
    <row r="24" spans="1:6" x14ac:dyDescent="0.25">
      <c r="A24" s="10"/>
      <c r="B24" s="10"/>
      <c r="C24" s="2"/>
      <c r="F24" s="12"/>
    </row>
    <row r="25" spans="1:6" x14ac:dyDescent="0.25">
      <c r="A25" s="10"/>
      <c r="B25" s="10"/>
      <c r="C25" s="2"/>
      <c r="F25" s="12"/>
    </row>
    <row r="26" spans="1:6" x14ac:dyDescent="0.25">
      <c r="A26" s="10"/>
      <c r="B26" s="10"/>
      <c r="C26" s="2"/>
      <c r="F26" s="12"/>
    </row>
    <row r="27" spans="1:6" x14ac:dyDescent="0.25">
      <c r="A27" s="10"/>
      <c r="B27" s="10"/>
      <c r="C27" s="2"/>
      <c r="F27" s="12"/>
    </row>
    <row r="28" spans="1:6" s="1" customFormat="1" x14ac:dyDescent="0.25">
      <c r="A28" s="26"/>
      <c r="B28" s="26"/>
      <c r="C28" s="2"/>
      <c r="D28" s="2"/>
      <c r="E28" s="2"/>
      <c r="F28" s="7"/>
    </row>
    <row r="29" spans="1:6" x14ac:dyDescent="0.25">
      <c r="A29" s="10"/>
      <c r="B29" s="10"/>
      <c r="C29" s="2"/>
      <c r="F29" s="12"/>
    </row>
    <row r="30" spans="1:6" x14ac:dyDescent="0.25">
      <c r="A30" s="10"/>
      <c r="B30" s="10"/>
      <c r="C30" s="2"/>
      <c r="F30" s="12"/>
    </row>
    <row r="31" spans="1:6" x14ac:dyDescent="0.25">
      <c r="A31" s="10"/>
      <c r="B31" s="10"/>
      <c r="C31" s="2"/>
      <c r="F31" s="12"/>
    </row>
    <row r="32" spans="1:6" x14ac:dyDescent="0.25">
      <c r="A32" s="10"/>
      <c r="B32" s="10"/>
      <c r="C32" s="2"/>
      <c r="F32" s="12"/>
    </row>
    <row r="33" spans="1:6" x14ac:dyDescent="0.25">
      <c r="A33" s="10"/>
      <c r="B33" s="10"/>
      <c r="C33" s="2"/>
      <c r="F33" s="12"/>
    </row>
    <row r="34" spans="1:6" x14ac:dyDescent="0.25">
      <c r="A34" s="10"/>
      <c r="B34" s="10"/>
      <c r="C34" s="2"/>
      <c r="F34" s="12"/>
    </row>
    <row r="35" spans="1:6" x14ac:dyDescent="0.25">
      <c r="A35" s="10"/>
      <c r="B35" s="10"/>
      <c r="C35" s="2"/>
      <c r="F35" s="12"/>
    </row>
    <row r="36" spans="1:6" x14ac:dyDescent="0.25">
      <c r="A36" s="10"/>
      <c r="B36" s="10"/>
      <c r="C36" s="2"/>
      <c r="F36" s="12"/>
    </row>
    <row r="37" spans="1:6" x14ac:dyDescent="0.25">
      <c r="A37" s="10"/>
      <c r="B37" s="10"/>
      <c r="C37" s="2"/>
      <c r="F37" s="12"/>
    </row>
    <row r="38" spans="1:6" x14ac:dyDescent="0.25">
      <c r="A38" s="10"/>
      <c r="B38" s="10"/>
      <c r="C38" s="2"/>
      <c r="F38" s="12"/>
    </row>
    <row r="39" spans="1:6" s="1" customFormat="1" x14ac:dyDescent="0.25">
      <c r="A39" s="26"/>
      <c r="B39" s="26"/>
      <c r="C39" s="2"/>
      <c r="D39" s="2"/>
      <c r="E39" s="2"/>
      <c r="F39" s="7"/>
    </row>
    <row r="40" spans="1:6" x14ac:dyDescent="0.25">
      <c r="A40" s="10"/>
      <c r="B40" s="10"/>
      <c r="C40" s="2"/>
      <c r="F40" s="12"/>
    </row>
    <row r="41" spans="1:6" x14ac:dyDescent="0.25">
      <c r="A41" s="10"/>
      <c r="B41" s="10"/>
      <c r="C41" s="2"/>
      <c r="F41" s="12"/>
    </row>
    <row r="42" spans="1:6" x14ac:dyDescent="0.25">
      <c r="A42" s="10"/>
      <c r="B42" s="10"/>
      <c r="C42" s="2"/>
      <c r="F42" s="12"/>
    </row>
    <row r="43" spans="1:6" x14ac:dyDescent="0.25">
      <c r="A43" s="10"/>
      <c r="B43" s="10"/>
      <c r="C43" s="2"/>
      <c r="F43" s="12"/>
    </row>
    <row r="44" spans="1:6" x14ac:dyDescent="0.25">
      <c r="A44" s="10"/>
      <c r="B44" s="10"/>
      <c r="C44" s="2"/>
      <c r="F44" s="12"/>
    </row>
    <row r="45" spans="1:6" x14ac:dyDescent="0.25">
      <c r="A45" s="10"/>
      <c r="B45" s="10"/>
      <c r="C45" s="2"/>
      <c r="F45" s="12"/>
    </row>
    <row r="46" spans="1:6" x14ac:dyDescent="0.25">
      <c r="A46" s="10"/>
      <c r="B46" s="10"/>
      <c r="C46" s="2"/>
      <c r="F46" s="12"/>
    </row>
    <row r="47" spans="1:6" x14ac:dyDescent="0.25">
      <c r="A47" s="10"/>
      <c r="B47" s="10"/>
      <c r="C47" s="2"/>
      <c r="F47" s="12"/>
    </row>
    <row r="48" spans="1:6" x14ac:dyDescent="0.25">
      <c r="A48" s="10"/>
      <c r="B48" s="10"/>
      <c r="C48" s="2"/>
      <c r="F48" s="12"/>
    </row>
    <row r="49" spans="1:6" s="74" customFormat="1" x14ac:dyDescent="0.25">
      <c r="C49" s="5"/>
      <c r="D49" s="5"/>
      <c r="E49" s="5"/>
      <c r="F49" s="7"/>
    </row>
    <row r="50" spans="1:6" s="1" customFormat="1" x14ac:dyDescent="0.25">
      <c r="A50" s="10"/>
      <c r="B50" s="10"/>
      <c r="C50" s="2"/>
      <c r="D50" s="2"/>
      <c r="E50" s="2"/>
      <c r="F50" s="12"/>
    </row>
    <row r="51" spans="1:6" x14ac:dyDescent="0.25">
      <c r="A51" s="10"/>
      <c r="B51" s="10"/>
      <c r="C51" s="2"/>
      <c r="F51" s="12"/>
    </row>
    <row r="52" spans="1:6" x14ac:dyDescent="0.25">
      <c r="A52" s="10"/>
      <c r="B52" s="10"/>
      <c r="C52" s="2"/>
      <c r="F52" s="12"/>
    </row>
    <row r="53" spans="1:6" s="74" customFormat="1" x14ac:dyDescent="0.25">
      <c r="C53" s="5"/>
      <c r="D53" s="5"/>
      <c r="E53" s="5"/>
      <c r="F53" s="7"/>
    </row>
    <row r="54" spans="1:6" s="1" customFormat="1" x14ac:dyDescent="0.25">
      <c r="A54" s="10"/>
      <c r="B54" s="10"/>
      <c r="C54" s="2"/>
      <c r="D54" s="2"/>
      <c r="E54" s="2"/>
      <c r="F54" s="12"/>
    </row>
    <row r="55" spans="1:6" x14ac:dyDescent="0.25">
      <c r="A55" s="10"/>
      <c r="B55" s="10"/>
      <c r="C55" s="2"/>
      <c r="F55" s="12"/>
    </row>
    <row r="56" spans="1:6" x14ac:dyDescent="0.25">
      <c r="A56" s="10"/>
      <c r="B56" s="10"/>
      <c r="C56" s="2"/>
      <c r="F56" s="12"/>
    </row>
    <row r="57" spans="1:6" x14ac:dyDescent="0.25">
      <c r="A57" s="10"/>
      <c r="B57" s="10"/>
      <c r="C57" s="2"/>
      <c r="F57" s="12"/>
    </row>
    <row r="58" spans="1:6" x14ac:dyDescent="0.25">
      <c r="A58" s="10"/>
      <c r="B58" s="10"/>
      <c r="C58" s="10"/>
      <c r="F58" s="12"/>
    </row>
    <row r="59" spans="1:6" x14ac:dyDescent="0.25">
      <c r="A59" s="18"/>
      <c r="B59" s="10"/>
      <c r="C59" s="10"/>
      <c r="F59" s="12"/>
    </row>
    <row r="60" spans="1:6" x14ac:dyDescent="0.25">
      <c r="A60" s="18"/>
      <c r="B60" s="10"/>
      <c r="C60" s="10"/>
      <c r="F60" s="12"/>
    </row>
    <row r="61" spans="1:6" x14ac:dyDescent="0.25">
      <c r="A61" s="10"/>
      <c r="B61" s="10"/>
      <c r="C61" s="10"/>
      <c r="F61" s="12"/>
    </row>
    <row r="62" spans="1:6" x14ac:dyDescent="0.25">
      <c r="A62" s="10"/>
      <c r="B62" s="10"/>
      <c r="C62" s="10"/>
      <c r="F62" s="12"/>
    </row>
    <row r="63" spans="1:6" x14ac:dyDescent="0.25">
      <c r="A63" s="10"/>
      <c r="B63" s="10"/>
      <c r="C63" s="10"/>
      <c r="F63" s="12"/>
    </row>
    <row r="64" spans="1:6" x14ac:dyDescent="0.25">
      <c r="A64" s="10"/>
      <c r="B64" s="10"/>
      <c r="C64" s="10"/>
      <c r="F64" s="12"/>
    </row>
    <row r="65" spans="1:6" x14ac:dyDescent="0.25">
      <c r="A65" s="10"/>
      <c r="B65" s="10"/>
      <c r="C65" s="10"/>
      <c r="F65" s="12"/>
    </row>
    <row r="66" spans="1:6" x14ac:dyDescent="0.25">
      <c r="A66" s="10"/>
      <c r="B66" s="10"/>
      <c r="C66" s="10"/>
      <c r="F66" s="12"/>
    </row>
  </sheetData>
  <pageMargins left="0.70866141732283472" right="0.70866141732283472" top="0.74803149606299213" bottom="0.74803149606299213" header="0.31496062992125984" footer="0.31496062992125984"/>
  <pageSetup paperSize="9" scale="8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94"/>
  <sheetViews>
    <sheetView zoomScaleNormal="100" workbookViewId="0">
      <selection activeCell="A3" sqref="A3:F73"/>
    </sheetView>
  </sheetViews>
  <sheetFormatPr defaultColWidth="9.109375" defaultRowHeight="13.2" x14ac:dyDescent="0.25"/>
  <cols>
    <col min="1" max="1" width="28.6640625" style="43" bestFit="1" customWidth="1"/>
    <col min="2" max="2" width="18.6640625" style="27" bestFit="1" customWidth="1"/>
    <col min="3" max="3" width="16" style="43" bestFit="1" customWidth="1"/>
    <col min="4" max="4" width="12.88671875" style="28" bestFit="1" customWidth="1"/>
    <col min="5" max="5" width="12.88671875" style="43" bestFit="1" customWidth="1"/>
    <col min="6" max="6" width="12.88671875" style="28" bestFit="1" customWidth="1"/>
    <col min="7" max="7" width="34" style="43" bestFit="1" customWidth="1"/>
    <col min="8" max="8" width="33" style="43" customWidth="1"/>
    <col min="9" max="9" width="30" style="43" bestFit="1" customWidth="1"/>
    <col min="10" max="10" width="19" style="43" bestFit="1" customWidth="1"/>
    <col min="11" max="11" width="18.44140625" style="43" bestFit="1" customWidth="1"/>
    <col min="12" max="12" width="18.44140625" style="43" customWidth="1"/>
    <col min="13" max="13" width="12.88671875" style="43" bestFit="1" customWidth="1"/>
    <col min="14" max="16384" width="9.109375" style="43"/>
  </cols>
  <sheetData>
    <row r="1" spans="1:16" ht="12.75" customHeight="1" x14ac:dyDescent="0.25"/>
    <row r="2" spans="1:16" ht="12.75" customHeight="1" x14ac:dyDescent="0.25"/>
    <row r="3" spans="1:16" s="65" customFormat="1" ht="12.75" customHeight="1" x14ac:dyDescent="0.25">
      <c r="B3" s="33"/>
      <c r="D3" s="39"/>
      <c r="F3" s="39"/>
      <c r="M3" s="20"/>
      <c r="N3" s="43"/>
      <c r="O3" s="43"/>
      <c r="P3" s="43"/>
    </row>
    <row r="4" spans="1:16" s="65" customFormat="1" ht="12.75" customHeight="1" x14ac:dyDescent="0.25">
      <c r="B4" s="33"/>
      <c r="D4" s="39"/>
      <c r="F4" s="24"/>
      <c r="H4" s="43"/>
      <c r="M4" s="20"/>
      <c r="N4" s="43"/>
      <c r="O4" s="43"/>
      <c r="P4" s="43"/>
    </row>
    <row r="5" spans="1:16" s="65" customFormat="1" ht="12.75" customHeight="1" x14ac:dyDescent="0.25">
      <c r="B5" s="66"/>
      <c r="C5" s="66"/>
      <c r="D5" s="39"/>
      <c r="E5" s="66"/>
      <c r="F5" s="24"/>
      <c r="H5" s="43"/>
      <c r="I5" s="43"/>
      <c r="J5" s="43"/>
      <c r="K5" s="43"/>
      <c r="L5" s="43"/>
      <c r="M5" s="20"/>
    </row>
    <row r="6" spans="1:16" s="65" customFormat="1" ht="12.75" customHeight="1" x14ac:dyDescent="0.25">
      <c r="B6" s="33"/>
      <c r="C6" s="33"/>
      <c r="D6" s="34"/>
      <c r="E6" s="33"/>
      <c r="F6" s="34"/>
      <c r="G6" s="62"/>
      <c r="H6" s="62"/>
      <c r="I6" s="62"/>
      <c r="J6" s="62"/>
      <c r="K6" s="43"/>
      <c r="L6" s="43"/>
      <c r="M6" s="20"/>
      <c r="N6" s="43"/>
      <c r="O6" s="43"/>
      <c r="P6" s="43"/>
    </row>
    <row r="7" spans="1:16" s="65" customFormat="1" ht="12.75" customHeight="1" x14ac:dyDescent="0.25">
      <c r="A7" s="10"/>
      <c r="B7" s="27"/>
      <c r="C7" s="27"/>
      <c r="D7" s="28"/>
      <c r="E7" s="27"/>
      <c r="F7" s="28"/>
      <c r="G7" s="62"/>
      <c r="H7" s="62"/>
      <c r="I7" s="62"/>
      <c r="J7" s="62"/>
      <c r="K7" s="43"/>
      <c r="L7" s="43"/>
      <c r="M7" s="20"/>
      <c r="N7" s="43"/>
      <c r="O7" s="43"/>
      <c r="P7" s="43"/>
    </row>
    <row r="8" spans="1:16" ht="12.75" customHeight="1" x14ac:dyDescent="0.25">
      <c r="A8" s="10"/>
      <c r="C8" s="27"/>
      <c r="E8" s="27"/>
      <c r="G8" s="62"/>
      <c r="H8" s="62"/>
      <c r="I8" s="62"/>
      <c r="J8" s="62"/>
      <c r="K8" s="65"/>
      <c r="L8" s="65"/>
      <c r="M8" s="65"/>
      <c r="N8" s="65"/>
      <c r="O8" s="65"/>
      <c r="P8" s="65"/>
    </row>
    <row r="9" spans="1:16" ht="12.75" customHeight="1" x14ac:dyDescent="0.25">
      <c r="A9" s="10"/>
      <c r="C9" s="27"/>
      <c r="E9" s="27"/>
      <c r="G9" s="62"/>
      <c r="H9" s="62"/>
      <c r="I9" s="62"/>
      <c r="J9" s="62"/>
    </row>
    <row r="10" spans="1:16" ht="12.75" customHeight="1" x14ac:dyDescent="0.25">
      <c r="A10" s="10"/>
      <c r="C10" s="27"/>
      <c r="E10" s="27"/>
      <c r="G10" s="62"/>
      <c r="H10" s="62"/>
      <c r="I10" s="62"/>
      <c r="J10" s="62"/>
    </row>
    <row r="11" spans="1:16" ht="12.75" customHeight="1" x14ac:dyDescent="0.25">
      <c r="A11" s="10"/>
      <c r="C11" s="27"/>
      <c r="E11" s="27"/>
      <c r="G11" s="62"/>
      <c r="H11" s="62"/>
      <c r="I11" s="62"/>
      <c r="J11" s="62"/>
    </row>
    <row r="12" spans="1:16" ht="12.75" customHeight="1" x14ac:dyDescent="0.25">
      <c r="A12" s="10"/>
      <c r="C12" s="27"/>
      <c r="E12" s="27"/>
      <c r="G12" s="62"/>
      <c r="H12" s="62"/>
      <c r="I12" s="62"/>
      <c r="J12" s="62"/>
    </row>
    <row r="13" spans="1:16" ht="12.75" customHeight="1" x14ac:dyDescent="0.25">
      <c r="A13" s="10"/>
      <c r="C13" s="27"/>
      <c r="E13" s="27"/>
      <c r="G13" s="62"/>
      <c r="H13" s="62"/>
      <c r="I13" s="62"/>
      <c r="J13" s="62"/>
      <c r="K13" s="65"/>
      <c r="L13" s="65"/>
      <c r="M13" s="20"/>
    </row>
    <row r="14" spans="1:16" ht="12.75" customHeight="1" x14ac:dyDescent="0.25">
      <c r="A14" s="10"/>
      <c r="C14" s="27"/>
      <c r="E14" s="27"/>
      <c r="G14" s="62"/>
      <c r="H14" s="62"/>
      <c r="I14" s="62"/>
      <c r="J14" s="62"/>
      <c r="K14" s="65"/>
      <c r="L14" s="65"/>
      <c r="M14" s="20"/>
    </row>
    <row r="15" spans="1:16" s="65" customFormat="1" ht="12.75" customHeight="1" x14ac:dyDescent="0.25">
      <c r="B15" s="33"/>
      <c r="C15" s="33"/>
      <c r="D15" s="34"/>
      <c r="E15" s="33"/>
      <c r="F15" s="34"/>
      <c r="G15" s="62"/>
      <c r="H15" s="62"/>
      <c r="I15" s="62"/>
      <c r="J15" s="62"/>
      <c r="K15" s="43"/>
      <c r="L15" s="43"/>
      <c r="M15" s="20"/>
    </row>
    <row r="16" spans="1:16" ht="12.75" customHeight="1" x14ac:dyDescent="0.25">
      <c r="A16" s="10"/>
      <c r="C16" s="27"/>
      <c r="E16" s="27"/>
      <c r="G16" s="62"/>
      <c r="H16" s="62"/>
      <c r="I16" s="62"/>
      <c r="J16" s="62"/>
      <c r="M16" s="20"/>
    </row>
    <row r="17" spans="1:15" s="65" customFormat="1" ht="12.75" customHeight="1" x14ac:dyDescent="0.3">
      <c r="B17" s="33"/>
      <c r="C17" s="33"/>
      <c r="D17" s="28"/>
      <c r="E17" s="33"/>
      <c r="F17" s="34"/>
      <c r="G17" s="67"/>
      <c r="H17" s="27"/>
      <c r="I17" s="67"/>
    </row>
    <row r="18" spans="1:15" ht="12.75" customHeight="1" x14ac:dyDescent="0.3">
      <c r="A18" s="10"/>
      <c r="B18" s="78"/>
      <c r="C18" s="80"/>
      <c r="E18" s="27"/>
      <c r="G18" s="67"/>
      <c r="H18" s="54"/>
      <c r="I18" s="67"/>
    </row>
    <row r="19" spans="1:15" ht="12.75" customHeight="1" x14ac:dyDescent="0.3">
      <c r="A19" s="10"/>
      <c r="B19" s="78"/>
      <c r="C19" s="80"/>
      <c r="E19" s="27"/>
      <c r="G19" s="67"/>
      <c r="H19" s="55"/>
      <c r="I19" s="67"/>
    </row>
    <row r="20" spans="1:15" ht="12.75" customHeight="1" x14ac:dyDescent="0.3">
      <c r="A20" s="10"/>
      <c r="B20" s="78"/>
      <c r="C20" s="80"/>
      <c r="E20" s="27"/>
      <c r="G20" s="67"/>
      <c r="H20" s="55"/>
      <c r="I20" s="67"/>
    </row>
    <row r="21" spans="1:15" ht="12.75" customHeight="1" x14ac:dyDescent="0.3">
      <c r="C21" s="27"/>
      <c r="E21" s="27"/>
      <c r="G21" s="67"/>
      <c r="H21" s="55"/>
      <c r="I21" s="67"/>
    </row>
    <row r="22" spans="1:15" s="65" customFormat="1" ht="12.75" customHeight="1" x14ac:dyDescent="0.3">
      <c r="B22" s="33"/>
      <c r="C22" s="33"/>
      <c r="D22" s="34"/>
      <c r="E22" s="33"/>
      <c r="F22" s="34"/>
      <c r="G22" s="67"/>
      <c r="H22" s="54"/>
      <c r="I22" s="67"/>
    </row>
    <row r="23" spans="1:15" ht="12.75" customHeight="1" x14ac:dyDescent="0.25">
      <c r="A23" s="10"/>
      <c r="C23" s="27"/>
      <c r="E23" s="27"/>
      <c r="H23" s="27"/>
      <c r="I23" s="27"/>
      <c r="J23" s="65"/>
      <c r="K23" s="65"/>
      <c r="L23" s="65"/>
      <c r="M23" s="65"/>
      <c r="N23" s="65"/>
      <c r="O23" s="41"/>
    </row>
    <row r="24" spans="1:15" s="65" customFormat="1" ht="12.75" customHeight="1" x14ac:dyDescent="0.25">
      <c r="B24" s="27"/>
      <c r="C24" s="27"/>
      <c r="D24" s="28"/>
      <c r="E24" s="27"/>
      <c r="F24" s="28"/>
      <c r="G24" s="52"/>
      <c r="H24" s="54"/>
      <c r="I24" s="55"/>
      <c r="J24" s="43"/>
      <c r="K24" s="43"/>
      <c r="L24" s="43"/>
      <c r="M24" s="43"/>
      <c r="N24" s="43"/>
      <c r="O24" s="22"/>
    </row>
    <row r="25" spans="1:15" s="10" customFormat="1" ht="12.75" customHeight="1" x14ac:dyDescent="0.25">
      <c r="B25" s="68"/>
      <c r="C25" s="68"/>
      <c r="D25" s="28"/>
      <c r="E25" s="68"/>
      <c r="F25" s="28"/>
      <c r="G25" s="69"/>
      <c r="H25" s="55"/>
      <c r="I25" s="55"/>
      <c r="O25" s="22"/>
    </row>
    <row r="26" spans="1:15" ht="12.75" customHeight="1" x14ac:dyDescent="0.3">
      <c r="A26" s="10"/>
      <c r="B26" s="68"/>
      <c r="C26" s="68"/>
      <c r="E26" s="68"/>
      <c r="G26" s="67"/>
      <c r="H26" s="55"/>
      <c r="I26" s="70"/>
      <c r="O26" s="22"/>
    </row>
    <row r="27" spans="1:15" ht="12.75" customHeight="1" x14ac:dyDescent="0.3">
      <c r="A27" s="10"/>
      <c r="B27" s="68"/>
      <c r="C27" s="68"/>
      <c r="E27" s="68"/>
      <c r="G27" s="67"/>
      <c r="H27" s="55"/>
      <c r="I27" s="70"/>
      <c r="O27" s="22"/>
    </row>
    <row r="28" spans="1:15" ht="12.75" customHeight="1" x14ac:dyDescent="0.3">
      <c r="A28" s="10"/>
      <c r="B28" s="68"/>
      <c r="C28" s="68"/>
      <c r="E28" s="68"/>
      <c r="G28" s="67"/>
      <c r="H28" s="55"/>
      <c r="I28" s="70"/>
      <c r="O28" s="22"/>
    </row>
    <row r="29" spans="1:15" ht="12.75" customHeight="1" x14ac:dyDescent="0.3">
      <c r="A29" s="10"/>
      <c r="B29" s="68"/>
      <c r="C29" s="68"/>
      <c r="E29" s="68"/>
      <c r="G29" s="67"/>
      <c r="H29" s="55"/>
      <c r="I29" s="70"/>
      <c r="J29" s="65"/>
      <c r="K29" s="65"/>
      <c r="L29" s="65"/>
      <c r="M29" s="65"/>
      <c r="N29" s="65"/>
      <c r="O29" s="13"/>
    </row>
    <row r="30" spans="1:15" ht="12.75" customHeight="1" x14ac:dyDescent="0.3">
      <c r="A30" s="10"/>
      <c r="B30" s="68"/>
      <c r="C30" s="68"/>
      <c r="E30" s="68"/>
      <c r="G30" s="67"/>
      <c r="H30" s="55"/>
      <c r="I30" s="70"/>
      <c r="J30" s="65"/>
      <c r="K30" s="65"/>
      <c r="L30" s="65"/>
      <c r="M30" s="65"/>
      <c r="N30" s="65"/>
      <c r="O30" s="41"/>
    </row>
    <row r="31" spans="1:15" ht="12.75" customHeight="1" x14ac:dyDescent="0.3">
      <c r="A31" s="10"/>
      <c r="B31" s="68"/>
      <c r="C31" s="68"/>
      <c r="E31" s="68"/>
      <c r="G31" s="67"/>
      <c r="H31" s="55"/>
      <c r="I31" s="70"/>
      <c r="O31" s="22"/>
    </row>
    <row r="32" spans="1:15" ht="12.75" customHeight="1" x14ac:dyDescent="0.3">
      <c r="A32" s="10"/>
      <c r="B32" s="68"/>
      <c r="C32" s="68"/>
      <c r="E32" s="68"/>
      <c r="G32" s="67"/>
      <c r="H32" s="55"/>
      <c r="I32" s="70"/>
      <c r="O32" s="22"/>
    </row>
    <row r="33" spans="1:15" s="65" customFormat="1" ht="12.75" customHeight="1" x14ac:dyDescent="0.3">
      <c r="B33" s="33"/>
      <c r="C33" s="33"/>
      <c r="D33" s="34"/>
      <c r="E33" s="33"/>
      <c r="F33" s="28"/>
      <c r="G33" s="67"/>
      <c r="H33" s="54"/>
      <c r="I33" s="70"/>
      <c r="J33" s="43"/>
      <c r="K33" s="43"/>
      <c r="L33" s="43"/>
      <c r="M33" s="43"/>
      <c r="N33" s="43"/>
      <c r="O33" s="22"/>
    </row>
    <row r="34" spans="1:15" ht="12.75" customHeight="1" x14ac:dyDescent="0.3">
      <c r="A34" s="10"/>
      <c r="C34" s="27"/>
      <c r="E34" s="27"/>
      <c r="G34" s="67"/>
      <c r="H34" s="27"/>
      <c r="I34" s="70"/>
    </row>
    <row r="35" spans="1:15" s="65" customFormat="1" ht="12.75" customHeight="1" x14ac:dyDescent="0.3">
      <c r="B35" s="33"/>
      <c r="C35" s="33"/>
      <c r="D35" s="28"/>
      <c r="E35" s="33"/>
      <c r="F35" s="28"/>
      <c r="G35" s="67"/>
      <c r="H35" s="54"/>
      <c r="I35" s="67"/>
    </row>
    <row r="36" spans="1:15" ht="12.75" customHeight="1" x14ac:dyDescent="0.3">
      <c r="A36" s="10"/>
      <c r="B36" s="79"/>
      <c r="C36" s="80"/>
      <c r="E36" s="27"/>
      <c r="G36" s="67"/>
      <c r="H36" s="55"/>
      <c r="I36" s="67"/>
    </row>
    <row r="37" spans="1:15" ht="12.75" customHeight="1" x14ac:dyDescent="0.3">
      <c r="A37" s="10"/>
      <c r="B37" s="79"/>
      <c r="C37" s="80"/>
      <c r="E37" s="27"/>
      <c r="G37" s="67"/>
      <c r="H37" s="55"/>
      <c r="I37" s="67"/>
    </row>
    <row r="38" spans="1:15" ht="12.75" customHeight="1" x14ac:dyDescent="0.3">
      <c r="A38" s="10"/>
      <c r="B38" s="79"/>
      <c r="C38" s="80"/>
      <c r="E38" s="27"/>
      <c r="G38" s="67"/>
      <c r="H38" s="55"/>
      <c r="I38" s="67"/>
    </row>
    <row r="39" spans="1:15" ht="12.75" customHeight="1" x14ac:dyDescent="0.3">
      <c r="C39" s="27"/>
      <c r="E39" s="27"/>
      <c r="G39" s="67"/>
      <c r="H39" s="54"/>
      <c r="I39" s="67"/>
    </row>
    <row r="40" spans="1:15" s="65" customFormat="1" ht="12.75" customHeight="1" x14ac:dyDescent="0.3">
      <c r="B40" s="33"/>
      <c r="C40" s="33"/>
      <c r="D40" s="34"/>
      <c r="E40" s="33"/>
      <c r="F40" s="34"/>
      <c r="G40" s="67"/>
      <c r="H40" s="55"/>
      <c r="I40" s="67"/>
    </row>
    <row r="41" spans="1:15" ht="12.75" customHeight="1" x14ac:dyDescent="0.25">
      <c r="A41" s="10"/>
      <c r="C41" s="27"/>
      <c r="E41" s="27"/>
      <c r="G41" s="52"/>
      <c r="H41" s="54"/>
      <c r="I41" s="55"/>
    </row>
    <row r="42" spans="1:15" s="65" customFormat="1" ht="12.75" customHeight="1" x14ac:dyDescent="0.3">
      <c r="B42" s="33"/>
      <c r="C42" s="33"/>
      <c r="D42" s="28"/>
      <c r="E42" s="33"/>
      <c r="F42" s="28"/>
      <c r="G42" s="67"/>
      <c r="H42" s="67"/>
      <c r="I42" s="67"/>
    </row>
    <row r="43" spans="1:15" s="10" customFormat="1" ht="12.75" customHeight="1" x14ac:dyDescent="0.3">
      <c r="B43" s="76"/>
      <c r="C43" s="80"/>
      <c r="D43" s="28"/>
      <c r="E43" s="68"/>
      <c r="F43" s="28"/>
      <c r="G43" s="67"/>
      <c r="H43" s="67"/>
      <c r="I43" s="67"/>
    </row>
    <row r="44" spans="1:15" ht="12.75" customHeight="1" x14ac:dyDescent="0.3">
      <c r="A44" s="10"/>
      <c r="B44" s="76"/>
      <c r="C44" s="80"/>
      <c r="E44" s="68"/>
      <c r="G44" s="67"/>
      <c r="H44" s="67"/>
      <c r="I44" s="67"/>
      <c r="J44" s="71"/>
      <c r="K44" s="71"/>
      <c r="L44" s="71"/>
    </row>
    <row r="45" spans="1:15" ht="12.75" customHeight="1" x14ac:dyDescent="0.3">
      <c r="A45" s="10"/>
      <c r="B45" s="76"/>
      <c r="C45" s="80"/>
      <c r="E45" s="68"/>
      <c r="G45" s="67"/>
      <c r="H45" s="67"/>
      <c r="I45" s="67"/>
      <c r="J45" s="71"/>
      <c r="K45" s="70"/>
      <c r="L45" s="70"/>
    </row>
    <row r="46" spans="1:15" ht="12.75" customHeight="1" x14ac:dyDescent="0.3">
      <c r="A46" s="10"/>
      <c r="B46" s="76"/>
      <c r="C46" s="80"/>
      <c r="E46" s="68"/>
      <c r="G46" s="67"/>
      <c r="H46" s="67"/>
      <c r="I46" s="67"/>
      <c r="J46" s="71"/>
      <c r="K46" s="70"/>
      <c r="L46" s="70"/>
    </row>
    <row r="47" spans="1:15" ht="12.75" customHeight="1" x14ac:dyDescent="0.3">
      <c r="A47" s="10"/>
      <c r="B47" s="76"/>
      <c r="C47" s="80"/>
      <c r="E47" s="68"/>
      <c r="G47" s="67"/>
      <c r="H47" s="67"/>
      <c r="I47" s="67"/>
      <c r="J47" s="71"/>
      <c r="K47" s="70"/>
      <c r="L47" s="70"/>
    </row>
    <row r="48" spans="1:15" ht="12.75" customHeight="1" x14ac:dyDescent="0.3">
      <c r="A48" s="10"/>
      <c r="B48" s="76"/>
      <c r="C48" s="80"/>
      <c r="E48" s="68"/>
      <c r="G48" s="67"/>
      <c r="H48" s="67"/>
      <c r="I48" s="67"/>
      <c r="J48" s="71"/>
      <c r="K48" s="70"/>
      <c r="L48" s="70"/>
    </row>
    <row r="49" spans="1:12" ht="12.75" customHeight="1" x14ac:dyDescent="0.3">
      <c r="A49" s="10"/>
      <c r="B49" s="76"/>
      <c r="C49" s="80"/>
      <c r="E49" s="68"/>
      <c r="G49" s="67"/>
      <c r="H49" s="67"/>
      <c r="I49" s="67"/>
      <c r="J49" s="71"/>
      <c r="K49" s="70"/>
      <c r="L49" s="70"/>
    </row>
    <row r="50" spans="1:12" ht="12.75" customHeight="1" x14ac:dyDescent="0.3">
      <c r="A50" s="10"/>
      <c r="B50" s="76"/>
      <c r="C50" s="80"/>
      <c r="E50" s="68"/>
      <c r="G50" s="67"/>
      <c r="H50" s="67"/>
      <c r="I50" s="67"/>
      <c r="J50" s="71"/>
      <c r="K50" s="70"/>
      <c r="L50" s="70"/>
    </row>
    <row r="51" spans="1:12" s="65" customFormat="1" ht="12.75" customHeight="1" x14ac:dyDescent="0.3">
      <c r="B51" s="33"/>
      <c r="C51" s="33"/>
      <c r="D51" s="34"/>
      <c r="E51" s="33"/>
      <c r="F51" s="34"/>
      <c r="G51" s="67"/>
      <c r="H51" s="67"/>
      <c r="I51" s="67"/>
      <c r="J51" s="71"/>
      <c r="K51" s="70"/>
      <c r="L51" s="70"/>
    </row>
    <row r="52" spans="1:12" ht="12.75" customHeight="1" x14ac:dyDescent="0.3">
      <c r="A52" s="10"/>
      <c r="C52" s="27"/>
      <c r="E52" s="27"/>
      <c r="G52" s="52"/>
      <c r="H52" s="54"/>
      <c r="I52" s="54"/>
      <c r="J52" s="71"/>
      <c r="K52" s="70"/>
      <c r="L52" s="70"/>
    </row>
    <row r="53" spans="1:12" s="65" customFormat="1" ht="12.75" customHeight="1" x14ac:dyDescent="0.3">
      <c r="B53" s="33"/>
      <c r="C53" s="33"/>
      <c r="D53" s="28"/>
      <c r="E53" s="33"/>
      <c r="F53" s="28"/>
      <c r="G53" s="67"/>
      <c r="H53" s="55"/>
      <c r="I53" s="67"/>
    </row>
    <row r="54" spans="1:12" ht="12.75" customHeight="1" x14ac:dyDescent="0.3">
      <c r="A54" s="10"/>
      <c r="B54" s="80"/>
      <c r="C54" s="80"/>
      <c r="E54" s="27"/>
      <c r="G54" s="67"/>
      <c r="H54" s="55"/>
      <c r="I54" s="67"/>
      <c r="J54" s="20"/>
    </row>
    <row r="55" spans="1:12" ht="12.75" customHeight="1" x14ac:dyDescent="0.3">
      <c r="A55" s="10"/>
      <c r="B55" s="80"/>
      <c r="C55" s="80"/>
      <c r="E55" s="27"/>
      <c r="G55" s="67"/>
      <c r="H55" s="55"/>
      <c r="I55" s="67"/>
      <c r="J55" s="20"/>
    </row>
    <row r="56" spans="1:12" ht="12.75" customHeight="1" x14ac:dyDescent="0.3">
      <c r="A56" s="10"/>
      <c r="B56" s="80"/>
      <c r="C56" s="80"/>
      <c r="E56" s="27"/>
      <c r="G56" s="67"/>
      <c r="H56" s="54"/>
      <c r="I56" s="67"/>
      <c r="J56" s="20"/>
    </row>
    <row r="57" spans="1:12" ht="12.75" customHeight="1" x14ac:dyDescent="0.3">
      <c r="C57" s="27"/>
      <c r="E57" s="27"/>
      <c r="G57" s="67"/>
      <c r="H57" s="27"/>
      <c r="I57" s="67"/>
      <c r="J57" s="20"/>
    </row>
    <row r="58" spans="1:12" s="65" customFormat="1" ht="12.75" customHeight="1" x14ac:dyDescent="0.3">
      <c r="B58" s="33"/>
      <c r="C58" s="33"/>
      <c r="D58" s="34"/>
      <c r="E58" s="33"/>
      <c r="F58" s="34"/>
      <c r="G58" s="67"/>
      <c r="H58" s="33"/>
      <c r="I58" s="67"/>
      <c r="J58" s="20"/>
    </row>
    <row r="59" spans="1:12" ht="12.75" customHeight="1" x14ac:dyDescent="0.25">
      <c r="A59" s="10"/>
      <c r="C59" s="27"/>
      <c r="E59" s="27"/>
      <c r="H59" s="27"/>
      <c r="I59" s="27"/>
    </row>
    <row r="60" spans="1:12" s="65" customFormat="1" ht="12.75" customHeight="1" x14ac:dyDescent="0.3">
      <c r="B60" s="33"/>
      <c r="C60" s="33"/>
      <c r="D60" s="28"/>
      <c r="E60" s="33"/>
      <c r="F60" s="28"/>
      <c r="G60" s="67"/>
      <c r="H60" s="67"/>
      <c r="I60" s="67"/>
    </row>
    <row r="61" spans="1:12" s="10" customFormat="1" ht="12.75" customHeight="1" x14ac:dyDescent="0.3">
      <c r="B61" s="77"/>
      <c r="C61" s="77"/>
      <c r="D61" s="28"/>
      <c r="E61" s="68"/>
      <c r="F61" s="28"/>
      <c r="G61" s="67"/>
      <c r="H61" s="67"/>
      <c r="I61" s="67"/>
    </row>
    <row r="62" spans="1:12" ht="12.75" customHeight="1" x14ac:dyDescent="0.3">
      <c r="A62" s="10"/>
      <c r="B62" s="77"/>
      <c r="C62" s="77"/>
      <c r="E62" s="68"/>
      <c r="G62" s="67"/>
      <c r="H62" s="67"/>
      <c r="I62" s="67"/>
      <c r="J62" s="70"/>
    </row>
    <row r="63" spans="1:12" ht="12.75" customHeight="1" x14ac:dyDescent="0.3">
      <c r="A63" s="10"/>
      <c r="B63" s="77"/>
      <c r="C63" s="77"/>
      <c r="E63" s="68"/>
      <c r="G63" s="67"/>
      <c r="H63" s="67"/>
      <c r="I63" s="67"/>
      <c r="J63" s="70"/>
    </row>
    <row r="64" spans="1:12" ht="12.75" customHeight="1" x14ac:dyDescent="0.3">
      <c r="A64" s="10"/>
      <c r="B64" s="77"/>
      <c r="C64" s="77"/>
      <c r="E64" s="68"/>
      <c r="G64" s="67"/>
      <c r="H64" s="67"/>
      <c r="I64" s="67"/>
      <c r="J64" s="70"/>
    </row>
    <row r="65" spans="1:10" ht="12.75" customHeight="1" x14ac:dyDescent="0.3">
      <c r="A65" s="10"/>
      <c r="B65" s="77"/>
      <c r="C65" s="77"/>
      <c r="E65" s="68"/>
      <c r="G65" s="67"/>
      <c r="H65" s="67"/>
      <c r="I65" s="67"/>
      <c r="J65" s="70"/>
    </row>
    <row r="66" spans="1:10" ht="12.75" customHeight="1" x14ac:dyDescent="0.3">
      <c r="A66" s="10"/>
      <c r="B66" s="77"/>
      <c r="C66" s="77"/>
      <c r="E66" s="68"/>
      <c r="G66" s="67"/>
      <c r="H66" s="67"/>
      <c r="I66" s="67"/>
      <c r="J66" s="70"/>
    </row>
    <row r="67" spans="1:10" ht="12.75" customHeight="1" x14ac:dyDescent="0.3">
      <c r="A67" s="10"/>
      <c r="B67" s="77"/>
      <c r="C67" s="77"/>
      <c r="E67" s="68"/>
      <c r="G67" s="67"/>
      <c r="H67" s="67"/>
      <c r="I67" s="67"/>
      <c r="J67" s="70"/>
    </row>
    <row r="68" spans="1:10" ht="12.75" customHeight="1" x14ac:dyDescent="0.3">
      <c r="A68" s="10"/>
      <c r="B68" s="77"/>
      <c r="C68" s="77"/>
      <c r="E68" s="68"/>
      <c r="G68" s="67"/>
      <c r="H68" s="67"/>
      <c r="I68" s="67"/>
      <c r="J68" s="70"/>
    </row>
    <row r="69" spans="1:10" ht="12.75" customHeight="1" x14ac:dyDescent="0.3">
      <c r="A69" s="10"/>
      <c r="B69" s="77"/>
      <c r="C69" s="77"/>
      <c r="E69" s="27"/>
      <c r="G69" s="67"/>
      <c r="H69" s="67"/>
      <c r="I69" s="67"/>
      <c r="J69" s="70"/>
    </row>
    <row r="70" spans="1:10" s="65" customFormat="1" ht="12.75" customHeight="1" x14ac:dyDescent="0.3">
      <c r="B70" s="27"/>
      <c r="C70" s="27"/>
      <c r="D70" s="28"/>
      <c r="E70" s="27"/>
      <c r="F70" s="28"/>
      <c r="G70" s="67"/>
      <c r="H70" s="27"/>
      <c r="I70" s="67"/>
      <c r="J70" s="70"/>
    </row>
    <row r="71" spans="1:10" ht="12.75" customHeight="1" x14ac:dyDescent="0.3">
      <c r="A71" s="10"/>
      <c r="B71" s="77"/>
      <c r="C71" s="77"/>
      <c r="E71" s="27"/>
      <c r="G71" s="67"/>
      <c r="H71" s="27"/>
      <c r="I71" s="67"/>
    </row>
    <row r="72" spans="1:10" ht="12.75" customHeight="1" x14ac:dyDescent="0.3">
      <c r="A72" s="10"/>
      <c r="B72" s="77"/>
      <c r="C72" s="77"/>
      <c r="E72" s="27"/>
      <c r="G72" s="67"/>
      <c r="H72" s="41"/>
      <c r="I72" s="67"/>
    </row>
    <row r="73" spans="1:10" ht="12.75" customHeight="1" x14ac:dyDescent="0.3">
      <c r="A73" s="10"/>
      <c r="B73" s="77"/>
      <c r="C73" s="77"/>
      <c r="E73" s="27"/>
      <c r="G73" s="67"/>
      <c r="I73" s="67"/>
    </row>
    <row r="74" spans="1:10" ht="14.4" x14ac:dyDescent="0.3">
      <c r="A74" s="21"/>
      <c r="C74" s="40"/>
      <c r="D74" s="42"/>
      <c r="E74" s="40"/>
      <c r="F74" s="42"/>
      <c r="G74" s="67"/>
      <c r="I74" s="67"/>
    </row>
    <row r="75" spans="1:10" ht="14.4" x14ac:dyDescent="0.3">
      <c r="C75" s="27"/>
      <c r="E75" s="27"/>
      <c r="G75" s="67"/>
      <c r="I75" s="67"/>
    </row>
    <row r="76" spans="1:10" x14ac:dyDescent="0.25">
      <c r="C76" s="27"/>
      <c r="E76" s="27"/>
    </row>
    <row r="77" spans="1:10" x14ac:dyDescent="0.25">
      <c r="C77" s="27"/>
      <c r="E77" s="27"/>
      <c r="G77" s="65"/>
      <c r="I77" s="33"/>
    </row>
    <row r="78" spans="1:10" x14ac:dyDescent="0.25">
      <c r="C78" s="27"/>
      <c r="E78" s="27"/>
      <c r="G78" s="65"/>
    </row>
    <row r="79" spans="1:10" x14ac:dyDescent="0.25">
      <c r="C79" s="27"/>
      <c r="E79" s="27"/>
      <c r="I79" s="27"/>
    </row>
    <row r="80" spans="1:10" x14ac:dyDescent="0.25">
      <c r="C80" s="27"/>
      <c r="E80" s="27"/>
      <c r="I80" s="27"/>
    </row>
    <row r="81" spans="2:9" x14ac:dyDescent="0.25">
      <c r="B81" s="43"/>
      <c r="C81" s="27"/>
      <c r="E81" s="27"/>
      <c r="I81" s="27"/>
    </row>
    <row r="82" spans="2:9" x14ac:dyDescent="0.25">
      <c r="B82" s="43"/>
      <c r="C82" s="27"/>
      <c r="E82" s="27"/>
      <c r="I82" s="27"/>
    </row>
    <row r="83" spans="2:9" x14ac:dyDescent="0.25">
      <c r="B83" s="43"/>
      <c r="C83" s="27"/>
      <c r="E83" s="27"/>
      <c r="I83" s="27"/>
    </row>
    <row r="84" spans="2:9" x14ac:dyDescent="0.25">
      <c r="B84" s="43"/>
      <c r="C84" s="27"/>
      <c r="E84" s="27"/>
      <c r="I84" s="27"/>
    </row>
    <row r="85" spans="2:9" x14ac:dyDescent="0.25">
      <c r="B85" s="43"/>
      <c r="C85" s="27"/>
      <c r="E85" s="27"/>
      <c r="I85" s="27"/>
    </row>
    <row r="86" spans="2:9" x14ac:dyDescent="0.25">
      <c r="B86" s="43"/>
      <c r="C86" s="27"/>
      <c r="E86" s="27"/>
      <c r="I86" s="27"/>
    </row>
    <row r="87" spans="2:9" x14ac:dyDescent="0.25">
      <c r="B87" s="43"/>
      <c r="C87" s="27"/>
      <c r="E87" s="27"/>
      <c r="I87" s="27"/>
    </row>
    <row r="88" spans="2:9" x14ac:dyDescent="0.25">
      <c r="B88" s="43"/>
      <c r="C88" s="27"/>
      <c r="E88" s="27"/>
    </row>
    <row r="89" spans="2:9" x14ac:dyDescent="0.25">
      <c r="B89" s="43"/>
      <c r="G89" s="65"/>
      <c r="I89" s="33"/>
    </row>
    <row r="90" spans="2:9" x14ac:dyDescent="0.25">
      <c r="B90" s="43"/>
      <c r="I90" s="27"/>
    </row>
    <row r="91" spans="2:9" x14ac:dyDescent="0.25">
      <c r="B91" s="43"/>
      <c r="I91" s="27"/>
    </row>
    <row r="92" spans="2:9" x14ac:dyDescent="0.25">
      <c r="B92" s="43"/>
      <c r="I92" s="27"/>
    </row>
    <row r="93" spans="2:9" x14ac:dyDescent="0.25">
      <c r="B93" s="43"/>
      <c r="I93" s="27"/>
    </row>
    <row r="94" spans="2:9" x14ac:dyDescent="0.25">
      <c r="B94" s="43"/>
      <c r="I94" s="27"/>
    </row>
  </sheetData>
  <pageMargins left="0.70866141732283472" right="0.70866141732283472" top="0.74803149606299213" bottom="0.74803149606299213" header="0.31496062992125984" footer="0.31496062992125984"/>
  <pageSetup paperSize="9" scale="80"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84"/>
  <sheetViews>
    <sheetView zoomScaleNormal="100" workbookViewId="0">
      <selection activeCell="A6" sqref="A6:B6"/>
    </sheetView>
  </sheetViews>
  <sheetFormatPr defaultColWidth="9.109375" defaultRowHeight="13.2" x14ac:dyDescent="0.25"/>
  <cols>
    <col min="1" max="1" width="47.33203125" style="43" bestFit="1" customWidth="1"/>
    <col min="2" max="3" width="16.88671875" style="43" bestFit="1" customWidth="1"/>
    <col min="4" max="4" width="10" style="43" customWidth="1"/>
    <col min="5" max="5" width="16.88671875" style="43" bestFit="1" customWidth="1"/>
    <col min="6" max="6" width="14.6640625" style="43" bestFit="1" customWidth="1"/>
    <col min="7" max="7" width="9.109375" style="43"/>
    <col min="8" max="8" width="10.5546875" style="43" bestFit="1" customWidth="1"/>
    <col min="9" max="16384" width="9.109375" style="43"/>
  </cols>
  <sheetData>
    <row r="1" spans="1:8" s="99" customFormat="1" ht="43.2" x14ac:dyDescent="0.3">
      <c r="B1" s="81">
        <v>42477</v>
      </c>
      <c r="C1" s="81">
        <v>42446</v>
      </c>
      <c r="D1" s="103" t="s">
        <v>186</v>
      </c>
      <c r="E1" s="82">
        <v>42111</v>
      </c>
      <c r="F1" s="104" t="s">
        <v>187</v>
      </c>
      <c r="H1" s="105"/>
    </row>
    <row r="2" spans="1:8" ht="14.4" x14ac:dyDescent="0.3">
      <c r="A2" s="100" t="s">
        <v>116</v>
      </c>
      <c r="B2" s="101"/>
      <c r="C2" s="101"/>
      <c r="D2" s="101"/>
      <c r="E2" s="101"/>
      <c r="F2" s="101"/>
    </row>
    <row r="3" spans="1:8" ht="14.4" x14ac:dyDescent="0.3">
      <c r="A3" s="89" t="s">
        <v>14</v>
      </c>
      <c r="D3" s="90"/>
      <c r="F3" s="90"/>
    </row>
    <row r="4" spans="1:8" x14ac:dyDescent="0.25">
      <c r="A4" s="43" t="s">
        <v>135</v>
      </c>
      <c r="B4" s="3">
        <v>775</v>
      </c>
      <c r="C4" s="3">
        <v>559</v>
      </c>
      <c r="D4" s="90">
        <v>38.640429338103758</v>
      </c>
      <c r="E4" s="43">
        <v>537</v>
      </c>
      <c r="F4" s="90">
        <v>44.320297951582866</v>
      </c>
    </row>
    <row r="5" spans="1:8" x14ac:dyDescent="0.25">
      <c r="A5" s="43" t="s">
        <v>177</v>
      </c>
      <c r="B5" s="3">
        <v>2424</v>
      </c>
      <c r="C5" s="3">
        <v>1494</v>
      </c>
      <c r="D5" s="90">
        <v>62.248995983935743</v>
      </c>
      <c r="E5" s="43">
        <v>2069</v>
      </c>
      <c r="F5" s="90">
        <v>17.158047365877234</v>
      </c>
    </row>
    <row r="6" spans="1:8" x14ac:dyDescent="0.25">
      <c r="A6" s="43" t="s">
        <v>132</v>
      </c>
      <c r="B6" s="3">
        <v>1979</v>
      </c>
      <c r="C6" s="3">
        <v>1679</v>
      </c>
      <c r="D6" s="90">
        <v>17.867778439547351</v>
      </c>
      <c r="E6" s="43">
        <v>1409</v>
      </c>
      <c r="F6" s="90">
        <v>40.454222853087295</v>
      </c>
    </row>
    <row r="7" spans="1:8" x14ac:dyDescent="0.25">
      <c r="A7" s="43" t="s">
        <v>133</v>
      </c>
      <c r="B7" s="3">
        <v>12246</v>
      </c>
      <c r="C7" s="3">
        <v>12026</v>
      </c>
      <c r="D7" s="90">
        <v>1.8293696989855315</v>
      </c>
      <c r="E7" s="43">
        <v>8208</v>
      </c>
      <c r="F7" s="90">
        <v>49.195906432748536</v>
      </c>
    </row>
    <row r="8" spans="1:8" x14ac:dyDescent="0.25">
      <c r="A8" s="43" t="s">
        <v>134</v>
      </c>
      <c r="B8" s="3">
        <v>4639</v>
      </c>
      <c r="C8" s="3">
        <v>4417</v>
      </c>
      <c r="D8" s="90">
        <v>5.0260357708852164</v>
      </c>
      <c r="E8" s="43">
        <v>3629</v>
      </c>
      <c r="F8" s="90">
        <v>27.831358500964456</v>
      </c>
    </row>
    <row r="9" spans="1:8" x14ac:dyDescent="0.25">
      <c r="A9" s="43" t="s">
        <v>138</v>
      </c>
      <c r="B9" s="3">
        <v>51</v>
      </c>
      <c r="C9" s="3">
        <v>67</v>
      </c>
      <c r="D9" s="90">
        <v>-23.880597014925371</v>
      </c>
      <c r="E9" s="43">
        <v>12</v>
      </c>
      <c r="F9" s="90">
        <v>325</v>
      </c>
    </row>
    <row r="10" spans="1:8" x14ac:dyDescent="0.25">
      <c r="A10" s="43" t="s">
        <v>179</v>
      </c>
      <c r="B10" s="3">
        <v>8</v>
      </c>
      <c r="C10" s="3">
        <v>24</v>
      </c>
      <c r="D10" s="90">
        <v>-66.666666666666657</v>
      </c>
      <c r="E10" s="43">
        <v>12</v>
      </c>
      <c r="F10" s="90">
        <v>-33.333333333333329</v>
      </c>
    </row>
    <row r="11" spans="1:8" x14ac:dyDescent="0.25">
      <c r="A11" s="43" t="s">
        <v>139</v>
      </c>
      <c r="B11" s="3">
        <v>46</v>
      </c>
      <c r="C11" s="3">
        <v>63</v>
      </c>
      <c r="D11" s="90">
        <v>-26.984126984126984</v>
      </c>
      <c r="E11" s="43">
        <v>52</v>
      </c>
      <c r="F11" s="90">
        <v>-11.538461538461538</v>
      </c>
    </row>
    <row r="12" spans="1:8" ht="14.4" x14ac:dyDescent="0.3">
      <c r="A12" s="91" t="s">
        <v>180</v>
      </c>
      <c r="B12" s="92">
        <f t="shared" ref="B12:C12" si="0">SUM(B4:B11)</f>
        <v>22168</v>
      </c>
      <c r="C12" s="92">
        <f t="shared" si="0"/>
        <v>20329</v>
      </c>
      <c r="D12" s="106">
        <f>((B12/C12)-1)*100</f>
        <v>9.0461901716759385</v>
      </c>
      <c r="E12" s="92">
        <f>SUM(E4:E11)</f>
        <v>15928</v>
      </c>
      <c r="F12" s="106">
        <f>((B12/E12)-1)*100</f>
        <v>39.176293319939724</v>
      </c>
    </row>
    <row r="13" spans="1:8" ht="14.4" x14ac:dyDescent="0.3">
      <c r="A13" s="89" t="s">
        <v>15</v>
      </c>
      <c r="D13" s="90"/>
      <c r="F13" s="90" t="s">
        <v>184</v>
      </c>
    </row>
    <row r="14" spans="1:8" x14ac:dyDescent="0.25">
      <c r="A14" s="43" t="s">
        <v>135</v>
      </c>
      <c r="B14" s="43">
        <v>5</v>
      </c>
      <c r="C14" s="43">
        <v>2</v>
      </c>
      <c r="D14" s="90">
        <v>150</v>
      </c>
      <c r="E14" s="43">
        <v>11</v>
      </c>
      <c r="F14" s="90">
        <v>-54.54545454545454</v>
      </c>
    </row>
    <row r="15" spans="1:8" x14ac:dyDescent="0.25">
      <c r="A15" s="43" t="s">
        <v>177</v>
      </c>
      <c r="B15" s="43">
        <v>192</v>
      </c>
      <c r="C15" s="43">
        <v>168</v>
      </c>
      <c r="D15" s="90">
        <v>14.285714285714285</v>
      </c>
      <c r="E15" s="43">
        <v>111</v>
      </c>
      <c r="F15" s="90">
        <v>72.972972972972968</v>
      </c>
    </row>
    <row r="16" spans="1:8" x14ac:dyDescent="0.25">
      <c r="A16" s="43" t="s">
        <v>132</v>
      </c>
      <c r="B16" s="43">
        <v>73</v>
      </c>
      <c r="C16" s="43">
        <v>84</v>
      </c>
      <c r="D16" s="90">
        <v>-13.095238095238097</v>
      </c>
      <c r="E16" s="43">
        <v>67</v>
      </c>
      <c r="F16" s="90">
        <v>8.9552238805970141</v>
      </c>
    </row>
    <row r="17" spans="1:6" x14ac:dyDescent="0.25">
      <c r="A17" s="43" t="s">
        <v>133</v>
      </c>
      <c r="B17" s="43">
        <v>2152</v>
      </c>
      <c r="C17" s="43">
        <v>1981</v>
      </c>
      <c r="D17" s="90">
        <v>8.6320040383644638</v>
      </c>
      <c r="E17" s="43">
        <v>1352</v>
      </c>
      <c r="F17" s="90">
        <v>59.171597633136095</v>
      </c>
    </row>
    <row r="18" spans="1:6" x14ac:dyDescent="0.25">
      <c r="A18" s="43" t="s">
        <v>134</v>
      </c>
      <c r="B18" s="43">
        <v>483</v>
      </c>
      <c r="C18" s="43">
        <v>364</v>
      </c>
      <c r="D18" s="90">
        <v>32.692307692307693</v>
      </c>
      <c r="E18" s="43">
        <v>229</v>
      </c>
      <c r="F18" s="90">
        <v>110.91703056768559</v>
      </c>
    </row>
    <row r="19" spans="1:6" x14ac:dyDescent="0.25">
      <c r="A19" s="43" t="s">
        <v>138</v>
      </c>
      <c r="B19" s="43">
        <v>0</v>
      </c>
      <c r="C19" s="43">
        <v>0</v>
      </c>
      <c r="D19" s="90" t="s">
        <v>184</v>
      </c>
      <c r="E19" s="43">
        <v>0</v>
      </c>
      <c r="F19" s="90" t="s">
        <v>184</v>
      </c>
    </row>
    <row r="20" spans="1:6" x14ac:dyDescent="0.25">
      <c r="A20" s="43" t="s">
        <v>179</v>
      </c>
      <c r="B20" s="43">
        <v>0</v>
      </c>
      <c r="C20" s="43">
        <v>1</v>
      </c>
      <c r="D20" s="90">
        <v>-100</v>
      </c>
      <c r="E20" s="43">
        <v>0</v>
      </c>
      <c r="F20" s="90" t="s">
        <v>184</v>
      </c>
    </row>
    <row r="21" spans="1:6" x14ac:dyDescent="0.25">
      <c r="A21" s="43" t="s">
        <v>139</v>
      </c>
      <c r="B21" s="43">
        <v>0</v>
      </c>
      <c r="C21" s="43">
        <v>0</v>
      </c>
      <c r="D21" s="90" t="s">
        <v>184</v>
      </c>
      <c r="E21" s="43">
        <v>1</v>
      </c>
      <c r="F21" s="90">
        <v>-100</v>
      </c>
    </row>
    <row r="22" spans="1:6" ht="14.4" x14ac:dyDescent="0.3">
      <c r="A22" s="91" t="s">
        <v>181</v>
      </c>
      <c r="B22" s="92">
        <f t="shared" ref="B22:C22" si="1">SUM(B14:B21)</f>
        <v>2905</v>
      </c>
      <c r="C22" s="92">
        <f t="shared" si="1"/>
        <v>2600</v>
      </c>
      <c r="D22" s="106">
        <f>((B22/C22)-1)*100</f>
        <v>11.730769230769234</v>
      </c>
      <c r="E22" s="92">
        <f>SUM(E14:E21)</f>
        <v>1771</v>
      </c>
      <c r="F22" s="106">
        <f>((B22/E22)-1)*100</f>
        <v>64.031620553359687</v>
      </c>
    </row>
    <row r="23" spans="1:6" ht="14.4" x14ac:dyDescent="0.3">
      <c r="A23" s="100" t="s">
        <v>131</v>
      </c>
      <c r="B23" s="101"/>
      <c r="C23" s="101"/>
      <c r="D23" s="102" t="s">
        <v>184</v>
      </c>
      <c r="E23" s="101"/>
      <c r="F23" s="102" t="s">
        <v>184</v>
      </c>
    </row>
    <row r="24" spans="1:6" ht="14.4" x14ac:dyDescent="0.3">
      <c r="A24" s="89" t="s">
        <v>14</v>
      </c>
      <c r="D24" s="90"/>
      <c r="F24" s="90"/>
    </row>
    <row r="25" spans="1:6" x14ac:dyDescent="0.25">
      <c r="A25" s="43" t="s">
        <v>135</v>
      </c>
      <c r="B25" s="3">
        <v>11554</v>
      </c>
      <c r="C25" s="3">
        <v>11727</v>
      </c>
      <c r="D25" s="90">
        <v>-1.4752281060799863</v>
      </c>
      <c r="E25" s="3">
        <v>6384</v>
      </c>
      <c r="F25" s="90">
        <v>80.983709273182953</v>
      </c>
    </row>
    <row r="26" spans="1:6" x14ac:dyDescent="0.25">
      <c r="A26" s="43" t="s">
        <v>177</v>
      </c>
      <c r="B26" s="3">
        <v>24826</v>
      </c>
      <c r="C26" s="3">
        <v>11234</v>
      </c>
      <c r="D26" s="90">
        <v>120.98985223428878</v>
      </c>
      <c r="E26" s="3">
        <v>22660</v>
      </c>
      <c r="F26" s="90">
        <v>9.5586937334510154</v>
      </c>
    </row>
    <row r="27" spans="1:6" x14ac:dyDescent="0.25">
      <c r="A27" s="43" t="s">
        <v>132</v>
      </c>
      <c r="B27" s="3">
        <v>14610</v>
      </c>
      <c r="C27" s="3">
        <v>10724</v>
      </c>
      <c r="D27" s="90">
        <v>36.236478925773966</v>
      </c>
      <c r="E27" s="3">
        <v>16420</v>
      </c>
      <c r="F27" s="90">
        <v>-11.0231425091352</v>
      </c>
    </row>
    <row r="28" spans="1:6" x14ac:dyDescent="0.25">
      <c r="A28" s="43" t="s">
        <v>133</v>
      </c>
      <c r="B28" s="3">
        <v>72981</v>
      </c>
      <c r="C28" s="3">
        <v>84510</v>
      </c>
      <c r="D28" s="90">
        <v>-13.642172523961662</v>
      </c>
      <c r="E28" s="3">
        <v>50994</v>
      </c>
      <c r="F28" s="90">
        <v>43.116837274973527</v>
      </c>
    </row>
    <row r="29" spans="1:6" x14ac:dyDescent="0.25">
      <c r="A29" s="43" t="s">
        <v>134</v>
      </c>
      <c r="B29" s="3">
        <v>32054</v>
      </c>
      <c r="C29" s="3">
        <v>32486</v>
      </c>
      <c r="D29" s="90">
        <v>-1.3298036077079358</v>
      </c>
      <c r="E29" s="3">
        <v>25702</v>
      </c>
      <c r="F29" s="90">
        <v>24.714030036573028</v>
      </c>
    </row>
    <row r="30" spans="1:6" x14ac:dyDescent="0.25">
      <c r="A30" s="43" t="s">
        <v>138</v>
      </c>
      <c r="B30" s="3">
        <v>1067</v>
      </c>
      <c r="C30" s="3">
        <v>532</v>
      </c>
      <c r="D30" s="90">
        <v>100.5639097744361</v>
      </c>
      <c r="E30" s="3">
        <v>155</v>
      </c>
      <c r="F30" s="90">
        <v>588.38709677419354</v>
      </c>
    </row>
    <row r="31" spans="1:6" x14ac:dyDescent="0.25">
      <c r="A31" s="43" t="s">
        <v>179</v>
      </c>
      <c r="B31" s="3">
        <v>647</v>
      </c>
      <c r="C31" s="3">
        <v>97</v>
      </c>
      <c r="D31" s="90">
        <v>567.01030927835052</v>
      </c>
      <c r="E31" s="3">
        <v>62</v>
      </c>
      <c r="F31" s="90">
        <v>943.54838709677415</v>
      </c>
    </row>
    <row r="32" spans="1:6" x14ac:dyDescent="0.25">
      <c r="A32" s="43" t="s">
        <v>139</v>
      </c>
      <c r="B32" s="3">
        <v>1117</v>
      </c>
      <c r="C32" s="3">
        <v>4890</v>
      </c>
      <c r="D32" s="90">
        <v>-77.157464212678946</v>
      </c>
      <c r="E32" s="3">
        <v>2615</v>
      </c>
      <c r="F32" s="90">
        <v>-57.284894837476095</v>
      </c>
    </row>
    <row r="33" spans="1:6" ht="14.4" x14ac:dyDescent="0.3">
      <c r="A33" s="91" t="s">
        <v>180</v>
      </c>
      <c r="B33" s="94">
        <f t="shared" ref="B33:C33" si="2">SUM(B25:B32)</f>
        <v>158856</v>
      </c>
      <c r="C33" s="94">
        <f t="shared" si="2"/>
        <v>156200</v>
      </c>
      <c r="D33" s="106">
        <f>((B33/C33)-1)*100</f>
        <v>1.7003841229193295</v>
      </c>
      <c r="E33" s="94">
        <f>SUM(E25:E32)</f>
        <v>124992</v>
      </c>
      <c r="F33" s="106">
        <f>((B33/E33)-1)*100</f>
        <v>27.092933947772657</v>
      </c>
    </row>
    <row r="34" spans="1:6" ht="14.4" x14ac:dyDescent="0.3">
      <c r="A34" s="89" t="s">
        <v>15</v>
      </c>
      <c r="D34" s="90"/>
      <c r="F34" s="90"/>
    </row>
    <row r="35" spans="1:6" x14ac:dyDescent="0.25">
      <c r="A35" s="43" t="s">
        <v>135</v>
      </c>
      <c r="B35" s="3">
        <v>53</v>
      </c>
      <c r="C35" s="3">
        <v>80</v>
      </c>
      <c r="D35" s="90">
        <v>-33.75</v>
      </c>
      <c r="E35" s="3">
        <v>55</v>
      </c>
      <c r="F35" s="90">
        <v>-3.6363636363636362</v>
      </c>
    </row>
    <row r="36" spans="1:6" x14ac:dyDescent="0.25">
      <c r="A36" s="43" t="s">
        <v>177</v>
      </c>
      <c r="B36" s="3">
        <v>2489</v>
      </c>
      <c r="C36" s="3">
        <v>1351</v>
      </c>
      <c r="D36" s="90">
        <v>84.233900814211694</v>
      </c>
      <c r="E36" s="3">
        <v>1372</v>
      </c>
      <c r="F36" s="90">
        <v>81.413994169096213</v>
      </c>
    </row>
    <row r="37" spans="1:6" x14ac:dyDescent="0.25">
      <c r="A37" s="43" t="s">
        <v>132</v>
      </c>
      <c r="B37" s="3">
        <v>797</v>
      </c>
      <c r="C37" s="3">
        <v>2774</v>
      </c>
      <c r="D37" s="90">
        <v>-71.268925739005056</v>
      </c>
      <c r="E37" s="3">
        <v>143</v>
      </c>
      <c r="F37" s="90">
        <v>457.34265734265733</v>
      </c>
    </row>
    <row r="38" spans="1:6" x14ac:dyDescent="0.25">
      <c r="A38" s="43" t="s">
        <v>133</v>
      </c>
      <c r="B38" s="3">
        <v>23354</v>
      </c>
      <c r="C38" s="3">
        <v>25332</v>
      </c>
      <c r="D38" s="90">
        <v>-7.8083057003000151</v>
      </c>
      <c r="E38" s="3">
        <v>18568</v>
      </c>
      <c r="F38" s="90">
        <v>25.775527789745801</v>
      </c>
    </row>
    <row r="39" spans="1:6" x14ac:dyDescent="0.25">
      <c r="A39" s="43" t="s">
        <v>134</v>
      </c>
      <c r="B39" s="3">
        <v>7141</v>
      </c>
      <c r="C39" s="3">
        <v>4596</v>
      </c>
      <c r="D39" s="90">
        <v>55.374238468233251</v>
      </c>
      <c r="E39" s="3">
        <v>3861</v>
      </c>
      <c r="F39" s="90">
        <v>84.952084952084945</v>
      </c>
    </row>
    <row r="40" spans="1:6" x14ac:dyDescent="0.25">
      <c r="A40" s="43" t="s">
        <v>138</v>
      </c>
      <c r="B40" s="3">
        <v>0</v>
      </c>
      <c r="C40" s="3">
        <v>0</v>
      </c>
      <c r="D40" s="90" t="s">
        <v>184</v>
      </c>
      <c r="E40" s="3">
        <v>0</v>
      </c>
      <c r="F40" s="90" t="s">
        <v>184</v>
      </c>
    </row>
    <row r="41" spans="1:6" x14ac:dyDescent="0.25">
      <c r="A41" s="43" t="s">
        <v>179</v>
      </c>
      <c r="B41" s="3">
        <v>0</v>
      </c>
      <c r="C41" s="3">
        <v>80</v>
      </c>
      <c r="D41" s="90">
        <v>-100</v>
      </c>
      <c r="E41" s="3">
        <v>0</v>
      </c>
      <c r="F41" s="90" t="s">
        <v>184</v>
      </c>
    </row>
    <row r="42" spans="1:6" x14ac:dyDescent="0.25">
      <c r="A42" s="43" t="s">
        <v>139</v>
      </c>
      <c r="B42" s="3">
        <v>0</v>
      </c>
      <c r="C42" s="3">
        <v>0</v>
      </c>
      <c r="D42" s="90" t="s">
        <v>184</v>
      </c>
      <c r="E42" s="3">
        <v>500</v>
      </c>
      <c r="F42" s="90">
        <v>-100</v>
      </c>
    </row>
    <row r="43" spans="1:6" ht="14.4" x14ac:dyDescent="0.3">
      <c r="A43" s="91" t="s">
        <v>181</v>
      </c>
      <c r="B43" s="95">
        <v>33834</v>
      </c>
      <c r="C43" s="95">
        <v>34213</v>
      </c>
      <c r="D43" s="106">
        <f>((B43/C43)-1)*100</f>
        <v>-1.1077660538391876</v>
      </c>
      <c r="E43" s="95">
        <f>SUM(E35:E42)</f>
        <v>24499</v>
      </c>
      <c r="F43" s="106">
        <f>((B43/E43)-1)*100</f>
        <v>38.10359606514551</v>
      </c>
    </row>
    <row r="44" spans="1:6" ht="14.4" x14ac:dyDescent="0.3">
      <c r="A44" s="100" t="s">
        <v>188</v>
      </c>
      <c r="B44" s="101"/>
      <c r="C44" s="101"/>
      <c r="D44" s="102" t="s">
        <v>184</v>
      </c>
      <c r="E44" s="101"/>
      <c r="F44" s="102" t="s">
        <v>184</v>
      </c>
    </row>
    <row r="45" spans="1:6" ht="14.4" x14ac:dyDescent="0.3">
      <c r="A45" s="89" t="s">
        <v>14</v>
      </c>
      <c r="D45" s="90"/>
      <c r="F45" s="90"/>
    </row>
    <row r="46" spans="1:6" x14ac:dyDescent="0.25">
      <c r="A46" s="43" t="s">
        <v>135</v>
      </c>
      <c r="B46" s="96">
        <v>2540441301.1700001</v>
      </c>
      <c r="C46" s="96">
        <v>2689823264.5700002</v>
      </c>
      <c r="D46" s="90">
        <v>-5.5535977165354975</v>
      </c>
      <c r="E46" s="96">
        <v>1171950702.4200001</v>
      </c>
      <c r="F46" s="90">
        <v>116.7703211341704</v>
      </c>
    </row>
    <row r="47" spans="1:6" x14ac:dyDescent="0.25">
      <c r="A47" s="43" t="s">
        <v>177</v>
      </c>
      <c r="B47" s="96">
        <v>7573540749.7399998</v>
      </c>
      <c r="C47" s="96">
        <v>3388926579.9250002</v>
      </c>
      <c r="D47" s="90">
        <v>123.47904479853349</v>
      </c>
      <c r="E47" s="96">
        <v>5391735407.2449999</v>
      </c>
      <c r="F47" s="90">
        <v>40.465734642008904</v>
      </c>
    </row>
    <row r="48" spans="1:6" x14ac:dyDescent="0.25">
      <c r="A48" s="43" t="s">
        <v>132</v>
      </c>
      <c r="B48" s="96">
        <v>4731044838.1400003</v>
      </c>
      <c r="C48" s="96">
        <v>3701883739.0100002</v>
      </c>
      <c r="D48" s="90">
        <v>27.801010828212291</v>
      </c>
      <c r="E48" s="96">
        <v>3986746927.7950001</v>
      </c>
      <c r="F48" s="90">
        <v>18.669304167662794</v>
      </c>
    </row>
    <row r="49" spans="1:6" x14ac:dyDescent="0.25">
      <c r="A49" s="43" t="s">
        <v>133</v>
      </c>
      <c r="B49" s="96">
        <v>33153690352.77</v>
      </c>
      <c r="C49" s="96">
        <v>41308138556.739998</v>
      </c>
      <c r="D49" s="90">
        <v>-19.74053658401774</v>
      </c>
      <c r="E49" s="96">
        <v>13267423647.540001</v>
      </c>
      <c r="F49" s="90">
        <v>149.88793026833994</v>
      </c>
    </row>
    <row r="50" spans="1:6" x14ac:dyDescent="0.25">
      <c r="A50" s="43" t="s">
        <v>134</v>
      </c>
      <c r="B50" s="96">
        <v>10175781581.469999</v>
      </c>
      <c r="C50" s="96">
        <v>10598629582.35</v>
      </c>
      <c r="D50" s="90">
        <v>-3.9896478841394161</v>
      </c>
      <c r="E50" s="96">
        <v>6096388762.2200003</v>
      </c>
      <c r="F50" s="90">
        <v>66.914906157731451</v>
      </c>
    </row>
    <row r="51" spans="1:6" x14ac:dyDescent="0.25">
      <c r="A51" s="43" t="s">
        <v>138</v>
      </c>
      <c r="B51" s="96">
        <v>195500254.493</v>
      </c>
      <c r="C51" s="96">
        <v>104542755.01800001</v>
      </c>
      <c r="D51" s="90">
        <v>87.005072192079751</v>
      </c>
      <c r="E51" s="96">
        <v>22533250.010000002</v>
      </c>
      <c r="F51" s="90">
        <v>767.60788792668257</v>
      </c>
    </row>
    <row r="52" spans="1:6" x14ac:dyDescent="0.25">
      <c r="A52" s="43" t="s">
        <v>179</v>
      </c>
      <c r="B52" s="96">
        <v>92346317.064999998</v>
      </c>
      <c r="C52" s="96">
        <v>15036409.99</v>
      </c>
      <c r="D52" s="90">
        <v>514.15136409831291</v>
      </c>
      <c r="E52" s="96">
        <v>8713469.9940000009</v>
      </c>
      <c r="F52" s="90">
        <v>959.81104116487063</v>
      </c>
    </row>
    <row r="53" spans="1:6" x14ac:dyDescent="0.25">
      <c r="A53" s="43" t="s">
        <v>139</v>
      </c>
      <c r="B53" s="96">
        <v>70674825.079999998</v>
      </c>
      <c r="C53" s="96">
        <v>299796761.60000002</v>
      </c>
      <c r="D53" s="90">
        <v>-76.42575433343174</v>
      </c>
      <c r="E53" s="96">
        <v>183746405.63</v>
      </c>
      <c r="F53" s="90">
        <v>-61.536757773475038</v>
      </c>
    </row>
    <row r="54" spans="1:6" ht="14.4" x14ac:dyDescent="0.3">
      <c r="A54" s="91" t="s">
        <v>180</v>
      </c>
      <c r="B54" s="97">
        <f>SUM(B46:B53)</f>
        <v>58533020219.928001</v>
      </c>
      <c r="C54" s="97">
        <f>SUM(C46:C53)</f>
        <v>62106777649.202988</v>
      </c>
      <c r="D54" s="106">
        <f>((B54/C54)-1)*100</f>
        <v>-5.7542148611550932</v>
      </c>
      <c r="E54" s="97">
        <f>SUM(E46:E53)</f>
        <v>30129238572.854</v>
      </c>
      <c r="F54" s="106">
        <f>((B54/E54)-1)*100</f>
        <v>94.2731479203905</v>
      </c>
    </row>
    <row r="55" spans="1:6" ht="14.4" x14ac:dyDescent="0.3">
      <c r="A55" s="89" t="s">
        <v>15</v>
      </c>
      <c r="B55" s="98"/>
      <c r="C55" s="98"/>
      <c r="D55" s="90" t="s">
        <v>184</v>
      </c>
      <c r="E55" s="98"/>
      <c r="F55" s="90"/>
    </row>
    <row r="56" spans="1:6" x14ac:dyDescent="0.25">
      <c r="A56" s="43" t="s">
        <v>135</v>
      </c>
      <c r="B56" s="96">
        <v>501372</v>
      </c>
      <c r="C56" s="96">
        <v>699773.6</v>
      </c>
      <c r="D56" s="90">
        <v>-28.352255643825369</v>
      </c>
      <c r="E56" s="96">
        <v>448020</v>
      </c>
      <c r="F56" s="90">
        <v>11.908396946564885</v>
      </c>
    </row>
    <row r="57" spans="1:6" x14ac:dyDescent="0.25">
      <c r="A57" s="43" t="s">
        <v>177</v>
      </c>
      <c r="B57" s="96">
        <v>17475613.100000001</v>
      </c>
      <c r="C57" s="96">
        <v>9029810.6199999992</v>
      </c>
      <c r="D57" s="90">
        <v>93.532443097904121</v>
      </c>
      <c r="E57" s="96">
        <v>10119526.539999999</v>
      </c>
      <c r="F57" s="90">
        <v>72.692003236744341</v>
      </c>
    </row>
    <row r="58" spans="1:6" x14ac:dyDescent="0.25">
      <c r="A58" s="43" t="s">
        <v>132</v>
      </c>
      <c r="B58" s="96">
        <v>12991581.050000001</v>
      </c>
      <c r="C58" s="96">
        <v>33888032.200000003</v>
      </c>
      <c r="D58" s="90">
        <v>-61.66321793686209</v>
      </c>
      <c r="E58" s="96">
        <v>532160.03</v>
      </c>
      <c r="F58" s="90">
        <v>2341.2921522873485</v>
      </c>
    </row>
    <row r="59" spans="1:6" x14ac:dyDescent="0.25">
      <c r="A59" s="43" t="s">
        <v>133</v>
      </c>
      <c r="B59" s="96">
        <v>486546800.80000001</v>
      </c>
      <c r="C59" s="96">
        <v>558992679.58000004</v>
      </c>
      <c r="D59" s="90">
        <v>-12.960076478001886</v>
      </c>
      <c r="E59" s="96">
        <v>155970466.88</v>
      </c>
      <c r="F59" s="90">
        <v>211.94803127334208</v>
      </c>
    </row>
    <row r="60" spans="1:6" x14ac:dyDescent="0.25">
      <c r="A60" s="43" t="s">
        <v>134</v>
      </c>
      <c r="B60" s="96">
        <v>63882831.740000002</v>
      </c>
      <c r="C60" s="96">
        <v>44850736.100000001</v>
      </c>
      <c r="D60" s="90">
        <v>42.434299400495235</v>
      </c>
      <c r="E60" s="96">
        <v>30103015.66</v>
      </c>
      <c r="F60" s="90">
        <v>112.2140600846367</v>
      </c>
    </row>
    <row r="61" spans="1:6" x14ac:dyDescent="0.25">
      <c r="A61" s="43" t="s">
        <v>138</v>
      </c>
      <c r="B61" s="96">
        <v>0</v>
      </c>
      <c r="C61" s="96">
        <v>0</v>
      </c>
      <c r="D61" s="90" t="s">
        <v>184</v>
      </c>
      <c r="E61" s="96">
        <v>0</v>
      </c>
      <c r="F61" s="90" t="s">
        <v>184</v>
      </c>
    </row>
    <row r="62" spans="1:6" x14ac:dyDescent="0.25">
      <c r="A62" s="43" t="s">
        <v>179</v>
      </c>
      <c r="B62" s="96">
        <v>0</v>
      </c>
      <c r="C62" s="96">
        <v>134421.6</v>
      </c>
      <c r="D62" s="90">
        <v>-100</v>
      </c>
      <c r="E62" s="96">
        <v>0</v>
      </c>
      <c r="F62" s="90" t="s">
        <v>184</v>
      </c>
    </row>
    <row r="63" spans="1:6" x14ac:dyDescent="0.25">
      <c r="A63" s="43" t="s">
        <v>139</v>
      </c>
      <c r="B63" s="96">
        <v>0</v>
      </c>
      <c r="C63" s="96">
        <v>0</v>
      </c>
      <c r="D63" s="90" t="s">
        <v>184</v>
      </c>
      <c r="E63" s="96">
        <v>785000</v>
      </c>
      <c r="F63" s="90">
        <v>-100</v>
      </c>
    </row>
    <row r="64" spans="1:6" ht="14.4" x14ac:dyDescent="0.3">
      <c r="A64" s="91" t="s">
        <v>181</v>
      </c>
      <c r="B64" s="97">
        <f>SUM(B56:B63)</f>
        <v>581398198.68999994</v>
      </c>
      <c r="C64" s="97">
        <f>SUM(C56:C63)</f>
        <v>647595453.70000005</v>
      </c>
      <c r="D64" s="106">
        <f>((B64/C64)-1)*100</f>
        <v>-10.222007370772268</v>
      </c>
      <c r="E64" s="97">
        <f>SUM(E56:E63)</f>
        <v>197958189.10999998</v>
      </c>
      <c r="F64" s="106">
        <f>((B64/E64)-1)*100</f>
        <v>193.69747283702051</v>
      </c>
    </row>
    <row r="65" spans="1:7" ht="14.4" x14ac:dyDescent="0.3">
      <c r="A65" s="100" t="s">
        <v>136</v>
      </c>
      <c r="B65" s="101"/>
      <c r="C65" s="101"/>
      <c r="D65" s="102" t="s">
        <v>184</v>
      </c>
      <c r="E65" s="101"/>
      <c r="F65" s="102" t="s">
        <v>184</v>
      </c>
    </row>
    <row r="66" spans="1:7" ht="14.4" x14ac:dyDescent="0.3">
      <c r="A66" s="89" t="s">
        <v>14</v>
      </c>
    </row>
    <row r="67" spans="1:7" x14ac:dyDescent="0.25">
      <c r="A67" s="43" t="s">
        <v>135</v>
      </c>
      <c r="B67" s="3">
        <v>2873</v>
      </c>
      <c r="C67" s="3">
        <v>4162</v>
      </c>
      <c r="D67" s="90">
        <v>-30.970687169629983</v>
      </c>
      <c r="E67" s="3">
        <v>3174</v>
      </c>
      <c r="F67" s="90">
        <v>-9.4833018273471961</v>
      </c>
    </row>
    <row r="68" spans="1:7" x14ac:dyDescent="0.25">
      <c r="A68" s="43" t="s">
        <v>177</v>
      </c>
      <c r="B68" s="3">
        <v>7514</v>
      </c>
      <c r="C68" s="3">
        <v>5173</v>
      </c>
      <c r="D68" s="90">
        <v>45.254204523487338</v>
      </c>
      <c r="E68" s="3">
        <v>6485</v>
      </c>
      <c r="F68" s="90">
        <v>15.867386276021589</v>
      </c>
    </row>
    <row r="69" spans="1:7" x14ac:dyDescent="0.25">
      <c r="A69" s="43" t="s">
        <v>132</v>
      </c>
      <c r="B69" s="3">
        <v>5086</v>
      </c>
      <c r="C69" s="3">
        <v>4456</v>
      </c>
      <c r="D69" s="90">
        <v>14.138240574506284</v>
      </c>
      <c r="E69" s="3">
        <v>3641</v>
      </c>
      <c r="F69" s="90">
        <v>39.686899203515516</v>
      </c>
    </row>
    <row r="70" spans="1:7" x14ac:dyDescent="0.25">
      <c r="A70" s="43" t="s">
        <v>133</v>
      </c>
      <c r="B70" s="3">
        <v>24502</v>
      </c>
      <c r="C70" s="3">
        <v>23341</v>
      </c>
      <c r="D70" s="90">
        <v>4.9740799451608764</v>
      </c>
      <c r="E70" s="3">
        <v>27863</v>
      </c>
      <c r="F70" s="90">
        <v>-12.062591967842659</v>
      </c>
    </row>
    <row r="71" spans="1:7" x14ac:dyDescent="0.25">
      <c r="A71" s="43" t="s">
        <v>134</v>
      </c>
      <c r="B71" s="3">
        <v>16409</v>
      </c>
      <c r="C71" s="3">
        <v>16682</v>
      </c>
      <c r="D71" s="90">
        <v>-1.6364944251288815</v>
      </c>
      <c r="E71" s="3">
        <v>16736</v>
      </c>
      <c r="F71" s="90">
        <v>-1.9538718929254302</v>
      </c>
    </row>
    <row r="72" spans="1:7" x14ac:dyDescent="0.25">
      <c r="A72" s="43" t="s">
        <v>138</v>
      </c>
      <c r="B72" s="3">
        <v>880</v>
      </c>
      <c r="C72" s="3">
        <v>1262</v>
      </c>
      <c r="D72" s="90">
        <v>-30.269413629160063</v>
      </c>
      <c r="E72" s="3">
        <v>296</v>
      </c>
      <c r="F72" s="90">
        <v>197.29729729729729</v>
      </c>
    </row>
    <row r="73" spans="1:7" x14ac:dyDescent="0.25">
      <c r="A73" s="43" t="s">
        <v>179</v>
      </c>
      <c r="B73" s="3">
        <v>188</v>
      </c>
      <c r="C73" s="3">
        <v>463</v>
      </c>
      <c r="D73" s="90">
        <v>-59.395248380129594</v>
      </c>
      <c r="E73" s="3">
        <v>237</v>
      </c>
      <c r="F73" s="90">
        <v>-20.675105485232066</v>
      </c>
    </row>
    <row r="74" spans="1:7" x14ac:dyDescent="0.25">
      <c r="A74" s="43" t="s">
        <v>139</v>
      </c>
      <c r="B74" s="3">
        <v>552</v>
      </c>
      <c r="C74" s="3">
        <v>230</v>
      </c>
      <c r="D74" s="90">
        <v>140</v>
      </c>
      <c r="E74" s="3">
        <v>850</v>
      </c>
      <c r="F74" s="90">
        <v>-35.058823529411768</v>
      </c>
    </row>
    <row r="75" spans="1:7" ht="14.4" x14ac:dyDescent="0.3">
      <c r="A75" s="89" t="s">
        <v>15</v>
      </c>
      <c r="B75" s="3"/>
      <c r="C75" s="3"/>
      <c r="E75" s="3"/>
      <c r="F75" s="90"/>
    </row>
    <row r="76" spans="1:7" x14ac:dyDescent="0.25">
      <c r="A76" s="43" t="s">
        <v>135</v>
      </c>
      <c r="B76" s="3">
        <v>115</v>
      </c>
      <c r="C76" s="3">
        <v>90</v>
      </c>
      <c r="D76" s="90">
        <v>27.777777777777779</v>
      </c>
      <c r="E76" s="3">
        <v>52</v>
      </c>
      <c r="F76" s="90">
        <v>121.15384615384615</v>
      </c>
    </row>
    <row r="77" spans="1:7" x14ac:dyDescent="0.25">
      <c r="A77" s="43" t="s">
        <v>177</v>
      </c>
      <c r="B77" s="3">
        <v>1598</v>
      </c>
      <c r="C77" s="3">
        <v>5965</v>
      </c>
      <c r="D77" s="90">
        <v>-73.210393964794633</v>
      </c>
      <c r="E77" s="3">
        <v>407</v>
      </c>
      <c r="F77" s="90">
        <v>292.62899262899265</v>
      </c>
      <c r="G77" s="99"/>
    </row>
    <row r="78" spans="1:7" x14ac:dyDescent="0.25">
      <c r="A78" s="43" t="s">
        <v>132</v>
      </c>
      <c r="B78" s="3">
        <v>2522</v>
      </c>
      <c r="C78" s="3">
        <v>4182</v>
      </c>
      <c r="D78" s="90">
        <v>-39.69392635102821</v>
      </c>
      <c r="E78" s="3">
        <v>1217</v>
      </c>
      <c r="F78" s="90">
        <v>107.23089564502877</v>
      </c>
      <c r="G78" s="99"/>
    </row>
    <row r="79" spans="1:7" x14ac:dyDescent="0.25">
      <c r="A79" s="43" t="s">
        <v>133</v>
      </c>
      <c r="B79" s="3">
        <v>67103</v>
      </c>
      <c r="C79" s="3">
        <v>65902</v>
      </c>
      <c r="D79" s="90">
        <v>1.8224029619738398</v>
      </c>
      <c r="E79" s="3">
        <v>46702</v>
      </c>
      <c r="F79" s="90">
        <v>43.683354031947239</v>
      </c>
      <c r="G79" s="99"/>
    </row>
    <row r="80" spans="1:7" x14ac:dyDescent="0.25">
      <c r="A80" s="43" t="s">
        <v>134</v>
      </c>
      <c r="B80" s="3">
        <v>21144</v>
      </c>
      <c r="C80" s="3">
        <v>18806</v>
      </c>
      <c r="D80" s="90">
        <v>12.432202488567478</v>
      </c>
      <c r="E80" s="3">
        <v>16179</v>
      </c>
      <c r="F80" s="90">
        <v>30.687928796588171</v>
      </c>
    </row>
    <row r="81" spans="1:6" x14ac:dyDescent="0.25">
      <c r="A81" s="43" t="s">
        <v>138</v>
      </c>
      <c r="B81" s="3">
        <v>0</v>
      </c>
      <c r="C81" s="3">
        <v>0</v>
      </c>
      <c r="D81" s="90" t="s">
        <v>184</v>
      </c>
      <c r="E81" s="3">
        <v>0</v>
      </c>
      <c r="F81" s="90" t="s">
        <v>184</v>
      </c>
    </row>
    <row r="82" spans="1:6" x14ac:dyDescent="0.25">
      <c r="A82" s="43" t="s">
        <v>179</v>
      </c>
      <c r="B82" s="3">
        <v>80</v>
      </c>
      <c r="C82" s="3">
        <v>80</v>
      </c>
      <c r="D82" s="90">
        <v>0</v>
      </c>
      <c r="E82" s="3">
        <v>130</v>
      </c>
      <c r="F82" s="90">
        <v>-38.461538461538467</v>
      </c>
    </row>
    <row r="83" spans="1:6" x14ac:dyDescent="0.25">
      <c r="A83" s="43" t="s">
        <v>139</v>
      </c>
      <c r="B83" s="3">
        <v>0</v>
      </c>
      <c r="C83" s="3">
        <v>0</v>
      </c>
      <c r="D83" s="90" t="s">
        <v>184</v>
      </c>
      <c r="E83" s="3">
        <v>500</v>
      </c>
      <c r="F83" s="90">
        <v>-100</v>
      </c>
    </row>
    <row r="84" spans="1:6" ht="14.4" x14ac:dyDescent="0.3">
      <c r="A84" s="91"/>
      <c r="B84" s="94"/>
      <c r="C84" s="94"/>
      <c r="D84" s="93"/>
      <c r="E84" s="94"/>
      <c r="F84" s="93"/>
    </row>
  </sheetData>
  <pageMargins left="0.70866141732283472" right="0.70866141732283472" top="0.74803149606299213" bottom="0.74803149606299213" header="0.31496062992125984" footer="0.31496062992125984"/>
  <pageSetup paperSize="9" scale="72" fitToHeight="0" orientation="portrait" r:id="rId1"/>
  <ignoredErrors>
    <ignoredError sqref="D12"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16"/>
  <sheetViews>
    <sheetView workbookViewId="0">
      <selection activeCell="H34" sqref="H34"/>
    </sheetView>
  </sheetViews>
  <sheetFormatPr defaultRowHeight="13.2" x14ac:dyDescent="0.25"/>
  <sheetData>
    <row r="1" spans="1:9" x14ac:dyDescent="0.25">
      <c r="A1" s="35"/>
      <c r="B1" s="56"/>
      <c r="C1" s="56"/>
      <c r="D1" s="58"/>
      <c r="E1" s="56"/>
      <c r="F1" s="43"/>
      <c r="G1" s="27"/>
      <c r="H1" s="65"/>
      <c r="I1" s="65"/>
    </row>
    <row r="2" spans="1:9" x14ac:dyDescent="0.25">
      <c r="A2" s="56"/>
      <c r="B2" s="24"/>
      <c r="C2" s="24"/>
      <c r="D2" s="24"/>
      <c r="E2" s="24"/>
      <c r="F2" s="43"/>
      <c r="G2" s="27"/>
      <c r="H2" s="65"/>
      <c r="I2" s="65"/>
    </row>
    <row r="3" spans="1:9" x14ac:dyDescent="0.25">
      <c r="A3" s="56"/>
      <c r="B3" s="24"/>
      <c r="C3" s="24"/>
      <c r="D3" s="24"/>
      <c r="E3" s="24"/>
      <c r="F3" s="43"/>
      <c r="G3" s="27"/>
      <c r="H3" s="65"/>
      <c r="I3" s="65"/>
    </row>
    <row r="4" spans="1:9" x14ac:dyDescent="0.25">
      <c r="A4" s="56"/>
      <c r="B4" s="25"/>
      <c r="C4" s="25"/>
      <c r="D4" s="25"/>
      <c r="E4" s="24"/>
      <c r="F4" s="24"/>
      <c r="G4" s="65"/>
      <c r="H4" s="65"/>
      <c r="I4" s="65"/>
    </row>
    <row r="5" spans="1:9" ht="14.4" x14ac:dyDescent="0.3">
      <c r="A5" s="43"/>
      <c r="B5" s="3"/>
      <c r="C5" s="75"/>
      <c r="D5" s="27"/>
      <c r="E5" s="28"/>
      <c r="F5" s="27"/>
      <c r="G5" s="27"/>
      <c r="H5" s="27"/>
      <c r="I5" s="27"/>
    </row>
    <row r="6" spans="1:9" ht="14.4" x14ac:dyDescent="0.3">
      <c r="A6" s="43"/>
      <c r="B6" s="3"/>
      <c r="C6" s="75"/>
      <c r="D6" s="27"/>
      <c r="E6" s="28"/>
      <c r="F6" s="27"/>
      <c r="G6" s="27"/>
      <c r="H6" s="27"/>
      <c r="I6" s="27"/>
    </row>
    <row r="7" spans="1:9" ht="14.4" x14ac:dyDescent="0.3">
      <c r="A7" s="43"/>
      <c r="B7" s="3"/>
      <c r="C7" s="75"/>
      <c r="D7" s="27"/>
      <c r="E7" s="28"/>
      <c r="F7" s="27"/>
      <c r="G7" s="27"/>
      <c r="H7" s="27"/>
      <c r="I7" s="27"/>
    </row>
    <row r="8" spans="1:9" x14ac:dyDescent="0.25">
      <c r="A8" s="43"/>
      <c r="B8" s="3"/>
      <c r="C8" s="27"/>
      <c r="D8" s="27"/>
      <c r="E8" s="28"/>
      <c r="F8" s="27"/>
      <c r="G8" s="27"/>
      <c r="H8" s="27"/>
      <c r="I8" s="27"/>
    </row>
    <row r="9" spans="1:9" x14ac:dyDescent="0.25">
      <c r="A9" s="43"/>
      <c r="B9" s="3"/>
      <c r="C9" s="27"/>
      <c r="D9" s="27"/>
      <c r="E9" s="28"/>
      <c r="F9" s="27"/>
      <c r="G9" s="27"/>
      <c r="H9" s="27"/>
      <c r="I9" s="27"/>
    </row>
    <row r="10" spans="1:9" x14ac:dyDescent="0.25">
      <c r="A10" s="56"/>
      <c r="B10" s="3"/>
      <c r="C10" s="27"/>
      <c r="D10" s="27"/>
      <c r="E10" s="28"/>
      <c r="F10" s="27"/>
      <c r="G10" s="27"/>
      <c r="H10" s="27"/>
      <c r="I10" s="27"/>
    </row>
    <row r="11" spans="1:9" x14ac:dyDescent="0.25">
      <c r="A11" s="43"/>
      <c r="B11" s="3"/>
      <c r="C11" s="3"/>
      <c r="D11" s="3"/>
      <c r="E11" s="3"/>
      <c r="F11" s="3"/>
      <c r="G11" s="3"/>
      <c r="H11" s="3"/>
      <c r="I11" s="3"/>
    </row>
    <row r="12" spans="1:9" x14ac:dyDescent="0.25">
      <c r="A12" s="43"/>
      <c r="B12" s="3"/>
      <c r="C12" s="3"/>
      <c r="D12" s="3"/>
      <c r="E12" s="3"/>
      <c r="F12" s="3"/>
      <c r="G12" s="3"/>
      <c r="H12" s="3"/>
      <c r="I12" s="3"/>
    </row>
    <row r="13" spans="1:9" x14ac:dyDescent="0.25">
      <c r="A13" s="43"/>
      <c r="B13" s="3"/>
      <c r="C13" s="3"/>
      <c r="D13" s="3"/>
      <c r="E13" s="3"/>
      <c r="F13" s="3"/>
      <c r="G13" s="3"/>
      <c r="H13" s="3"/>
      <c r="I13" s="3"/>
    </row>
    <row r="14" spans="1:9" ht="13.8" thickBot="1" x14ac:dyDescent="0.3">
      <c r="A14" s="111"/>
      <c r="B14" s="114"/>
      <c r="C14" s="114"/>
      <c r="D14" s="114"/>
      <c r="E14" s="114"/>
      <c r="F14" s="114"/>
      <c r="G14" s="114"/>
      <c r="H14" s="114"/>
      <c r="I14" s="114"/>
    </row>
    <row r="15" spans="1:9" ht="13.8" thickTop="1" x14ac:dyDescent="0.25">
      <c r="A15" s="9"/>
      <c r="B15" s="3"/>
      <c r="C15" s="15"/>
      <c r="D15" s="15"/>
      <c r="E15" s="28"/>
      <c r="F15" s="24"/>
      <c r="G15" s="27"/>
      <c r="H15" s="27"/>
      <c r="I15" s="27"/>
    </row>
    <row r="16" spans="1:9" x14ac:dyDescent="0.25">
      <c r="A16" s="9"/>
      <c r="B16" s="3"/>
      <c r="C16" s="15"/>
      <c r="D16" s="15"/>
      <c r="E16" s="28"/>
      <c r="F16" s="24"/>
      <c r="G16" s="27"/>
      <c r="H16" s="27"/>
      <c r="I16" s="2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1"/>
  <sheetViews>
    <sheetView workbookViewId="0">
      <selection activeCell="P15" sqref="P15"/>
    </sheetView>
  </sheetViews>
  <sheetFormatPr defaultRowHeight="13.2" x14ac:dyDescent="0.25"/>
  <cols>
    <col min="1" max="1" width="9.6640625" bestFit="1" customWidth="1"/>
    <col min="2" max="2" width="11.6640625" bestFit="1" customWidth="1"/>
    <col min="3" max="3" width="12" bestFit="1" customWidth="1"/>
    <col min="4" max="4" width="2.5546875" bestFit="1" customWidth="1"/>
    <col min="9" max="9" width="9.6640625" style="155" bestFit="1" customWidth="1"/>
  </cols>
  <sheetData>
    <row r="1" spans="1:4" x14ac:dyDescent="0.25">
      <c r="A1" t="s">
        <v>215</v>
      </c>
      <c r="B1" t="s">
        <v>216</v>
      </c>
      <c r="C1" t="s">
        <v>217</v>
      </c>
      <c r="D1" t="s">
        <v>218</v>
      </c>
    </row>
    <row r="2" spans="1:4" x14ac:dyDescent="0.25">
      <c r="A2" t="s">
        <v>219</v>
      </c>
      <c r="B2" s="154">
        <v>38713</v>
      </c>
      <c r="C2">
        <v>17296.830000000002</v>
      </c>
      <c r="D2">
        <v>1</v>
      </c>
    </row>
    <row r="3" spans="1:4" x14ac:dyDescent="0.25">
      <c r="A3" t="s">
        <v>220</v>
      </c>
      <c r="B3" s="154">
        <v>38713</v>
      </c>
      <c r="C3">
        <v>20229.37</v>
      </c>
      <c r="D3">
        <v>1</v>
      </c>
    </row>
    <row r="4" spans="1:4" x14ac:dyDescent="0.25">
      <c r="A4" t="s">
        <v>221</v>
      </c>
      <c r="B4" s="154">
        <v>38628</v>
      </c>
      <c r="C4">
        <v>10207.67</v>
      </c>
      <c r="D4">
        <v>1</v>
      </c>
    </row>
    <row r="5" spans="1:4" x14ac:dyDescent="0.25">
      <c r="A5" t="s">
        <v>222</v>
      </c>
      <c r="B5" s="154">
        <v>38713</v>
      </c>
      <c r="C5">
        <v>17257.37</v>
      </c>
      <c r="D5">
        <v>1</v>
      </c>
    </row>
    <row r="6" spans="1:4" x14ac:dyDescent="0.25">
      <c r="A6" t="s">
        <v>223</v>
      </c>
      <c r="B6" s="154">
        <v>38716</v>
      </c>
      <c r="C6">
        <v>10070.700000000001</v>
      </c>
      <c r="D6">
        <v>1</v>
      </c>
    </row>
    <row r="7" spans="1:4" x14ac:dyDescent="0.25">
      <c r="A7" t="s">
        <v>224</v>
      </c>
      <c r="B7" s="154">
        <v>38677</v>
      </c>
      <c r="C7">
        <v>28766.959999999999</v>
      </c>
      <c r="D7">
        <v>1</v>
      </c>
    </row>
    <row r="8" spans="1:4" x14ac:dyDescent="0.25">
      <c r="A8" t="s">
        <v>225</v>
      </c>
      <c r="B8" s="154">
        <v>37432</v>
      </c>
      <c r="C8">
        <v>30613.119999999999</v>
      </c>
      <c r="D8">
        <v>1</v>
      </c>
    </row>
    <row r="9" spans="1:4" x14ac:dyDescent="0.25">
      <c r="A9" t="s">
        <v>226</v>
      </c>
      <c r="B9" s="154">
        <v>38425</v>
      </c>
      <c r="C9">
        <v>14581.36</v>
      </c>
      <c r="D9">
        <v>1</v>
      </c>
    </row>
    <row r="10" spans="1:4" x14ac:dyDescent="0.25">
      <c r="A10" t="s">
        <v>227</v>
      </c>
      <c r="B10" s="154">
        <v>38715</v>
      </c>
      <c r="C10">
        <v>17673.63</v>
      </c>
      <c r="D10">
        <v>1</v>
      </c>
    </row>
    <row r="11" spans="1:4" x14ac:dyDescent="0.25">
      <c r="A11" t="s">
        <v>228</v>
      </c>
      <c r="B11" s="154">
        <v>38715</v>
      </c>
      <c r="C11">
        <v>34075.21</v>
      </c>
      <c r="D11">
        <v>1</v>
      </c>
    </row>
    <row r="12" spans="1:4" x14ac:dyDescent="0.25">
      <c r="A12" t="s">
        <v>229</v>
      </c>
      <c r="B12" s="154">
        <v>38680</v>
      </c>
      <c r="C12">
        <v>18105.080000000002</v>
      </c>
      <c r="D12">
        <v>1</v>
      </c>
    </row>
    <row r="13" spans="1:4" x14ac:dyDescent="0.25">
      <c r="A13" t="s">
        <v>230</v>
      </c>
      <c r="B13" s="154">
        <v>38604</v>
      </c>
      <c r="C13">
        <v>28742.13</v>
      </c>
      <c r="D13">
        <v>1</v>
      </c>
    </row>
    <row r="14" spans="1:4" x14ac:dyDescent="0.25">
      <c r="A14" t="s">
        <v>231</v>
      </c>
      <c r="B14" s="154">
        <v>38709</v>
      </c>
      <c r="C14">
        <v>10955.45</v>
      </c>
      <c r="D14">
        <v>1</v>
      </c>
    </row>
    <row r="15" spans="1:4" x14ac:dyDescent="0.25">
      <c r="A15" t="s">
        <v>232</v>
      </c>
      <c r="B15" s="154">
        <v>38580</v>
      </c>
      <c r="C15">
        <v>2321.6</v>
      </c>
      <c r="D15">
        <v>1</v>
      </c>
    </row>
    <row r="16" spans="1:4" x14ac:dyDescent="0.25">
      <c r="A16" t="s">
        <v>233</v>
      </c>
      <c r="B16" s="154">
        <v>38709</v>
      </c>
      <c r="C16">
        <v>2183.41</v>
      </c>
      <c r="D16">
        <v>1</v>
      </c>
    </row>
    <row r="17" spans="1:4" x14ac:dyDescent="0.25">
      <c r="A17" t="s">
        <v>234</v>
      </c>
      <c r="B17" s="154">
        <v>38663</v>
      </c>
      <c r="C17">
        <v>14154.09</v>
      </c>
      <c r="D17">
        <v>1</v>
      </c>
    </row>
    <row r="18" spans="1:4" x14ac:dyDescent="0.25">
      <c r="A18" t="s">
        <v>235</v>
      </c>
      <c r="B18" s="154">
        <v>38663</v>
      </c>
      <c r="C18">
        <v>43569.17</v>
      </c>
      <c r="D18">
        <v>1</v>
      </c>
    </row>
    <row r="19" spans="1:4" x14ac:dyDescent="0.25">
      <c r="A19" t="s">
        <v>236</v>
      </c>
      <c r="B19" s="154">
        <v>38715</v>
      </c>
      <c r="C19">
        <v>25723.24</v>
      </c>
      <c r="D19">
        <v>1</v>
      </c>
    </row>
    <row r="20" spans="1:4" x14ac:dyDescent="0.25">
      <c r="A20" t="s">
        <v>237</v>
      </c>
      <c r="B20" s="154">
        <v>38716</v>
      </c>
      <c r="C20">
        <v>18207.32</v>
      </c>
      <c r="D20">
        <v>1</v>
      </c>
    </row>
    <row r="21" spans="1:4" x14ac:dyDescent="0.25">
      <c r="A21" t="s">
        <v>238</v>
      </c>
      <c r="B21" s="154">
        <v>38615</v>
      </c>
      <c r="C21">
        <v>4728.4799999999996</v>
      </c>
      <c r="D21">
        <v>1</v>
      </c>
    </row>
    <row r="22" spans="1:4" x14ac:dyDescent="0.25">
      <c r="A22" t="s">
        <v>239</v>
      </c>
      <c r="B22" s="154">
        <v>38716</v>
      </c>
      <c r="C22">
        <v>23744.76</v>
      </c>
      <c r="D22">
        <v>1</v>
      </c>
    </row>
    <row r="23" spans="1:4" x14ac:dyDescent="0.25">
      <c r="A23" t="s">
        <v>240</v>
      </c>
      <c r="B23" s="154">
        <v>38715</v>
      </c>
      <c r="C23">
        <v>24993.42</v>
      </c>
      <c r="D23">
        <v>1</v>
      </c>
    </row>
    <row r="24" spans="1:4" x14ac:dyDescent="0.25">
      <c r="A24" t="s">
        <v>241</v>
      </c>
      <c r="B24" s="154">
        <v>38716</v>
      </c>
      <c r="C24">
        <v>2895.12</v>
      </c>
      <c r="D24">
        <v>1</v>
      </c>
    </row>
    <row r="25" spans="1:4" x14ac:dyDescent="0.25">
      <c r="A25" t="s">
        <v>242</v>
      </c>
      <c r="B25" s="154">
        <v>38699</v>
      </c>
      <c r="C25">
        <v>28328.49</v>
      </c>
      <c r="D25">
        <v>1</v>
      </c>
    </row>
    <row r="26" spans="1:4" x14ac:dyDescent="0.25">
      <c r="A26" t="s">
        <v>243</v>
      </c>
      <c r="B26" s="154">
        <v>42195</v>
      </c>
      <c r="C26">
        <v>67821.078360950007</v>
      </c>
      <c r="D26">
        <v>1</v>
      </c>
    </row>
    <row r="27" spans="1:4" x14ac:dyDescent="0.25">
      <c r="A27" t="s">
        <v>244</v>
      </c>
      <c r="B27" s="154">
        <v>38709</v>
      </c>
      <c r="C27">
        <v>1445.21</v>
      </c>
      <c r="D27">
        <v>1</v>
      </c>
    </row>
    <row r="28" spans="1:4" x14ac:dyDescent="0.25">
      <c r="A28" t="s">
        <v>245</v>
      </c>
      <c r="B28" s="154">
        <v>38673</v>
      </c>
      <c r="C28">
        <v>110.01</v>
      </c>
      <c r="D28">
        <v>1</v>
      </c>
    </row>
    <row r="29" spans="1:4" x14ac:dyDescent="0.25">
      <c r="A29" t="s">
        <v>246</v>
      </c>
      <c r="B29" s="154">
        <v>38709</v>
      </c>
      <c r="C29">
        <v>34691.21</v>
      </c>
      <c r="D29">
        <v>1</v>
      </c>
    </row>
    <row r="30" spans="1:4" x14ac:dyDescent="0.25">
      <c r="A30" t="s">
        <v>247</v>
      </c>
      <c r="B30" s="154">
        <v>38716</v>
      </c>
      <c r="C30">
        <v>14859.1</v>
      </c>
      <c r="D30">
        <v>1</v>
      </c>
    </row>
    <row r="31" spans="1:4" x14ac:dyDescent="0.25">
      <c r="A31" t="s">
        <v>248</v>
      </c>
      <c r="B31" s="154">
        <v>38708</v>
      </c>
      <c r="C31">
        <v>1357.01</v>
      </c>
      <c r="D31">
        <v>1</v>
      </c>
    </row>
    <row r="32" spans="1:4" x14ac:dyDescent="0.25">
      <c r="A32" t="s">
        <v>249</v>
      </c>
      <c r="B32" s="154">
        <v>38713</v>
      </c>
      <c r="C32">
        <v>17869.22</v>
      </c>
      <c r="D32">
        <v>1</v>
      </c>
    </row>
    <row r="33" spans="1:4" x14ac:dyDescent="0.25">
      <c r="A33" t="s">
        <v>250</v>
      </c>
      <c r="B33" s="154">
        <v>38713</v>
      </c>
      <c r="C33">
        <v>30401.200000000001</v>
      </c>
      <c r="D33">
        <v>1</v>
      </c>
    </row>
    <row r="34" spans="1:4" x14ac:dyDescent="0.25">
      <c r="A34" t="s">
        <v>251</v>
      </c>
      <c r="B34" s="154">
        <v>38709</v>
      </c>
      <c r="C34">
        <v>16626.419999999998</v>
      </c>
      <c r="D34">
        <v>1</v>
      </c>
    </row>
    <row r="35" spans="1:4" x14ac:dyDescent="0.25">
      <c r="A35" t="s">
        <v>252</v>
      </c>
      <c r="B35" s="154">
        <v>38713</v>
      </c>
      <c r="C35">
        <v>14630.23</v>
      </c>
      <c r="D35">
        <v>1</v>
      </c>
    </row>
    <row r="36" spans="1:4" x14ac:dyDescent="0.25">
      <c r="A36" t="s">
        <v>253</v>
      </c>
      <c r="B36" s="154">
        <v>38713</v>
      </c>
      <c r="C36">
        <v>1547.81</v>
      </c>
      <c r="D36">
        <v>1</v>
      </c>
    </row>
    <row r="37" spans="1:4" x14ac:dyDescent="0.25">
      <c r="A37" t="s">
        <v>254</v>
      </c>
      <c r="B37" s="154">
        <v>38713</v>
      </c>
      <c r="C37">
        <v>590.19000000000005</v>
      </c>
      <c r="D37">
        <v>1</v>
      </c>
    </row>
    <row r="38" spans="1:4" x14ac:dyDescent="0.25">
      <c r="A38" t="s">
        <v>255</v>
      </c>
      <c r="B38" s="154">
        <v>38713</v>
      </c>
      <c r="C38">
        <v>1846.94</v>
      </c>
      <c r="D38">
        <v>1</v>
      </c>
    </row>
    <row r="39" spans="1:4" x14ac:dyDescent="0.25">
      <c r="A39" t="s">
        <v>256</v>
      </c>
      <c r="B39" s="154">
        <v>38709</v>
      </c>
      <c r="C39">
        <v>9758.19</v>
      </c>
      <c r="D39">
        <v>1</v>
      </c>
    </row>
    <row r="40" spans="1:4" x14ac:dyDescent="0.25">
      <c r="A40" t="s">
        <v>257</v>
      </c>
      <c r="B40" s="154">
        <v>38580</v>
      </c>
      <c r="C40">
        <v>673.25</v>
      </c>
      <c r="D40">
        <v>1</v>
      </c>
    </row>
    <row r="41" spans="1:4" x14ac:dyDescent="0.25">
      <c r="A41" t="s">
        <v>258</v>
      </c>
      <c r="B41" s="154">
        <v>38709</v>
      </c>
      <c r="C41">
        <v>196.52</v>
      </c>
      <c r="D41">
        <v>1</v>
      </c>
    </row>
    <row r="42" spans="1:4" x14ac:dyDescent="0.25">
      <c r="A42" t="s">
        <v>90</v>
      </c>
      <c r="B42" s="154">
        <v>41849</v>
      </c>
      <c r="C42">
        <v>22461.45680964</v>
      </c>
      <c r="D42">
        <v>1</v>
      </c>
    </row>
    <row r="43" spans="1:4" x14ac:dyDescent="0.25">
      <c r="A43" t="s">
        <v>259</v>
      </c>
      <c r="B43" s="154">
        <v>42122</v>
      </c>
      <c r="C43">
        <v>9390.5427286199993</v>
      </c>
      <c r="D43">
        <v>1</v>
      </c>
    </row>
    <row r="44" spans="1:4" x14ac:dyDescent="0.25">
      <c r="A44" t="s">
        <v>260</v>
      </c>
      <c r="B44" s="154">
        <v>42480</v>
      </c>
      <c r="C44">
        <v>10466.885065210001</v>
      </c>
      <c r="D44">
        <v>1</v>
      </c>
    </row>
    <row r="45" spans="1:4" x14ac:dyDescent="0.25">
      <c r="A45" t="s">
        <v>261</v>
      </c>
      <c r="B45" s="154">
        <v>42524</v>
      </c>
      <c r="C45">
        <v>10562.33998273</v>
      </c>
      <c r="D45">
        <v>1</v>
      </c>
    </row>
    <row r="46" spans="1:4" x14ac:dyDescent="0.25">
      <c r="A46" t="s">
        <v>262</v>
      </c>
      <c r="B46" s="154">
        <v>41967</v>
      </c>
      <c r="C46">
        <v>25297.640064309999</v>
      </c>
      <c r="D46">
        <v>1</v>
      </c>
    </row>
    <row r="47" spans="1:4" x14ac:dyDescent="0.25">
      <c r="A47" t="s">
        <v>263</v>
      </c>
      <c r="B47" s="154">
        <v>41849</v>
      </c>
      <c r="C47">
        <v>4482.8823280400002</v>
      </c>
      <c r="D47">
        <v>1</v>
      </c>
    </row>
    <row r="48" spans="1:4" x14ac:dyDescent="0.25">
      <c r="A48" t="s">
        <v>264</v>
      </c>
      <c r="B48" s="154">
        <v>41849</v>
      </c>
      <c r="C48">
        <v>4264.0820106800002</v>
      </c>
      <c r="D48">
        <v>1</v>
      </c>
    </row>
    <row r="49" spans="1:4" x14ac:dyDescent="0.25">
      <c r="A49" t="s">
        <v>92</v>
      </c>
      <c r="B49" s="154">
        <v>41849</v>
      </c>
      <c r="C49">
        <v>4599.9677435399999</v>
      </c>
      <c r="D49">
        <v>1</v>
      </c>
    </row>
    <row r="50" spans="1:4" x14ac:dyDescent="0.25">
      <c r="A50" t="s">
        <v>62</v>
      </c>
      <c r="B50" s="154">
        <v>37515</v>
      </c>
      <c r="C50">
        <v>3456.48</v>
      </c>
      <c r="D50">
        <v>1</v>
      </c>
    </row>
    <row r="51" spans="1:4" x14ac:dyDescent="0.25">
      <c r="A51" t="s">
        <v>265</v>
      </c>
      <c r="B51" s="154">
        <v>39629</v>
      </c>
      <c r="C51">
        <v>51541.23</v>
      </c>
      <c r="D51">
        <v>1</v>
      </c>
    </row>
    <row r="52" spans="1:4" x14ac:dyDescent="0.25">
      <c r="A52" t="s">
        <v>266</v>
      </c>
      <c r="B52" s="154">
        <v>37970</v>
      </c>
      <c r="C52">
        <v>1201.19</v>
      </c>
      <c r="D52">
        <v>1</v>
      </c>
    </row>
    <row r="53" spans="1:4" x14ac:dyDescent="0.25">
      <c r="A53" t="s">
        <v>105</v>
      </c>
      <c r="B53" s="154">
        <v>39587</v>
      </c>
      <c r="C53">
        <v>146.47999999999999</v>
      </c>
      <c r="D53">
        <v>1</v>
      </c>
    </row>
    <row r="54" spans="1:4" x14ac:dyDescent="0.25">
      <c r="A54" t="s">
        <v>107</v>
      </c>
      <c r="B54" s="154">
        <v>39590</v>
      </c>
      <c r="C54">
        <v>12608.67</v>
      </c>
      <c r="D54">
        <v>1</v>
      </c>
    </row>
    <row r="55" spans="1:4" x14ac:dyDescent="0.25">
      <c r="A55" t="s">
        <v>267</v>
      </c>
      <c r="B55" s="154">
        <v>38009</v>
      </c>
      <c r="C55">
        <v>999.63</v>
      </c>
      <c r="D55">
        <v>1</v>
      </c>
    </row>
    <row r="56" spans="1:4" x14ac:dyDescent="0.25">
      <c r="A56" t="s">
        <v>268</v>
      </c>
      <c r="B56" s="154">
        <v>42339</v>
      </c>
      <c r="C56">
        <v>56242.231982290003</v>
      </c>
      <c r="D56">
        <v>1</v>
      </c>
    </row>
    <row r="57" spans="1:4" x14ac:dyDescent="0.25">
      <c r="A57" t="s">
        <v>269</v>
      </c>
      <c r="B57" s="154">
        <v>39604</v>
      </c>
      <c r="C57">
        <v>61121.71</v>
      </c>
      <c r="D57">
        <v>1</v>
      </c>
    </row>
    <row r="58" spans="1:4" x14ac:dyDescent="0.25">
      <c r="A58" t="s">
        <v>270</v>
      </c>
      <c r="B58" s="154">
        <v>39590</v>
      </c>
      <c r="C58">
        <v>50553.22</v>
      </c>
      <c r="D58">
        <v>1</v>
      </c>
    </row>
    <row r="59" spans="1:4" x14ac:dyDescent="0.25">
      <c r="A59" t="s">
        <v>55</v>
      </c>
      <c r="B59" s="154">
        <v>42312</v>
      </c>
      <c r="C59">
        <v>49081.0138716</v>
      </c>
      <c r="D59">
        <v>1</v>
      </c>
    </row>
    <row r="60" spans="1:4" x14ac:dyDescent="0.25">
      <c r="A60" t="s">
        <v>44</v>
      </c>
      <c r="B60" s="154">
        <v>42480</v>
      </c>
      <c r="C60">
        <v>77790.256752989997</v>
      </c>
      <c r="D60">
        <v>1</v>
      </c>
    </row>
    <row r="61" spans="1:4" x14ac:dyDescent="0.25">
      <c r="A61" t="s">
        <v>46</v>
      </c>
      <c r="B61" s="154">
        <v>42144</v>
      </c>
      <c r="C61">
        <v>62435.682638099999</v>
      </c>
      <c r="D61">
        <v>1</v>
      </c>
    </row>
    <row r="62" spans="1:4" x14ac:dyDescent="0.25">
      <c r="A62" t="s">
        <v>42</v>
      </c>
      <c r="B62" s="154">
        <v>42118</v>
      </c>
      <c r="C62">
        <v>55188.336977819999</v>
      </c>
      <c r="D62">
        <v>1</v>
      </c>
    </row>
    <row r="63" spans="1:4" x14ac:dyDescent="0.25">
      <c r="A63" t="s">
        <v>48</v>
      </c>
      <c r="B63" s="154">
        <v>42506</v>
      </c>
      <c r="C63">
        <v>7167.2950861700001</v>
      </c>
      <c r="D63">
        <v>1</v>
      </c>
    </row>
    <row r="64" spans="1:4" x14ac:dyDescent="0.25">
      <c r="A64" t="s">
        <v>271</v>
      </c>
      <c r="B64" s="154">
        <v>40662</v>
      </c>
      <c r="C64">
        <v>4825.42</v>
      </c>
      <c r="D64">
        <v>1</v>
      </c>
    </row>
    <row r="65" spans="1:4" x14ac:dyDescent="0.25">
      <c r="A65" t="s">
        <v>60</v>
      </c>
      <c r="B65" s="154">
        <v>39590</v>
      </c>
      <c r="C65">
        <v>77308.45</v>
      </c>
      <c r="D65">
        <v>1</v>
      </c>
    </row>
    <row r="66" spans="1:4" x14ac:dyDescent="0.25">
      <c r="A66" t="s">
        <v>64</v>
      </c>
      <c r="B66" s="154">
        <v>42520</v>
      </c>
      <c r="C66">
        <v>74332.170788069998</v>
      </c>
      <c r="D66">
        <v>1</v>
      </c>
    </row>
    <row r="67" spans="1:4" x14ac:dyDescent="0.25">
      <c r="A67" t="s">
        <v>66</v>
      </c>
      <c r="B67" s="154">
        <v>42118</v>
      </c>
      <c r="C67">
        <v>17911.36431723</v>
      </c>
      <c r="D67">
        <v>1</v>
      </c>
    </row>
    <row r="68" spans="1:4" x14ac:dyDescent="0.25">
      <c r="A68" t="s">
        <v>68</v>
      </c>
      <c r="B68" s="154">
        <v>42312</v>
      </c>
      <c r="C68">
        <v>77813.852225080002</v>
      </c>
      <c r="D68">
        <v>1</v>
      </c>
    </row>
    <row r="69" spans="1:4" x14ac:dyDescent="0.25">
      <c r="A69" t="s">
        <v>110</v>
      </c>
      <c r="B69" s="154">
        <v>42346</v>
      </c>
      <c r="C69">
        <v>1703.8449540300001</v>
      </c>
      <c r="D69">
        <v>1</v>
      </c>
    </row>
    <row r="70" spans="1:4" x14ac:dyDescent="0.25">
      <c r="A70" t="s">
        <v>112</v>
      </c>
      <c r="B70" s="154">
        <v>38723</v>
      </c>
      <c r="C70">
        <v>641.64</v>
      </c>
      <c r="D70">
        <v>1</v>
      </c>
    </row>
    <row r="71" spans="1:4" x14ac:dyDescent="0.25">
      <c r="A71" t="s">
        <v>114</v>
      </c>
      <c r="B71" s="154">
        <v>39400</v>
      </c>
      <c r="C71">
        <v>5041.9399999999996</v>
      </c>
      <c r="D71">
        <v>1</v>
      </c>
    </row>
    <row r="72" spans="1:4" x14ac:dyDescent="0.25">
      <c r="A72" t="s">
        <v>272</v>
      </c>
      <c r="B72" s="154">
        <v>39400</v>
      </c>
      <c r="C72">
        <v>2186.16</v>
      </c>
      <c r="D72">
        <v>1</v>
      </c>
    </row>
    <row r="73" spans="1:4" x14ac:dyDescent="0.25">
      <c r="A73" t="s">
        <v>273</v>
      </c>
      <c r="B73" s="154">
        <v>39384</v>
      </c>
      <c r="C73">
        <v>92.671239999999997</v>
      </c>
      <c r="D73">
        <v>1</v>
      </c>
    </row>
    <row r="74" spans="1:4" x14ac:dyDescent="0.25">
      <c r="A74" t="s">
        <v>274</v>
      </c>
      <c r="B74" s="154">
        <v>42520</v>
      </c>
      <c r="C74">
        <v>335.62757864000002</v>
      </c>
      <c r="D74">
        <v>1</v>
      </c>
    </row>
    <row r="75" spans="1:4" x14ac:dyDescent="0.25">
      <c r="A75" t="s">
        <v>275</v>
      </c>
      <c r="B75" s="154">
        <v>41824</v>
      </c>
      <c r="C75">
        <v>253.72994224000001</v>
      </c>
      <c r="D75">
        <v>1</v>
      </c>
    </row>
    <row r="76" spans="1:4" x14ac:dyDescent="0.25">
      <c r="A76" t="s">
        <v>276</v>
      </c>
      <c r="B76" s="154">
        <v>42349</v>
      </c>
      <c r="C76">
        <v>193.77286846000001</v>
      </c>
      <c r="D76">
        <v>1</v>
      </c>
    </row>
    <row r="77" spans="1:4" x14ac:dyDescent="0.25">
      <c r="A77" t="s">
        <v>277</v>
      </c>
      <c r="B77" s="154">
        <v>42520</v>
      </c>
      <c r="C77">
        <v>435.48899929999999</v>
      </c>
      <c r="D77">
        <v>1</v>
      </c>
    </row>
    <row r="78" spans="1:4" x14ac:dyDescent="0.25">
      <c r="A78" t="s">
        <v>278</v>
      </c>
      <c r="B78" s="154">
        <v>42312</v>
      </c>
      <c r="C78">
        <v>8236.4463907900008</v>
      </c>
      <c r="D78">
        <v>1</v>
      </c>
    </row>
    <row r="79" spans="1:4" x14ac:dyDescent="0.25">
      <c r="A79" t="s">
        <v>279</v>
      </c>
      <c r="B79" s="154">
        <v>40926</v>
      </c>
      <c r="C79">
        <v>1131.78</v>
      </c>
      <c r="D79">
        <v>1</v>
      </c>
    </row>
    <row r="80" spans="1:4" x14ac:dyDescent="0.25">
      <c r="A80" t="s">
        <v>94</v>
      </c>
      <c r="B80" s="154">
        <v>42107</v>
      </c>
      <c r="C80">
        <v>672.08047084999998</v>
      </c>
      <c r="D80">
        <v>1</v>
      </c>
    </row>
    <row r="81" spans="1:4" x14ac:dyDescent="0.25">
      <c r="A81" t="s">
        <v>96</v>
      </c>
      <c r="B81" s="154">
        <v>42305</v>
      </c>
      <c r="C81">
        <v>597.8558587</v>
      </c>
      <c r="D81">
        <v>1</v>
      </c>
    </row>
    <row r="82" spans="1:4" x14ac:dyDescent="0.25">
      <c r="A82" t="s">
        <v>280</v>
      </c>
      <c r="B82" s="154">
        <v>42032</v>
      </c>
      <c r="C82">
        <v>695.5143372</v>
      </c>
      <c r="D82">
        <v>1</v>
      </c>
    </row>
    <row r="83" spans="1:4" x14ac:dyDescent="0.25">
      <c r="A83" t="s">
        <v>281</v>
      </c>
      <c r="B83" s="154">
        <v>41411</v>
      </c>
      <c r="C83">
        <v>2240.63</v>
      </c>
      <c r="D83">
        <v>1</v>
      </c>
    </row>
    <row r="84" spans="1:4" x14ac:dyDescent="0.25">
      <c r="A84" t="s">
        <v>282</v>
      </c>
      <c r="B84" s="154">
        <v>42520</v>
      </c>
      <c r="C84">
        <v>82077.662416840001</v>
      </c>
      <c r="D84">
        <v>1</v>
      </c>
    </row>
    <row r="85" spans="1:4" x14ac:dyDescent="0.25">
      <c r="A85" t="s">
        <v>98</v>
      </c>
      <c r="B85" s="154">
        <v>39590</v>
      </c>
      <c r="C85">
        <v>42495.61</v>
      </c>
      <c r="D85">
        <v>1</v>
      </c>
    </row>
    <row r="86" spans="1:4" x14ac:dyDescent="0.25">
      <c r="A86" t="s">
        <v>283</v>
      </c>
      <c r="B86" s="154">
        <v>42048</v>
      </c>
      <c r="C86">
        <v>246.82307969999999</v>
      </c>
      <c r="D86">
        <v>1</v>
      </c>
    </row>
    <row r="87" spans="1:4" x14ac:dyDescent="0.25">
      <c r="A87" t="s">
        <v>284</v>
      </c>
      <c r="B87" s="154">
        <v>42122</v>
      </c>
      <c r="C87">
        <v>10462.682748179999</v>
      </c>
      <c r="D87">
        <v>1</v>
      </c>
    </row>
    <row r="88" spans="1:4" x14ac:dyDescent="0.25">
      <c r="A88" t="s">
        <v>285</v>
      </c>
      <c r="B88" s="154">
        <v>42122</v>
      </c>
      <c r="C88">
        <v>9914.4898120199996</v>
      </c>
      <c r="D88">
        <v>1</v>
      </c>
    </row>
    <row r="89" spans="1:4" x14ac:dyDescent="0.25">
      <c r="A89" t="s">
        <v>286</v>
      </c>
      <c r="B89" s="154">
        <v>42544</v>
      </c>
      <c r="C89">
        <v>177.14090324</v>
      </c>
      <c r="D89">
        <v>1</v>
      </c>
    </row>
    <row r="90" spans="1:4" x14ac:dyDescent="0.25">
      <c r="A90" t="s">
        <v>287</v>
      </c>
      <c r="B90" s="154">
        <v>39226</v>
      </c>
      <c r="C90">
        <v>30904.43</v>
      </c>
      <c r="D90">
        <v>1</v>
      </c>
    </row>
    <row r="91" spans="1:4" x14ac:dyDescent="0.25">
      <c r="A91" t="s">
        <v>288</v>
      </c>
      <c r="B91" s="154">
        <v>41655</v>
      </c>
      <c r="C91">
        <v>9348.2787054399996</v>
      </c>
      <c r="D91">
        <v>1</v>
      </c>
    </row>
    <row r="92" spans="1:4" x14ac:dyDescent="0.25">
      <c r="A92" t="s">
        <v>289</v>
      </c>
      <c r="B92" s="154">
        <v>41800</v>
      </c>
      <c r="C92">
        <v>210.35973263</v>
      </c>
      <c r="D92">
        <v>1</v>
      </c>
    </row>
    <row r="93" spans="1:4" x14ac:dyDescent="0.25">
      <c r="A93" t="s">
        <v>290</v>
      </c>
      <c r="B93" s="154">
        <v>42193</v>
      </c>
      <c r="C93">
        <v>3470.8482101700001</v>
      </c>
      <c r="D93">
        <v>1</v>
      </c>
    </row>
    <row r="94" spans="1:4" x14ac:dyDescent="0.25">
      <c r="A94" t="s">
        <v>291</v>
      </c>
      <c r="B94" s="154">
        <v>42122</v>
      </c>
      <c r="C94">
        <v>10348.20134439</v>
      </c>
      <c r="D94">
        <v>1</v>
      </c>
    </row>
    <row r="95" spans="1:4" x14ac:dyDescent="0.25">
      <c r="A95" t="s">
        <v>292</v>
      </c>
      <c r="B95" s="154">
        <v>42548</v>
      </c>
      <c r="C95">
        <v>10305.865100000001</v>
      </c>
      <c r="D95">
        <v>1</v>
      </c>
    </row>
    <row r="96" spans="1:4" x14ac:dyDescent="0.25">
      <c r="A96" t="s">
        <v>293</v>
      </c>
      <c r="B96" s="154">
        <v>42122</v>
      </c>
      <c r="C96">
        <v>26558.425318059999</v>
      </c>
      <c r="D96">
        <v>1</v>
      </c>
    </row>
    <row r="97" spans="1:4" x14ac:dyDescent="0.25">
      <c r="A97" t="s">
        <v>57</v>
      </c>
      <c r="B97" s="154">
        <v>42118</v>
      </c>
      <c r="C97">
        <v>26143.228642859998</v>
      </c>
      <c r="D97">
        <v>1</v>
      </c>
    </row>
    <row r="98" spans="1:4" x14ac:dyDescent="0.25">
      <c r="A98" t="s">
        <v>50</v>
      </c>
      <c r="B98" s="154">
        <v>42118</v>
      </c>
      <c r="C98">
        <v>27992.528654580001</v>
      </c>
      <c r="D98">
        <v>1</v>
      </c>
    </row>
    <row r="99" spans="1:4" x14ac:dyDescent="0.25">
      <c r="A99" t="s">
        <v>294</v>
      </c>
      <c r="B99" s="154">
        <v>40588</v>
      </c>
      <c r="C99">
        <v>24209.279999999999</v>
      </c>
      <c r="D99">
        <v>1</v>
      </c>
    </row>
    <row r="100" spans="1:4" x14ac:dyDescent="0.25">
      <c r="A100" t="s">
        <v>100</v>
      </c>
      <c r="B100" s="154">
        <v>42129</v>
      </c>
      <c r="C100">
        <v>431.46959335999998</v>
      </c>
      <c r="D100">
        <v>1</v>
      </c>
    </row>
    <row r="101" spans="1:4" x14ac:dyDescent="0.25">
      <c r="A101" t="s">
        <v>102</v>
      </c>
      <c r="B101" s="154">
        <v>42520</v>
      </c>
      <c r="C101">
        <v>635.35784243000001</v>
      </c>
      <c r="D101">
        <v>1</v>
      </c>
    </row>
    <row r="102" spans="1:4" x14ac:dyDescent="0.25">
      <c r="A102" t="s">
        <v>295</v>
      </c>
      <c r="B102" s="154">
        <v>41689</v>
      </c>
      <c r="C102">
        <v>10314.608568510001</v>
      </c>
      <c r="D102">
        <v>1</v>
      </c>
    </row>
    <row r="103" spans="1:4" x14ac:dyDescent="0.25">
      <c r="A103" t="s">
        <v>296</v>
      </c>
      <c r="B103" s="154">
        <v>42520</v>
      </c>
      <c r="C103">
        <v>335.45749834999998</v>
      </c>
      <c r="D103">
        <v>1</v>
      </c>
    </row>
    <row r="104" spans="1:4" x14ac:dyDescent="0.25">
      <c r="A104" t="s">
        <v>297</v>
      </c>
      <c r="B104" s="154">
        <v>41893</v>
      </c>
      <c r="C104">
        <v>83071.234493240001</v>
      </c>
      <c r="D104">
        <v>1</v>
      </c>
    </row>
    <row r="105" spans="1:4" x14ac:dyDescent="0.25">
      <c r="A105" t="s">
        <v>298</v>
      </c>
      <c r="B105" s="154">
        <v>42460</v>
      </c>
      <c r="C105">
        <v>664.66121383999996</v>
      </c>
      <c r="D105">
        <v>1</v>
      </c>
    </row>
    <row r="106" spans="1:4" x14ac:dyDescent="0.25">
      <c r="A106" t="s">
        <v>299</v>
      </c>
      <c r="B106" s="154">
        <v>38840</v>
      </c>
      <c r="C106">
        <v>2905.13</v>
      </c>
      <c r="D106">
        <v>1</v>
      </c>
    </row>
    <row r="107" spans="1:4" x14ac:dyDescent="0.25">
      <c r="A107" t="s">
        <v>300</v>
      </c>
      <c r="B107" s="154">
        <v>42312</v>
      </c>
      <c r="C107">
        <v>1204.3085317499999</v>
      </c>
      <c r="D107">
        <v>1</v>
      </c>
    </row>
    <row r="108" spans="1:4" x14ac:dyDescent="0.25">
      <c r="A108" t="s">
        <v>301</v>
      </c>
      <c r="B108" s="154">
        <v>42521</v>
      </c>
      <c r="C108">
        <v>12393.618495070001</v>
      </c>
      <c r="D108">
        <v>1</v>
      </c>
    </row>
    <row r="109" spans="1:4" x14ac:dyDescent="0.25">
      <c r="A109" t="s">
        <v>302</v>
      </c>
      <c r="B109" s="154">
        <v>40934</v>
      </c>
      <c r="C109">
        <v>2257.3200000000002</v>
      </c>
      <c r="D109">
        <v>1</v>
      </c>
    </row>
    <row r="110" spans="1:4" x14ac:dyDescent="0.25">
      <c r="A110" t="s">
        <v>59</v>
      </c>
      <c r="B110" s="154">
        <v>42118</v>
      </c>
      <c r="C110">
        <v>11199.97726648</v>
      </c>
      <c r="D110">
        <v>1</v>
      </c>
    </row>
    <row r="111" spans="1:4" x14ac:dyDescent="0.25">
      <c r="A111" t="s">
        <v>52</v>
      </c>
      <c r="B111" s="154">
        <v>42118</v>
      </c>
      <c r="C111">
        <v>12381.899096659999</v>
      </c>
      <c r="D111">
        <v>1</v>
      </c>
    </row>
    <row r="112" spans="1:4" x14ac:dyDescent="0.25">
      <c r="A112" t="s">
        <v>303</v>
      </c>
      <c r="B112" s="154">
        <v>42117</v>
      </c>
      <c r="C112">
        <v>12915.166717239999</v>
      </c>
      <c r="D112">
        <v>1</v>
      </c>
    </row>
    <row r="113" spans="1:4" x14ac:dyDescent="0.25">
      <c r="A113" t="s">
        <v>304</v>
      </c>
      <c r="B113" s="154">
        <v>42030</v>
      </c>
      <c r="C113">
        <v>42581.471937620001</v>
      </c>
      <c r="D113">
        <v>1</v>
      </c>
    </row>
    <row r="114" spans="1:4" x14ac:dyDescent="0.25">
      <c r="A114" t="s">
        <v>305</v>
      </c>
      <c r="B114" s="154">
        <v>42221</v>
      </c>
      <c r="C114">
        <v>5959.86148727</v>
      </c>
      <c r="D114">
        <v>1</v>
      </c>
    </row>
    <row r="115" spans="1:4" x14ac:dyDescent="0.25">
      <c r="A115" t="s">
        <v>71</v>
      </c>
      <c r="B115" s="154">
        <v>42195</v>
      </c>
      <c r="C115">
        <v>12613.61476217</v>
      </c>
      <c r="D115">
        <v>1</v>
      </c>
    </row>
    <row r="116" spans="1:4" x14ac:dyDescent="0.25">
      <c r="A116" t="s">
        <v>73</v>
      </c>
      <c r="B116" s="154">
        <v>39590</v>
      </c>
      <c r="C116">
        <v>42763.39</v>
      </c>
      <c r="D116">
        <v>1</v>
      </c>
    </row>
    <row r="117" spans="1:4" x14ac:dyDescent="0.25">
      <c r="A117" t="s">
        <v>75</v>
      </c>
      <c r="B117" s="154">
        <v>42054</v>
      </c>
      <c r="C117">
        <v>48680.69822084</v>
      </c>
      <c r="D117">
        <v>1</v>
      </c>
    </row>
    <row r="118" spans="1:4" x14ac:dyDescent="0.25">
      <c r="A118" t="s">
        <v>77</v>
      </c>
      <c r="B118" s="154">
        <v>42520</v>
      </c>
      <c r="C118">
        <v>82900.72771716</v>
      </c>
      <c r="D118">
        <v>1</v>
      </c>
    </row>
    <row r="119" spans="1:4" x14ac:dyDescent="0.25">
      <c r="A119" t="s">
        <v>306</v>
      </c>
      <c r="B119" s="154">
        <v>42464</v>
      </c>
      <c r="C119">
        <v>10970.434713459999</v>
      </c>
      <c r="D119">
        <v>1</v>
      </c>
    </row>
    <row r="120" spans="1:4" x14ac:dyDescent="0.25">
      <c r="A120" t="s">
        <v>307</v>
      </c>
      <c r="B120" s="154">
        <v>42104</v>
      </c>
      <c r="C120">
        <v>8893.6030994499997</v>
      </c>
      <c r="D120">
        <v>1</v>
      </c>
    </row>
    <row r="121" spans="1:4" x14ac:dyDescent="0.25">
      <c r="A121" t="s">
        <v>87</v>
      </c>
      <c r="B121" s="154">
        <v>41893</v>
      </c>
      <c r="C121">
        <v>95446.135778840006</v>
      </c>
      <c r="D121">
        <v>1</v>
      </c>
    </row>
    <row r="122" spans="1:4" x14ac:dyDescent="0.25">
      <c r="A122" t="s">
        <v>79</v>
      </c>
      <c r="B122" s="154">
        <v>42528</v>
      </c>
      <c r="C122">
        <v>19012.164133769998</v>
      </c>
      <c r="D122">
        <v>1</v>
      </c>
    </row>
    <row r="123" spans="1:4" x14ac:dyDescent="0.25">
      <c r="A123" t="s">
        <v>308</v>
      </c>
      <c r="B123" s="154">
        <v>42521</v>
      </c>
      <c r="C123">
        <v>502.95199658000001</v>
      </c>
      <c r="D123">
        <v>1</v>
      </c>
    </row>
    <row r="124" spans="1:4" x14ac:dyDescent="0.25">
      <c r="A124" t="s">
        <v>85</v>
      </c>
      <c r="B124" s="154">
        <v>41887</v>
      </c>
      <c r="C124">
        <v>12367.595227940001</v>
      </c>
      <c r="D124">
        <v>1</v>
      </c>
    </row>
    <row r="125" spans="1:4" x14ac:dyDescent="0.25">
      <c r="A125" t="s">
        <v>309</v>
      </c>
      <c r="B125" s="154">
        <v>42129</v>
      </c>
      <c r="C125">
        <v>6745.1506683999996</v>
      </c>
      <c r="D125">
        <v>1</v>
      </c>
    </row>
    <row r="126" spans="1:4" x14ac:dyDescent="0.25">
      <c r="A126" t="s">
        <v>81</v>
      </c>
      <c r="B126" s="154">
        <v>42117</v>
      </c>
      <c r="C126">
        <v>46982.462386940002</v>
      </c>
      <c r="D126">
        <v>1</v>
      </c>
    </row>
    <row r="127" spans="1:4" x14ac:dyDescent="0.25">
      <c r="A127" t="s">
        <v>83</v>
      </c>
      <c r="B127" s="154">
        <v>42222</v>
      </c>
      <c r="C127">
        <v>71088.506129760004</v>
      </c>
      <c r="D127">
        <v>1</v>
      </c>
    </row>
    <row r="128" spans="1:4" x14ac:dyDescent="0.25">
      <c r="A128" t="s">
        <v>310</v>
      </c>
      <c r="B128" s="154">
        <v>42118</v>
      </c>
      <c r="C128">
        <v>9587.6273460499997</v>
      </c>
      <c r="D128">
        <v>1</v>
      </c>
    </row>
    <row r="129" spans="1:4" x14ac:dyDescent="0.25">
      <c r="A129" t="s">
        <v>311</v>
      </c>
      <c r="B129" s="154">
        <v>42066</v>
      </c>
      <c r="C129">
        <v>2714.9080461899998</v>
      </c>
      <c r="D129">
        <v>1</v>
      </c>
    </row>
    <row r="130" spans="1:4" x14ac:dyDescent="0.25">
      <c r="A130" t="s">
        <v>312</v>
      </c>
      <c r="B130" s="154">
        <v>41887</v>
      </c>
      <c r="C130">
        <v>417.67220522999997</v>
      </c>
      <c r="D130">
        <v>1</v>
      </c>
    </row>
    <row r="131" spans="1:4" x14ac:dyDescent="0.25">
      <c r="A131" t="s">
        <v>313</v>
      </c>
      <c r="B131" s="154">
        <v>42117</v>
      </c>
      <c r="C131">
        <v>8514.8808759999993</v>
      </c>
      <c r="D131">
        <v>1</v>
      </c>
    </row>
    <row r="132" spans="1:4" x14ac:dyDescent="0.25">
      <c r="A132" t="s">
        <v>314</v>
      </c>
      <c r="B132" s="154">
        <v>42479</v>
      </c>
      <c r="C132">
        <v>63458.417149059998</v>
      </c>
      <c r="D132">
        <v>1</v>
      </c>
    </row>
    <row r="133" spans="1:4" x14ac:dyDescent="0.25">
      <c r="A133" t="s">
        <v>315</v>
      </c>
      <c r="B133" s="154">
        <v>42110</v>
      </c>
      <c r="C133">
        <v>45023.057854029998</v>
      </c>
      <c r="D133">
        <v>1</v>
      </c>
    </row>
    <row r="134" spans="1:4" x14ac:dyDescent="0.25">
      <c r="A134" t="s">
        <v>316</v>
      </c>
      <c r="B134" s="154">
        <v>42374</v>
      </c>
      <c r="C134">
        <v>1792.3439825099999</v>
      </c>
      <c r="D134">
        <v>1</v>
      </c>
    </row>
    <row r="135" spans="1:4" x14ac:dyDescent="0.25">
      <c r="A135" t="s">
        <v>183</v>
      </c>
      <c r="B135" s="154">
        <v>42303</v>
      </c>
      <c r="C135">
        <v>1035.8389392900001</v>
      </c>
      <c r="D135">
        <v>1</v>
      </c>
    </row>
    <row r="136" spans="1:4" x14ac:dyDescent="0.25">
      <c r="A136" t="s">
        <v>317</v>
      </c>
      <c r="B136" s="154">
        <v>39209</v>
      </c>
      <c r="C136">
        <v>910.48</v>
      </c>
      <c r="D136">
        <v>1</v>
      </c>
    </row>
    <row r="137" spans="1:4" x14ac:dyDescent="0.25">
      <c r="A137" t="s">
        <v>318</v>
      </c>
      <c r="B137" s="154">
        <v>42334</v>
      </c>
      <c r="C137">
        <v>5012.4318484900004</v>
      </c>
      <c r="D137">
        <v>1</v>
      </c>
    </row>
    <row r="138" spans="1:4" x14ac:dyDescent="0.25">
      <c r="A138" t="s">
        <v>319</v>
      </c>
      <c r="B138" s="154">
        <v>42520</v>
      </c>
      <c r="C138">
        <v>5225.9532321799998</v>
      </c>
      <c r="D138">
        <v>1</v>
      </c>
    </row>
    <row r="139" spans="1:4" x14ac:dyDescent="0.25">
      <c r="A139" t="s">
        <v>320</v>
      </c>
      <c r="B139" s="154">
        <v>42222</v>
      </c>
      <c r="C139">
        <v>1524.0086971600001</v>
      </c>
      <c r="D139">
        <v>1</v>
      </c>
    </row>
    <row r="140" spans="1:4" x14ac:dyDescent="0.25">
      <c r="A140" t="s">
        <v>321</v>
      </c>
      <c r="B140" s="154">
        <v>41492</v>
      </c>
      <c r="C140">
        <v>4293.55</v>
      </c>
      <c r="D140">
        <v>1</v>
      </c>
    </row>
    <row r="141" spans="1:4" x14ac:dyDescent="0.25">
      <c r="A141" t="s">
        <v>322</v>
      </c>
      <c r="B141" s="154">
        <v>41849</v>
      </c>
      <c r="C141">
        <v>92.959638409999997</v>
      </c>
      <c r="D141">
        <v>1</v>
      </c>
    </row>
    <row r="142" spans="1:4" x14ac:dyDescent="0.25">
      <c r="A142" t="s">
        <v>323</v>
      </c>
      <c r="B142" s="154">
        <v>41901</v>
      </c>
      <c r="C142">
        <v>131.8028965</v>
      </c>
      <c r="D142">
        <v>1</v>
      </c>
    </row>
    <row r="143" spans="1:4" x14ac:dyDescent="0.25">
      <c r="A143" t="s">
        <v>324</v>
      </c>
      <c r="B143" s="154">
        <v>41901</v>
      </c>
      <c r="C143">
        <v>76.32416241</v>
      </c>
      <c r="D143">
        <v>1</v>
      </c>
    </row>
    <row r="144" spans="1:4" x14ac:dyDescent="0.25">
      <c r="A144" t="s">
        <v>325</v>
      </c>
      <c r="B144" s="154">
        <v>41912</v>
      </c>
      <c r="C144">
        <v>106.4349371</v>
      </c>
      <c r="D144">
        <v>1</v>
      </c>
    </row>
    <row r="145" spans="1:4" x14ac:dyDescent="0.25">
      <c r="A145" t="s">
        <v>326</v>
      </c>
      <c r="B145" s="154">
        <v>42312</v>
      </c>
      <c r="C145">
        <v>49081.0138716</v>
      </c>
      <c r="D145">
        <v>1</v>
      </c>
    </row>
    <row r="146" spans="1:4" x14ac:dyDescent="0.25">
      <c r="A146" t="s">
        <v>327</v>
      </c>
      <c r="B146" s="154">
        <v>41849</v>
      </c>
      <c r="C146">
        <v>4781.8624027899996</v>
      </c>
      <c r="D146">
        <v>1</v>
      </c>
    </row>
    <row r="147" spans="1:4" x14ac:dyDescent="0.25">
      <c r="A147" t="s">
        <v>328</v>
      </c>
      <c r="B147" s="154">
        <v>42118</v>
      </c>
      <c r="C147">
        <v>55188.336977819999</v>
      </c>
      <c r="D147">
        <v>1</v>
      </c>
    </row>
    <row r="148" spans="1:4" x14ac:dyDescent="0.25">
      <c r="A148" t="s">
        <v>329</v>
      </c>
      <c r="B148" s="154">
        <v>42118</v>
      </c>
      <c r="C148">
        <v>12381.899096659999</v>
      </c>
      <c r="D148">
        <v>1</v>
      </c>
    </row>
    <row r="149" spans="1:4" x14ac:dyDescent="0.25">
      <c r="A149" t="s">
        <v>330</v>
      </c>
      <c r="B149" s="154">
        <v>41065</v>
      </c>
      <c r="C149">
        <v>1120.92</v>
      </c>
      <c r="D149">
        <v>1</v>
      </c>
    </row>
    <row r="150" spans="1:4" x14ac:dyDescent="0.25">
      <c r="A150" t="s">
        <v>331</v>
      </c>
      <c r="B150" s="154">
        <v>42122</v>
      </c>
      <c r="C150">
        <v>10462.682748179999</v>
      </c>
      <c r="D150">
        <v>1</v>
      </c>
    </row>
    <row r="151" spans="1:4" x14ac:dyDescent="0.25">
      <c r="A151" t="s">
        <v>332</v>
      </c>
      <c r="B151" s="154">
        <v>41849</v>
      </c>
      <c r="C151">
        <v>4482.8823280400002</v>
      </c>
      <c r="D151">
        <v>1</v>
      </c>
    </row>
    <row r="152" spans="1:4" x14ac:dyDescent="0.25">
      <c r="A152" t="s">
        <v>333</v>
      </c>
      <c r="B152" s="154">
        <v>42118</v>
      </c>
      <c r="C152">
        <v>11199.97726648</v>
      </c>
      <c r="D152">
        <v>1</v>
      </c>
    </row>
    <row r="153" spans="1:4" x14ac:dyDescent="0.25">
      <c r="A153" t="s">
        <v>334</v>
      </c>
      <c r="B153" s="154">
        <v>42195</v>
      </c>
      <c r="C153">
        <v>28365.040000000001</v>
      </c>
      <c r="D153">
        <v>1</v>
      </c>
    </row>
    <row r="154" spans="1:4" x14ac:dyDescent="0.25">
      <c r="A154" t="s">
        <v>335</v>
      </c>
      <c r="B154" s="154">
        <v>41967</v>
      </c>
      <c r="C154">
        <v>9721.7199999999993</v>
      </c>
      <c r="D154">
        <v>1</v>
      </c>
    </row>
    <row r="155" spans="1:4" x14ac:dyDescent="0.25">
      <c r="A155" t="s">
        <v>336</v>
      </c>
      <c r="B155" s="154">
        <v>42520</v>
      </c>
      <c r="C155">
        <v>13679.58</v>
      </c>
      <c r="D155">
        <v>1</v>
      </c>
    </row>
    <row r="156" spans="1:4" x14ac:dyDescent="0.25">
      <c r="A156" t="s">
        <v>337</v>
      </c>
      <c r="B156" s="154">
        <v>41929</v>
      </c>
      <c r="C156">
        <v>4841.3999999999996</v>
      </c>
      <c r="D156">
        <v>1</v>
      </c>
    </row>
    <row r="157" spans="1:4" x14ac:dyDescent="0.25">
      <c r="A157" t="s">
        <v>338</v>
      </c>
      <c r="B157" s="154">
        <v>41904</v>
      </c>
      <c r="C157">
        <v>4959.92</v>
      </c>
      <c r="D157">
        <v>1</v>
      </c>
    </row>
    <row r="158" spans="1:4" x14ac:dyDescent="0.25">
      <c r="A158" t="s">
        <v>339</v>
      </c>
      <c r="B158" s="154">
        <v>41904</v>
      </c>
      <c r="C158">
        <v>5684.71</v>
      </c>
      <c r="D158">
        <v>1</v>
      </c>
    </row>
    <row r="159" spans="1:4" x14ac:dyDescent="0.25">
      <c r="A159" t="s">
        <v>340</v>
      </c>
      <c r="B159" s="154">
        <v>42544</v>
      </c>
      <c r="C159">
        <v>20622.150000000001</v>
      </c>
      <c r="D159">
        <v>1</v>
      </c>
    </row>
    <row r="160" spans="1:4" x14ac:dyDescent="0.25">
      <c r="A160" t="s">
        <v>341</v>
      </c>
      <c r="B160" s="154">
        <v>41904</v>
      </c>
      <c r="C160">
        <v>4598.12</v>
      </c>
      <c r="D160">
        <v>1</v>
      </c>
    </row>
    <row r="161" spans="1:4" x14ac:dyDescent="0.25">
      <c r="A161" t="s">
        <v>342</v>
      </c>
      <c r="B161" s="154">
        <v>42146</v>
      </c>
      <c r="C161">
        <v>12996.36</v>
      </c>
      <c r="D161">
        <v>1</v>
      </c>
    </row>
    <row r="162" spans="1:4" x14ac:dyDescent="0.25">
      <c r="A162" t="s">
        <v>343</v>
      </c>
      <c r="B162" s="154">
        <v>41964</v>
      </c>
      <c r="C162">
        <v>7319.54</v>
      </c>
      <c r="D162">
        <v>1</v>
      </c>
    </row>
    <row r="163" spans="1:4" x14ac:dyDescent="0.25">
      <c r="A163" t="s">
        <v>344</v>
      </c>
      <c r="B163" s="154">
        <v>42193</v>
      </c>
      <c r="C163">
        <v>9363.98</v>
      </c>
      <c r="D163">
        <v>1</v>
      </c>
    </row>
    <row r="164" spans="1:4" x14ac:dyDescent="0.25">
      <c r="A164" t="s">
        <v>345</v>
      </c>
      <c r="B164" s="154">
        <v>41948</v>
      </c>
      <c r="C164">
        <v>15682.48</v>
      </c>
      <c r="D164">
        <v>1</v>
      </c>
    </row>
    <row r="165" spans="1:4" x14ac:dyDescent="0.25">
      <c r="A165" t="s">
        <v>346</v>
      </c>
      <c r="B165" s="154">
        <v>42520</v>
      </c>
      <c r="C165">
        <v>31469.57</v>
      </c>
      <c r="D165">
        <v>1</v>
      </c>
    </row>
    <row r="166" spans="1:4" x14ac:dyDescent="0.25">
      <c r="A166" t="s">
        <v>347</v>
      </c>
      <c r="B166" s="154">
        <v>42038</v>
      </c>
      <c r="C166">
        <v>14969.07</v>
      </c>
      <c r="D166">
        <v>1</v>
      </c>
    </row>
    <row r="167" spans="1:4" x14ac:dyDescent="0.25">
      <c r="A167" t="s">
        <v>348</v>
      </c>
      <c r="B167" s="154">
        <v>42460</v>
      </c>
      <c r="C167">
        <v>25683.33</v>
      </c>
      <c r="D167">
        <v>1</v>
      </c>
    </row>
    <row r="168" spans="1:4" x14ac:dyDescent="0.25">
      <c r="A168" t="s">
        <v>349</v>
      </c>
      <c r="B168" s="154">
        <v>42312</v>
      </c>
      <c r="C168">
        <v>46535.96</v>
      </c>
      <c r="D168">
        <v>1</v>
      </c>
    </row>
    <row r="169" spans="1:4" x14ac:dyDescent="0.25">
      <c r="A169" t="s">
        <v>350</v>
      </c>
      <c r="B169" s="154">
        <v>42521</v>
      </c>
      <c r="C169">
        <v>12168.93</v>
      </c>
      <c r="D169">
        <v>1</v>
      </c>
    </row>
    <row r="170" spans="1:4" x14ac:dyDescent="0.25">
      <c r="A170" t="s">
        <v>351</v>
      </c>
      <c r="B170" s="154">
        <v>42117</v>
      </c>
      <c r="C170">
        <v>27409.74</v>
      </c>
      <c r="D170">
        <v>1</v>
      </c>
    </row>
    <row r="171" spans="1:4" x14ac:dyDescent="0.25">
      <c r="A171" t="s">
        <v>352</v>
      </c>
      <c r="B171" s="154">
        <v>42030</v>
      </c>
      <c r="C171">
        <v>36618.99</v>
      </c>
      <c r="D171">
        <v>1</v>
      </c>
    </row>
    <row r="172" spans="1:4" x14ac:dyDescent="0.25">
      <c r="A172" t="s">
        <v>353</v>
      </c>
      <c r="B172" s="154">
        <v>42464</v>
      </c>
      <c r="C172">
        <v>28528.71</v>
      </c>
      <c r="D172">
        <v>1</v>
      </c>
    </row>
    <row r="173" spans="1:4" x14ac:dyDescent="0.25">
      <c r="A173" t="s">
        <v>354</v>
      </c>
      <c r="B173" s="154">
        <v>42104</v>
      </c>
      <c r="C173">
        <v>15204.51</v>
      </c>
      <c r="D173">
        <v>1</v>
      </c>
    </row>
    <row r="174" spans="1:4" x14ac:dyDescent="0.25">
      <c r="A174" t="s">
        <v>355</v>
      </c>
      <c r="B174" s="154">
        <v>42521</v>
      </c>
      <c r="C174">
        <v>69210.02</v>
      </c>
      <c r="D174">
        <v>1</v>
      </c>
    </row>
    <row r="175" spans="1:4" x14ac:dyDescent="0.25">
      <c r="A175" t="s">
        <v>356</v>
      </c>
      <c r="B175" s="154">
        <v>42129</v>
      </c>
      <c r="C175">
        <v>9003.7099999999991</v>
      </c>
      <c r="D175">
        <v>1</v>
      </c>
    </row>
    <row r="176" spans="1:4" x14ac:dyDescent="0.25">
      <c r="A176" t="s">
        <v>357</v>
      </c>
      <c r="B176" s="154">
        <v>42066</v>
      </c>
      <c r="C176">
        <v>7949.83</v>
      </c>
      <c r="D176">
        <v>1</v>
      </c>
    </row>
    <row r="177" spans="1:4" x14ac:dyDescent="0.25">
      <c r="A177" t="s">
        <v>358</v>
      </c>
      <c r="B177" s="154">
        <v>42122</v>
      </c>
      <c r="C177">
        <v>15553.66</v>
      </c>
      <c r="D177">
        <v>1</v>
      </c>
    </row>
    <row r="178" spans="1:4" x14ac:dyDescent="0.25">
      <c r="A178" t="s">
        <v>359</v>
      </c>
      <c r="B178" s="154">
        <v>42117</v>
      </c>
      <c r="C178">
        <v>11507.83</v>
      </c>
      <c r="D178">
        <v>1</v>
      </c>
    </row>
    <row r="179" spans="1:4" x14ac:dyDescent="0.25">
      <c r="A179" t="s">
        <v>360</v>
      </c>
      <c r="B179" s="154">
        <v>42479</v>
      </c>
      <c r="C179">
        <v>14993.59</v>
      </c>
      <c r="D179">
        <v>1</v>
      </c>
    </row>
    <row r="180" spans="1:4" x14ac:dyDescent="0.25">
      <c r="A180" t="s">
        <v>361</v>
      </c>
      <c r="B180" s="154">
        <v>42104</v>
      </c>
      <c r="C180">
        <v>14152.32</v>
      </c>
      <c r="D180">
        <v>1</v>
      </c>
    </row>
    <row r="181" spans="1:4" x14ac:dyDescent="0.25">
      <c r="A181" t="s">
        <v>362</v>
      </c>
      <c r="B181" s="154">
        <v>42374</v>
      </c>
      <c r="C181">
        <v>13453.03</v>
      </c>
      <c r="D181">
        <v>1</v>
      </c>
    </row>
    <row r="182" spans="1:4" x14ac:dyDescent="0.25">
      <c r="A182" t="s">
        <v>363</v>
      </c>
      <c r="B182" s="154">
        <v>42303</v>
      </c>
      <c r="C182">
        <v>7915.02</v>
      </c>
      <c r="D182">
        <v>1</v>
      </c>
    </row>
    <row r="183" spans="1:4" x14ac:dyDescent="0.25">
      <c r="A183" t="s">
        <v>364</v>
      </c>
      <c r="B183" s="154">
        <v>42310</v>
      </c>
      <c r="C183">
        <v>11222.21</v>
      </c>
      <c r="D183">
        <v>1</v>
      </c>
    </row>
    <row r="184" spans="1:4" x14ac:dyDescent="0.25">
      <c r="A184" t="s">
        <v>365</v>
      </c>
      <c r="B184" s="154">
        <v>42520</v>
      </c>
      <c r="C184">
        <v>11861.15</v>
      </c>
      <c r="D184">
        <v>1</v>
      </c>
    </row>
    <row r="185" spans="1:4" x14ac:dyDescent="0.25">
      <c r="A185" t="s">
        <v>366</v>
      </c>
      <c r="B185" s="154">
        <v>42222</v>
      </c>
      <c r="C185">
        <v>28083.96</v>
      </c>
      <c r="D185">
        <v>1</v>
      </c>
    </row>
    <row r="186" spans="1:4" x14ac:dyDescent="0.25">
      <c r="A186" t="s">
        <v>367</v>
      </c>
      <c r="B186" s="154">
        <v>41947</v>
      </c>
      <c r="C186">
        <v>7127.6</v>
      </c>
      <c r="D186">
        <v>1</v>
      </c>
    </row>
    <row r="187" spans="1:4" x14ac:dyDescent="0.25">
      <c r="A187" t="s">
        <v>368</v>
      </c>
      <c r="B187" s="154">
        <v>42195</v>
      </c>
      <c r="C187">
        <v>28365.040000000001</v>
      </c>
      <c r="D187">
        <v>1</v>
      </c>
    </row>
    <row r="188" spans="1:4" x14ac:dyDescent="0.25">
      <c r="A188" t="s">
        <v>369</v>
      </c>
      <c r="B188" s="154">
        <v>41904</v>
      </c>
      <c r="C188">
        <v>5480.24</v>
      </c>
      <c r="D188">
        <v>1</v>
      </c>
    </row>
    <row r="189" spans="1:4" x14ac:dyDescent="0.25">
      <c r="A189" t="s">
        <v>370</v>
      </c>
      <c r="B189" s="154">
        <v>42054</v>
      </c>
      <c r="C189">
        <v>10874.67</v>
      </c>
      <c r="D189">
        <v>1</v>
      </c>
    </row>
    <row r="190" spans="1:4" x14ac:dyDescent="0.25">
      <c r="A190" t="s">
        <v>371</v>
      </c>
      <c r="B190" s="154">
        <v>42520</v>
      </c>
      <c r="C190">
        <v>26408.99</v>
      </c>
      <c r="D190">
        <v>1</v>
      </c>
    </row>
    <row r="191" spans="1:4" x14ac:dyDescent="0.25">
      <c r="A191" t="s">
        <v>372</v>
      </c>
      <c r="B191" s="154">
        <v>42069</v>
      </c>
      <c r="C191">
        <v>31823.85</v>
      </c>
      <c r="D191">
        <v>1</v>
      </c>
    </row>
    <row r="192" spans="1:4" x14ac:dyDescent="0.25">
      <c r="A192" t="s">
        <v>373</v>
      </c>
      <c r="B192" s="154">
        <v>42528</v>
      </c>
      <c r="C192">
        <v>32092.58</v>
      </c>
      <c r="D192">
        <v>1</v>
      </c>
    </row>
    <row r="193" spans="1:4" x14ac:dyDescent="0.25">
      <c r="A193" t="s">
        <v>374</v>
      </c>
      <c r="B193" s="154">
        <v>42122</v>
      </c>
      <c r="C193">
        <v>13908.83</v>
      </c>
      <c r="D193">
        <v>1</v>
      </c>
    </row>
    <row r="194" spans="1:4" x14ac:dyDescent="0.25">
      <c r="A194" t="s">
        <v>375</v>
      </c>
      <c r="B194" s="154">
        <v>42117</v>
      </c>
      <c r="C194">
        <v>11227.41</v>
      </c>
      <c r="D194">
        <v>1</v>
      </c>
    </row>
    <row r="195" spans="1:4" x14ac:dyDescent="0.25">
      <c r="A195" t="s">
        <v>376</v>
      </c>
      <c r="B195" s="154">
        <v>42222</v>
      </c>
      <c r="C195">
        <v>26117.47</v>
      </c>
      <c r="D195">
        <v>1</v>
      </c>
    </row>
    <row r="196" spans="1:4" x14ac:dyDescent="0.25">
      <c r="A196" t="s">
        <v>377</v>
      </c>
      <c r="B196" s="154">
        <v>41904</v>
      </c>
      <c r="C196">
        <v>6904.09</v>
      </c>
      <c r="D196">
        <v>1</v>
      </c>
    </row>
    <row r="197" spans="1:4" x14ac:dyDescent="0.25">
      <c r="A197" t="s">
        <v>378</v>
      </c>
      <c r="B197" s="154">
        <v>42528</v>
      </c>
      <c r="C197">
        <v>20097.04</v>
      </c>
      <c r="D197">
        <v>1</v>
      </c>
    </row>
    <row r="198" spans="1:4" x14ac:dyDescent="0.25">
      <c r="A198" t="s">
        <v>379</v>
      </c>
      <c r="B198" s="154">
        <v>42118</v>
      </c>
      <c r="C198">
        <v>14632.12</v>
      </c>
      <c r="D198">
        <v>1</v>
      </c>
    </row>
    <row r="199" spans="1:4" x14ac:dyDescent="0.25">
      <c r="A199" t="s">
        <v>380</v>
      </c>
      <c r="B199" s="154">
        <v>42118</v>
      </c>
      <c r="C199">
        <v>17815.8</v>
      </c>
      <c r="D199">
        <v>1</v>
      </c>
    </row>
    <row r="200" spans="1:4" x14ac:dyDescent="0.25">
      <c r="A200" t="s">
        <v>381</v>
      </c>
      <c r="B200" s="154">
        <v>41904</v>
      </c>
      <c r="C200">
        <v>6817.36</v>
      </c>
      <c r="D200">
        <v>1</v>
      </c>
    </row>
    <row r="201" spans="1:4" x14ac:dyDescent="0.25">
      <c r="A201" t="s">
        <v>382</v>
      </c>
      <c r="B201" s="154">
        <v>42528</v>
      </c>
      <c r="C201">
        <v>18335.7</v>
      </c>
      <c r="D201">
        <v>1</v>
      </c>
    </row>
    <row r="202" spans="1:4" x14ac:dyDescent="0.25">
      <c r="A202" t="s">
        <v>383</v>
      </c>
      <c r="B202" s="154">
        <v>42117</v>
      </c>
      <c r="C202">
        <v>14678.45</v>
      </c>
      <c r="D202">
        <v>1</v>
      </c>
    </row>
    <row r="203" spans="1:4" x14ac:dyDescent="0.25">
      <c r="A203" t="s">
        <v>384</v>
      </c>
      <c r="B203" s="154">
        <v>42118</v>
      </c>
      <c r="C203">
        <v>16848.27</v>
      </c>
      <c r="D203">
        <v>1</v>
      </c>
    </row>
    <row r="204" spans="1:4" x14ac:dyDescent="0.25">
      <c r="A204" t="s">
        <v>385</v>
      </c>
      <c r="B204" s="154">
        <v>42328</v>
      </c>
      <c r="C204">
        <v>35615.594782250002</v>
      </c>
      <c r="D204">
        <v>1</v>
      </c>
    </row>
    <row r="205" spans="1:4" x14ac:dyDescent="0.25">
      <c r="A205" t="s">
        <v>386</v>
      </c>
      <c r="B205" s="154">
        <v>37469</v>
      </c>
      <c r="C205">
        <v>394.88</v>
      </c>
      <c r="D205">
        <v>1</v>
      </c>
    </row>
    <row r="206" spans="1:4" x14ac:dyDescent="0.25">
      <c r="A206" t="s">
        <v>387</v>
      </c>
      <c r="B206" s="154">
        <v>37469</v>
      </c>
      <c r="C206">
        <v>394.88</v>
      </c>
      <c r="D206">
        <v>1</v>
      </c>
    </row>
    <row r="207" spans="1:4" x14ac:dyDescent="0.25">
      <c r="A207" t="s">
        <v>388</v>
      </c>
      <c r="B207" s="154">
        <v>38665</v>
      </c>
      <c r="C207">
        <v>225.62</v>
      </c>
      <c r="D207">
        <v>1</v>
      </c>
    </row>
    <row r="208" spans="1:4" x14ac:dyDescent="0.25">
      <c r="A208" t="s">
        <v>389</v>
      </c>
      <c r="B208" s="154">
        <v>38665</v>
      </c>
      <c r="C208">
        <v>225.62</v>
      </c>
      <c r="D208">
        <v>1</v>
      </c>
    </row>
    <row r="209" spans="1:4" x14ac:dyDescent="0.25">
      <c r="A209" t="s">
        <v>390</v>
      </c>
      <c r="B209" s="154">
        <v>38624</v>
      </c>
      <c r="C209">
        <v>173.45</v>
      </c>
      <c r="D209">
        <v>1</v>
      </c>
    </row>
    <row r="210" spans="1:4" x14ac:dyDescent="0.25">
      <c r="A210" t="s">
        <v>391</v>
      </c>
      <c r="B210" s="154">
        <v>38624</v>
      </c>
      <c r="C210">
        <v>173.45</v>
      </c>
      <c r="D210">
        <v>1</v>
      </c>
    </row>
    <row r="211" spans="1:4" x14ac:dyDescent="0.25">
      <c r="A211" t="s">
        <v>392</v>
      </c>
      <c r="B211" s="154">
        <v>38027</v>
      </c>
      <c r="C211">
        <v>108.65</v>
      </c>
      <c r="D211">
        <v>1</v>
      </c>
    </row>
    <row r="212" spans="1:4" x14ac:dyDescent="0.25">
      <c r="A212" t="s">
        <v>393</v>
      </c>
      <c r="B212" s="154">
        <v>37757</v>
      </c>
      <c r="C212">
        <v>125</v>
      </c>
      <c r="D212">
        <v>1</v>
      </c>
    </row>
    <row r="213" spans="1:4" x14ac:dyDescent="0.25">
      <c r="A213" t="s">
        <v>394</v>
      </c>
      <c r="B213" s="154">
        <v>38006</v>
      </c>
      <c r="C213">
        <v>106.83</v>
      </c>
      <c r="D213">
        <v>1</v>
      </c>
    </row>
    <row r="214" spans="1:4" x14ac:dyDescent="0.25">
      <c r="A214" t="s">
        <v>395</v>
      </c>
      <c r="B214" s="154">
        <v>38715</v>
      </c>
      <c r="C214">
        <v>508.88</v>
      </c>
      <c r="D214">
        <v>1</v>
      </c>
    </row>
    <row r="215" spans="1:4" x14ac:dyDescent="0.25">
      <c r="A215" t="s">
        <v>396</v>
      </c>
      <c r="B215" s="154">
        <v>38715</v>
      </c>
      <c r="C215">
        <v>510.55</v>
      </c>
      <c r="D215">
        <v>1</v>
      </c>
    </row>
    <row r="216" spans="1:4" x14ac:dyDescent="0.25">
      <c r="A216" t="s">
        <v>397</v>
      </c>
      <c r="B216" s="154">
        <v>38260</v>
      </c>
      <c r="C216">
        <v>730.16</v>
      </c>
      <c r="D216">
        <v>1</v>
      </c>
    </row>
    <row r="217" spans="1:4" x14ac:dyDescent="0.25">
      <c r="A217" t="s">
        <v>398</v>
      </c>
      <c r="B217" s="154">
        <v>38716</v>
      </c>
      <c r="C217">
        <v>250.34</v>
      </c>
      <c r="D217">
        <v>1</v>
      </c>
    </row>
    <row r="218" spans="1:4" x14ac:dyDescent="0.25">
      <c r="A218" t="s">
        <v>399</v>
      </c>
      <c r="B218" s="154">
        <v>38716</v>
      </c>
      <c r="C218">
        <v>250.34</v>
      </c>
      <c r="D218">
        <v>1</v>
      </c>
    </row>
    <row r="219" spans="1:4" x14ac:dyDescent="0.25">
      <c r="A219" t="s">
        <v>400</v>
      </c>
      <c r="B219" s="154">
        <v>38713</v>
      </c>
      <c r="C219">
        <v>185.77</v>
      </c>
      <c r="D219">
        <v>1</v>
      </c>
    </row>
    <row r="220" spans="1:4" x14ac:dyDescent="0.25">
      <c r="A220" t="s">
        <v>401</v>
      </c>
      <c r="B220" s="154">
        <v>38713</v>
      </c>
      <c r="C220">
        <v>232.72</v>
      </c>
      <c r="D220">
        <v>1</v>
      </c>
    </row>
    <row r="221" spans="1:4" x14ac:dyDescent="0.25">
      <c r="A221" t="s">
        <v>402</v>
      </c>
      <c r="B221" s="154">
        <v>38713</v>
      </c>
      <c r="C221">
        <v>137.76</v>
      </c>
      <c r="D221">
        <v>1</v>
      </c>
    </row>
    <row r="222" spans="1:4" x14ac:dyDescent="0.25">
      <c r="A222" t="s">
        <v>403</v>
      </c>
      <c r="B222" s="154">
        <v>38713</v>
      </c>
      <c r="C222">
        <v>141.75</v>
      </c>
      <c r="D222">
        <v>1</v>
      </c>
    </row>
    <row r="223" spans="1:4" x14ac:dyDescent="0.25">
      <c r="A223" t="s">
        <v>404</v>
      </c>
      <c r="B223" s="154">
        <v>38370</v>
      </c>
      <c r="C223">
        <v>242.71</v>
      </c>
      <c r="D223">
        <v>1</v>
      </c>
    </row>
    <row r="224" spans="1:4" x14ac:dyDescent="0.25">
      <c r="A224" t="s">
        <v>405</v>
      </c>
      <c r="B224" s="154">
        <v>38706</v>
      </c>
      <c r="C224">
        <v>128.63</v>
      </c>
      <c r="D224">
        <v>1</v>
      </c>
    </row>
    <row r="225" spans="1:4" x14ac:dyDescent="0.25">
      <c r="A225" t="s">
        <v>406</v>
      </c>
      <c r="B225" s="154">
        <v>38705</v>
      </c>
      <c r="C225">
        <v>217.85</v>
      </c>
      <c r="D225">
        <v>1</v>
      </c>
    </row>
    <row r="226" spans="1:4" x14ac:dyDescent="0.25">
      <c r="A226" t="s">
        <v>407</v>
      </c>
      <c r="B226" s="154">
        <v>42129</v>
      </c>
      <c r="C226">
        <v>1211.2244297899999</v>
      </c>
      <c r="D226">
        <v>1</v>
      </c>
    </row>
    <row r="227" spans="1:4" x14ac:dyDescent="0.25">
      <c r="A227" t="s">
        <v>408</v>
      </c>
      <c r="B227" s="154">
        <v>42522</v>
      </c>
      <c r="C227">
        <v>529.22225323999999</v>
      </c>
      <c r="D227">
        <v>1</v>
      </c>
    </row>
    <row r="228" spans="1:4" x14ac:dyDescent="0.25">
      <c r="A228" t="s">
        <v>409</v>
      </c>
      <c r="B228" s="154">
        <v>39329</v>
      </c>
      <c r="C228">
        <v>321.83999999999997</v>
      </c>
      <c r="D228">
        <v>1</v>
      </c>
    </row>
    <row r="229" spans="1:4" x14ac:dyDescent="0.25">
      <c r="A229" t="s">
        <v>410</v>
      </c>
      <c r="B229" s="154">
        <v>40577</v>
      </c>
      <c r="C229">
        <v>493.46</v>
      </c>
      <c r="D229">
        <v>1</v>
      </c>
    </row>
    <row r="230" spans="1:4" x14ac:dyDescent="0.25">
      <c r="A230" t="s">
        <v>411</v>
      </c>
      <c r="B230" s="154">
        <v>39618</v>
      </c>
      <c r="C230">
        <v>303</v>
      </c>
      <c r="D230">
        <v>1</v>
      </c>
    </row>
    <row r="231" spans="1:4" x14ac:dyDescent="0.25">
      <c r="A231" t="s">
        <v>412</v>
      </c>
      <c r="B231" s="154">
        <v>39394</v>
      </c>
      <c r="C231">
        <v>363.69</v>
      </c>
      <c r="D231">
        <v>1</v>
      </c>
    </row>
    <row r="232" spans="1:4" x14ac:dyDescent="0.25">
      <c r="A232" t="s">
        <v>413</v>
      </c>
      <c r="B232" s="154">
        <v>40478</v>
      </c>
      <c r="C232">
        <v>148.34</v>
      </c>
      <c r="D232">
        <v>1</v>
      </c>
    </row>
    <row r="233" spans="1:4" x14ac:dyDescent="0.25">
      <c r="A233" t="s">
        <v>414</v>
      </c>
      <c r="B233" s="154">
        <v>42541</v>
      </c>
      <c r="C233">
        <v>1042.5</v>
      </c>
      <c r="D233">
        <v>1</v>
      </c>
    </row>
    <row r="234" spans="1:4" x14ac:dyDescent="0.25">
      <c r="A234" t="s">
        <v>415</v>
      </c>
      <c r="B234" s="154">
        <v>42227</v>
      </c>
      <c r="C234">
        <v>4757.8587041199999</v>
      </c>
      <c r="D234">
        <v>1</v>
      </c>
    </row>
    <row r="235" spans="1:4" x14ac:dyDescent="0.25">
      <c r="A235" t="s">
        <v>416</v>
      </c>
      <c r="B235" s="154">
        <v>42117</v>
      </c>
      <c r="C235">
        <v>143.21094002000001</v>
      </c>
      <c r="D235">
        <v>1</v>
      </c>
    </row>
    <row r="236" spans="1:4" x14ac:dyDescent="0.25">
      <c r="A236" t="s">
        <v>417</v>
      </c>
      <c r="B236" s="154">
        <v>39618</v>
      </c>
      <c r="C236">
        <v>562.29</v>
      </c>
      <c r="D236">
        <v>1</v>
      </c>
    </row>
    <row r="237" spans="1:4" x14ac:dyDescent="0.25">
      <c r="A237" t="s">
        <v>418</v>
      </c>
      <c r="B237" s="154">
        <v>39394</v>
      </c>
      <c r="C237">
        <v>363.69</v>
      </c>
      <c r="D237">
        <v>1</v>
      </c>
    </row>
    <row r="238" spans="1:4" x14ac:dyDescent="0.25">
      <c r="A238" t="s">
        <v>419</v>
      </c>
      <c r="B238" s="154">
        <v>42227</v>
      </c>
      <c r="C238">
        <v>4215.8333879900001</v>
      </c>
      <c r="D238">
        <v>1</v>
      </c>
    </row>
    <row r="239" spans="1:4" x14ac:dyDescent="0.25">
      <c r="A239" t="s">
        <v>420</v>
      </c>
      <c r="B239" s="154">
        <v>41277</v>
      </c>
      <c r="C239">
        <v>2807.39</v>
      </c>
      <c r="D239">
        <v>1</v>
      </c>
    </row>
    <row r="240" spans="1:4" x14ac:dyDescent="0.25">
      <c r="A240" t="s">
        <v>421</v>
      </c>
      <c r="B240" s="154">
        <v>41283</v>
      </c>
      <c r="C240">
        <v>2316.58</v>
      </c>
      <c r="D240">
        <v>1</v>
      </c>
    </row>
    <row r="241" spans="1:4" x14ac:dyDescent="0.25">
      <c r="A241" t="s">
        <v>422</v>
      </c>
      <c r="B241" s="154">
        <v>42117</v>
      </c>
      <c r="C241">
        <v>126.70832993</v>
      </c>
      <c r="D241">
        <v>1</v>
      </c>
    </row>
    <row r="242" spans="1:4" x14ac:dyDescent="0.25">
      <c r="A242" t="s">
        <v>423</v>
      </c>
      <c r="B242" s="154">
        <v>41281</v>
      </c>
      <c r="C242">
        <v>3365.22</v>
      </c>
      <c r="D242">
        <v>1</v>
      </c>
    </row>
    <row r="243" spans="1:4" x14ac:dyDescent="0.25">
      <c r="A243" t="s">
        <v>424</v>
      </c>
      <c r="B243" s="154">
        <v>42110</v>
      </c>
      <c r="C243">
        <v>522.89537319999999</v>
      </c>
      <c r="D243">
        <v>1</v>
      </c>
    </row>
    <row r="244" spans="1:4" x14ac:dyDescent="0.25">
      <c r="A244" t="s">
        <v>425</v>
      </c>
      <c r="B244" s="154">
        <v>42117</v>
      </c>
      <c r="C244">
        <v>650.14363865999997</v>
      </c>
      <c r="D244">
        <v>1</v>
      </c>
    </row>
    <row r="245" spans="1:4" x14ac:dyDescent="0.25">
      <c r="A245" t="s">
        <v>426</v>
      </c>
      <c r="B245" s="154">
        <v>42479</v>
      </c>
      <c r="C245">
        <v>517.55154836999998</v>
      </c>
      <c r="D245">
        <v>1</v>
      </c>
    </row>
    <row r="246" spans="1:4" x14ac:dyDescent="0.25">
      <c r="A246" t="s">
        <v>427</v>
      </c>
      <c r="B246" s="154">
        <v>42110</v>
      </c>
      <c r="C246">
        <v>419.85620591000003</v>
      </c>
      <c r="D246">
        <v>1</v>
      </c>
    </row>
    <row r="247" spans="1:4" x14ac:dyDescent="0.25">
      <c r="A247" t="s">
        <v>428</v>
      </c>
      <c r="B247" s="154">
        <v>41444</v>
      </c>
      <c r="C247">
        <v>1386.8</v>
      </c>
      <c r="D247">
        <v>1</v>
      </c>
    </row>
    <row r="248" spans="1:4" x14ac:dyDescent="0.25">
      <c r="A248" t="s">
        <v>429</v>
      </c>
      <c r="B248" s="154">
        <v>42030</v>
      </c>
      <c r="C248">
        <v>227.86509369000001</v>
      </c>
      <c r="D248">
        <v>1</v>
      </c>
    </row>
    <row r="249" spans="1:4" x14ac:dyDescent="0.25">
      <c r="A249" t="s">
        <v>430</v>
      </c>
      <c r="B249" s="154">
        <v>39604</v>
      </c>
      <c r="C249">
        <v>233.37</v>
      </c>
      <c r="D249">
        <v>1</v>
      </c>
    </row>
    <row r="250" spans="1:4" x14ac:dyDescent="0.25">
      <c r="A250" t="s">
        <v>431</v>
      </c>
      <c r="B250" s="154">
        <v>42339</v>
      </c>
      <c r="C250">
        <v>487.53221783999999</v>
      </c>
      <c r="D250">
        <v>1</v>
      </c>
    </row>
    <row r="251" spans="1:4" x14ac:dyDescent="0.25">
      <c r="A251" t="s">
        <v>432</v>
      </c>
      <c r="B251" s="154">
        <v>38866</v>
      </c>
      <c r="C251">
        <v>203.88</v>
      </c>
      <c r="D251">
        <v>1</v>
      </c>
    </row>
  </sheetData>
  <conditionalFormatting sqref="A1:A1048576">
    <cfRule type="duplicateValues" dxfId="1" priority="2"/>
  </conditionalFormatting>
  <conditionalFormatting sqref="I1:I104857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2016-05-20T07:00:00+00:00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JSE Equity Market Profile" ma:contentTypeID="0x01010025A8B514A743974EAD575655CE6523733E0077EBB4F4FB920F40A087B26948238718" ma:contentTypeVersion="2" ma:contentTypeDescription="Create a new document." ma:contentTypeScope="" ma:versionID="0c3ce37046bec4c099d0c71364f142a1">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0C54F4-B7C9-4F19-972C-E732F0124192}">
  <ds:schemaRefs>
    <ds:schemaRef ds:uri="http://purl.org/dc/dcmitype/"/>
    <ds:schemaRef ds:uri="http://purl.org/dc/terms/"/>
    <ds:schemaRef ds:uri="a5d7cc70-31c1-4b2e-9a12-faea9898ee50"/>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602E086-95F8-4243-BFFD-2E31F586C60F}">
  <ds:schemaRefs>
    <ds:schemaRef ds:uri="http://schemas.microsoft.com/sharepoint/v3/contenttype/forms"/>
  </ds:schemaRefs>
</ds:datastoreItem>
</file>

<file path=customXml/itemProps3.xml><?xml version="1.0" encoding="utf-8"?>
<ds:datastoreItem xmlns:ds="http://schemas.openxmlformats.org/officeDocument/2006/customXml" ds:itemID="{F918F504-4205-4181-8B02-F67F01DF89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MarketProfile</vt:lpstr>
      <vt:lpstr>Data</vt:lpstr>
      <vt:lpstr>Sheet3</vt:lpstr>
      <vt:lpstr>Sheet4</vt:lpstr>
      <vt:lpstr>Sheet5</vt:lpstr>
      <vt:lpstr>Sheet6</vt:lpstr>
      <vt:lpstr>IRD</vt:lpstr>
      <vt:lpstr>Sheet7</vt:lpstr>
    </vt:vector>
  </TitlesOfParts>
  <Company>JSE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JSE Markets' Profile 20190831</dc:title>
  <dc:creator>rapelangm</dc:creator>
  <cp:lastModifiedBy>Julia Maluleka</cp:lastModifiedBy>
  <cp:lastPrinted>2019-09-02T09:10:57Z</cp:lastPrinted>
  <dcterms:created xsi:type="dcterms:W3CDTF">2009-10-22T12:59:48Z</dcterms:created>
  <dcterms:modified xsi:type="dcterms:W3CDTF">2019-09-06T09:29:09Z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0x01010025A8B514A743974EAD575655CE6523733E0077EBB4F4FB920F40A087B26948238718</vt:lpwstr>
  </property>
  <property fmtid="{D5CDD505-2E9C-101B-9397-08002B2CF9AE}" pid="3" name="JSENavigation">
    <vt:lpwstr/>
  </property>
</Properties>
</file>