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hlel\Desktop\OMEGA\Market Profile\"/>
    </mc:Choice>
  </mc:AlternateContent>
  <bookViews>
    <workbookView xWindow="0" yWindow="0" windowWidth="21600" windowHeight="1032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calcMode="manual"/>
</workbook>
</file>

<file path=xl/calcChain.xml><?xml version="1.0" encoding="utf-8"?>
<calcChain xmlns="http://schemas.openxmlformats.org/spreadsheetml/2006/main">
  <c r="D139" i="1" l="1"/>
  <c r="C139" i="1" l="1"/>
  <c r="D68" i="1"/>
  <c r="C68" i="1"/>
  <c r="C65" i="1"/>
  <c r="D65" i="1"/>
  <c r="C211" i="1" l="1"/>
  <c r="C210" i="1"/>
  <c r="F211" i="1" l="1"/>
  <c r="F210" i="1"/>
  <c r="H153" i="1" l="1"/>
  <c r="E199" i="1" l="1"/>
  <c r="D201" i="1"/>
  <c r="D200" i="1"/>
  <c r="D198" i="1"/>
  <c r="D197" i="1"/>
  <c r="C201" i="1"/>
  <c r="C200" i="1"/>
  <c r="C198" i="1"/>
  <c r="E198" i="1" s="1"/>
  <c r="B198" i="1"/>
  <c r="C197" i="1"/>
  <c r="B201" i="1"/>
  <c r="B200" i="1"/>
  <c r="B197" i="1"/>
  <c r="B211" i="1"/>
  <c r="B210" i="1"/>
  <c r="E201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C146" i="1"/>
  <c r="C145" i="1"/>
  <c r="C144" i="1"/>
  <c r="C140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F491" i="1" l="1"/>
  <c r="E31" i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G65" i="1" l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<sst xmlns="http://schemas.openxmlformats.org/spreadsheetml/2006/main" count="2509" uniqueCount="671">
  <si>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</si>
  <si>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</si>
  <si>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</si>
  <si>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</si>
  <si>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</si>
  <si>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</si>
  <si>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</si>
  <si>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</si>
  <si>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</si>
  <si>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</si>
  <si>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</si>
  <si>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</si>
  <si>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</si>
  <si>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</si>
  <si>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</si>
  <si>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</si>
  <si>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</si>
  <si>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</si>
  <si>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</si>
  <si>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</si>
  <si>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</si>
  <si>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</si>
  <si>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</si>
  <si>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</si>
  <si>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</si>
  <si>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</si>
  <si>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</si>
  <si>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</si>
  <si>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</si>
  <si>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</si>
  <si>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</si>
  <si>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</si>
  <si>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</si>
  <si>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</si>
  <si>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</si>
  <si>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</si>
  <si>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</si>
  <si>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</si>
  <si>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</si>
  <si>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</si>
  <si>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</si>
  <si>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</si>
  <si>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</si>
  <si>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</si>
  <si>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</si>
  <si>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</si>
  <si>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</si>
  <si>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</si>
  <si>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</si>
  <si>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</si>
  <si>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</si>
  <si>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</si>
  <si>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</si>
  <si>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</si>
  <si>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</si>
  <si>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</si>
  <si>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</si>
  <si>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</si>
  <si>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</si>
  <si>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</si>
  <si>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</si>
  <si>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</si>
  <si>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</si>
  <si>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</si>
  <si>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</si>
  <si>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</si>
  <si>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</si>
  <si>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</si>
  <si>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</si>
  <si>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</si>
  <si>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</si>
  <si>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</si>
  <si>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</si>
  <si>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</si>
  <si>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</si>
  <si>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</si>
  <si>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</si>
  <si>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</si>
  <si>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</si>
  <si>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</si>
  <si>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</si>
  <si>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</si>
  <si>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</si>
  <si>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</si>
  <si>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</si>
  <si>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</si>
  <si>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</si>
  <si>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</si>
  <si>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</si>
  <si>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</si>
  <si>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</si>
  <si>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</si>
  <si>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</si>
  <si>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</si>
  <si>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</si>
  <si>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</si>
  <si>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</si>
  <si>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</si>
  <si>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</si>
  <si>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</si>
  <si>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</si>
  <si>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</si>
  <si>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</si>
  <si>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</si>
  <si>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</si>
  <si>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</si>
  <si>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</si>
  <si>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</si>
  <si>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</si>
  <si>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</si>
  <si>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</si>
  <si>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</si>
  <si>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</si>
  <si>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</si>
  <si>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</si>
  <si>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</si>
  <si>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</si>
  <si>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</si>
  <si>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</si>
  <si>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</si>
  <si>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</si>
  <si>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</si>
  <si>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</si>
  <si>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</si>
  <si>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</si>
  <si>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</si>
  <si>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</si>
  <si>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</si>
  <si>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</si>
  <si>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</si>
  <si>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</si>
  <si>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</si>
  <si>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</si>
  <si>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</si>
  <si>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</si>
  <si>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</si>
  <si>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</si>
  <si>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</si>
  <si>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</si>
  <si>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</si>
  <si>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</si>
  <si>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</si>
  <si>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</si>
  <si>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</si>
  <si>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</si>
  <si>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</si>
  <si>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</si>
  <si>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</si>
  <si>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</si>
  <si>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</si>
  <si>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</si>
  <si>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</si>
  <si>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</si>
  <si>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</si>
  <si>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</si>
  <si>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</si>
  <si>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</si>
  <si>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</si>
  <si>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</si>
  <si>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</si>
  <si>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</si>
  <si>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</si>
  <si>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</si>
  <si>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</si>
  <si>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</si>
  <si>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</si>
  <si>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</si>
  <si>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</si>
  <si>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</si>
  <si>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</si>
  <si>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</si>
  <si>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</si>
  <si>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</si>
  <si>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</si>
  <si>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</si>
  <si>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</si>
  <si>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</si>
  <si>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</si>
  <si>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</si>
  <si>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</si>
  <si>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</si>
  <si>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</si>
  <si>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</si>
  <si>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</si>
  <si>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</si>
  <si>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</si>
  <si>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</si>
  <si>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</si>
  <si>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</si>
  <si>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</si>
  <si>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</si>
  <si>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</si>
  <si>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</si>
  <si>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</si>
  <si>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</si>
  <si>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</si>
  <si>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</si>
  <si>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</si>
  <si>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</si>
  <si>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</si>
  <si>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</si>
  <si>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</si>
  <si>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</si>
  <si>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</si>
  <si>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</si>
  <si>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</si>
  <si>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</si>
  <si>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</si>
  <si>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</si>
  <si>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</si>
  <si>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</si>
  <si>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</si>
  <si>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</si>
  <si>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</si>
  <si>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</si>
  <si>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</si>
  <si>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</si>
  <si>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</si>
  <si>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</si>
  <si>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</si>
  <si>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</si>
  <si>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</si>
  <si>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</si>
  <si>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</si>
  <si>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</si>
  <si>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</si>
  <si>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</si>
  <si>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</si>
  <si>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</si>
  <si>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</si>
  <si>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</si>
  <si>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</si>
  <si>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</si>
  <si>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</si>
  <si>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</si>
  <si>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</si>
  <si>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</si>
  <si>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</si>
  <si>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</si>
  <si>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</si>
  <si>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</si>
  <si>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</si>
  <si>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</si>
  <si>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</si>
  <si>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</si>
  <si>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</si>
  <si>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</si>
  <si>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</si>
  <si>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</si>
  <si>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</si>
  <si>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</si>
  <si>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</si>
  <si>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</si>
  <si>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</si>
  <si>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</si>
  <si>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</si>
  <si>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</si>
  <si>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</si>
  <si>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</si>
  <si>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</si>
  <si>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</si>
  <si>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</si>
  <si>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</si>
  <si>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</si>
  <si>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</si>
  <si>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</si>
  <si>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</si>
  <si>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</si>
  <si>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</si>
  <si>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</si>
  <si>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</si>
  <si>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</si>
  <si>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</si>
  <si>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</si>
  <si>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</si>
  <si>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</si>
  <si>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</si>
  <si>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</si>
  <si>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</si>
  <si>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</si>
  <si>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</si>
  <si>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</si>
  <si>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</si>
  <si>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</si>
  <si>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</si>
  <si>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</si>
  <si>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</si>
  <si>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</si>
  <si>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</si>
  <si>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</si>
  <si>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</si>
  <si>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</si>
  <si>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</si>
  <si>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</si>
  <si>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</si>
  <si>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</si>
  <si>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</si>
  <si>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</si>
  <si>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</si>
  <si>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</si>
  <si>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</si>
  <si>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</si>
  <si>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</si>
  <si>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</si>
  <si>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</si>
  <si>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</si>
  <si>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</si>
  <si>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</si>
  <si>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</si>
  <si>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</si>
  <si>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</si>
  <si>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</si>
  <si>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</si>
  <si>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</si>
  <si>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</si>
  <si>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</si>
  <si>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</si>
  <si>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</si>
  <si>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</si>
  <si>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</si>
  <si>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</si>
  <si>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</si>
  <si>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</si>
  <si>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</si>
  <si>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</si>
  <si>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</si>
  <si>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</si>
  <si>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</si>
  <si>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</si>
  <si>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</si>
  <si>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</si>
  <si>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</si>
  <si>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</si>
  <si>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</si>
  <si>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</si>
  <si>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</si>
  <si>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</si>
  <si>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</si>
  <si>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</si>
  <si>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</si>
  <si>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</si>
  <si>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</si>
  <si>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</si>
  <si>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</si>
  <si>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</si>
  <si>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</si>
  <si>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</si>
  <si>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</si>
  <si>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</si>
  <si>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</si>
  <si>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</si>
  <si>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</si>
  <si>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</si>
  <si>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</si>
  <si>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</si>
  <si>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</si>
  <si>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</si>
  <si>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</si>
  <si>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</si>
  <si>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</si>
  <si>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</si>
  <si>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</si>
  <si>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</si>
  <si>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</si>
  <si>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</si>
  <si>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</si>
  <si>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</si>
  <si>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</si>
  <si>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</si>
  <si>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</si>
  <si>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</si>
  <si>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</si>
  <si>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</si>
  <si>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</si>
  <si>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</si>
  <si>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</si>
  <si>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</si>
  <si>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</si>
  <si>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</si>
  <si>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</si>
  <si>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</si>
  <si>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</si>
  <si>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</si>
  <si>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</si>
  <si>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</si>
  <si>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</si>
  <si>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</si>
  <si>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</si>
  <si>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</si>
  <si>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</si>
  <si>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</si>
  <si>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</si>
  <si>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</si>
  <si>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</si>
  <si>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</si>
  <si>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</si>
  <si>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</si>
  <si>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</si>
  <si>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</si>
  <si>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</si>
  <si>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</si>
  <si>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</si>
  <si>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</si>
  <si>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</si>
  <si>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</si>
  <si>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</si>
  <si>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</si>
  <si>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</si>
  <si>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</si>
  <si>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</si>
  <si>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</si>
  <si>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</si>
  <si>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</si>
  <si>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</si>
  <si>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</si>
  <si>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</si>
  <si>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</si>
  <si>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</si>
  <si>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</si>
  <si>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</si>
  <si>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</si>
  <si>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</si>
  <si>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</si>
  <si>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</si>
  <si>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</si>
  <si>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</si>
  <si>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</si>
  <si>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</si>
  <si>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</si>
  <si>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</si>
  <si>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</si>
  <si>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</si>
  <si>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</si>
  <si>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</si>
  <si>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</si>
  <si>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</si>
  <si>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</si>
  <si>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</si>
  <si>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</si>
  <si>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</si>
  <si>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</si>
  <si>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</si>
  <si>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</si>
  <si>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</si>
  <si>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</si>
  <si>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</si>
  <si>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</si>
  <si>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</si>
  <si>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</si>
  <si>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</si>
  <si>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</si>
  <si>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</si>
  <si>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</si>
  <si>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</si>
  <si>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</si>
  <si>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</si>
  <si>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</si>
  <si>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</si>
  <si>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</si>
  <si>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</si>
  <si>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</si>
  <si>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</si>
  <si>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</si>
  <si>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</si>
  <si>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</si>
  <si>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</si>
  <si>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</si>
  <si>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</si>
  <si>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</si>
  <si>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</si>
  <si>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</si>
  <si>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</si>
  <si>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</si>
  <si>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</si>
  <si>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</si>
  <si>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</si>
  <si>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</si>
  <si>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</si>
  <si>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</si>
  <si>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</si>
  <si>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</si>
  <si>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</si>
  <si>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</si>
  <si>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</si>
  <si>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</si>
  <si>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</si>
  <si>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</si>
  <si>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</si>
  <si>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</si>
  <si>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</si>
  <si>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</si>
  <si>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</si>
  <si>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</si>
  <si>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</si>
  <si>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</si>
  <si>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</si>
  <si>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</si>
  <si>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</si>
  <si>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</si>
  <si>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</si>
  <si>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</si>
  <si>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</si>
  <si>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</si>
  <si>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</si>
  <si>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</si>
  <si>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</si>
  <si>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</si>
  <si>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</si>
  <si>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</si>
  <si>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</si>
  <si>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</si>
  <si>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</si>
  <si>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</si>
  <si>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</si>
  <si>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</si>
  <si>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</si>
  <si>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</si>
  <si>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</si>
  <si>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</si>
  <si>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</si>
  <si>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</si>
  <si>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</si>
  <si>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</si>
  <si>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</si>
  <si>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</si>
  <si>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</si>
  <si>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</si>
  <si>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</si>
  <si>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</si>
  <si>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</si>
  <si>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</si>
  <si>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</si>
  <si>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</si>
  <si>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</si>
  <si>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</si>
  <si>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</si>
  <si>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</si>
  <si>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</si>
  <si>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</si>
  <si>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</si>
  <si>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</si>
  <si>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</si>
  <si>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</si>
  <si>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</si>
  <si>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</si>
  <si>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</si>
  <si>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</si>
  <si>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</si>
  <si>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</si>
  <si>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</si>
  <si>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</si>
  <si>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</si>
  <si>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</si>
  <si>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</si>
  <si>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</si>
  <si>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</si>
  <si>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</si>
  <si>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</si>
  <si>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</si>
  <si>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</si>
  <si>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</si>
  <si>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</si>
  <si>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</si>
  <si>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</si>
  <si>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</si>
  <si>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</si>
  <si>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</si>
  <si>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</si>
  <si>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</si>
  <si>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</si>
  <si>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Bond</t>
  </si>
  <si>
    <t>African Derivatives</t>
  </si>
  <si>
    <t>QUANTO SOYBEAN OIL COMMODITY CAN-DO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</si>
  <si>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</si>
  <si>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</si>
  <si>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</si>
  <si>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</si>
  <si>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</si>
  <si>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</si>
  <si>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</si>
  <si>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</si>
  <si>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</si>
  <si>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</si>
  <si>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</si>
  <si>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</si>
  <si>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</si>
  <si>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</si>
  <si>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</si>
  <si>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</si>
  <si>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</si>
  <si>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</si>
  <si>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</si>
  <si>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</si>
  <si>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</si>
  <si>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</si>
  <si>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</si>
  <si>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</si>
  <si>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QUANTO SOYBEAN MEAL COMMODITY CANDO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</si>
  <si>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</si>
  <si>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</si>
  <si>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</si>
  <si>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</si>
  <si>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</si>
  <si>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</si>
  <si>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</si>
  <si>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</si>
  <si>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</si>
  <si>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</si>
  <si>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</si>
  <si>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</si>
  <si>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</si>
  <si>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</si>
  <si>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</si>
  <si>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</si>
  <si>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</si>
  <si>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</si>
  <si>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YELLOW MAIZE COMMODITY CANDO</t>
  </si>
  <si>
    <t>RAND DOLLAR CORN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</si>
  <si>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</si>
  <si>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</si>
  <si>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</si>
  <si>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</si>
  <si>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</si>
  <si>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</si>
  <si>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</si>
  <si>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</si>
  <si>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</si>
  <si>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</si>
  <si>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</si>
  <si>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</si>
  <si>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</si>
  <si>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</si>
  <si>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</si>
  <si>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</si>
  <si>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</si>
  <si>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</si>
  <si>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</si>
  <si>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</si>
  <si>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</si>
  <si>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</si>
  <si>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</si>
  <si>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</si>
  <si>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</si>
  <si>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</si>
  <si>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</si>
  <si>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</si>
  <si>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</si>
  <si>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</si>
  <si>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</si>
  <si>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</si>
  <si>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</si>
  <si>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</si>
  <si>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</si>
  <si>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</si>
  <si>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</si>
  <si>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</si>
  <si>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</si>
  <si>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</si>
  <si>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</si>
  <si>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</si>
  <si>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</si>
  <si>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2018/01</t>
  </si>
  <si>
    <t>Other Trade - I</t>
  </si>
  <si>
    <t>CorporateActionTypeCode</t>
  </si>
  <si>
    <t>SUM_TotalValue</t>
  </si>
  <si>
    <t>GI</t>
  </si>
  <si>
    <t>SI</t>
  </si>
  <si>
    <t>SO</t>
  </si>
  <si>
    <t>SS</t>
  </si>
  <si>
    <t>TU</t>
  </si>
  <si>
    <t>Note: The monthly "local liquidity"  using the value traded and Strate market capitalisation is 63.87%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</si>
</sst>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3064">
    <xf numFmtId="0" fontId="0" fillId="0" borderId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06">
    <xf numFmtId="0" fontId="0" fillId="0" borderId="0" xfId="0"/>
    <xf numFmtId="0" fontId="21" fillId="0" borderId="0" xfId="0" applyFont="1"/>
    <xf numFmtId="164" fontId="0" fillId="0" borderId="0" xfId="1" applyFont="1"/>
    <xf numFmtId="165" fontId="0" fillId="0" borderId="0" xfId="1" applyNumberFormat="1" applyFont="1"/>
    <xf numFmtId="165" fontId="21" fillId="0" borderId="0" xfId="1" applyNumberFormat="1" applyFont="1"/>
    <xf numFmtId="164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4" fillId="0" borderId="0" xfId="0" applyNumberFormat="1" applyFont="1"/>
    <xf numFmtId="0" fontId="22" fillId="0" borderId="0" xfId="0" applyFont="1"/>
    <xf numFmtId="165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4" fontId="0" fillId="0" borderId="0" xfId="0" applyNumberFormat="1"/>
    <xf numFmtId="0" fontId="26" fillId="0" borderId="0" xfId="0" applyFont="1"/>
    <xf numFmtId="167" fontId="18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5" fontId="0" fillId="0" borderId="0" xfId="0" applyNumberFormat="1" applyFont="1"/>
    <xf numFmtId="0" fontId="0" fillId="0" borderId="0" xfId="0" applyFont="1"/>
    <xf numFmtId="165" fontId="17" fillId="0" borderId="0" xfId="0" applyNumberFormat="1" applyFont="1" applyFill="1"/>
    <xf numFmtId="3" fontId="18" fillId="0" borderId="0" xfId="0" applyNumberFormat="1" applyFont="1"/>
    <xf numFmtId="165" fontId="22" fillId="0" borderId="0" xfId="0" applyNumberFormat="1" applyFont="1" applyFill="1"/>
    <xf numFmtId="165" fontId="0" fillId="0" borderId="0" xfId="0" applyNumberFormat="1" applyFont="1" applyFill="1"/>
    <xf numFmtId="165" fontId="21" fillId="0" borderId="0" xfId="0" applyNumberFormat="1" applyFont="1"/>
    <xf numFmtId="0" fontId="21" fillId="0" borderId="0" xfId="0" applyFont="1"/>
    <xf numFmtId="0" fontId="24" fillId="0" borderId="0" xfId="0" applyFont="1"/>
    <xf numFmtId="165" fontId="18" fillId="0" borderId="0" xfId="0" applyNumberFormat="1" applyFont="1"/>
    <xf numFmtId="166" fontId="0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165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7" fillId="0" borderId="0" xfId="0" applyNumberFormat="1" applyFont="1"/>
    <xf numFmtId="165" fontId="22" fillId="0" borderId="0" xfId="0" applyNumberFormat="1" applyFont="1"/>
    <xf numFmtId="166" fontId="22" fillId="0" borderId="0" xfId="0" applyNumberFormat="1" applyFont="1"/>
    <xf numFmtId="0" fontId="46" fillId="0" borderId="0" xfId="0" applyFont="1"/>
    <xf numFmtId="166" fontId="0" fillId="0" borderId="0" xfId="0" applyNumberFormat="1" applyFont="1" applyAlignment="1">
      <alignment horizontal="right"/>
    </xf>
    <xf numFmtId="165" fontId="46" fillId="0" borderId="0" xfId="0" applyNumberFormat="1" applyFont="1"/>
    <xf numFmtId="165" fontId="45" fillId="0" borderId="0" xfId="0" applyNumberFormat="1" applyFont="1"/>
    <xf numFmtId="0" fontId="21" fillId="0" borderId="0" xfId="0" applyFont="1"/>
    <xf numFmtId="166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5" fontId="0" fillId="0" borderId="0" xfId="0" applyNumberFormat="1" applyFont="1"/>
    <xf numFmtId="165" fontId="17" fillId="0" borderId="0" xfId="1" applyNumberFormat="1" applyFont="1"/>
    <xf numFmtId="0" fontId="21" fillId="0" borderId="0" xfId="0" applyFont="1"/>
    <xf numFmtId="0" fontId="21" fillId="0" borderId="0" xfId="0" applyFont="1"/>
    <xf numFmtId="165" fontId="24" fillId="0" borderId="0" xfId="0" quotePrefix="1" applyNumberFormat="1" applyFont="1" applyAlignment="1">
      <alignment horizontal="right"/>
    </xf>
    <xf numFmtId="165" fontId="16" fillId="0" borderId="0" xfId="0" applyNumberFormat="1" applyFont="1"/>
    <xf numFmtId="165" fontId="20" fillId="0" borderId="0" xfId="0" applyNumberFormat="1" applyFont="1"/>
    <xf numFmtId="0" fontId="45" fillId="0" borderId="0" xfId="0" applyFont="1"/>
    <xf numFmtId="165" fontId="16" fillId="0" borderId="0" xfId="0" applyNumberFormat="1" applyFont="1"/>
    <xf numFmtId="0" fontId="16" fillId="0" borderId="0" xfId="0" applyFont="1"/>
    <xf numFmtId="165" fontId="15" fillId="0" borderId="0" xfId="0" applyNumberFormat="1" applyFont="1"/>
    <xf numFmtId="165" fontId="0" fillId="0" borderId="0" xfId="0" applyNumberFormat="1"/>
    <xf numFmtId="0" fontId="21" fillId="0" borderId="0" xfId="0" applyFont="1"/>
    <xf numFmtId="165" fontId="14" fillId="0" borderId="0" xfId="0" applyNumberFormat="1" applyFont="1"/>
    <xf numFmtId="165" fontId="13" fillId="0" borderId="0" xfId="0" applyNumberFormat="1" applyFont="1"/>
    <xf numFmtId="165" fontId="13" fillId="0" borderId="0" xfId="1" applyNumberFormat="1" applyFont="1"/>
    <xf numFmtId="165" fontId="13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/>
    <xf numFmtId="168" fontId="43" fillId="0" borderId="0" xfId="0" applyNumberFormat="1" applyFont="1" applyFill="1" applyBorder="1" applyAlignment="1">
      <alignment horizontal="right"/>
    </xf>
    <xf numFmtId="168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5" fontId="15" fillId="0" borderId="0" xfId="1" applyNumberFormat="1" applyFont="1"/>
    <xf numFmtId="0" fontId="48" fillId="0" borderId="0" xfId="0" applyFont="1"/>
    <xf numFmtId="170" fontId="0" fillId="0" borderId="0" xfId="0" applyNumberFormat="1"/>
    <xf numFmtId="0" fontId="43" fillId="0" borderId="0" xfId="0" applyFont="1"/>
    <xf numFmtId="3" fontId="43" fillId="0" borderId="0" xfId="0" applyNumberFormat="1" applyFont="1"/>
    <xf numFmtId="170" fontId="43" fillId="0" borderId="0" xfId="0" applyNumberFormat="1" applyFont="1"/>
    <xf numFmtId="165" fontId="43" fillId="0" borderId="0" xfId="1" applyNumberFormat="1" applyFont="1"/>
    <xf numFmtId="165" fontId="43" fillId="0" borderId="0" xfId="0" applyNumberFormat="1" applyFont="1"/>
    <xf numFmtId="169" fontId="0" fillId="0" borderId="0" xfId="1" applyNumberFormat="1" applyFont="1"/>
    <xf numFmtId="169" fontId="43" fillId="0" borderId="0" xfId="0" applyNumberFormat="1" applyFont="1"/>
    <xf numFmtId="169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8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1" fillId="0" borderId="11" xfId="0" applyNumberFormat="1" applyFont="1" applyBorder="1"/>
    <xf numFmtId="165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5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5" fontId="26" fillId="0" borderId="0" xfId="1" applyNumberFormat="1" applyFont="1"/>
    <xf numFmtId="165" fontId="26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5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5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4" fontId="49" fillId="34" borderId="0" xfId="1" applyFont="1" applyFill="1"/>
    <xf numFmtId="164" fontId="26" fillId="0" borderId="11" xfId="1" applyFont="1" applyBorder="1"/>
    <xf numFmtId="0" fontId="26" fillId="0" borderId="0" xfId="0" applyFont="1" applyBorder="1"/>
    <xf numFmtId="164" fontId="26" fillId="0" borderId="0" xfId="1" applyFont="1"/>
    <xf numFmtId="164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5" fontId="26" fillId="0" borderId="0" xfId="1" applyNumberFormat="1" applyFont="1" applyFill="1"/>
    <xf numFmtId="0" fontId="49" fillId="34" borderId="14" xfId="0" applyFont="1" applyFill="1" applyBorder="1"/>
    <xf numFmtId="164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5" fontId="49" fillId="0" borderId="0" xfId="1" applyNumberFormat="1" applyFont="1"/>
    <xf numFmtId="0" fontId="49" fillId="34" borderId="0" xfId="0" applyFont="1" applyFill="1" applyAlignment="1"/>
    <xf numFmtId="164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65" fontId="26" fillId="0" borderId="0" xfId="1" applyNumberFormat="1" applyFont="1" applyBorder="1"/>
    <xf numFmtId="164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5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5" fontId="18" fillId="0" borderId="0" xfId="0" applyNumberFormat="1" applyFont="1"/>
    <xf numFmtId="165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20" fillId="0" borderId="0" xfId="0" applyNumberFormat="1" applyFont="1"/>
    <xf numFmtId="165" fontId="21" fillId="0" borderId="0" xfId="0" applyNumberFormat="1" applyFont="1"/>
    <xf numFmtId="165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4" fontId="13" fillId="0" borderId="0" xfId="46" applyFont="1"/>
    <xf numFmtId="164" fontId="53" fillId="0" borderId="0" xfId="46" applyFont="1" applyFill="1" applyAlignment="1"/>
    <xf numFmtId="164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5" fontId="26" fillId="0" borderId="0" xfId="0" applyNumberFormat="1" applyFont="1"/>
    <xf numFmtId="165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5" fontId="53" fillId="0" borderId="0" xfId="335" applyNumberFormat="1" applyFont="1" applyFill="1" applyAlignment="1"/>
    <xf numFmtId="165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5" fontId="53" fillId="0" borderId="0" xfId="573" applyNumberFormat="1" applyFont="1" applyFill="1" applyAlignment="1"/>
    <xf numFmtId="165" fontId="5" fillId="0" borderId="0" xfId="573" applyNumberFormat="1" applyFont="1" applyFill="1"/>
    <xf numFmtId="165" fontId="53" fillId="0" borderId="0" xfId="46" applyNumberFormat="1" applyFont="1" applyFill="1" applyAlignment="1"/>
    <xf numFmtId="165" fontId="5" fillId="0" borderId="0" xfId="46" applyNumberFormat="1" applyFont="1" applyFill="1"/>
    <xf numFmtId="164" fontId="5" fillId="0" borderId="0" xfId="573" applyNumberFormat="1" applyFont="1" applyFill="1"/>
    <xf numFmtId="164" fontId="53" fillId="0" borderId="0" xfId="573" applyFont="1" applyFill="1" applyAlignment="1"/>
    <xf numFmtId="164" fontId="5" fillId="0" borderId="0" xfId="573" applyFont="1" applyFill="1"/>
    <xf numFmtId="164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5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5" fontId="26" fillId="0" borderId="11" xfId="0" applyNumberFormat="1" applyFont="1" applyBorder="1"/>
    <xf numFmtId="10" fontId="26" fillId="0" borderId="11" xfId="43" applyNumberFormat="1" applyFont="1" applyBorder="1"/>
    <xf numFmtId="165" fontId="26" fillId="0" borderId="11" xfId="0" applyNumberFormat="1" applyFont="1" applyFill="1" applyBorder="1"/>
    <xf numFmtId="165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5" fontId="26" fillId="0" borderId="0" xfId="0" applyNumberFormat="1" applyFont="1" applyAlignment="1">
      <alignment horizontal="right"/>
    </xf>
    <xf numFmtId="0" fontId="49" fillId="0" borderId="11" xfId="0" applyFont="1" applyBorder="1"/>
    <xf numFmtId="165" fontId="49" fillId="0" borderId="11" xfId="0" applyNumberFormat="1" applyFont="1" applyBorder="1"/>
    <xf numFmtId="165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5" fontId="58" fillId="0" borderId="0" xfId="0" applyNumberFormat="1" applyFont="1" applyFill="1"/>
    <xf numFmtId="165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5" fontId="26" fillId="0" borderId="0" xfId="0" applyNumberFormat="1" applyFont="1" applyFill="1" applyAlignment="1"/>
    <xf numFmtId="0" fontId="59" fillId="0" borderId="0" xfId="0" applyFont="1"/>
    <xf numFmtId="165" fontId="60" fillId="0" borderId="0" xfId="0" applyNumberFormat="1" applyFont="1"/>
    <xf numFmtId="165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5" fontId="55" fillId="0" borderId="0" xfId="0" applyNumberFormat="1" applyFont="1"/>
    <xf numFmtId="3" fontId="49" fillId="34" borderId="0" xfId="0" applyNumberFormat="1" applyFont="1" applyFill="1"/>
    <xf numFmtId="166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6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5" fontId="49" fillId="34" borderId="0" xfId="0" applyNumberFormat="1" applyFont="1" applyFill="1"/>
    <xf numFmtId="165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8" fontId="49" fillId="34" borderId="12" xfId="0" applyNumberFormat="1" applyFont="1" applyFill="1" applyBorder="1" applyAlignment="1">
      <alignment horizontal="right"/>
    </xf>
    <xf numFmtId="168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5" fontId="26" fillId="0" borderId="0" xfId="0" applyNumberFormat="1" applyFont="1" applyFill="1" applyBorder="1" applyAlignment="1">
      <alignment horizontal="right"/>
    </xf>
    <xf numFmtId="165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5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5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5" fontId="4" fillId="0" borderId="0" xfId="1087" applyNumberFormat="1" applyFont="1" applyFill="1"/>
    <xf numFmtId="164" fontId="4" fillId="0" borderId="0" xfId="1087" applyNumberFormat="1" applyFont="1" applyFill="1"/>
    <xf numFmtId="165" fontId="26" fillId="0" borderId="0" xfId="0" applyNumberFormat="1" applyFont="1" applyFill="1"/>
    <xf numFmtId="165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5" fontId="26" fillId="0" borderId="0" xfId="0" applyNumberFormat="1" applyFont="1"/>
    <xf numFmtId="165" fontId="49" fillId="0" borderId="0" xfId="0" applyNumberFormat="1" applyFont="1"/>
    <xf numFmtId="165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/>
    <xf numFmtId="165" fontId="26" fillId="0" borderId="11" xfId="0" applyNumberFormat="1" applyFont="1" applyFill="1" applyBorder="1"/>
    <xf numFmtId="165" fontId="49" fillId="0" borderId="11" xfId="0" applyNumberFormat="1" applyFont="1" applyBorder="1"/>
    <xf numFmtId="166" fontId="26" fillId="0" borderId="0" xfId="0" applyNumberFormat="1" applyFont="1" applyAlignment="1">
      <alignment horizontal="right"/>
    </xf>
    <xf numFmtId="166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5" fontId="49" fillId="0" borderId="0" xfId="0" applyNumberFormat="1" applyFont="1" applyFill="1"/>
    <xf numFmtId="165" fontId="26" fillId="0" borderId="0" xfId="0" applyNumberFormat="1" applyFont="1" applyFill="1"/>
    <xf numFmtId="0" fontId="26" fillId="0" borderId="0" xfId="0" applyFont="1" applyFill="1"/>
    <xf numFmtId="10" fontId="26" fillId="0" borderId="0" xfId="43" applyNumberFormat="1" applyFont="1" applyFill="1"/>
    <xf numFmtId="165" fontId="26" fillId="0" borderId="0" xfId="0" applyNumberFormat="1" applyFont="1" applyFill="1" applyBorder="1" applyAlignment="1">
      <alignment horizontal="right"/>
    </xf>
    <xf numFmtId="0" fontId="50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  <xf numFmtId="165" fontId="59" fillId="34" borderId="14" xfId="0" quotePrefix="1" applyNumberFormat="1" applyFont="1" applyFill="1" applyBorder="1" applyAlignment="1">
      <alignment horizontal="right"/>
    </xf>
    <xf numFmtId="165" fontId="59" fillId="34" borderId="0" xfId="0" quotePrefix="1" applyNumberFormat="1" applyFont="1" applyFill="1" applyBorder="1" applyAlignment="1">
      <alignment horizontal="right"/>
    </xf>
    <xf numFmtId="165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4" fontId="49" fillId="34" borderId="0" xfId="1" applyFont="1" applyFill="1" applyBorder="1" applyAlignment="1">
      <alignment horizontal="right" wrapText="1"/>
    </xf>
    <xf numFmtId="164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</cellXfs>
  <cellStyles count="306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3" xfId="2955"/>
    <cellStyle name="Comma 10 2 3" xfId="1512"/>
    <cellStyle name="Comma 10 2 4" xfId="2505"/>
    <cellStyle name="Comma 10 3" xfId="725"/>
    <cellStyle name="Comma 10 3 2" xfId="1769"/>
    <cellStyle name="Comma 10 3 3" xfId="2730"/>
    <cellStyle name="Comma 10 4" xfId="1249"/>
    <cellStyle name="Comma 10 5" xfId="2274"/>
    <cellStyle name="Comma 11" xfId="70"/>
    <cellStyle name="Comma 11 2" xfId="357"/>
    <cellStyle name="Comma 11 2 2" xfId="871"/>
    <cellStyle name="Comma 11 2 2 2" xfId="1915"/>
    <cellStyle name="Comma 11 2 2 3" xfId="2847"/>
    <cellStyle name="Comma 11 2 3" xfId="1401"/>
    <cellStyle name="Comma 11 2 4" xfId="2397"/>
    <cellStyle name="Comma 11 3" xfId="614"/>
    <cellStyle name="Comma 11 3 2" xfId="1658"/>
    <cellStyle name="Comma 11 3 3" xfId="2622"/>
    <cellStyle name="Comma 11 4" xfId="1130"/>
    <cellStyle name="Comma 11 5" xfId="2158"/>
    <cellStyle name="Comma 12" xfId="1103"/>
    <cellStyle name="Comma 13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3" xfId="2848"/>
    <cellStyle name="Comma 2 10 2 3" xfId="1403"/>
    <cellStyle name="Comma 2 10 2 4" xfId="2398"/>
    <cellStyle name="Comma 2 10 3" xfId="616"/>
    <cellStyle name="Comma 2 10 3 2" xfId="1660"/>
    <cellStyle name="Comma 2 10 3 3" xfId="2623"/>
    <cellStyle name="Comma 2 10 4" xfId="1132"/>
    <cellStyle name="Comma 2 10 5" xfId="2159"/>
    <cellStyle name="Comma 2 11" xfId="333"/>
    <cellStyle name="Comma 2 11 2" xfId="847"/>
    <cellStyle name="Comma 2 11 2 2" xfId="1891"/>
    <cellStyle name="Comma 2 11 2 3" xfId="2838"/>
    <cellStyle name="Comma 2 11 3" xfId="1377"/>
    <cellStyle name="Comma 2 11 4" xfId="2388"/>
    <cellStyle name="Comma 2 12" xfId="590"/>
    <cellStyle name="Comma 2 12 2" xfId="1634"/>
    <cellStyle name="Comma 2 12 3" xfId="2613"/>
    <cellStyle name="Comma 2 13" xfId="1105"/>
    <cellStyle name="Comma 2 14" xfId="2148"/>
    <cellStyle name="Comma 2 2" xfId="48"/>
    <cellStyle name="Comma 2 2 10" xfId="335"/>
    <cellStyle name="Comma 2 2 10 2" xfId="849"/>
    <cellStyle name="Comma 2 2 10 2 2" xfId="1893"/>
    <cellStyle name="Comma 2 2 10 2 3" xfId="2839"/>
    <cellStyle name="Comma 2 2 10 3" xfId="1379"/>
    <cellStyle name="Comma 2 2 10 4" xfId="2389"/>
    <cellStyle name="Comma 2 2 11" xfId="592"/>
    <cellStyle name="Comma 2 2 11 2" xfId="1636"/>
    <cellStyle name="Comma 2 2 11 3" xfId="2614"/>
    <cellStyle name="Comma 2 2 12" xfId="1108"/>
    <cellStyle name="Comma 2 2 13" xfId="2150"/>
    <cellStyle name="Comma 2 2 2" xfId="53"/>
    <cellStyle name="Comma 2 2 2 10" xfId="1113"/>
    <cellStyle name="Comma 2 2 2 11" xfId="2152"/>
    <cellStyle name="Comma 2 2 2 2" xfId="66"/>
    <cellStyle name="Comma 2 2 2 2 10" xfId="2157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3" xfId="3059"/>
    <cellStyle name="Comma 2 2 2 2 2 2 2 2 3" xfId="1616"/>
    <cellStyle name="Comma 2 2 2 2 2 2 2 2 4" xfId="2609"/>
    <cellStyle name="Comma 2 2 2 2 2 2 2 3" xfId="829"/>
    <cellStyle name="Comma 2 2 2 2 2 2 2 3 2" xfId="1873"/>
    <cellStyle name="Comma 2 2 2 2 2 2 2 3 3" xfId="2834"/>
    <cellStyle name="Comma 2 2 2 2 2 2 2 4" xfId="1359"/>
    <cellStyle name="Comma 2 2 2 2 2 2 2 5" xfId="2384"/>
    <cellStyle name="Comma 2 2 2 2 2 2 3" xfId="464"/>
    <cellStyle name="Comma 2 2 2 2 2 2 3 2" xfId="978"/>
    <cellStyle name="Comma 2 2 2 2 2 2 3 2 2" xfId="2022"/>
    <cellStyle name="Comma 2 2 2 2 2 2 3 2 3" xfId="2951"/>
    <cellStyle name="Comma 2 2 2 2 2 2 3 3" xfId="1508"/>
    <cellStyle name="Comma 2 2 2 2 2 2 3 4" xfId="2501"/>
    <cellStyle name="Comma 2 2 2 2 2 2 4" xfId="721"/>
    <cellStyle name="Comma 2 2 2 2 2 2 4 2" xfId="1765"/>
    <cellStyle name="Comma 2 2 2 2 2 2 4 3" xfId="2726"/>
    <cellStyle name="Comma 2 2 2 2 2 2 5" xfId="1245"/>
    <cellStyle name="Comma 2 2 2 2 2 2 6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3" xfId="3023"/>
    <cellStyle name="Comma 2 2 2 2 2 3 2 2 3" xfId="1580"/>
    <cellStyle name="Comma 2 2 2 2 2 3 2 2 4" xfId="2573"/>
    <cellStyle name="Comma 2 2 2 2 2 3 2 3" xfId="793"/>
    <cellStyle name="Comma 2 2 2 2 2 3 2 3 2" xfId="1837"/>
    <cellStyle name="Comma 2 2 2 2 2 3 2 3 3" xfId="2798"/>
    <cellStyle name="Comma 2 2 2 2 2 3 2 4" xfId="1321"/>
    <cellStyle name="Comma 2 2 2 2 2 3 2 5" xfId="2346"/>
    <cellStyle name="Comma 2 2 2 2 2 3 3" xfId="428"/>
    <cellStyle name="Comma 2 2 2 2 2 3 3 2" xfId="942"/>
    <cellStyle name="Comma 2 2 2 2 2 3 3 2 2" xfId="1986"/>
    <cellStyle name="Comma 2 2 2 2 2 3 3 2 3" xfId="2915"/>
    <cellStyle name="Comma 2 2 2 2 2 3 3 3" xfId="1472"/>
    <cellStyle name="Comma 2 2 2 2 2 3 3 4" xfId="2465"/>
    <cellStyle name="Comma 2 2 2 2 2 3 4" xfId="685"/>
    <cellStyle name="Comma 2 2 2 2 2 3 4 2" xfId="1729"/>
    <cellStyle name="Comma 2 2 2 2 2 3 4 3" xfId="2690"/>
    <cellStyle name="Comma 2 2 2 2 2 3 5" xfId="1207"/>
    <cellStyle name="Comma 2 2 2 2 2 3 6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3" xfId="2987"/>
    <cellStyle name="Comma 2 2 2 2 2 4 2 3" xfId="1544"/>
    <cellStyle name="Comma 2 2 2 2 2 4 2 4" xfId="2537"/>
    <cellStyle name="Comma 2 2 2 2 2 4 3" xfId="757"/>
    <cellStyle name="Comma 2 2 2 2 2 4 3 2" xfId="1801"/>
    <cellStyle name="Comma 2 2 2 2 2 4 3 3" xfId="2762"/>
    <cellStyle name="Comma 2 2 2 2 2 4 4" xfId="1283"/>
    <cellStyle name="Comma 2 2 2 2 2 4 5" xfId="2308"/>
    <cellStyle name="Comma 2 2 2 2 2 5" xfId="392"/>
    <cellStyle name="Comma 2 2 2 2 2 5 2" xfId="906"/>
    <cellStyle name="Comma 2 2 2 2 2 5 2 2" xfId="1950"/>
    <cellStyle name="Comma 2 2 2 2 2 5 2 3" xfId="2879"/>
    <cellStyle name="Comma 2 2 2 2 2 5 3" xfId="1436"/>
    <cellStyle name="Comma 2 2 2 2 2 5 4" xfId="2429"/>
    <cellStyle name="Comma 2 2 2 2 2 6" xfId="649"/>
    <cellStyle name="Comma 2 2 2 2 2 6 2" xfId="1693"/>
    <cellStyle name="Comma 2 2 2 2 2 6 3" xfId="2654"/>
    <cellStyle name="Comma 2 2 2 2 2 7" xfId="1169"/>
    <cellStyle name="Comma 2 2 2 2 2 8" xfId="2194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3" xfId="3041"/>
    <cellStyle name="Comma 2 2 2 2 3 2 2 3" xfId="1598"/>
    <cellStyle name="Comma 2 2 2 2 3 2 2 4" xfId="2591"/>
    <cellStyle name="Comma 2 2 2 2 3 2 3" xfId="811"/>
    <cellStyle name="Comma 2 2 2 2 3 2 3 2" xfId="1855"/>
    <cellStyle name="Comma 2 2 2 2 3 2 3 3" xfId="2816"/>
    <cellStyle name="Comma 2 2 2 2 3 2 4" xfId="1340"/>
    <cellStyle name="Comma 2 2 2 2 3 2 5" xfId="2365"/>
    <cellStyle name="Comma 2 2 2 2 3 3" xfId="446"/>
    <cellStyle name="Comma 2 2 2 2 3 3 2" xfId="960"/>
    <cellStyle name="Comma 2 2 2 2 3 3 2 2" xfId="2004"/>
    <cellStyle name="Comma 2 2 2 2 3 3 2 3" xfId="2933"/>
    <cellStyle name="Comma 2 2 2 2 3 3 3" xfId="1490"/>
    <cellStyle name="Comma 2 2 2 2 3 3 4" xfId="2483"/>
    <cellStyle name="Comma 2 2 2 2 3 4" xfId="703"/>
    <cellStyle name="Comma 2 2 2 2 3 4 2" xfId="1747"/>
    <cellStyle name="Comma 2 2 2 2 3 4 3" xfId="2708"/>
    <cellStyle name="Comma 2 2 2 2 3 5" xfId="1226"/>
    <cellStyle name="Comma 2 2 2 2 3 6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3" xfId="3005"/>
    <cellStyle name="Comma 2 2 2 2 4 2 2 3" xfId="1562"/>
    <cellStyle name="Comma 2 2 2 2 4 2 2 4" xfId="2555"/>
    <cellStyle name="Comma 2 2 2 2 4 2 3" xfId="775"/>
    <cellStyle name="Comma 2 2 2 2 4 2 3 2" xfId="1819"/>
    <cellStyle name="Comma 2 2 2 2 4 2 3 3" xfId="2780"/>
    <cellStyle name="Comma 2 2 2 2 4 2 4" xfId="1302"/>
    <cellStyle name="Comma 2 2 2 2 4 2 5" xfId="2327"/>
    <cellStyle name="Comma 2 2 2 2 4 3" xfId="410"/>
    <cellStyle name="Comma 2 2 2 2 4 3 2" xfId="924"/>
    <cellStyle name="Comma 2 2 2 2 4 3 2 2" xfId="1968"/>
    <cellStyle name="Comma 2 2 2 2 4 3 2 3" xfId="2897"/>
    <cellStyle name="Comma 2 2 2 2 4 3 3" xfId="1454"/>
    <cellStyle name="Comma 2 2 2 2 4 3 4" xfId="2447"/>
    <cellStyle name="Comma 2 2 2 2 4 4" xfId="667"/>
    <cellStyle name="Comma 2 2 2 2 4 4 2" xfId="1711"/>
    <cellStyle name="Comma 2 2 2 2 4 4 3" xfId="2672"/>
    <cellStyle name="Comma 2 2 2 2 4 5" xfId="1188"/>
    <cellStyle name="Comma 2 2 2 2 4 6" xfId="2213"/>
    <cellStyle name="Comma 2 2 2 2 5" xfId="212"/>
    <cellStyle name="Comma 2 2 2 2 5 2" xfId="482"/>
    <cellStyle name="Comma 2 2 2 2 5 2 2" xfId="996"/>
    <cellStyle name="Comma 2 2 2 2 5 2 2 2" xfId="2040"/>
    <cellStyle name="Comma 2 2 2 2 5 2 2 3" xfId="2969"/>
    <cellStyle name="Comma 2 2 2 2 5 2 3" xfId="1526"/>
    <cellStyle name="Comma 2 2 2 2 5 2 4" xfId="2519"/>
    <cellStyle name="Comma 2 2 2 2 5 3" xfId="739"/>
    <cellStyle name="Comma 2 2 2 2 5 3 2" xfId="1783"/>
    <cellStyle name="Comma 2 2 2 2 5 3 3" xfId="2744"/>
    <cellStyle name="Comma 2 2 2 2 5 4" xfId="1264"/>
    <cellStyle name="Comma 2 2 2 2 5 5" xfId="2289"/>
    <cellStyle name="Comma 2 2 2 2 6" xfId="90"/>
    <cellStyle name="Comma 2 2 2 2 6 2" xfId="374"/>
    <cellStyle name="Comma 2 2 2 2 6 2 2" xfId="888"/>
    <cellStyle name="Comma 2 2 2 2 6 2 2 2" xfId="1932"/>
    <cellStyle name="Comma 2 2 2 2 6 2 2 3" xfId="2861"/>
    <cellStyle name="Comma 2 2 2 2 6 2 3" xfId="1418"/>
    <cellStyle name="Comma 2 2 2 2 6 2 4" xfId="2411"/>
    <cellStyle name="Comma 2 2 2 2 6 3" xfId="631"/>
    <cellStyle name="Comma 2 2 2 2 6 3 2" xfId="1675"/>
    <cellStyle name="Comma 2 2 2 2 6 3 3" xfId="2636"/>
    <cellStyle name="Comma 2 2 2 2 6 4" xfId="1150"/>
    <cellStyle name="Comma 2 2 2 2 6 5" xfId="2175"/>
    <cellStyle name="Comma 2 2 2 2 7" xfId="353"/>
    <cellStyle name="Comma 2 2 2 2 7 2" xfId="867"/>
    <cellStyle name="Comma 2 2 2 2 7 2 2" xfId="1911"/>
    <cellStyle name="Comma 2 2 2 2 7 2 3" xfId="2846"/>
    <cellStyle name="Comma 2 2 2 2 7 3" xfId="1397"/>
    <cellStyle name="Comma 2 2 2 2 7 4" xfId="2396"/>
    <cellStyle name="Comma 2 2 2 2 8" xfId="610"/>
    <cellStyle name="Comma 2 2 2 2 8 2" xfId="1654"/>
    <cellStyle name="Comma 2 2 2 2 8 3" xfId="2621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3" xfId="3050"/>
    <cellStyle name="Comma 2 2 2 3 2 2 2 3" xfId="1607"/>
    <cellStyle name="Comma 2 2 2 3 2 2 2 4" xfId="2600"/>
    <cellStyle name="Comma 2 2 2 3 2 2 3" xfId="820"/>
    <cellStyle name="Comma 2 2 2 3 2 2 3 2" xfId="1864"/>
    <cellStyle name="Comma 2 2 2 3 2 2 3 3" xfId="2825"/>
    <cellStyle name="Comma 2 2 2 3 2 2 4" xfId="1349"/>
    <cellStyle name="Comma 2 2 2 3 2 2 5" xfId="2374"/>
    <cellStyle name="Comma 2 2 2 3 2 3" xfId="455"/>
    <cellStyle name="Comma 2 2 2 3 2 3 2" xfId="969"/>
    <cellStyle name="Comma 2 2 2 3 2 3 2 2" xfId="2013"/>
    <cellStyle name="Comma 2 2 2 3 2 3 2 3" xfId="2942"/>
    <cellStyle name="Comma 2 2 2 3 2 3 3" xfId="1499"/>
    <cellStyle name="Comma 2 2 2 3 2 3 4" xfId="2492"/>
    <cellStyle name="Comma 2 2 2 3 2 4" xfId="712"/>
    <cellStyle name="Comma 2 2 2 3 2 4 2" xfId="1756"/>
    <cellStyle name="Comma 2 2 2 3 2 4 3" xfId="2717"/>
    <cellStyle name="Comma 2 2 2 3 2 5" xfId="1235"/>
    <cellStyle name="Comma 2 2 2 3 2 6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3" xfId="3014"/>
    <cellStyle name="Comma 2 2 2 3 3 2 2 3" xfId="1571"/>
    <cellStyle name="Comma 2 2 2 3 3 2 2 4" xfId="2564"/>
    <cellStyle name="Comma 2 2 2 3 3 2 3" xfId="784"/>
    <cellStyle name="Comma 2 2 2 3 3 2 3 2" xfId="1828"/>
    <cellStyle name="Comma 2 2 2 3 3 2 3 3" xfId="2789"/>
    <cellStyle name="Comma 2 2 2 3 3 2 4" xfId="1311"/>
    <cellStyle name="Comma 2 2 2 3 3 2 5" xfId="2336"/>
    <cellStyle name="Comma 2 2 2 3 3 3" xfId="419"/>
    <cellStyle name="Comma 2 2 2 3 3 3 2" xfId="933"/>
    <cellStyle name="Comma 2 2 2 3 3 3 2 2" xfId="1977"/>
    <cellStyle name="Comma 2 2 2 3 3 3 2 3" xfId="2906"/>
    <cellStyle name="Comma 2 2 2 3 3 3 3" xfId="1463"/>
    <cellStyle name="Comma 2 2 2 3 3 3 4" xfId="2456"/>
    <cellStyle name="Comma 2 2 2 3 3 4" xfId="676"/>
    <cellStyle name="Comma 2 2 2 3 3 4 2" xfId="1720"/>
    <cellStyle name="Comma 2 2 2 3 3 4 3" xfId="2681"/>
    <cellStyle name="Comma 2 2 2 3 3 5" xfId="1197"/>
    <cellStyle name="Comma 2 2 2 3 3 6" xfId="2222"/>
    <cellStyle name="Comma 2 2 2 3 4" xfId="222"/>
    <cellStyle name="Comma 2 2 2 3 4 2" xfId="491"/>
    <cellStyle name="Comma 2 2 2 3 4 2 2" xfId="1005"/>
    <cellStyle name="Comma 2 2 2 3 4 2 2 2" xfId="2049"/>
    <cellStyle name="Comma 2 2 2 3 4 2 2 3" xfId="2978"/>
    <cellStyle name="Comma 2 2 2 3 4 2 3" xfId="1535"/>
    <cellStyle name="Comma 2 2 2 3 4 2 4" xfId="2528"/>
    <cellStyle name="Comma 2 2 2 3 4 3" xfId="748"/>
    <cellStyle name="Comma 2 2 2 3 4 3 2" xfId="1792"/>
    <cellStyle name="Comma 2 2 2 3 4 3 3" xfId="2753"/>
    <cellStyle name="Comma 2 2 2 3 4 4" xfId="1273"/>
    <cellStyle name="Comma 2 2 2 3 4 5" xfId="2298"/>
    <cellStyle name="Comma 2 2 2 3 5" xfId="383"/>
    <cellStyle name="Comma 2 2 2 3 5 2" xfId="897"/>
    <cellStyle name="Comma 2 2 2 3 5 2 2" xfId="1941"/>
    <cellStyle name="Comma 2 2 2 3 5 2 3" xfId="2870"/>
    <cellStyle name="Comma 2 2 2 3 5 3" xfId="1427"/>
    <cellStyle name="Comma 2 2 2 3 5 4" xfId="2420"/>
    <cellStyle name="Comma 2 2 2 3 6" xfId="640"/>
    <cellStyle name="Comma 2 2 2 3 6 2" xfId="1684"/>
    <cellStyle name="Comma 2 2 2 3 6 3" xfId="2645"/>
    <cellStyle name="Comma 2 2 2 3 7" xfId="1159"/>
    <cellStyle name="Comma 2 2 2 3 8" xfId="2184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3" xfId="3032"/>
    <cellStyle name="Comma 2 2 2 4 2 2 3" xfId="1589"/>
    <cellStyle name="Comma 2 2 2 4 2 2 4" xfId="2582"/>
    <cellStyle name="Comma 2 2 2 4 2 3" xfId="802"/>
    <cellStyle name="Comma 2 2 2 4 2 3 2" xfId="1846"/>
    <cellStyle name="Comma 2 2 2 4 2 3 3" xfId="2807"/>
    <cellStyle name="Comma 2 2 2 4 2 4" xfId="1330"/>
    <cellStyle name="Comma 2 2 2 4 2 5" xfId="2355"/>
    <cellStyle name="Comma 2 2 2 4 3" xfId="437"/>
    <cellStyle name="Comma 2 2 2 4 3 2" xfId="951"/>
    <cellStyle name="Comma 2 2 2 4 3 2 2" xfId="1995"/>
    <cellStyle name="Comma 2 2 2 4 3 2 3" xfId="2924"/>
    <cellStyle name="Comma 2 2 2 4 3 3" xfId="1481"/>
    <cellStyle name="Comma 2 2 2 4 3 4" xfId="2474"/>
    <cellStyle name="Comma 2 2 2 4 4" xfId="694"/>
    <cellStyle name="Comma 2 2 2 4 4 2" xfId="1738"/>
    <cellStyle name="Comma 2 2 2 4 4 3" xfId="2699"/>
    <cellStyle name="Comma 2 2 2 4 5" xfId="1216"/>
    <cellStyle name="Comma 2 2 2 4 6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3" xfId="2996"/>
    <cellStyle name="Comma 2 2 2 5 2 2 3" xfId="1553"/>
    <cellStyle name="Comma 2 2 2 5 2 2 4" xfId="2546"/>
    <cellStyle name="Comma 2 2 2 5 2 3" xfId="766"/>
    <cellStyle name="Comma 2 2 2 5 2 3 2" xfId="1810"/>
    <cellStyle name="Comma 2 2 2 5 2 3 3" xfId="2771"/>
    <cellStyle name="Comma 2 2 2 5 2 4" xfId="1292"/>
    <cellStyle name="Comma 2 2 2 5 2 5" xfId="2317"/>
    <cellStyle name="Comma 2 2 2 5 3" xfId="401"/>
    <cellStyle name="Comma 2 2 2 5 3 2" xfId="915"/>
    <cellStyle name="Comma 2 2 2 5 3 2 2" xfId="1959"/>
    <cellStyle name="Comma 2 2 2 5 3 2 3" xfId="2888"/>
    <cellStyle name="Comma 2 2 2 5 3 3" xfId="1445"/>
    <cellStyle name="Comma 2 2 2 5 3 4" xfId="2438"/>
    <cellStyle name="Comma 2 2 2 5 4" xfId="658"/>
    <cellStyle name="Comma 2 2 2 5 4 2" xfId="1702"/>
    <cellStyle name="Comma 2 2 2 5 4 3" xfId="2663"/>
    <cellStyle name="Comma 2 2 2 5 5" xfId="1178"/>
    <cellStyle name="Comma 2 2 2 5 6" xfId="2203"/>
    <cellStyle name="Comma 2 2 2 6" xfId="202"/>
    <cellStyle name="Comma 2 2 2 6 2" xfId="473"/>
    <cellStyle name="Comma 2 2 2 6 2 2" xfId="987"/>
    <cellStyle name="Comma 2 2 2 6 2 2 2" xfId="2031"/>
    <cellStyle name="Comma 2 2 2 6 2 2 3" xfId="2960"/>
    <cellStyle name="Comma 2 2 2 6 2 3" xfId="1517"/>
    <cellStyle name="Comma 2 2 2 6 2 4" xfId="2510"/>
    <cellStyle name="Comma 2 2 2 6 3" xfId="730"/>
    <cellStyle name="Comma 2 2 2 6 3 2" xfId="1774"/>
    <cellStyle name="Comma 2 2 2 6 3 3" xfId="2735"/>
    <cellStyle name="Comma 2 2 2 6 4" xfId="1254"/>
    <cellStyle name="Comma 2 2 2 6 5" xfId="2279"/>
    <cellStyle name="Comma 2 2 2 7" xfId="76"/>
    <cellStyle name="Comma 2 2 2 7 2" xfId="363"/>
    <cellStyle name="Comma 2 2 2 7 2 2" xfId="877"/>
    <cellStyle name="Comma 2 2 2 7 2 2 2" xfId="1921"/>
    <cellStyle name="Comma 2 2 2 7 2 2 3" xfId="2852"/>
    <cellStyle name="Comma 2 2 2 7 2 3" xfId="1407"/>
    <cellStyle name="Comma 2 2 2 7 2 4" xfId="2402"/>
    <cellStyle name="Comma 2 2 2 7 3" xfId="620"/>
    <cellStyle name="Comma 2 2 2 7 3 2" xfId="1664"/>
    <cellStyle name="Comma 2 2 2 7 3 3" xfId="2627"/>
    <cellStyle name="Comma 2 2 2 7 4" xfId="1136"/>
    <cellStyle name="Comma 2 2 2 7 5" xfId="2163"/>
    <cellStyle name="Comma 2 2 2 8" xfId="340"/>
    <cellStyle name="Comma 2 2 2 8 2" xfId="854"/>
    <cellStyle name="Comma 2 2 2 8 2 2" xfId="1898"/>
    <cellStyle name="Comma 2 2 2 8 2 3" xfId="2841"/>
    <cellStyle name="Comma 2 2 2 8 3" xfId="1384"/>
    <cellStyle name="Comma 2 2 2 8 4" xfId="2391"/>
    <cellStyle name="Comma 2 2 2 9" xfId="597"/>
    <cellStyle name="Comma 2 2 2 9 2" xfId="1641"/>
    <cellStyle name="Comma 2 2 2 9 3" xfId="2616"/>
    <cellStyle name="Comma 2 2 3" xfId="61"/>
    <cellStyle name="Comma 2 2 3 10" xfId="1121"/>
    <cellStyle name="Comma 2 2 3 11" xfId="2155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3" xfId="3062"/>
    <cellStyle name="Comma 2 2 3 2 2 2 2 2 3" xfId="1619"/>
    <cellStyle name="Comma 2 2 3 2 2 2 2 2 4" xfId="2612"/>
    <cellStyle name="Comma 2 2 3 2 2 2 2 3" xfId="832"/>
    <cellStyle name="Comma 2 2 3 2 2 2 2 3 2" xfId="1876"/>
    <cellStyle name="Comma 2 2 3 2 2 2 2 3 3" xfId="2837"/>
    <cellStyle name="Comma 2 2 3 2 2 2 2 4" xfId="1362"/>
    <cellStyle name="Comma 2 2 3 2 2 2 2 5" xfId="2387"/>
    <cellStyle name="Comma 2 2 3 2 2 2 3" xfId="467"/>
    <cellStyle name="Comma 2 2 3 2 2 2 3 2" xfId="981"/>
    <cellStyle name="Comma 2 2 3 2 2 2 3 2 2" xfId="2025"/>
    <cellStyle name="Comma 2 2 3 2 2 2 3 2 3" xfId="2954"/>
    <cellStyle name="Comma 2 2 3 2 2 2 3 3" xfId="1511"/>
    <cellStyle name="Comma 2 2 3 2 2 2 3 4" xfId="2504"/>
    <cellStyle name="Comma 2 2 3 2 2 2 4" xfId="724"/>
    <cellStyle name="Comma 2 2 3 2 2 2 4 2" xfId="1768"/>
    <cellStyle name="Comma 2 2 3 2 2 2 4 3" xfId="2729"/>
    <cellStyle name="Comma 2 2 3 2 2 2 5" xfId="1248"/>
    <cellStyle name="Comma 2 2 3 2 2 2 6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3" xfId="3026"/>
    <cellStyle name="Comma 2 2 3 2 2 3 2 2 3" xfId="1583"/>
    <cellStyle name="Comma 2 2 3 2 2 3 2 2 4" xfId="2576"/>
    <cellStyle name="Comma 2 2 3 2 2 3 2 3" xfId="796"/>
    <cellStyle name="Comma 2 2 3 2 2 3 2 3 2" xfId="1840"/>
    <cellStyle name="Comma 2 2 3 2 2 3 2 3 3" xfId="2801"/>
    <cellStyle name="Comma 2 2 3 2 2 3 2 4" xfId="1324"/>
    <cellStyle name="Comma 2 2 3 2 2 3 2 5" xfId="2349"/>
    <cellStyle name="Comma 2 2 3 2 2 3 3" xfId="431"/>
    <cellStyle name="Comma 2 2 3 2 2 3 3 2" xfId="945"/>
    <cellStyle name="Comma 2 2 3 2 2 3 3 2 2" xfId="1989"/>
    <cellStyle name="Comma 2 2 3 2 2 3 3 2 3" xfId="2918"/>
    <cellStyle name="Comma 2 2 3 2 2 3 3 3" xfId="1475"/>
    <cellStyle name="Comma 2 2 3 2 2 3 3 4" xfId="2468"/>
    <cellStyle name="Comma 2 2 3 2 2 3 4" xfId="688"/>
    <cellStyle name="Comma 2 2 3 2 2 3 4 2" xfId="1732"/>
    <cellStyle name="Comma 2 2 3 2 2 3 4 3" xfId="2693"/>
    <cellStyle name="Comma 2 2 3 2 2 3 5" xfId="1210"/>
    <cellStyle name="Comma 2 2 3 2 2 3 6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3" xfId="2990"/>
    <cellStyle name="Comma 2 2 3 2 2 4 2 3" xfId="1547"/>
    <cellStyle name="Comma 2 2 3 2 2 4 2 4" xfId="2540"/>
    <cellStyle name="Comma 2 2 3 2 2 4 3" xfId="760"/>
    <cellStyle name="Comma 2 2 3 2 2 4 3 2" xfId="1804"/>
    <cellStyle name="Comma 2 2 3 2 2 4 3 3" xfId="2765"/>
    <cellStyle name="Comma 2 2 3 2 2 4 4" xfId="1286"/>
    <cellStyle name="Comma 2 2 3 2 2 4 5" xfId="2311"/>
    <cellStyle name="Comma 2 2 3 2 2 5" xfId="395"/>
    <cellStyle name="Comma 2 2 3 2 2 5 2" xfId="909"/>
    <cellStyle name="Comma 2 2 3 2 2 5 2 2" xfId="1953"/>
    <cellStyle name="Comma 2 2 3 2 2 5 2 3" xfId="2882"/>
    <cellStyle name="Comma 2 2 3 2 2 5 3" xfId="1439"/>
    <cellStyle name="Comma 2 2 3 2 2 5 4" xfId="2432"/>
    <cellStyle name="Comma 2 2 3 2 2 6" xfId="652"/>
    <cellStyle name="Comma 2 2 3 2 2 6 2" xfId="1696"/>
    <cellStyle name="Comma 2 2 3 2 2 6 3" xfId="2657"/>
    <cellStyle name="Comma 2 2 3 2 2 7" xfId="1172"/>
    <cellStyle name="Comma 2 2 3 2 2 8" xfId="2197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3" xfId="3044"/>
    <cellStyle name="Comma 2 2 3 2 3 2 2 3" xfId="1601"/>
    <cellStyle name="Comma 2 2 3 2 3 2 2 4" xfId="2594"/>
    <cellStyle name="Comma 2 2 3 2 3 2 3" xfId="814"/>
    <cellStyle name="Comma 2 2 3 2 3 2 3 2" xfId="1858"/>
    <cellStyle name="Comma 2 2 3 2 3 2 3 3" xfId="2819"/>
    <cellStyle name="Comma 2 2 3 2 3 2 4" xfId="1343"/>
    <cellStyle name="Comma 2 2 3 2 3 2 5" xfId="2368"/>
    <cellStyle name="Comma 2 2 3 2 3 3" xfId="449"/>
    <cellStyle name="Comma 2 2 3 2 3 3 2" xfId="963"/>
    <cellStyle name="Comma 2 2 3 2 3 3 2 2" xfId="2007"/>
    <cellStyle name="Comma 2 2 3 2 3 3 2 3" xfId="2936"/>
    <cellStyle name="Comma 2 2 3 2 3 3 3" xfId="1493"/>
    <cellStyle name="Comma 2 2 3 2 3 3 4" xfId="2486"/>
    <cellStyle name="Comma 2 2 3 2 3 4" xfId="706"/>
    <cellStyle name="Comma 2 2 3 2 3 4 2" xfId="1750"/>
    <cellStyle name="Comma 2 2 3 2 3 4 3" xfId="2711"/>
    <cellStyle name="Comma 2 2 3 2 3 5" xfId="1229"/>
    <cellStyle name="Comma 2 2 3 2 3 6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3" xfId="3008"/>
    <cellStyle name="Comma 2 2 3 2 4 2 2 3" xfId="1565"/>
    <cellStyle name="Comma 2 2 3 2 4 2 2 4" xfId="2558"/>
    <cellStyle name="Comma 2 2 3 2 4 2 3" xfId="778"/>
    <cellStyle name="Comma 2 2 3 2 4 2 3 2" xfId="1822"/>
    <cellStyle name="Comma 2 2 3 2 4 2 3 3" xfId="2783"/>
    <cellStyle name="Comma 2 2 3 2 4 2 4" xfId="1305"/>
    <cellStyle name="Comma 2 2 3 2 4 2 5" xfId="2330"/>
    <cellStyle name="Comma 2 2 3 2 4 3" xfId="413"/>
    <cellStyle name="Comma 2 2 3 2 4 3 2" xfId="927"/>
    <cellStyle name="Comma 2 2 3 2 4 3 2 2" xfId="1971"/>
    <cellStyle name="Comma 2 2 3 2 4 3 2 3" xfId="2900"/>
    <cellStyle name="Comma 2 2 3 2 4 3 3" xfId="1457"/>
    <cellStyle name="Comma 2 2 3 2 4 3 4" xfId="2450"/>
    <cellStyle name="Comma 2 2 3 2 4 4" xfId="670"/>
    <cellStyle name="Comma 2 2 3 2 4 4 2" xfId="1714"/>
    <cellStyle name="Comma 2 2 3 2 4 4 3" xfId="2675"/>
    <cellStyle name="Comma 2 2 3 2 4 5" xfId="1191"/>
    <cellStyle name="Comma 2 2 3 2 4 6" xfId="2216"/>
    <cellStyle name="Comma 2 2 3 2 5" xfId="215"/>
    <cellStyle name="Comma 2 2 3 2 5 2" xfId="485"/>
    <cellStyle name="Comma 2 2 3 2 5 2 2" xfId="999"/>
    <cellStyle name="Comma 2 2 3 2 5 2 2 2" xfId="2043"/>
    <cellStyle name="Comma 2 2 3 2 5 2 2 3" xfId="2972"/>
    <cellStyle name="Comma 2 2 3 2 5 2 3" xfId="1529"/>
    <cellStyle name="Comma 2 2 3 2 5 2 4" xfId="2522"/>
    <cellStyle name="Comma 2 2 3 2 5 3" xfId="742"/>
    <cellStyle name="Comma 2 2 3 2 5 3 2" xfId="1786"/>
    <cellStyle name="Comma 2 2 3 2 5 3 3" xfId="2747"/>
    <cellStyle name="Comma 2 2 3 2 5 4" xfId="1267"/>
    <cellStyle name="Comma 2 2 3 2 5 5" xfId="2292"/>
    <cellStyle name="Comma 2 2 3 2 6" xfId="377"/>
    <cellStyle name="Comma 2 2 3 2 6 2" xfId="891"/>
    <cellStyle name="Comma 2 2 3 2 6 2 2" xfId="1935"/>
    <cellStyle name="Comma 2 2 3 2 6 2 3" xfId="2864"/>
    <cellStyle name="Comma 2 2 3 2 6 3" xfId="1421"/>
    <cellStyle name="Comma 2 2 3 2 6 4" xfId="2414"/>
    <cellStyle name="Comma 2 2 3 2 7" xfId="634"/>
    <cellStyle name="Comma 2 2 3 2 7 2" xfId="1678"/>
    <cellStyle name="Comma 2 2 3 2 7 3" xfId="2639"/>
    <cellStyle name="Comma 2 2 3 2 8" xfId="1153"/>
    <cellStyle name="Comma 2 2 3 2 9" xfId="2178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3" xfId="3053"/>
    <cellStyle name="Comma 2 2 3 3 2 2 2 3" xfId="1610"/>
    <cellStyle name="Comma 2 2 3 3 2 2 2 4" xfId="2603"/>
    <cellStyle name="Comma 2 2 3 3 2 2 3" xfId="823"/>
    <cellStyle name="Comma 2 2 3 3 2 2 3 2" xfId="1867"/>
    <cellStyle name="Comma 2 2 3 3 2 2 3 3" xfId="2828"/>
    <cellStyle name="Comma 2 2 3 3 2 2 4" xfId="1352"/>
    <cellStyle name="Comma 2 2 3 3 2 2 5" xfId="2377"/>
    <cellStyle name="Comma 2 2 3 3 2 3" xfId="458"/>
    <cellStyle name="Comma 2 2 3 3 2 3 2" xfId="972"/>
    <cellStyle name="Comma 2 2 3 3 2 3 2 2" xfId="2016"/>
    <cellStyle name="Comma 2 2 3 3 2 3 2 3" xfId="2945"/>
    <cellStyle name="Comma 2 2 3 3 2 3 3" xfId="1502"/>
    <cellStyle name="Comma 2 2 3 3 2 3 4" xfId="2495"/>
    <cellStyle name="Comma 2 2 3 3 2 4" xfId="715"/>
    <cellStyle name="Comma 2 2 3 3 2 4 2" xfId="1759"/>
    <cellStyle name="Comma 2 2 3 3 2 4 3" xfId="2720"/>
    <cellStyle name="Comma 2 2 3 3 2 5" xfId="1238"/>
    <cellStyle name="Comma 2 2 3 3 2 6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3" xfId="3017"/>
    <cellStyle name="Comma 2 2 3 3 3 2 2 3" xfId="1574"/>
    <cellStyle name="Comma 2 2 3 3 3 2 2 4" xfId="2567"/>
    <cellStyle name="Comma 2 2 3 3 3 2 3" xfId="787"/>
    <cellStyle name="Comma 2 2 3 3 3 2 3 2" xfId="1831"/>
    <cellStyle name="Comma 2 2 3 3 3 2 3 3" xfId="2792"/>
    <cellStyle name="Comma 2 2 3 3 3 2 4" xfId="1314"/>
    <cellStyle name="Comma 2 2 3 3 3 2 5" xfId="2339"/>
    <cellStyle name="Comma 2 2 3 3 3 3" xfId="422"/>
    <cellStyle name="Comma 2 2 3 3 3 3 2" xfId="936"/>
    <cellStyle name="Comma 2 2 3 3 3 3 2 2" xfId="1980"/>
    <cellStyle name="Comma 2 2 3 3 3 3 2 3" xfId="2909"/>
    <cellStyle name="Comma 2 2 3 3 3 3 3" xfId="1466"/>
    <cellStyle name="Comma 2 2 3 3 3 3 4" xfId="2459"/>
    <cellStyle name="Comma 2 2 3 3 3 4" xfId="679"/>
    <cellStyle name="Comma 2 2 3 3 3 4 2" xfId="1723"/>
    <cellStyle name="Comma 2 2 3 3 3 4 3" xfId="2684"/>
    <cellStyle name="Comma 2 2 3 3 3 5" xfId="1200"/>
    <cellStyle name="Comma 2 2 3 3 3 6" xfId="2225"/>
    <cellStyle name="Comma 2 2 3 3 4" xfId="225"/>
    <cellStyle name="Comma 2 2 3 3 4 2" xfId="494"/>
    <cellStyle name="Comma 2 2 3 3 4 2 2" xfId="1008"/>
    <cellStyle name="Comma 2 2 3 3 4 2 2 2" xfId="2052"/>
    <cellStyle name="Comma 2 2 3 3 4 2 2 3" xfId="2981"/>
    <cellStyle name="Comma 2 2 3 3 4 2 3" xfId="1538"/>
    <cellStyle name="Comma 2 2 3 3 4 2 4" xfId="2531"/>
    <cellStyle name="Comma 2 2 3 3 4 3" xfId="751"/>
    <cellStyle name="Comma 2 2 3 3 4 3 2" xfId="1795"/>
    <cellStyle name="Comma 2 2 3 3 4 3 3" xfId="2756"/>
    <cellStyle name="Comma 2 2 3 3 4 4" xfId="1276"/>
    <cellStyle name="Comma 2 2 3 3 4 5" xfId="2301"/>
    <cellStyle name="Comma 2 2 3 3 5" xfId="386"/>
    <cellStyle name="Comma 2 2 3 3 5 2" xfId="900"/>
    <cellStyle name="Comma 2 2 3 3 5 2 2" xfId="1944"/>
    <cellStyle name="Comma 2 2 3 3 5 2 3" xfId="2873"/>
    <cellStyle name="Comma 2 2 3 3 5 3" xfId="1430"/>
    <cellStyle name="Comma 2 2 3 3 5 4" xfId="2423"/>
    <cellStyle name="Comma 2 2 3 3 6" xfId="643"/>
    <cellStyle name="Comma 2 2 3 3 6 2" xfId="1687"/>
    <cellStyle name="Comma 2 2 3 3 6 3" xfId="2648"/>
    <cellStyle name="Comma 2 2 3 3 7" xfId="1162"/>
    <cellStyle name="Comma 2 2 3 3 8" xfId="218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3" xfId="3035"/>
    <cellStyle name="Comma 2 2 3 4 2 2 3" xfId="1592"/>
    <cellStyle name="Comma 2 2 3 4 2 2 4" xfId="2585"/>
    <cellStyle name="Comma 2 2 3 4 2 3" xfId="805"/>
    <cellStyle name="Comma 2 2 3 4 2 3 2" xfId="1849"/>
    <cellStyle name="Comma 2 2 3 4 2 3 3" xfId="2810"/>
    <cellStyle name="Comma 2 2 3 4 2 4" xfId="1333"/>
    <cellStyle name="Comma 2 2 3 4 2 5" xfId="2358"/>
    <cellStyle name="Comma 2 2 3 4 3" xfId="440"/>
    <cellStyle name="Comma 2 2 3 4 3 2" xfId="954"/>
    <cellStyle name="Comma 2 2 3 4 3 2 2" xfId="1998"/>
    <cellStyle name="Comma 2 2 3 4 3 2 3" xfId="2927"/>
    <cellStyle name="Comma 2 2 3 4 3 3" xfId="1484"/>
    <cellStyle name="Comma 2 2 3 4 3 4" xfId="2477"/>
    <cellStyle name="Comma 2 2 3 4 4" xfId="697"/>
    <cellStyle name="Comma 2 2 3 4 4 2" xfId="1741"/>
    <cellStyle name="Comma 2 2 3 4 4 3" xfId="2702"/>
    <cellStyle name="Comma 2 2 3 4 5" xfId="1219"/>
    <cellStyle name="Comma 2 2 3 4 6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3" xfId="2999"/>
    <cellStyle name="Comma 2 2 3 5 2 2 3" xfId="1556"/>
    <cellStyle name="Comma 2 2 3 5 2 2 4" xfId="2549"/>
    <cellStyle name="Comma 2 2 3 5 2 3" xfId="769"/>
    <cellStyle name="Comma 2 2 3 5 2 3 2" xfId="1813"/>
    <cellStyle name="Comma 2 2 3 5 2 3 3" xfId="2774"/>
    <cellStyle name="Comma 2 2 3 5 2 4" xfId="1295"/>
    <cellStyle name="Comma 2 2 3 5 2 5" xfId="2320"/>
    <cellStyle name="Comma 2 2 3 5 3" xfId="404"/>
    <cellStyle name="Comma 2 2 3 5 3 2" xfId="918"/>
    <cellStyle name="Comma 2 2 3 5 3 2 2" xfId="1962"/>
    <cellStyle name="Comma 2 2 3 5 3 2 3" xfId="2891"/>
    <cellStyle name="Comma 2 2 3 5 3 3" xfId="1448"/>
    <cellStyle name="Comma 2 2 3 5 3 4" xfId="2441"/>
    <cellStyle name="Comma 2 2 3 5 4" xfId="661"/>
    <cellStyle name="Comma 2 2 3 5 4 2" xfId="1705"/>
    <cellStyle name="Comma 2 2 3 5 4 3" xfId="2666"/>
    <cellStyle name="Comma 2 2 3 5 5" xfId="1181"/>
    <cellStyle name="Comma 2 2 3 5 6" xfId="2206"/>
    <cellStyle name="Comma 2 2 3 6" xfId="205"/>
    <cellStyle name="Comma 2 2 3 6 2" xfId="476"/>
    <cellStyle name="Comma 2 2 3 6 2 2" xfId="990"/>
    <cellStyle name="Comma 2 2 3 6 2 2 2" xfId="2034"/>
    <cellStyle name="Comma 2 2 3 6 2 2 3" xfId="2963"/>
    <cellStyle name="Comma 2 2 3 6 2 3" xfId="1520"/>
    <cellStyle name="Comma 2 2 3 6 2 4" xfId="2513"/>
    <cellStyle name="Comma 2 2 3 6 3" xfId="733"/>
    <cellStyle name="Comma 2 2 3 6 3 2" xfId="1777"/>
    <cellStyle name="Comma 2 2 3 6 3 3" xfId="2738"/>
    <cellStyle name="Comma 2 2 3 6 4" xfId="1257"/>
    <cellStyle name="Comma 2 2 3 6 5" xfId="2282"/>
    <cellStyle name="Comma 2 2 3 7" xfId="79"/>
    <cellStyle name="Comma 2 2 3 7 2" xfId="366"/>
    <cellStyle name="Comma 2 2 3 7 2 2" xfId="880"/>
    <cellStyle name="Comma 2 2 3 7 2 2 2" xfId="1924"/>
    <cellStyle name="Comma 2 2 3 7 2 2 3" xfId="2855"/>
    <cellStyle name="Comma 2 2 3 7 2 3" xfId="1410"/>
    <cellStyle name="Comma 2 2 3 7 2 4" xfId="2405"/>
    <cellStyle name="Comma 2 2 3 7 3" xfId="623"/>
    <cellStyle name="Comma 2 2 3 7 3 2" xfId="1667"/>
    <cellStyle name="Comma 2 2 3 7 3 3" xfId="2630"/>
    <cellStyle name="Comma 2 2 3 7 4" xfId="1139"/>
    <cellStyle name="Comma 2 2 3 7 5" xfId="2166"/>
    <cellStyle name="Comma 2 2 3 8" xfId="348"/>
    <cellStyle name="Comma 2 2 3 8 2" xfId="862"/>
    <cellStyle name="Comma 2 2 3 8 2 2" xfId="1906"/>
    <cellStyle name="Comma 2 2 3 8 2 3" xfId="2844"/>
    <cellStyle name="Comma 2 2 3 8 3" xfId="1392"/>
    <cellStyle name="Comma 2 2 3 8 4" xfId="2394"/>
    <cellStyle name="Comma 2 2 3 9" xfId="605"/>
    <cellStyle name="Comma 2 2 3 9 2" xfId="1649"/>
    <cellStyle name="Comma 2 2 3 9 3" xfId="261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3" xfId="3056"/>
    <cellStyle name="Comma 2 2 4 2 2 2 2 3" xfId="1613"/>
    <cellStyle name="Comma 2 2 4 2 2 2 2 4" xfId="2606"/>
    <cellStyle name="Comma 2 2 4 2 2 2 3" xfId="826"/>
    <cellStyle name="Comma 2 2 4 2 2 2 3 2" xfId="1870"/>
    <cellStyle name="Comma 2 2 4 2 2 2 3 3" xfId="2831"/>
    <cellStyle name="Comma 2 2 4 2 2 2 4" xfId="1356"/>
    <cellStyle name="Comma 2 2 4 2 2 2 5" xfId="2381"/>
    <cellStyle name="Comma 2 2 4 2 2 3" xfId="461"/>
    <cellStyle name="Comma 2 2 4 2 2 3 2" xfId="975"/>
    <cellStyle name="Comma 2 2 4 2 2 3 2 2" xfId="2019"/>
    <cellStyle name="Comma 2 2 4 2 2 3 2 3" xfId="2948"/>
    <cellStyle name="Comma 2 2 4 2 2 3 3" xfId="1505"/>
    <cellStyle name="Comma 2 2 4 2 2 3 4" xfId="2498"/>
    <cellStyle name="Comma 2 2 4 2 2 4" xfId="718"/>
    <cellStyle name="Comma 2 2 4 2 2 4 2" xfId="1762"/>
    <cellStyle name="Comma 2 2 4 2 2 4 3" xfId="2723"/>
    <cellStyle name="Comma 2 2 4 2 2 5" xfId="1242"/>
    <cellStyle name="Comma 2 2 4 2 2 6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3" xfId="3020"/>
    <cellStyle name="Comma 2 2 4 2 3 2 2 3" xfId="1577"/>
    <cellStyle name="Comma 2 2 4 2 3 2 2 4" xfId="2570"/>
    <cellStyle name="Comma 2 2 4 2 3 2 3" xfId="790"/>
    <cellStyle name="Comma 2 2 4 2 3 2 3 2" xfId="1834"/>
    <cellStyle name="Comma 2 2 4 2 3 2 3 3" xfId="2795"/>
    <cellStyle name="Comma 2 2 4 2 3 2 4" xfId="1318"/>
    <cellStyle name="Comma 2 2 4 2 3 2 5" xfId="2343"/>
    <cellStyle name="Comma 2 2 4 2 3 3" xfId="425"/>
    <cellStyle name="Comma 2 2 4 2 3 3 2" xfId="939"/>
    <cellStyle name="Comma 2 2 4 2 3 3 2 2" xfId="1983"/>
    <cellStyle name="Comma 2 2 4 2 3 3 2 3" xfId="2912"/>
    <cellStyle name="Comma 2 2 4 2 3 3 3" xfId="1469"/>
    <cellStyle name="Comma 2 2 4 2 3 3 4" xfId="2462"/>
    <cellStyle name="Comma 2 2 4 2 3 4" xfId="682"/>
    <cellStyle name="Comma 2 2 4 2 3 4 2" xfId="1726"/>
    <cellStyle name="Comma 2 2 4 2 3 4 3" xfId="2687"/>
    <cellStyle name="Comma 2 2 4 2 3 5" xfId="1204"/>
    <cellStyle name="Comma 2 2 4 2 3 6" xfId="2229"/>
    <cellStyle name="Comma 2 2 4 2 4" xfId="229"/>
    <cellStyle name="Comma 2 2 4 2 4 2" xfId="497"/>
    <cellStyle name="Comma 2 2 4 2 4 2 2" xfId="1011"/>
    <cellStyle name="Comma 2 2 4 2 4 2 2 2" xfId="2055"/>
    <cellStyle name="Comma 2 2 4 2 4 2 2 3" xfId="2984"/>
    <cellStyle name="Comma 2 2 4 2 4 2 3" xfId="1541"/>
    <cellStyle name="Comma 2 2 4 2 4 2 4" xfId="2534"/>
    <cellStyle name="Comma 2 2 4 2 4 3" xfId="754"/>
    <cellStyle name="Comma 2 2 4 2 4 3 2" xfId="1798"/>
    <cellStyle name="Comma 2 2 4 2 4 3 3" xfId="2759"/>
    <cellStyle name="Comma 2 2 4 2 4 4" xfId="1280"/>
    <cellStyle name="Comma 2 2 4 2 4 5" xfId="2305"/>
    <cellStyle name="Comma 2 2 4 2 5" xfId="389"/>
    <cellStyle name="Comma 2 2 4 2 5 2" xfId="903"/>
    <cellStyle name="Comma 2 2 4 2 5 2 2" xfId="1947"/>
    <cellStyle name="Comma 2 2 4 2 5 2 3" xfId="2876"/>
    <cellStyle name="Comma 2 2 4 2 5 3" xfId="1433"/>
    <cellStyle name="Comma 2 2 4 2 5 4" xfId="2426"/>
    <cellStyle name="Comma 2 2 4 2 6" xfId="646"/>
    <cellStyle name="Comma 2 2 4 2 6 2" xfId="1690"/>
    <cellStyle name="Comma 2 2 4 2 6 3" xfId="2651"/>
    <cellStyle name="Comma 2 2 4 2 7" xfId="1166"/>
    <cellStyle name="Comma 2 2 4 2 8" xfId="21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3" xfId="3038"/>
    <cellStyle name="Comma 2 2 4 3 2 2 3" xfId="1595"/>
    <cellStyle name="Comma 2 2 4 3 2 2 4" xfId="2588"/>
    <cellStyle name="Comma 2 2 4 3 2 3" xfId="808"/>
    <cellStyle name="Comma 2 2 4 3 2 3 2" xfId="1852"/>
    <cellStyle name="Comma 2 2 4 3 2 3 3" xfId="2813"/>
    <cellStyle name="Comma 2 2 4 3 2 4" xfId="1337"/>
    <cellStyle name="Comma 2 2 4 3 2 5" xfId="2362"/>
    <cellStyle name="Comma 2 2 4 3 3" xfId="443"/>
    <cellStyle name="Comma 2 2 4 3 3 2" xfId="957"/>
    <cellStyle name="Comma 2 2 4 3 3 2 2" xfId="2001"/>
    <cellStyle name="Comma 2 2 4 3 3 2 3" xfId="2930"/>
    <cellStyle name="Comma 2 2 4 3 3 3" xfId="1487"/>
    <cellStyle name="Comma 2 2 4 3 3 4" xfId="2480"/>
    <cellStyle name="Comma 2 2 4 3 4" xfId="700"/>
    <cellStyle name="Comma 2 2 4 3 4 2" xfId="1744"/>
    <cellStyle name="Comma 2 2 4 3 4 3" xfId="2705"/>
    <cellStyle name="Comma 2 2 4 3 5" xfId="1223"/>
    <cellStyle name="Comma 2 2 4 3 6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3" xfId="3002"/>
    <cellStyle name="Comma 2 2 4 4 2 2 3" xfId="1559"/>
    <cellStyle name="Comma 2 2 4 4 2 2 4" xfId="2552"/>
    <cellStyle name="Comma 2 2 4 4 2 3" xfId="772"/>
    <cellStyle name="Comma 2 2 4 4 2 3 2" xfId="1816"/>
    <cellStyle name="Comma 2 2 4 4 2 3 3" xfId="2777"/>
    <cellStyle name="Comma 2 2 4 4 2 4" xfId="1299"/>
    <cellStyle name="Comma 2 2 4 4 2 5" xfId="2324"/>
    <cellStyle name="Comma 2 2 4 4 3" xfId="407"/>
    <cellStyle name="Comma 2 2 4 4 3 2" xfId="921"/>
    <cellStyle name="Comma 2 2 4 4 3 2 2" xfId="1965"/>
    <cellStyle name="Comma 2 2 4 4 3 2 3" xfId="2894"/>
    <cellStyle name="Comma 2 2 4 4 3 3" xfId="1451"/>
    <cellStyle name="Comma 2 2 4 4 3 4" xfId="2444"/>
    <cellStyle name="Comma 2 2 4 4 4" xfId="664"/>
    <cellStyle name="Comma 2 2 4 4 4 2" xfId="1708"/>
    <cellStyle name="Comma 2 2 4 4 4 3" xfId="2669"/>
    <cellStyle name="Comma 2 2 4 4 5" xfId="1185"/>
    <cellStyle name="Comma 2 2 4 4 6" xfId="2210"/>
    <cellStyle name="Comma 2 2 4 5" xfId="209"/>
    <cellStyle name="Comma 2 2 4 5 2" xfId="479"/>
    <cellStyle name="Comma 2 2 4 5 2 2" xfId="993"/>
    <cellStyle name="Comma 2 2 4 5 2 2 2" xfId="2037"/>
    <cellStyle name="Comma 2 2 4 5 2 2 3" xfId="2966"/>
    <cellStyle name="Comma 2 2 4 5 2 3" xfId="1523"/>
    <cellStyle name="Comma 2 2 4 5 2 4" xfId="2516"/>
    <cellStyle name="Comma 2 2 4 5 3" xfId="736"/>
    <cellStyle name="Comma 2 2 4 5 3 2" xfId="1780"/>
    <cellStyle name="Comma 2 2 4 5 3 3" xfId="2741"/>
    <cellStyle name="Comma 2 2 4 5 4" xfId="1261"/>
    <cellStyle name="Comma 2 2 4 5 5" xfId="2286"/>
    <cellStyle name="Comma 2 2 4 6" xfId="371"/>
    <cellStyle name="Comma 2 2 4 6 2" xfId="885"/>
    <cellStyle name="Comma 2 2 4 6 2 2" xfId="1929"/>
    <cellStyle name="Comma 2 2 4 6 2 3" xfId="2858"/>
    <cellStyle name="Comma 2 2 4 6 3" xfId="1415"/>
    <cellStyle name="Comma 2 2 4 6 4" xfId="2408"/>
    <cellStyle name="Comma 2 2 4 7" xfId="628"/>
    <cellStyle name="Comma 2 2 4 7 2" xfId="1672"/>
    <cellStyle name="Comma 2 2 4 7 3" xfId="2633"/>
    <cellStyle name="Comma 2 2 4 8" xfId="1147"/>
    <cellStyle name="Comma 2 2 4 9" xfId="2172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3" xfId="3047"/>
    <cellStyle name="Comma 2 2 5 2 2 2 3" xfId="1604"/>
    <cellStyle name="Comma 2 2 5 2 2 2 4" xfId="2597"/>
    <cellStyle name="Comma 2 2 5 2 2 3" xfId="817"/>
    <cellStyle name="Comma 2 2 5 2 2 3 2" xfId="1861"/>
    <cellStyle name="Comma 2 2 5 2 2 3 3" xfId="2822"/>
    <cellStyle name="Comma 2 2 5 2 2 4" xfId="1346"/>
    <cellStyle name="Comma 2 2 5 2 2 5" xfId="2371"/>
    <cellStyle name="Comma 2 2 5 2 3" xfId="452"/>
    <cellStyle name="Comma 2 2 5 2 3 2" xfId="966"/>
    <cellStyle name="Comma 2 2 5 2 3 2 2" xfId="2010"/>
    <cellStyle name="Comma 2 2 5 2 3 2 3" xfId="2939"/>
    <cellStyle name="Comma 2 2 5 2 3 3" xfId="1496"/>
    <cellStyle name="Comma 2 2 5 2 3 4" xfId="2489"/>
    <cellStyle name="Comma 2 2 5 2 4" xfId="709"/>
    <cellStyle name="Comma 2 2 5 2 4 2" xfId="1753"/>
    <cellStyle name="Comma 2 2 5 2 4 3" xfId="2714"/>
    <cellStyle name="Comma 2 2 5 2 5" xfId="1232"/>
    <cellStyle name="Comma 2 2 5 2 6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3" xfId="3011"/>
    <cellStyle name="Comma 2 2 5 3 2 2 3" xfId="1568"/>
    <cellStyle name="Comma 2 2 5 3 2 2 4" xfId="2561"/>
    <cellStyle name="Comma 2 2 5 3 2 3" xfId="781"/>
    <cellStyle name="Comma 2 2 5 3 2 3 2" xfId="1825"/>
    <cellStyle name="Comma 2 2 5 3 2 3 3" xfId="2786"/>
    <cellStyle name="Comma 2 2 5 3 2 4" xfId="1308"/>
    <cellStyle name="Comma 2 2 5 3 2 5" xfId="2333"/>
    <cellStyle name="Comma 2 2 5 3 3" xfId="416"/>
    <cellStyle name="Comma 2 2 5 3 3 2" xfId="930"/>
    <cellStyle name="Comma 2 2 5 3 3 2 2" xfId="1974"/>
    <cellStyle name="Comma 2 2 5 3 3 2 3" xfId="2903"/>
    <cellStyle name="Comma 2 2 5 3 3 3" xfId="1460"/>
    <cellStyle name="Comma 2 2 5 3 3 4" xfId="2453"/>
    <cellStyle name="Comma 2 2 5 3 4" xfId="673"/>
    <cellStyle name="Comma 2 2 5 3 4 2" xfId="1717"/>
    <cellStyle name="Comma 2 2 5 3 4 3" xfId="2678"/>
    <cellStyle name="Comma 2 2 5 3 5" xfId="1194"/>
    <cellStyle name="Comma 2 2 5 3 6" xfId="2219"/>
    <cellStyle name="Comma 2 2 5 4" xfId="219"/>
    <cellStyle name="Comma 2 2 5 4 2" xfId="488"/>
    <cellStyle name="Comma 2 2 5 4 2 2" xfId="1002"/>
    <cellStyle name="Comma 2 2 5 4 2 2 2" xfId="2046"/>
    <cellStyle name="Comma 2 2 5 4 2 2 3" xfId="2975"/>
    <cellStyle name="Comma 2 2 5 4 2 3" xfId="1532"/>
    <cellStyle name="Comma 2 2 5 4 2 4" xfId="2525"/>
    <cellStyle name="Comma 2 2 5 4 3" xfId="745"/>
    <cellStyle name="Comma 2 2 5 4 3 2" xfId="1789"/>
    <cellStyle name="Comma 2 2 5 4 3 3" xfId="2750"/>
    <cellStyle name="Comma 2 2 5 4 4" xfId="1270"/>
    <cellStyle name="Comma 2 2 5 4 5" xfId="2295"/>
    <cellStyle name="Comma 2 2 5 5" xfId="380"/>
    <cellStyle name="Comma 2 2 5 5 2" xfId="894"/>
    <cellStyle name="Comma 2 2 5 5 2 2" xfId="1938"/>
    <cellStyle name="Comma 2 2 5 5 2 3" xfId="2867"/>
    <cellStyle name="Comma 2 2 5 5 3" xfId="1424"/>
    <cellStyle name="Comma 2 2 5 5 4" xfId="2417"/>
    <cellStyle name="Comma 2 2 5 6" xfId="637"/>
    <cellStyle name="Comma 2 2 5 6 2" xfId="1681"/>
    <cellStyle name="Comma 2 2 5 6 3" xfId="2642"/>
    <cellStyle name="Comma 2 2 5 7" xfId="1156"/>
    <cellStyle name="Comma 2 2 5 8" xfId="2181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3" xfId="3029"/>
    <cellStyle name="Comma 2 2 6 2 2 3" xfId="1586"/>
    <cellStyle name="Comma 2 2 6 2 2 4" xfId="2579"/>
    <cellStyle name="Comma 2 2 6 2 3" xfId="799"/>
    <cellStyle name="Comma 2 2 6 2 3 2" xfId="1843"/>
    <cellStyle name="Comma 2 2 6 2 3 3" xfId="2804"/>
    <cellStyle name="Comma 2 2 6 2 4" xfId="1327"/>
    <cellStyle name="Comma 2 2 6 2 5" xfId="2352"/>
    <cellStyle name="Comma 2 2 6 3" xfId="434"/>
    <cellStyle name="Comma 2 2 6 3 2" xfId="948"/>
    <cellStyle name="Comma 2 2 6 3 2 2" xfId="1992"/>
    <cellStyle name="Comma 2 2 6 3 2 3" xfId="2921"/>
    <cellStyle name="Comma 2 2 6 3 3" xfId="1478"/>
    <cellStyle name="Comma 2 2 6 3 4" xfId="2471"/>
    <cellStyle name="Comma 2 2 6 4" xfId="691"/>
    <cellStyle name="Comma 2 2 6 4 2" xfId="1735"/>
    <cellStyle name="Comma 2 2 6 4 3" xfId="2696"/>
    <cellStyle name="Comma 2 2 6 5" xfId="1213"/>
    <cellStyle name="Comma 2 2 6 6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3" xfId="2993"/>
    <cellStyle name="Comma 2 2 7 2 2 3" xfId="1550"/>
    <cellStyle name="Comma 2 2 7 2 2 4" xfId="2543"/>
    <cellStyle name="Comma 2 2 7 2 3" xfId="763"/>
    <cellStyle name="Comma 2 2 7 2 3 2" xfId="1807"/>
    <cellStyle name="Comma 2 2 7 2 3 3" xfId="2768"/>
    <cellStyle name="Comma 2 2 7 2 4" xfId="1289"/>
    <cellStyle name="Comma 2 2 7 2 5" xfId="2314"/>
    <cellStyle name="Comma 2 2 7 3" xfId="398"/>
    <cellStyle name="Comma 2 2 7 3 2" xfId="912"/>
    <cellStyle name="Comma 2 2 7 3 2 2" xfId="1956"/>
    <cellStyle name="Comma 2 2 7 3 2 3" xfId="2885"/>
    <cellStyle name="Comma 2 2 7 3 3" xfId="1442"/>
    <cellStyle name="Comma 2 2 7 3 4" xfId="2435"/>
    <cellStyle name="Comma 2 2 7 4" xfId="655"/>
    <cellStyle name="Comma 2 2 7 4 2" xfId="1699"/>
    <cellStyle name="Comma 2 2 7 4 3" xfId="2660"/>
    <cellStyle name="Comma 2 2 7 5" xfId="1175"/>
    <cellStyle name="Comma 2 2 7 6" xfId="2200"/>
    <cellStyle name="Comma 2 2 8" xfId="199"/>
    <cellStyle name="Comma 2 2 8 2" xfId="470"/>
    <cellStyle name="Comma 2 2 8 2 2" xfId="984"/>
    <cellStyle name="Comma 2 2 8 2 2 2" xfId="2028"/>
    <cellStyle name="Comma 2 2 8 2 2 3" xfId="2957"/>
    <cellStyle name="Comma 2 2 8 2 3" xfId="1514"/>
    <cellStyle name="Comma 2 2 8 2 4" xfId="2507"/>
    <cellStyle name="Comma 2 2 8 3" xfId="727"/>
    <cellStyle name="Comma 2 2 8 3 2" xfId="1771"/>
    <cellStyle name="Comma 2 2 8 3 3" xfId="2732"/>
    <cellStyle name="Comma 2 2 8 4" xfId="1251"/>
    <cellStyle name="Comma 2 2 8 5" xfId="2276"/>
    <cellStyle name="Comma 2 2 9" xfId="73"/>
    <cellStyle name="Comma 2 2 9 2" xfId="360"/>
    <cellStyle name="Comma 2 2 9 2 2" xfId="874"/>
    <cellStyle name="Comma 2 2 9 2 2 2" xfId="1918"/>
    <cellStyle name="Comma 2 2 9 2 2 3" xfId="2849"/>
    <cellStyle name="Comma 2 2 9 2 3" xfId="1404"/>
    <cellStyle name="Comma 2 2 9 2 4" xfId="2399"/>
    <cellStyle name="Comma 2 2 9 3" xfId="617"/>
    <cellStyle name="Comma 2 2 9 3 2" xfId="1661"/>
    <cellStyle name="Comma 2 2 9 3 3" xfId="2624"/>
    <cellStyle name="Comma 2 2 9 4" xfId="1133"/>
    <cellStyle name="Comma 2 2 9 5" xfId="2160"/>
    <cellStyle name="Comma 2 3" xfId="51"/>
    <cellStyle name="Comma 2 3 10" xfId="1111"/>
    <cellStyle name="Comma 2 3 11" xfId="2151"/>
    <cellStyle name="Comma 2 3 2" xfId="64"/>
    <cellStyle name="Comma 2 3 2 10" xfId="2156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3" xfId="3058"/>
    <cellStyle name="Comma 2 3 2 2 2 2 2 3" xfId="1615"/>
    <cellStyle name="Comma 2 3 2 2 2 2 2 4" xfId="2608"/>
    <cellStyle name="Comma 2 3 2 2 2 2 3" xfId="828"/>
    <cellStyle name="Comma 2 3 2 2 2 2 3 2" xfId="1872"/>
    <cellStyle name="Comma 2 3 2 2 2 2 3 3" xfId="2833"/>
    <cellStyle name="Comma 2 3 2 2 2 2 4" xfId="1358"/>
    <cellStyle name="Comma 2 3 2 2 2 2 5" xfId="2383"/>
    <cellStyle name="Comma 2 3 2 2 2 3" xfId="463"/>
    <cellStyle name="Comma 2 3 2 2 2 3 2" xfId="977"/>
    <cellStyle name="Comma 2 3 2 2 2 3 2 2" xfId="2021"/>
    <cellStyle name="Comma 2 3 2 2 2 3 2 3" xfId="2950"/>
    <cellStyle name="Comma 2 3 2 2 2 3 3" xfId="1507"/>
    <cellStyle name="Comma 2 3 2 2 2 3 4" xfId="2500"/>
    <cellStyle name="Comma 2 3 2 2 2 4" xfId="720"/>
    <cellStyle name="Comma 2 3 2 2 2 4 2" xfId="1764"/>
    <cellStyle name="Comma 2 3 2 2 2 4 3" xfId="2725"/>
    <cellStyle name="Comma 2 3 2 2 2 5" xfId="1244"/>
    <cellStyle name="Comma 2 3 2 2 2 6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3" xfId="3022"/>
    <cellStyle name="Comma 2 3 2 2 3 2 2 3" xfId="1579"/>
    <cellStyle name="Comma 2 3 2 2 3 2 2 4" xfId="2572"/>
    <cellStyle name="Comma 2 3 2 2 3 2 3" xfId="792"/>
    <cellStyle name="Comma 2 3 2 2 3 2 3 2" xfId="1836"/>
    <cellStyle name="Comma 2 3 2 2 3 2 3 3" xfId="2797"/>
    <cellStyle name="Comma 2 3 2 2 3 2 4" xfId="1320"/>
    <cellStyle name="Comma 2 3 2 2 3 2 5" xfId="2345"/>
    <cellStyle name="Comma 2 3 2 2 3 3" xfId="427"/>
    <cellStyle name="Comma 2 3 2 2 3 3 2" xfId="941"/>
    <cellStyle name="Comma 2 3 2 2 3 3 2 2" xfId="1985"/>
    <cellStyle name="Comma 2 3 2 2 3 3 2 3" xfId="2914"/>
    <cellStyle name="Comma 2 3 2 2 3 3 3" xfId="1471"/>
    <cellStyle name="Comma 2 3 2 2 3 3 4" xfId="2464"/>
    <cellStyle name="Comma 2 3 2 2 3 4" xfId="684"/>
    <cellStyle name="Comma 2 3 2 2 3 4 2" xfId="1728"/>
    <cellStyle name="Comma 2 3 2 2 3 4 3" xfId="2689"/>
    <cellStyle name="Comma 2 3 2 2 3 5" xfId="1206"/>
    <cellStyle name="Comma 2 3 2 2 3 6" xfId="2231"/>
    <cellStyle name="Comma 2 3 2 2 4" xfId="231"/>
    <cellStyle name="Comma 2 3 2 2 4 2" xfId="499"/>
    <cellStyle name="Comma 2 3 2 2 4 2 2" xfId="1013"/>
    <cellStyle name="Comma 2 3 2 2 4 2 2 2" xfId="2057"/>
    <cellStyle name="Comma 2 3 2 2 4 2 2 3" xfId="2986"/>
    <cellStyle name="Comma 2 3 2 2 4 2 3" xfId="1543"/>
    <cellStyle name="Comma 2 3 2 2 4 2 4" xfId="2536"/>
    <cellStyle name="Comma 2 3 2 2 4 3" xfId="756"/>
    <cellStyle name="Comma 2 3 2 2 4 3 2" xfId="1800"/>
    <cellStyle name="Comma 2 3 2 2 4 3 3" xfId="2761"/>
    <cellStyle name="Comma 2 3 2 2 4 4" xfId="1282"/>
    <cellStyle name="Comma 2 3 2 2 4 5" xfId="2307"/>
    <cellStyle name="Comma 2 3 2 2 5" xfId="391"/>
    <cellStyle name="Comma 2 3 2 2 5 2" xfId="905"/>
    <cellStyle name="Comma 2 3 2 2 5 2 2" xfId="1949"/>
    <cellStyle name="Comma 2 3 2 2 5 2 3" xfId="2878"/>
    <cellStyle name="Comma 2 3 2 2 5 3" xfId="1435"/>
    <cellStyle name="Comma 2 3 2 2 5 4" xfId="2428"/>
    <cellStyle name="Comma 2 3 2 2 6" xfId="648"/>
    <cellStyle name="Comma 2 3 2 2 6 2" xfId="1692"/>
    <cellStyle name="Comma 2 3 2 2 6 3" xfId="2653"/>
    <cellStyle name="Comma 2 3 2 2 7" xfId="1168"/>
    <cellStyle name="Comma 2 3 2 2 8" xfId="219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3" xfId="3040"/>
    <cellStyle name="Comma 2 3 2 3 2 2 3" xfId="1597"/>
    <cellStyle name="Comma 2 3 2 3 2 2 4" xfId="2590"/>
    <cellStyle name="Comma 2 3 2 3 2 3" xfId="810"/>
    <cellStyle name="Comma 2 3 2 3 2 3 2" xfId="1854"/>
    <cellStyle name="Comma 2 3 2 3 2 3 3" xfId="2815"/>
    <cellStyle name="Comma 2 3 2 3 2 4" xfId="1339"/>
    <cellStyle name="Comma 2 3 2 3 2 5" xfId="2364"/>
    <cellStyle name="Comma 2 3 2 3 3" xfId="445"/>
    <cellStyle name="Comma 2 3 2 3 3 2" xfId="959"/>
    <cellStyle name="Comma 2 3 2 3 3 2 2" xfId="2003"/>
    <cellStyle name="Comma 2 3 2 3 3 2 3" xfId="2932"/>
    <cellStyle name="Comma 2 3 2 3 3 3" xfId="1489"/>
    <cellStyle name="Comma 2 3 2 3 3 4" xfId="2482"/>
    <cellStyle name="Comma 2 3 2 3 4" xfId="702"/>
    <cellStyle name="Comma 2 3 2 3 4 2" xfId="1746"/>
    <cellStyle name="Comma 2 3 2 3 4 3" xfId="2707"/>
    <cellStyle name="Comma 2 3 2 3 5" xfId="1225"/>
    <cellStyle name="Comma 2 3 2 3 6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3" xfId="3004"/>
    <cellStyle name="Comma 2 3 2 4 2 2 3" xfId="1561"/>
    <cellStyle name="Comma 2 3 2 4 2 2 4" xfId="2554"/>
    <cellStyle name="Comma 2 3 2 4 2 3" xfId="774"/>
    <cellStyle name="Comma 2 3 2 4 2 3 2" xfId="1818"/>
    <cellStyle name="Comma 2 3 2 4 2 3 3" xfId="2779"/>
    <cellStyle name="Comma 2 3 2 4 2 4" xfId="1301"/>
    <cellStyle name="Comma 2 3 2 4 2 5" xfId="2326"/>
    <cellStyle name="Comma 2 3 2 4 3" xfId="409"/>
    <cellStyle name="Comma 2 3 2 4 3 2" xfId="923"/>
    <cellStyle name="Comma 2 3 2 4 3 2 2" xfId="1967"/>
    <cellStyle name="Comma 2 3 2 4 3 2 3" xfId="2896"/>
    <cellStyle name="Comma 2 3 2 4 3 3" xfId="1453"/>
    <cellStyle name="Comma 2 3 2 4 3 4" xfId="2446"/>
    <cellStyle name="Comma 2 3 2 4 4" xfId="666"/>
    <cellStyle name="Comma 2 3 2 4 4 2" xfId="1710"/>
    <cellStyle name="Comma 2 3 2 4 4 3" xfId="2671"/>
    <cellStyle name="Comma 2 3 2 4 5" xfId="1187"/>
    <cellStyle name="Comma 2 3 2 4 6" xfId="2212"/>
    <cellStyle name="Comma 2 3 2 5" xfId="211"/>
    <cellStyle name="Comma 2 3 2 5 2" xfId="481"/>
    <cellStyle name="Comma 2 3 2 5 2 2" xfId="995"/>
    <cellStyle name="Comma 2 3 2 5 2 2 2" xfId="2039"/>
    <cellStyle name="Comma 2 3 2 5 2 2 3" xfId="2968"/>
    <cellStyle name="Comma 2 3 2 5 2 3" xfId="1525"/>
    <cellStyle name="Comma 2 3 2 5 2 4" xfId="2518"/>
    <cellStyle name="Comma 2 3 2 5 3" xfId="738"/>
    <cellStyle name="Comma 2 3 2 5 3 2" xfId="1782"/>
    <cellStyle name="Comma 2 3 2 5 3 3" xfId="2743"/>
    <cellStyle name="Comma 2 3 2 5 4" xfId="1263"/>
    <cellStyle name="Comma 2 3 2 5 5" xfId="2288"/>
    <cellStyle name="Comma 2 3 2 6" xfId="89"/>
    <cellStyle name="Comma 2 3 2 6 2" xfId="373"/>
    <cellStyle name="Comma 2 3 2 6 2 2" xfId="887"/>
    <cellStyle name="Comma 2 3 2 6 2 2 2" xfId="1931"/>
    <cellStyle name="Comma 2 3 2 6 2 2 3" xfId="2860"/>
    <cellStyle name="Comma 2 3 2 6 2 3" xfId="1417"/>
    <cellStyle name="Comma 2 3 2 6 2 4" xfId="2410"/>
    <cellStyle name="Comma 2 3 2 6 3" xfId="630"/>
    <cellStyle name="Comma 2 3 2 6 3 2" xfId="1674"/>
    <cellStyle name="Comma 2 3 2 6 3 3" xfId="2635"/>
    <cellStyle name="Comma 2 3 2 6 4" xfId="1149"/>
    <cellStyle name="Comma 2 3 2 6 5" xfId="2174"/>
    <cellStyle name="Comma 2 3 2 7" xfId="351"/>
    <cellStyle name="Comma 2 3 2 7 2" xfId="865"/>
    <cellStyle name="Comma 2 3 2 7 2 2" xfId="1909"/>
    <cellStyle name="Comma 2 3 2 7 2 3" xfId="2845"/>
    <cellStyle name="Comma 2 3 2 7 3" xfId="1395"/>
    <cellStyle name="Comma 2 3 2 7 4" xfId="2395"/>
    <cellStyle name="Comma 2 3 2 8" xfId="608"/>
    <cellStyle name="Comma 2 3 2 8 2" xfId="1652"/>
    <cellStyle name="Comma 2 3 2 8 3" xfId="2620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3" xfId="3049"/>
    <cellStyle name="Comma 2 3 3 2 2 2 3" xfId="1606"/>
    <cellStyle name="Comma 2 3 3 2 2 2 4" xfId="2599"/>
    <cellStyle name="Comma 2 3 3 2 2 3" xfId="819"/>
    <cellStyle name="Comma 2 3 3 2 2 3 2" xfId="1863"/>
    <cellStyle name="Comma 2 3 3 2 2 3 3" xfId="2824"/>
    <cellStyle name="Comma 2 3 3 2 2 4" xfId="1348"/>
    <cellStyle name="Comma 2 3 3 2 2 5" xfId="2373"/>
    <cellStyle name="Comma 2 3 3 2 3" xfId="454"/>
    <cellStyle name="Comma 2 3 3 2 3 2" xfId="968"/>
    <cellStyle name="Comma 2 3 3 2 3 2 2" xfId="2012"/>
    <cellStyle name="Comma 2 3 3 2 3 2 3" xfId="2941"/>
    <cellStyle name="Comma 2 3 3 2 3 3" xfId="1498"/>
    <cellStyle name="Comma 2 3 3 2 3 4" xfId="2491"/>
    <cellStyle name="Comma 2 3 3 2 4" xfId="711"/>
    <cellStyle name="Comma 2 3 3 2 4 2" xfId="1755"/>
    <cellStyle name="Comma 2 3 3 2 4 3" xfId="2716"/>
    <cellStyle name="Comma 2 3 3 2 5" xfId="1234"/>
    <cellStyle name="Comma 2 3 3 2 6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3" xfId="3013"/>
    <cellStyle name="Comma 2 3 3 3 2 2 3" xfId="1570"/>
    <cellStyle name="Comma 2 3 3 3 2 2 4" xfId="2563"/>
    <cellStyle name="Comma 2 3 3 3 2 3" xfId="783"/>
    <cellStyle name="Comma 2 3 3 3 2 3 2" xfId="1827"/>
    <cellStyle name="Comma 2 3 3 3 2 3 3" xfId="2788"/>
    <cellStyle name="Comma 2 3 3 3 2 4" xfId="1310"/>
    <cellStyle name="Comma 2 3 3 3 2 5" xfId="2335"/>
    <cellStyle name="Comma 2 3 3 3 3" xfId="418"/>
    <cellStyle name="Comma 2 3 3 3 3 2" xfId="932"/>
    <cellStyle name="Comma 2 3 3 3 3 2 2" xfId="1976"/>
    <cellStyle name="Comma 2 3 3 3 3 2 3" xfId="2905"/>
    <cellStyle name="Comma 2 3 3 3 3 3" xfId="1462"/>
    <cellStyle name="Comma 2 3 3 3 3 4" xfId="2455"/>
    <cellStyle name="Comma 2 3 3 3 4" xfId="675"/>
    <cellStyle name="Comma 2 3 3 3 4 2" xfId="1719"/>
    <cellStyle name="Comma 2 3 3 3 4 3" xfId="2680"/>
    <cellStyle name="Comma 2 3 3 3 5" xfId="1196"/>
    <cellStyle name="Comma 2 3 3 3 6" xfId="2221"/>
    <cellStyle name="Comma 2 3 3 4" xfId="221"/>
    <cellStyle name="Comma 2 3 3 4 2" xfId="490"/>
    <cellStyle name="Comma 2 3 3 4 2 2" xfId="1004"/>
    <cellStyle name="Comma 2 3 3 4 2 2 2" xfId="2048"/>
    <cellStyle name="Comma 2 3 3 4 2 2 3" xfId="2977"/>
    <cellStyle name="Comma 2 3 3 4 2 3" xfId="1534"/>
    <cellStyle name="Comma 2 3 3 4 2 4" xfId="2527"/>
    <cellStyle name="Comma 2 3 3 4 3" xfId="747"/>
    <cellStyle name="Comma 2 3 3 4 3 2" xfId="1791"/>
    <cellStyle name="Comma 2 3 3 4 3 3" xfId="2752"/>
    <cellStyle name="Comma 2 3 3 4 4" xfId="1272"/>
    <cellStyle name="Comma 2 3 3 4 5" xfId="2297"/>
    <cellStyle name="Comma 2 3 3 5" xfId="382"/>
    <cellStyle name="Comma 2 3 3 5 2" xfId="896"/>
    <cellStyle name="Comma 2 3 3 5 2 2" xfId="1940"/>
    <cellStyle name="Comma 2 3 3 5 2 3" xfId="2869"/>
    <cellStyle name="Comma 2 3 3 5 3" xfId="1426"/>
    <cellStyle name="Comma 2 3 3 5 4" xfId="2419"/>
    <cellStyle name="Comma 2 3 3 6" xfId="639"/>
    <cellStyle name="Comma 2 3 3 6 2" xfId="1683"/>
    <cellStyle name="Comma 2 3 3 6 3" xfId="2644"/>
    <cellStyle name="Comma 2 3 3 7" xfId="1158"/>
    <cellStyle name="Comma 2 3 3 8" xfId="218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3" xfId="3031"/>
    <cellStyle name="Comma 2 3 4 2 2 3" xfId="1588"/>
    <cellStyle name="Comma 2 3 4 2 2 4" xfId="2581"/>
    <cellStyle name="Comma 2 3 4 2 3" xfId="801"/>
    <cellStyle name="Comma 2 3 4 2 3 2" xfId="1845"/>
    <cellStyle name="Comma 2 3 4 2 3 3" xfId="2806"/>
    <cellStyle name="Comma 2 3 4 2 4" xfId="1329"/>
    <cellStyle name="Comma 2 3 4 2 5" xfId="2354"/>
    <cellStyle name="Comma 2 3 4 3" xfId="436"/>
    <cellStyle name="Comma 2 3 4 3 2" xfId="950"/>
    <cellStyle name="Comma 2 3 4 3 2 2" xfId="1994"/>
    <cellStyle name="Comma 2 3 4 3 2 3" xfId="2923"/>
    <cellStyle name="Comma 2 3 4 3 3" xfId="1480"/>
    <cellStyle name="Comma 2 3 4 3 4" xfId="2473"/>
    <cellStyle name="Comma 2 3 4 4" xfId="693"/>
    <cellStyle name="Comma 2 3 4 4 2" xfId="1737"/>
    <cellStyle name="Comma 2 3 4 4 3" xfId="2698"/>
    <cellStyle name="Comma 2 3 4 5" xfId="1215"/>
    <cellStyle name="Comma 2 3 4 6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3" xfId="2995"/>
    <cellStyle name="Comma 2 3 5 2 2 3" xfId="1552"/>
    <cellStyle name="Comma 2 3 5 2 2 4" xfId="2545"/>
    <cellStyle name="Comma 2 3 5 2 3" xfId="765"/>
    <cellStyle name="Comma 2 3 5 2 3 2" xfId="1809"/>
    <cellStyle name="Comma 2 3 5 2 3 3" xfId="2770"/>
    <cellStyle name="Comma 2 3 5 2 4" xfId="1291"/>
    <cellStyle name="Comma 2 3 5 2 5" xfId="2316"/>
    <cellStyle name="Comma 2 3 5 3" xfId="400"/>
    <cellStyle name="Comma 2 3 5 3 2" xfId="914"/>
    <cellStyle name="Comma 2 3 5 3 2 2" xfId="1958"/>
    <cellStyle name="Comma 2 3 5 3 2 3" xfId="2887"/>
    <cellStyle name="Comma 2 3 5 3 3" xfId="1444"/>
    <cellStyle name="Comma 2 3 5 3 4" xfId="2437"/>
    <cellStyle name="Comma 2 3 5 4" xfId="657"/>
    <cellStyle name="Comma 2 3 5 4 2" xfId="1701"/>
    <cellStyle name="Comma 2 3 5 4 3" xfId="2662"/>
    <cellStyle name="Comma 2 3 5 5" xfId="1177"/>
    <cellStyle name="Comma 2 3 5 6" xfId="2202"/>
    <cellStyle name="Comma 2 3 6" xfId="201"/>
    <cellStyle name="Comma 2 3 6 2" xfId="472"/>
    <cellStyle name="Comma 2 3 6 2 2" xfId="986"/>
    <cellStyle name="Comma 2 3 6 2 2 2" xfId="2030"/>
    <cellStyle name="Comma 2 3 6 2 2 3" xfId="2959"/>
    <cellStyle name="Comma 2 3 6 2 3" xfId="1516"/>
    <cellStyle name="Comma 2 3 6 2 4" xfId="2509"/>
    <cellStyle name="Comma 2 3 6 3" xfId="729"/>
    <cellStyle name="Comma 2 3 6 3 2" xfId="1773"/>
    <cellStyle name="Comma 2 3 6 3 3" xfId="2734"/>
    <cellStyle name="Comma 2 3 6 4" xfId="1253"/>
    <cellStyle name="Comma 2 3 6 5" xfId="2278"/>
    <cellStyle name="Comma 2 3 7" xfId="75"/>
    <cellStyle name="Comma 2 3 7 2" xfId="362"/>
    <cellStyle name="Comma 2 3 7 2 2" xfId="876"/>
    <cellStyle name="Comma 2 3 7 2 2 2" xfId="1920"/>
    <cellStyle name="Comma 2 3 7 2 2 3" xfId="2851"/>
    <cellStyle name="Comma 2 3 7 2 3" xfId="1406"/>
    <cellStyle name="Comma 2 3 7 2 4" xfId="2401"/>
    <cellStyle name="Comma 2 3 7 3" xfId="619"/>
    <cellStyle name="Comma 2 3 7 3 2" xfId="1663"/>
    <cellStyle name="Comma 2 3 7 3 3" xfId="2626"/>
    <cellStyle name="Comma 2 3 7 4" xfId="1135"/>
    <cellStyle name="Comma 2 3 7 5" xfId="2162"/>
    <cellStyle name="Comma 2 3 8" xfId="338"/>
    <cellStyle name="Comma 2 3 8 2" xfId="852"/>
    <cellStyle name="Comma 2 3 8 2 2" xfId="1896"/>
    <cellStyle name="Comma 2 3 8 2 3" xfId="2840"/>
    <cellStyle name="Comma 2 3 8 3" xfId="1382"/>
    <cellStyle name="Comma 2 3 8 4" xfId="2390"/>
    <cellStyle name="Comma 2 3 9" xfId="595"/>
    <cellStyle name="Comma 2 3 9 2" xfId="1639"/>
    <cellStyle name="Comma 2 3 9 3" xfId="2615"/>
    <cellStyle name="Comma 2 4" xfId="59"/>
    <cellStyle name="Comma 2 4 10" xfId="1119"/>
    <cellStyle name="Comma 2 4 11" xfId="2154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3" xfId="3061"/>
    <cellStyle name="Comma 2 4 2 2 2 2 2 3" xfId="1618"/>
    <cellStyle name="Comma 2 4 2 2 2 2 2 4" xfId="2611"/>
    <cellStyle name="Comma 2 4 2 2 2 2 3" xfId="831"/>
    <cellStyle name="Comma 2 4 2 2 2 2 3 2" xfId="1875"/>
    <cellStyle name="Comma 2 4 2 2 2 2 3 3" xfId="2836"/>
    <cellStyle name="Comma 2 4 2 2 2 2 4" xfId="1361"/>
    <cellStyle name="Comma 2 4 2 2 2 2 5" xfId="2386"/>
    <cellStyle name="Comma 2 4 2 2 2 3" xfId="466"/>
    <cellStyle name="Comma 2 4 2 2 2 3 2" xfId="980"/>
    <cellStyle name="Comma 2 4 2 2 2 3 2 2" xfId="2024"/>
    <cellStyle name="Comma 2 4 2 2 2 3 2 3" xfId="2953"/>
    <cellStyle name="Comma 2 4 2 2 2 3 3" xfId="1510"/>
    <cellStyle name="Comma 2 4 2 2 2 3 4" xfId="2503"/>
    <cellStyle name="Comma 2 4 2 2 2 4" xfId="723"/>
    <cellStyle name="Comma 2 4 2 2 2 4 2" xfId="1767"/>
    <cellStyle name="Comma 2 4 2 2 2 4 3" xfId="2728"/>
    <cellStyle name="Comma 2 4 2 2 2 5" xfId="1247"/>
    <cellStyle name="Comma 2 4 2 2 2 6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3" xfId="3025"/>
    <cellStyle name="Comma 2 4 2 2 3 2 2 3" xfId="1582"/>
    <cellStyle name="Comma 2 4 2 2 3 2 2 4" xfId="2575"/>
    <cellStyle name="Comma 2 4 2 2 3 2 3" xfId="795"/>
    <cellStyle name="Comma 2 4 2 2 3 2 3 2" xfId="1839"/>
    <cellStyle name="Comma 2 4 2 2 3 2 3 3" xfId="2800"/>
    <cellStyle name="Comma 2 4 2 2 3 2 4" xfId="1323"/>
    <cellStyle name="Comma 2 4 2 2 3 2 5" xfId="2348"/>
    <cellStyle name="Comma 2 4 2 2 3 3" xfId="430"/>
    <cellStyle name="Comma 2 4 2 2 3 3 2" xfId="944"/>
    <cellStyle name="Comma 2 4 2 2 3 3 2 2" xfId="1988"/>
    <cellStyle name="Comma 2 4 2 2 3 3 2 3" xfId="2917"/>
    <cellStyle name="Comma 2 4 2 2 3 3 3" xfId="1474"/>
    <cellStyle name="Comma 2 4 2 2 3 3 4" xfId="2467"/>
    <cellStyle name="Comma 2 4 2 2 3 4" xfId="687"/>
    <cellStyle name="Comma 2 4 2 2 3 4 2" xfId="1731"/>
    <cellStyle name="Comma 2 4 2 2 3 4 3" xfId="2692"/>
    <cellStyle name="Comma 2 4 2 2 3 5" xfId="1209"/>
    <cellStyle name="Comma 2 4 2 2 3 6" xfId="2234"/>
    <cellStyle name="Comma 2 4 2 2 4" xfId="234"/>
    <cellStyle name="Comma 2 4 2 2 4 2" xfId="502"/>
    <cellStyle name="Comma 2 4 2 2 4 2 2" xfId="1016"/>
    <cellStyle name="Comma 2 4 2 2 4 2 2 2" xfId="2060"/>
    <cellStyle name="Comma 2 4 2 2 4 2 2 3" xfId="2989"/>
    <cellStyle name="Comma 2 4 2 2 4 2 3" xfId="1546"/>
    <cellStyle name="Comma 2 4 2 2 4 2 4" xfId="2539"/>
    <cellStyle name="Comma 2 4 2 2 4 3" xfId="759"/>
    <cellStyle name="Comma 2 4 2 2 4 3 2" xfId="1803"/>
    <cellStyle name="Comma 2 4 2 2 4 3 3" xfId="2764"/>
    <cellStyle name="Comma 2 4 2 2 4 4" xfId="1285"/>
    <cellStyle name="Comma 2 4 2 2 4 5" xfId="2310"/>
    <cellStyle name="Comma 2 4 2 2 5" xfId="394"/>
    <cellStyle name="Comma 2 4 2 2 5 2" xfId="908"/>
    <cellStyle name="Comma 2 4 2 2 5 2 2" xfId="1952"/>
    <cellStyle name="Comma 2 4 2 2 5 2 3" xfId="2881"/>
    <cellStyle name="Comma 2 4 2 2 5 3" xfId="1438"/>
    <cellStyle name="Comma 2 4 2 2 5 4" xfId="2431"/>
    <cellStyle name="Comma 2 4 2 2 6" xfId="651"/>
    <cellStyle name="Comma 2 4 2 2 6 2" xfId="1695"/>
    <cellStyle name="Comma 2 4 2 2 6 3" xfId="2656"/>
    <cellStyle name="Comma 2 4 2 2 7" xfId="1171"/>
    <cellStyle name="Comma 2 4 2 2 8" xfId="2196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3" xfId="3043"/>
    <cellStyle name="Comma 2 4 2 3 2 2 3" xfId="1600"/>
    <cellStyle name="Comma 2 4 2 3 2 2 4" xfId="2593"/>
    <cellStyle name="Comma 2 4 2 3 2 3" xfId="813"/>
    <cellStyle name="Comma 2 4 2 3 2 3 2" xfId="1857"/>
    <cellStyle name="Comma 2 4 2 3 2 3 3" xfId="2818"/>
    <cellStyle name="Comma 2 4 2 3 2 4" xfId="1342"/>
    <cellStyle name="Comma 2 4 2 3 2 5" xfId="2367"/>
    <cellStyle name="Comma 2 4 2 3 3" xfId="448"/>
    <cellStyle name="Comma 2 4 2 3 3 2" xfId="962"/>
    <cellStyle name="Comma 2 4 2 3 3 2 2" xfId="2006"/>
    <cellStyle name="Comma 2 4 2 3 3 2 3" xfId="2935"/>
    <cellStyle name="Comma 2 4 2 3 3 3" xfId="1492"/>
    <cellStyle name="Comma 2 4 2 3 3 4" xfId="2485"/>
    <cellStyle name="Comma 2 4 2 3 4" xfId="705"/>
    <cellStyle name="Comma 2 4 2 3 4 2" xfId="1749"/>
    <cellStyle name="Comma 2 4 2 3 4 3" xfId="2710"/>
    <cellStyle name="Comma 2 4 2 3 5" xfId="1228"/>
    <cellStyle name="Comma 2 4 2 3 6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3" xfId="3007"/>
    <cellStyle name="Comma 2 4 2 4 2 2 3" xfId="1564"/>
    <cellStyle name="Comma 2 4 2 4 2 2 4" xfId="2557"/>
    <cellStyle name="Comma 2 4 2 4 2 3" xfId="777"/>
    <cellStyle name="Comma 2 4 2 4 2 3 2" xfId="1821"/>
    <cellStyle name="Comma 2 4 2 4 2 3 3" xfId="2782"/>
    <cellStyle name="Comma 2 4 2 4 2 4" xfId="1304"/>
    <cellStyle name="Comma 2 4 2 4 2 5" xfId="2329"/>
    <cellStyle name="Comma 2 4 2 4 3" xfId="412"/>
    <cellStyle name="Comma 2 4 2 4 3 2" xfId="926"/>
    <cellStyle name="Comma 2 4 2 4 3 2 2" xfId="1970"/>
    <cellStyle name="Comma 2 4 2 4 3 2 3" xfId="2899"/>
    <cellStyle name="Comma 2 4 2 4 3 3" xfId="1456"/>
    <cellStyle name="Comma 2 4 2 4 3 4" xfId="2449"/>
    <cellStyle name="Comma 2 4 2 4 4" xfId="669"/>
    <cellStyle name="Comma 2 4 2 4 4 2" xfId="1713"/>
    <cellStyle name="Comma 2 4 2 4 4 3" xfId="2674"/>
    <cellStyle name="Comma 2 4 2 4 5" xfId="1190"/>
    <cellStyle name="Comma 2 4 2 4 6" xfId="2215"/>
    <cellStyle name="Comma 2 4 2 5" xfId="214"/>
    <cellStyle name="Comma 2 4 2 5 2" xfId="484"/>
    <cellStyle name="Comma 2 4 2 5 2 2" xfId="998"/>
    <cellStyle name="Comma 2 4 2 5 2 2 2" xfId="2042"/>
    <cellStyle name="Comma 2 4 2 5 2 2 3" xfId="2971"/>
    <cellStyle name="Comma 2 4 2 5 2 3" xfId="1528"/>
    <cellStyle name="Comma 2 4 2 5 2 4" xfId="2521"/>
    <cellStyle name="Comma 2 4 2 5 3" xfId="741"/>
    <cellStyle name="Comma 2 4 2 5 3 2" xfId="1785"/>
    <cellStyle name="Comma 2 4 2 5 3 3" xfId="2746"/>
    <cellStyle name="Comma 2 4 2 5 4" xfId="1266"/>
    <cellStyle name="Comma 2 4 2 5 5" xfId="2291"/>
    <cellStyle name="Comma 2 4 2 6" xfId="376"/>
    <cellStyle name="Comma 2 4 2 6 2" xfId="890"/>
    <cellStyle name="Comma 2 4 2 6 2 2" xfId="1934"/>
    <cellStyle name="Comma 2 4 2 6 2 3" xfId="2863"/>
    <cellStyle name="Comma 2 4 2 6 3" xfId="1420"/>
    <cellStyle name="Comma 2 4 2 6 4" xfId="2413"/>
    <cellStyle name="Comma 2 4 2 7" xfId="633"/>
    <cellStyle name="Comma 2 4 2 7 2" xfId="1677"/>
    <cellStyle name="Comma 2 4 2 7 3" xfId="2638"/>
    <cellStyle name="Comma 2 4 2 8" xfId="1152"/>
    <cellStyle name="Comma 2 4 2 9" xfId="2177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3" xfId="3052"/>
    <cellStyle name="Comma 2 4 3 2 2 2 3" xfId="1609"/>
    <cellStyle name="Comma 2 4 3 2 2 2 4" xfId="2602"/>
    <cellStyle name="Comma 2 4 3 2 2 3" xfId="822"/>
    <cellStyle name="Comma 2 4 3 2 2 3 2" xfId="1866"/>
    <cellStyle name="Comma 2 4 3 2 2 3 3" xfId="2827"/>
    <cellStyle name="Comma 2 4 3 2 2 4" xfId="1351"/>
    <cellStyle name="Comma 2 4 3 2 2 5" xfId="2376"/>
    <cellStyle name="Comma 2 4 3 2 3" xfId="457"/>
    <cellStyle name="Comma 2 4 3 2 3 2" xfId="971"/>
    <cellStyle name="Comma 2 4 3 2 3 2 2" xfId="2015"/>
    <cellStyle name="Comma 2 4 3 2 3 2 3" xfId="2944"/>
    <cellStyle name="Comma 2 4 3 2 3 3" xfId="1501"/>
    <cellStyle name="Comma 2 4 3 2 3 4" xfId="2494"/>
    <cellStyle name="Comma 2 4 3 2 4" xfId="714"/>
    <cellStyle name="Comma 2 4 3 2 4 2" xfId="1758"/>
    <cellStyle name="Comma 2 4 3 2 4 3" xfId="2719"/>
    <cellStyle name="Comma 2 4 3 2 5" xfId="1237"/>
    <cellStyle name="Comma 2 4 3 2 6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3" xfId="3016"/>
    <cellStyle name="Comma 2 4 3 3 2 2 3" xfId="1573"/>
    <cellStyle name="Comma 2 4 3 3 2 2 4" xfId="2566"/>
    <cellStyle name="Comma 2 4 3 3 2 3" xfId="786"/>
    <cellStyle name="Comma 2 4 3 3 2 3 2" xfId="1830"/>
    <cellStyle name="Comma 2 4 3 3 2 3 3" xfId="2791"/>
    <cellStyle name="Comma 2 4 3 3 2 4" xfId="1313"/>
    <cellStyle name="Comma 2 4 3 3 2 5" xfId="2338"/>
    <cellStyle name="Comma 2 4 3 3 3" xfId="421"/>
    <cellStyle name="Comma 2 4 3 3 3 2" xfId="935"/>
    <cellStyle name="Comma 2 4 3 3 3 2 2" xfId="1979"/>
    <cellStyle name="Comma 2 4 3 3 3 2 3" xfId="2908"/>
    <cellStyle name="Comma 2 4 3 3 3 3" xfId="1465"/>
    <cellStyle name="Comma 2 4 3 3 3 4" xfId="2458"/>
    <cellStyle name="Comma 2 4 3 3 4" xfId="678"/>
    <cellStyle name="Comma 2 4 3 3 4 2" xfId="1722"/>
    <cellStyle name="Comma 2 4 3 3 4 3" xfId="2683"/>
    <cellStyle name="Comma 2 4 3 3 5" xfId="1199"/>
    <cellStyle name="Comma 2 4 3 3 6" xfId="2224"/>
    <cellStyle name="Comma 2 4 3 4" xfId="224"/>
    <cellStyle name="Comma 2 4 3 4 2" xfId="493"/>
    <cellStyle name="Comma 2 4 3 4 2 2" xfId="1007"/>
    <cellStyle name="Comma 2 4 3 4 2 2 2" xfId="2051"/>
    <cellStyle name="Comma 2 4 3 4 2 2 3" xfId="2980"/>
    <cellStyle name="Comma 2 4 3 4 2 3" xfId="1537"/>
    <cellStyle name="Comma 2 4 3 4 2 4" xfId="2530"/>
    <cellStyle name="Comma 2 4 3 4 3" xfId="750"/>
    <cellStyle name="Comma 2 4 3 4 3 2" xfId="1794"/>
    <cellStyle name="Comma 2 4 3 4 3 3" xfId="2755"/>
    <cellStyle name="Comma 2 4 3 4 4" xfId="1275"/>
    <cellStyle name="Comma 2 4 3 4 5" xfId="2300"/>
    <cellStyle name="Comma 2 4 3 5" xfId="385"/>
    <cellStyle name="Comma 2 4 3 5 2" xfId="899"/>
    <cellStyle name="Comma 2 4 3 5 2 2" xfId="1943"/>
    <cellStyle name="Comma 2 4 3 5 2 3" xfId="2872"/>
    <cellStyle name="Comma 2 4 3 5 3" xfId="1429"/>
    <cellStyle name="Comma 2 4 3 5 4" xfId="2422"/>
    <cellStyle name="Comma 2 4 3 6" xfId="642"/>
    <cellStyle name="Comma 2 4 3 6 2" xfId="1686"/>
    <cellStyle name="Comma 2 4 3 6 3" xfId="2647"/>
    <cellStyle name="Comma 2 4 3 7" xfId="1161"/>
    <cellStyle name="Comma 2 4 3 8" xfId="2186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3" xfId="3034"/>
    <cellStyle name="Comma 2 4 4 2 2 3" xfId="1591"/>
    <cellStyle name="Comma 2 4 4 2 2 4" xfId="2584"/>
    <cellStyle name="Comma 2 4 4 2 3" xfId="804"/>
    <cellStyle name="Comma 2 4 4 2 3 2" xfId="1848"/>
    <cellStyle name="Comma 2 4 4 2 3 3" xfId="2809"/>
    <cellStyle name="Comma 2 4 4 2 4" xfId="1332"/>
    <cellStyle name="Comma 2 4 4 2 5" xfId="2357"/>
    <cellStyle name="Comma 2 4 4 3" xfId="439"/>
    <cellStyle name="Comma 2 4 4 3 2" xfId="953"/>
    <cellStyle name="Comma 2 4 4 3 2 2" xfId="1997"/>
    <cellStyle name="Comma 2 4 4 3 2 3" xfId="2926"/>
    <cellStyle name="Comma 2 4 4 3 3" xfId="1483"/>
    <cellStyle name="Comma 2 4 4 3 4" xfId="2476"/>
    <cellStyle name="Comma 2 4 4 4" xfId="696"/>
    <cellStyle name="Comma 2 4 4 4 2" xfId="1740"/>
    <cellStyle name="Comma 2 4 4 4 3" xfId="2701"/>
    <cellStyle name="Comma 2 4 4 5" xfId="1218"/>
    <cellStyle name="Comma 2 4 4 6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3" xfId="2998"/>
    <cellStyle name="Comma 2 4 5 2 2 3" xfId="1555"/>
    <cellStyle name="Comma 2 4 5 2 2 4" xfId="2548"/>
    <cellStyle name="Comma 2 4 5 2 3" xfId="768"/>
    <cellStyle name="Comma 2 4 5 2 3 2" xfId="1812"/>
    <cellStyle name="Comma 2 4 5 2 3 3" xfId="2773"/>
    <cellStyle name="Comma 2 4 5 2 4" xfId="1294"/>
    <cellStyle name="Comma 2 4 5 2 5" xfId="2319"/>
    <cellStyle name="Comma 2 4 5 3" xfId="403"/>
    <cellStyle name="Comma 2 4 5 3 2" xfId="917"/>
    <cellStyle name="Comma 2 4 5 3 2 2" xfId="1961"/>
    <cellStyle name="Comma 2 4 5 3 2 3" xfId="2890"/>
    <cellStyle name="Comma 2 4 5 3 3" xfId="1447"/>
    <cellStyle name="Comma 2 4 5 3 4" xfId="2440"/>
    <cellStyle name="Comma 2 4 5 4" xfId="660"/>
    <cellStyle name="Comma 2 4 5 4 2" xfId="1704"/>
    <cellStyle name="Comma 2 4 5 4 3" xfId="2665"/>
    <cellStyle name="Comma 2 4 5 5" xfId="1180"/>
    <cellStyle name="Comma 2 4 5 6" xfId="2205"/>
    <cellStyle name="Comma 2 4 6" xfId="204"/>
    <cellStyle name="Comma 2 4 6 2" xfId="475"/>
    <cellStyle name="Comma 2 4 6 2 2" xfId="989"/>
    <cellStyle name="Comma 2 4 6 2 2 2" xfId="2033"/>
    <cellStyle name="Comma 2 4 6 2 2 3" xfId="2962"/>
    <cellStyle name="Comma 2 4 6 2 3" xfId="1519"/>
    <cellStyle name="Comma 2 4 6 2 4" xfId="2512"/>
    <cellStyle name="Comma 2 4 6 3" xfId="732"/>
    <cellStyle name="Comma 2 4 6 3 2" xfId="1776"/>
    <cellStyle name="Comma 2 4 6 3 3" xfId="2737"/>
    <cellStyle name="Comma 2 4 6 4" xfId="1256"/>
    <cellStyle name="Comma 2 4 6 5" xfId="2281"/>
    <cellStyle name="Comma 2 4 7" xfId="78"/>
    <cellStyle name="Comma 2 4 7 2" xfId="365"/>
    <cellStyle name="Comma 2 4 7 2 2" xfId="879"/>
    <cellStyle name="Comma 2 4 7 2 2 2" xfId="1923"/>
    <cellStyle name="Comma 2 4 7 2 2 3" xfId="2854"/>
    <cellStyle name="Comma 2 4 7 2 3" xfId="1409"/>
    <cellStyle name="Comma 2 4 7 2 4" xfId="2404"/>
    <cellStyle name="Comma 2 4 7 3" xfId="622"/>
    <cellStyle name="Comma 2 4 7 3 2" xfId="1666"/>
    <cellStyle name="Comma 2 4 7 3 3" xfId="2629"/>
    <cellStyle name="Comma 2 4 7 4" xfId="1138"/>
    <cellStyle name="Comma 2 4 7 5" xfId="2165"/>
    <cellStyle name="Comma 2 4 8" xfId="346"/>
    <cellStyle name="Comma 2 4 8 2" xfId="860"/>
    <cellStyle name="Comma 2 4 8 2 2" xfId="1904"/>
    <cellStyle name="Comma 2 4 8 2 3" xfId="2843"/>
    <cellStyle name="Comma 2 4 8 3" xfId="1390"/>
    <cellStyle name="Comma 2 4 8 4" xfId="2393"/>
    <cellStyle name="Comma 2 4 9" xfId="603"/>
    <cellStyle name="Comma 2 4 9 2" xfId="1647"/>
    <cellStyle name="Comma 2 4 9 3" xfId="2618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3" xfId="3055"/>
    <cellStyle name="Comma 2 5 2 2 2 2 3" xfId="1612"/>
    <cellStyle name="Comma 2 5 2 2 2 2 4" xfId="2605"/>
    <cellStyle name="Comma 2 5 2 2 2 3" xfId="825"/>
    <cellStyle name="Comma 2 5 2 2 2 3 2" xfId="1869"/>
    <cellStyle name="Comma 2 5 2 2 2 3 3" xfId="2830"/>
    <cellStyle name="Comma 2 5 2 2 2 4" xfId="1355"/>
    <cellStyle name="Comma 2 5 2 2 2 5" xfId="2380"/>
    <cellStyle name="Comma 2 5 2 2 3" xfId="460"/>
    <cellStyle name="Comma 2 5 2 2 3 2" xfId="974"/>
    <cellStyle name="Comma 2 5 2 2 3 2 2" xfId="2018"/>
    <cellStyle name="Comma 2 5 2 2 3 2 3" xfId="2947"/>
    <cellStyle name="Comma 2 5 2 2 3 3" xfId="1504"/>
    <cellStyle name="Comma 2 5 2 2 3 4" xfId="2497"/>
    <cellStyle name="Comma 2 5 2 2 4" xfId="717"/>
    <cellStyle name="Comma 2 5 2 2 4 2" xfId="1761"/>
    <cellStyle name="Comma 2 5 2 2 4 3" xfId="2722"/>
    <cellStyle name="Comma 2 5 2 2 5" xfId="1241"/>
    <cellStyle name="Comma 2 5 2 2 6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3" xfId="3019"/>
    <cellStyle name="Comma 2 5 2 3 2 2 3" xfId="1576"/>
    <cellStyle name="Comma 2 5 2 3 2 2 4" xfId="2569"/>
    <cellStyle name="Comma 2 5 2 3 2 3" xfId="789"/>
    <cellStyle name="Comma 2 5 2 3 2 3 2" xfId="1833"/>
    <cellStyle name="Comma 2 5 2 3 2 3 3" xfId="2794"/>
    <cellStyle name="Comma 2 5 2 3 2 4" xfId="1317"/>
    <cellStyle name="Comma 2 5 2 3 2 5" xfId="2342"/>
    <cellStyle name="Comma 2 5 2 3 3" xfId="424"/>
    <cellStyle name="Comma 2 5 2 3 3 2" xfId="938"/>
    <cellStyle name="Comma 2 5 2 3 3 2 2" xfId="1982"/>
    <cellStyle name="Comma 2 5 2 3 3 2 3" xfId="2911"/>
    <cellStyle name="Comma 2 5 2 3 3 3" xfId="1468"/>
    <cellStyle name="Comma 2 5 2 3 3 4" xfId="2461"/>
    <cellStyle name="Comma 2 5 2 3 4" xfId="681"/>
    <cellStyle name="Comma 2 5 2 3 4 2" xfId="1725"/>
    <cellStyle name="Comma 2 5 2 3 4 3" xfId="2686"/>
    <cellStyle name="Comma 2 5 2 3 5" xfId="1203"/>
    <cellStyle name="Comma 2 5 2 3 6" xfId="2228"/>
    <cellStyle name="Comma 2 5 2 4" xfId="228"/>
    <cellStyle name="Comma 2 5 2 4 2" xfId="496"/>
    <cellStyle name="Comma 2 5 2 4 2 2" xfId="1010"/>
    <cellStyle name="Comma 2 5 2 4 2 2 2" xfId="2054"/>
    <cellStyle name="Comma 2 5 2 4 2 2 3" xfId="2983"/>
    <cellStyle name="Comma 2 5 2 4 2 3" xfId="1540"/>
    <cellStyle name="Comma 2 5 2 4 2 4" xfId="2533"/>
    <cellStyle name="Comma 2 5 2 4 3" xfId="753"/>
    <cellStyle name="Comma 2 5 2 4 3 2" xfId="1797"/>
    <cellStyle name="Comma 2 5 2 4 3 3" xfId="2758"/>
    <cellStyle name="Comma 2 5 2 4 4" xfId="1279"/>
    <cellStyle name="Comma 2 5 2 4 5" xfId="2304"/>
    <cellStyle name="Comma 2 5 2 5" xfId="388"/>
    <cellStyle name="Comma 2 5 2 5 2" xfId="902"/>
    <cellStyle name="Comma 2 5 2 5 2 2" xfId="1946"/>
    <cellStyle name="Comma 2 5 2 5 2 3" xfId="2875"/>
    <cellStyle name="Comma 2 5 2 5 3" xfId="1432"/>
    <cellStyle name="Comma 2 5 2 5 4" xfId="2425"/>
    <cellStyle name="Comma 2 5 2 6" xfId="645"/>
    <cellStyle name="Comma 2 5 2 6 2" xfId="1689"/>
    <cellStyle name="Comma 2 5 2 6 3" xfId="2650"/>
    <cellStyle name="Comma 2 5 2 7" xfId="1165"/>
    <cellStyle name="Comma 2 5 2 8" xfId="2190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3" xfId="3037"/>
    <cellStyle name="Comma 2 5 3 2 2 3" xfId="1594"/>
    <cellStyle name="Comma 2 5 3 2 2 4" xfId="2587"/>
    <cellStyle name="Comma 2 5 3 2 3" xfId="807"/>
    <cellStyle name="Comma 2 5 3 2 3 2" xfId="1851"/>
    <cellStyle name="Comma 2 5 3 2 3 3" xfId="2812"/>
    <cellStyle name="Comma 2 5 3 2 4" xfId="1336"/>
    <cellStyle name="Comma 2 5 3 2 5" xfId="2361"/>
    <cellStyle name="Comma 2 5 3 3" xfId="442"/>
    <cellStyle name="Comma 2 5 3 3 2" xfId="956"/>
    <cellStyle name="Comma 2 5 3 3 2 2" xfId="2000"/>
    <cellStyle name="Comma 2 5 3 3 2 3" xfId="2929"/>
    <cellStyle name="Comma 2 5 3 3 3" xfId="1486"/>
    <cellStyle name="Comma 2 5 3 3 4" xfId="2479"/>
    <cellStyle name="Comma 2 5 3 4" xfId="699"/>
    <cellStyle name="Comma 2 5 3 4 2" xfId="1743"/>
    <cellStyle name="Comma 2 5 3 4 3" xfId="2704"/>
    <cellStyle name="Comma 2 5 3 5" xfId="1222"/>
    <cellStyle name="Comma 2 5 3 6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3" xfId="3001"/>
    <cellStyle name="Comma 2 5 4 2 2 3" xfId="1558"/>
    <cellStyle name="Comma 2 5 4 2 2 4" xfId="2551"/>
    <cellStyle name="Comma 2 5 4 2 3" xfId="771"/>
    <cellStyle name="Comma 2 5 4 2 3 2" xfId="1815"/>
    <cellStyle name="Comma 2 5 4 2 3 3" xfId="2776"/>
    <cellStyle name="Comma 2 5 4 2 4" xfId="1298"/>
    <cellStyle name="Comma 2 5 4 2 5" xfId="2323"/>
    <cellStyle name="Comma 2 5 4 3" xfId="406"/>
    <cellStyle name="Comma 2 5 4 3 2" xfId="920"/>
    <cellStyle name="Comma 2 5 4 3 2 2" xfId="1964"/>
    <cellStyle name="Comma 2 5 4 3 2 3" xfId="2893"/>
    <cellStyle name="Comma 2 5 4 3 3" xfId="1450"/>
    <cellStyle name="Comma 2 5 4 3 4" xfId="2443"/>
    <cellStyle name="Comma 2 5 4 4" xfId="663"/>
    <cellStyle name="Comma 2 5 4 4 2" xfId="1707"/>
    <cellStyle name="Comma 2 5 4 4 3" xfId="2668"/>
    <cellStyle name="Comma 2 5 4 5" xfId="1184"/>
    <cellStyle name="Comma 2 5 4 6" xfId="2209"/>
    <cellStyle name="Comma 2 5 5" xfId="208"/>
    <cellStyle name="Comma 2 5 5 2" xfId="478"/>
    <cellStyle name="Comma 2 5 5 2 2" xfId="992"/>
    <cellStyle name="Comma 2 5 5 2 2 2" xfId="2036"/>
    <cellStyle name="Comma 2 5 5 2 2 3" xfId="2965"/>
    <cellStyle name="Comma 2 5 5 2 3" xfId="1522"/>
    <cellStyle name="Comma 2 5 5 2 4" xfId="2515"/>
    <cellStyle name="Comma 2 5 5 3" xfId="735"/>
    <cellStyle name="Comma 2 5 5 3 2" xfId="1779"/>
    <cellStyle name="Comma 2 5 5 3 3" xfId="2740"/>
    <cellStyle name="Comma 2 5 5 4" xfId="1260"/>
    <cellStyle name="Comma 2 5 5 5" xfId="2285"/>
    <cellStyle name="Comma 2 5 6" xfId="370"/>
    <cellStyle name="Comma 2 5 6 2" xfId="884"/>
    <cellStyle name="Comma 2 5 6 2 2" xfId="1928"/>
    <cellStyle name="Comma 2 5 6 2 3" xfId="2857"/>
    <cellStyle name="Comma 2 5 6 3" xfId="1414"/>
    <cellStyle name="Comma 2 5 6 4" xfId="2407"/>
    <cellStyle name="Comma 2 5 7" xfId="627"/>
    <cellStyle name="Comma 2 5 7 2" xfId="1671"/>
    <cellStyle name="Comma 2 5 7 3" xfId="2632"/>
    <cellStyle name="Comma 2 5 8" xfId="1146"/>
    <cellStyle name="Comma 2 5 9" xfId="2171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3" xfId="3046"/>
    <cellStyle name="Comma 2 6 2 2 2 3" xfId="1603"/>
    <cellStyle name="Comma 2 6 2 2 2 4" xfId="2596"/>
    <cellStyle name="Comma 2 6 2 2 3" xfId="816"/>
    <cellStyle name="Comma 2 6 2 2 3 2" xfId="1860"/>
    <cellStyle name="Comma 2 6 2 2 3 3" xfId="2821"/>
    <cellStyle name="Comma 2 6 2 2 4" xfId="1345"/>
    <cellStyle name="Comma 2 6 2 2 5" xfId="2370"/>
    <cellStyle name="Comma 2 6 2 3" xfId="451"/>
    <cellStyle name="Comma 2 6 2 3 2" xfId="965"/>
    <cellStyle name="Comma 2 6 2 3 2 2" xfId="2009"/>
    <cellStyle name="Comma 2 6 2 3 2 3" xfId="2938"/>
    <cellStyle name="Comma 2 6 2 3 3" xfId="1495"/>
    <cellStyle name="Comma 2 6 2 3 4" xfId="2488"/>
    <cellStyle name="Comma 2 6 2 4" xfId="708"/>
    <cellStyle name="Comma 2 6 2 4 2" xfId="1752"/>
    <cellStyle name="Comma 2 6 2 4 3" xfId="2713"/>
    <cellStyle name="Comma 2 6 2 5" xfId="1231"/>
    <cellStyle name="Comma 2 6 2 6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3" xfId="3010"/>
    <cellStyle name="Comma 2 6 3 2 2 3" xfId="1567"/>
    <cellStyle name="Comma 2 6 3 2 2 4" xfId="2560"/>
    <cellStyle name="Comma 2 6 3 2 3" xfId="780"/>
    <cellStyle name="Comma 2 6 3 2 3 2" xfId="1824"/>
    <cellStyle name="Comma 2 6 3 2 3 3" xfId="2785"/>
    <cellStyle name="Comma 2 6 3 2 4" xfId="1307"/>
    <cellStyle name="Comma 2 6 3 2 5" xfId="2332"/>
    <cellStyle name="Comma 2 6 3 3" xfId="415"/>
    <cellStyle name="Comma 2 6 3 3 2" xfId="929"/>
    <cellStyle name="Comma 2 6 3 3 2 2" xfId="1973"/>
    <cellStyle name="Comma 2 6 3 3 2 3" xfId="2902"/>
    <cellStyle name="Comma 2 6 3 3 3" xfId="1459"/>
    <cellStyle name="Comma 2 6 3 3 4" xfId="2452"/>
    <cellStyle name="Comma 2 6 3 4" xfId="672"/>
    <cellStyle name="Comma 2 6 3 4 2" xfId="1716"/>
    <cellStyle name="Comma 2 6 3 4 3" xfId="2677"/>
    <cellStyle name="Comma 2 6 3 5" xfId="1193"/>
    <cellStyle name="Comma 2 6 3 6" xfId="2218"/>
    <cellStyle name="Comma 2 6 4" xfId="218"/>
    <cellStyle name="Comma 2 6 4 2" xfId="487"/>
    <cellStyle name="Comma 2 6 4 2 2" xfId="1001"/>
    <cellStyle name="Comma 2 6 4 2 2 2" xfId="2045"/>
    <cellStyle name="Comma 2 6 4 2 2 3" xfId="2974"/>
    <cellStyle name="Comma 2 6 4 2 3" xfId="1531"/>
    <cellStyle name="Comma 2 6 4 2 4" xfId="2524"/>
    <cellStyle name="Comma 2 6 4 3" xfId="744"/>
    <cellStyle name="Comma 2 6 4 3 2" xfId="1788"/>
    <cellStyle name="Comma 2 6 4 3 3" xfId="2749"/>
    <cellStyle name="Comma 2 6 4 4" xfId="1269"/>
    <cellStyle name="Comma 2 6 4 5" xfId="2294"/>
    <cellStyle name="Comma 2 6 5" xfId="379"/>
    <cellStyle name="Comma 2 6 5 2" xfId="893"/>
    <cellStyle name="Comma 2 6 5 2 2" xfId="1937"/>
    <cellStyle name="Comma 2 6 5 2 3" xfId="2866"/>
    <cellStyle name="Comma 2 6 5 3" xfId="1423"/>
    <cellStyle name="Comma 2 6 5 4" xfId="2416"/>
    <cellStyle name="Comma 2 6 6" xfId="636"/>
    <cellStyle name="Comma 2 6 6 2" xfId="1680"/>
    <cellStyle name="Comma 2 6 6 3" xfId="2641"/>
    <cellStyle name="Comma 2 6 7" xfId="1155"/>
    <cellStyle name="Comma 2 6 8" xfId="2180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3" xfId="3028"/>
    <cellStyle name="Comma 2 7 2 2 3" xfId="1585"/>
    <cellStyle name="Comma 2 7 2 2 4" xfId="2578"/>
    <cellStyle name="Comma 2 7 2 3" xfId="798"/>
    <cellStyle name="Comma 2 7 2 3 2" xfId="1842"/>
    <cellStyle name="Comma 2 7 2 3 3" xfId="2803"/>
    <cellStyle name="Comma 2 7 2 4" xfId="1326"/>
    <cellStyle name="Comma 2 7 2 5" xfId="2351"/>
    <cellStyle name="Comma 2 7 3" xfId="433"/>
    <cellStyle name="Comma 2 7 3 2" xfId="947"/>
    <cellStyle name="Comma 2 7 3 2 2" xfId="1991"/>
    <cellStyle name="Comma 2 7 3 2 3" xfId="2920"/>
    <cellStyle name="Comma 2 7 3 3" xfId="1477"/>
    <cellStyle name="Comma 2 7 3 4" xfId="2470"/>
    <cellStyle name="Comma 2 7 4" xfId="690"/>
    <cellStyle name="Comma 2 7 4 2" xfId="1734"/>
    <cellStyle name="Comma 2 7 4 3" xfId="2695"/>
    <cellStyle name="Comma 2 7 5" xfId="1212"/>
    <cellStyle name="Comma 2 7 6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3" xfId="2992"/>
    <cellStyle name="Comma 2 8 2 2 3" xfId="1549"/>
    <cellStyle name="Comma 2 8 2 2 4" xfId="2542"/>
    <cellStyle name="Comma 2 8 2 3" xfId="762"/>
    <cellStyle name="Comma 2 8 2 3 2" xfId="1806"/>
    <cellStyle name="Comma 2 8 2 3 3" xfId="2767"/>
    <cellStyle name="Comma 2 8 2 4" xfId="1288"/>
    <cellStyle name="Comma 2 8 2 5" xfId="2313"/>
    <cellStyle name="Comma 2 8 3" xfId="397"/>
    <cellStyle name="Comma 2 8 3 2" xfId="911"/>
    <cellStyle name="Comma 2 8 3 2 2" xfId="1955"/>
    <cellStyle name="Comma 2 8 3 2 3" xfId="2884"/>
    <cellStyle name="Comma 2 8 3 3" xfId="1441"/>
    <cellStyle name="Comma 2 8 3 4" xfId="2434"/>
    <cellStyle name="Comma 2 8 4" xfId="654"/>
    <cellStyle name="Comma 2 8 4 2" xfId="1698"/>
    <cellStyle name="Comma 2 8 4 3" xfId="2659"/>
    <cellStyle name="Comma 2 8 5" xfId="1174"/>
    <cellStyle name="Comma 2 8 6" xfId="2199"/>
    <cellStyle name="Comma 2 9" xfId="198"/>
    <cellStyle name="Comma 2 9 2" xfId="469"/>
    <cellStyle name="Comma 2 9 2 2" xfId="983"/>
    <cellStyle name="Comma 2 9 2 2 2" xfId="2027"/>
    <cellStyle name="Comma 2 9 2 2 3" xfId="2956"/>
    <cellStyle name="Comma 2 9 2 3" xfId="1513"/>
    <cellStyle name="Comma 2 9 2 4" xfId="2506"/>
    <cellStyle name="Comma 2 9 3" xfId="726"/>
    <cellStyle name="Comma 2 9 3 2" xfId="1770"/>
    <cellStyle name="Comma 2 9 3 3" xfId="2731"/>
    <cellStyle name="Comma 2 9 4" xfId="1250"/>
    <cellStyle name="Comma 2 9 5" xfId="2275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3" xfId="3057"/>
    <cellStyle name="Comma 3 2 2 2 2 2 3" xfId="1614"/>
    <cellStyle name="Comma 3 2 2 2 2 2 4" xfId="2607"/>
    <cellStyle name="Comma 3 2 2 2 2 3" xfId="827"/>
    <cellStyle name="Comma 3 2 2 2 2 3 2" xfId="1871"/>
    <cellStyle name="Comma 3 2 2 2 2 3 3" xfId="2832"/>
    <cellStyle name="Comma 3 2 2 2 2 4" xfId="1357"/>
    <cellStyle name="Comma 3 2 2 2 2 5" xfId="2382"/>
    <cellStyle name="Comma 3 2 2 2 3" xfId="462"/>
    <cellStyle name="Comma 3 2 2 2 3 2" xfId="976"/>
    <cellStyle name="Comma 3 2 2 2 3 2 2" xfId="2020"/>
    <cellStyle name="Comma 3 2 2 2 3 2 3" xfId="2949"/>
    <cellStyle name="Comma 3 2 2 2 3 3" xfId="1506"/>
    <cellStyle name="Comma 3 2 2 2 3 4" xfId="2499"/>
    <cellStyle name="Comma 3 2 2 2 4" xfId="719"/>
    <cellStyle name="Comma 3 2 2 2 4 2" xfId="1763"/>
    <cellStyle name="Comma 3 2 2 2 4 3" xfId="2724"/>
    <cellStyle name="Comma 3 2 2 2 5" xfId="1243"/>
    <cellStyle name="Comma 3 2 2 2 6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3" xfId="3021"/>
    <cellStyle name="Comma 3 2 2 3 2 2 3" xfId="1578"/>
    <cellStyle name="Comma 3 2 2 3 2 2 4" xfId="2571"/>
    <cellStyle name="Comma 3 2 2 3 2 3" xfId="791"/>
    <cellStyle name="Comma 3 2 2 3 2 3 2" xfId="1835"/>
    <cellStyle name="Comma 3 2 2 3 2 3 3" xfId="2796"/>
    <cellStyle name="Comma 3 2 2 3 2 4" xfId="1319"/>
    <cellStyle name="Comma 3 2 2 3 2 5" xfId="2344"/>
    <cellStyle name="Comma 3 2 2 3 3" xfId="426"/>
    <cellStyle name="Comma 3 2 2 3 3 2" xfId="940"/>
    <cellStyle name="Comma 3 2 2 3 3 2 2" xfId="1984"/>
    <cellStyle name="Comma 3 2 2 3 3 2 3" xfId="2913"/>
    <cellStyle name="Comma 3 2 2 3 3 3" xfId="1470"/>
    <cellStyle name="Comma 3 2 2 3 3 4" xfId="2463"/>
    <cellStyle name="Comma 3 2 2 3 4" xfId="683"/>
    <cellStyle name="Comma 3 2 2 3 4 2" xfId="1727"/>
    <cellStyle name="Comma 3 2 2 3 4 3" xfId="2688"/>
    <cellStyle name="Comma 3 2 2 3 5" xfId="1205"/>
    <cellStyle name="Comma 3 2 2 3 6" xfId="2230"/>
    <cellStyle name="Comma 3 2 2 4" xfId="230"/>
    <cellStyle name="Comma 3 2 2 4 2" xfId="498"/>
    <cellStyle name="Comma 3 2 2 4 2 2" xfId="1012"/>
    <cellStyle name="Comma 3 2 2 4 2 2 2" xfId="2056"/>
    <cellStyle name="Comma 3 2 2 4 2 2 3" xfId="2985"/>
    <cellStyle name="Comma 3 2 2 4 2 3" xfId="1542"/>
    <cellStyle name="Comma 3 2 2 4 2 4" xfId="2535"/>
    <cellStyle name="Comma 3 2 2 4 3" xfId="755"/>
    <cellStyle name="Comma 3 2 2 4 3 2" xfId="1799"/>
    <cellStyle name="Comma 3 2 2 4 3 3" xfId="2760"/>
    <cellStyle name="Comma 3 2 2 4 4" xfId="1281"/>
    <cellStyle name="Comma 3 2 2 4 5" xfId="2306"/>
    <cellStyle name="Comma 3 2 2 5" xfId="390"/>
    <cellStyle name="Comma 3 2 2 5 2" xfId="904"/>
    <cellStyle name="Comma 3 2 2 5 2 2" xfId="1948"/>
    <cellStyle name="Comma 3 2 2 5 2 3" xfId="2877"/>
    <cellStyle name="Comma 3 2 2 5 3" xfId="1434"/>
    <cellStyle name="Comma 3 2 2 5 4" xfId="2427"/>
    <cellStyle name="Comma 3 2 2 6" xfId="647"/>
    <cellStyle name="Comma 3 2 2 6 2" xfId="1691"/>
    <cellStyle name="Comma 3 2 2 6 3" xfId="2652"/>
    <cellStyle name="Comma 3 2 2 7" xfId="1167"/>
    <cellStyle name="Comma 3 2 2 8" xfId="219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3" xfId="3039"/>
    <cellStyle name="Comma 3 2 3 2 2 3" xfId="1596"/>
    <cellStyle name="Comma 3 2 3 2 2 4" xfId="2589"/>
    <cellStyle name="Comma 3 2 3 2 3" xfId="809"/>
    <cellStyle name="Comma 3 2 3 2 3 2" xfId="1853"/>
    <cellStyle name="Comma 3 2 3 2 3 3" xfId="2814"/>
    <cellStyle name="Comma 3 2 3 2 4" xfId="1338"/>
    <cellStyle name="Comma 3 2 3 2 5" xfId="2363"/>
    <cellStyle name="Comma 3 2 3 3" xfId="444"/>
    <cellStyle name="Comma 3 2 3 3 2" xfId="958"/>
    <cellStyle name="Comma 3 2 3 3 2 2" xfId="2002"/>
    <cellStyle name="Comma 3 2 3 3 2 3" xfId="2931"/>
    <cellStyle name="Comma 3 2 3 3 3" xfId="1488"/>
    <cellStyle name="Comma 3 2 3 3 4" xfId="2481"/>
    <cellStyle name="Comma 3 2 3 4" xfId="701"/>
    <cellStyle name="Comma 3 2 3 4 2" xfId="1745"/>
    <cellStyle name="Comma 3 2 3 4 3" xfId="2706"/>
    <cellStyle name="Comma 3 2 3 5" xfId="1224"/>
    <cellStyle name="Comma 3 2 3 6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3" xfId="3003"/>
    <cellStyle name="Comma 3 2 4 2 2 3" xfId="1560"/>
    <cellStyle name="Comma 3 2 4 2 2 4" xfId="2553"/>
    <cellStyle name="Comma 3 2 4 2 3" xfId="773"/>
    <cellStyle name="Comma 3 2 4 2 3 2" xfId="1817"/>
    <cellStyle name="Comma 3 2 4 2 3 3" xfId="2778"/>
    <cellStyle name="Comma 3 2 4 2 4" xfId="1300"/>
    <cellStyle name="Comma 3 2 4 2 5" xfId="2325"/>
    <cellStyle name="Comma 3 2 4 3" xfId="408"/>
    <cellStyle name="Comma 3 2 4 3 2" xfId="922"/>
    <cellStyle name="Comma 3 2 4 3 2 2" xfId="1966"/>
    <cellStyle name="Comma 3 2 4 3 2 3" xfId="2895"/>
    <cellStyle name="Comma 3 2 4 3 3" xfId="1452"/>
    <cellStyle name="Comma 3 2 4 3 4" xfId="2445"/>
    <cellStyle name="Comma 3 2 4 4" xfId="665"/>
    <cellStyle name="Comma 3 2 4 4 2" xfId="1709"/>
    <cellStyle name="Comma 3 2 4 4 3" xfId="2670"/>
    <cellStyle name="Comma 3 2 4 5" xfId="1186"/>
    <cellStyle name="Comma 3 2 4 6" xfId="2211"/>
    <cellStyle name="Comma 3 2 5" xfId="210"/>
    <cellStyle name="Comma 3 2 5 2" xfId="480"/>
    <cellStyle name="Comma 3 2 5 2 2" xfId="994"/>
    <cellStyle name="Comma 3 2 5 2 2 2" xfId="2038"/>
    <cellStyle name="Comma 3 2 5 2 2 3" xfId="2967"/>
    <cellStyle name="Comma 3 2 5 2 3" xfId="1524"/>
    <cellStyle name="Comma 3 2 5 2 4" xfId="2517"/>
    <cellStyle name="Comma 3 2 5 3" xfId="737"/>
    <cellStyle name="Comma 3 2 5 3 2" xfId="1781"/>
    <cellStyle name="Comma 3 2 5 3 3" xfId="2742"/>
    <cellStyle name="Comma 3 2 5 4" xfId="1262"/>
    <cellStyle name="Comma 3 2 5 5" xfId="2287"/>
    <cellStyle name="Comma 3 2 6" xfId="372"/>
    <cellStyle name="Comma 3 2 6 2" xfId="886"/>
    <cellStyle name="Comma 3 2 6 2 2" xfId="1930"/>
    <cellStyle name="Comma 3 2 6 2 3" xfId="2859"/>
    <cellStyle name="Comma 3 2 6 3" xfId="1416"/>
    <cellStyle name="Comma 3 2 6 4" xfId="2409"/>
    <cellStyle name="Comma 3 2 7" xfId="629"/>
    <cellStyle name="Comma 3 2 7 2" xfId="1673"/>
    <cellStyle name="Comma 3 2 7 3" xfId="2634"/>
    <cellStyle name="Comma 3 2 8" xfId="1148"/>
    <cellStyle name="Comma 3 2 9" xfId="2173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3" xfId="3048"/>
    <cellStyle name="Comma 3 3 2 2 2 3" xfId="1605"/>
    <cellStyle name="Comma 3 3 2 2 2 4" xfId="2598"/>
    <cellStyle name="Comma 3 3 2 2 3" xfId="818"/>
    <cellStyle name="Comma 3 3 2 2 3 2" xfId="1862"/>
    <cellStyle name="Comma 3 3 2 2 3 3" xfId="2823"/>
    <cellStyle name="Comma 3 3 2 2 4" xfId="1347"/>
    <cellStyle name="Comma 3 3 2 2 5" xfId="2372"/>
    <cellStyle name="Comma 3 3 2 3" xfId="453"/>
    <cellStyle name="Comma 3 3 2 3 2" xfId="967"/>
    <cellStyle name="Comma 3 3 2 3 2 2" xfId="2011"/>
    <cellStyle name="Comma 3 3 2 3 2 3" xfId="2940"/>
    <cellStyle name="Comma 3 3 2 3 3" xfId="1497"/>
    <cellStyle name="Comma 3 3 2 3 4" xfId="2490"/>
    <cellStyle name="Comma 3 3 2 4" xfId="710"/>
    <cellStyle name="Comma 3 3 2 4 2" xfId="1754"/>
    <cellStyle name="Comma 3 3 2 4 3" xfId="2715"/>
    <cellStyle name="Comma 3 3 2 5" xfId="1233"/>
    <cellStyle name="Comma 3 3 2 6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3" xfId="3012"/>
    <cellStyle name="Comma 3 3 3 2 2 3" xfId="1569"/>
    <cellStyle name="Comma 3 3 3 2 2 4" xfId="2562"/>
    <cellStyle name="Comma 3 3 3 2 3" xfId="782"/>
    <cellStyle name="Comma 3 3 3 2 3 2" xfId="1826"/>
    <cellStyle name="Comma 3 3 3 2 3 3" xfId="2787"/>
    <cellStyle name="Comma 3 3 3 2 4" xfId="1309"/>
    <cellStyle name="Comma 3 3 3 2 5" xfId="2334"/>
    <cellStyle name="Comma 3 3 3 3" xfId="417"/>
    <cellStyle name="Comma 3 3 3 3 2" xfId="931"/>
    <cellStyle name="Comma 3 3 3 3 2 2" xfId="1975"/>
    <cellStyle name="Comma 3 3 3 3 2 3" xfId="2904"/>
    <cellStyle name="Comma 3 3 3 3 3" xfId="1461"/>
    <cellStyle name="Comma 3 3 3 3 4" xfId="2454"/>
    <cellStyle name="Comma 3 3 3 4" xfId="674"/>
    <cellStyle name="Comma 3 3 3 4 2" xfId="1718"/>
    <cellStyle name="Comma 3 3 3 4 3" xfId="2679"/>
    <cellStyle name="Comma 3 3 3 5" xfId="1195"/>
    <cellStyle name="Comma 3 3 3 6" xfId="2220"/>
    <cellStyle name="Comma 3 3 4" xfId="220"/>
    <cellStyle name="Comma 3 3 4 2" xfId="489"/>
    <cellStyle name="Comma 3 3 4 2 2" xfId="1003"/>
    <cellStyle name="Comma 3 3 4 2 2 2" xfId="2047"/>
    <cellStyle name="Comma 3 3 4 2 2 3" xfId="2976"/>
    <cellStyle name="Comma 3 3 4 2 3" xfId="1533"/>
    <cellStyle name="Comma 3 3 4 2 4" xfId="2526"/>
    <cellStyle name="Comma 3 3 4 3" xfId="746"/>
    <cellStyle name="Comma 3 3 4 3 2" xfId="1790"/>
    <cellStyle name="Comma 3 3 4 3 3" xfId="2751"/>
    <cellStyle name="Comma 3 3 4 4" xfId="1271"/>
    <cellStyle name="Comma 3 3 4 5" xfId="2296"/>
    <cellStyle name="Comma 3 3 5" xfId="381"/>
    <cellStyle name="Comma 3 3 5 2" xfId="895"/>
    <cellStyle name="Comma 3 3 5 2 2" xfId="1939"/>
    <cellStyle name="Comma 3 3 5 2 3" xfId="2868"/>
    <cellStyle name="Comma 3 3 5 3" xfId="1425"/>
    <cellStyle name="Comma 3 3 5 4" xfId="2418"/>
    <cellStyle name="Comma 3 3 6" xfId="638"/>
    <cellStyle name="Comma 3 3 6 2" xfId="1682"/>
    <cellStyle name="Comma 3 3 6 3" xfId="2643"/>
    <cellStyle name="Comma 3 3 7" xfId="1157"/>
    <cellStyle name="Comma 3 3 8" xfId="2182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3" xfId="3030"/>
    <cellStyle name="Comma 3 4 2 2 3" xfId="1587"/>
    <cellStyle name="Comma 3 4 2 2 4" xfId="2580"/>
    <cellStyle name="Comma 3 4 2 3" xfId="800"/>
    <cellStyle name="Comma 3 4 2 3 2" xfId="1844"/>
    <cellStyle name="Comma 3 4 2 3 3" xfId="2805"/>
    <cellStyle name="Comma 3 4 2 4" xfId="1328"/>
    <cellStyle name="Comma 3 4 2 5" xfId="2353"/>
    <cellStyle name="Comma 3 4 3" xfId="435"/>
    <cellStyle name="Comma 3 4 3 2" xfId="949"/>
    <cellStyle name="Comma 3 4 3 2 2" xfId="1993"/>
    <cellStyle name="Comma 3 4 3 2 3" xfId="2922"/>
    <cellStyle name="Comma 3 4 3 3" xfId="1479"/>
    <cellStyle name="Comma 3 4 3 4" xfId="2472"/>
    <cellStyle name="Comma 3 4 4" xfId="692"/>
    <cellStyle name="Comma 3 4 4 2" xfId="1736"/>
    <cellStyle name="Comma 3 4 4 3" xfId="2697"/>
    <cellStyle name="Comma 3 4 5" xfId="1214"/>
    <cellStyle name="Comma 3 4 6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3" xfId="2994"/>
    <cellStyle name="Comma 3 5 2 2 3" xfId="1551"/>
    <cellStyle name="Comma 3 5 2 2 4" xfId="2544"/>
    <cellStyle name="Comma 3 5 2 3" xfId="764"/>
    <cellStyle name="Comma 3 5 2 3 2" xfId="1808"/>
    <cellStyle name="Comma 3 5 2 3 3" xfId="2769"/>
    <cellStyle name="Comma 3 5 2 4" xfId="1290"/>
    <cellStyle name="Comma 3 5 2 5" xfId="2315"/>
    <cellStyle name="Comma 3 5 3" xfId="399"/>
    <cellStyle name="Comma 3 5 3 2" xfId="913"/>
    <cellStyle name="Comma 3 5 3 2 2" xfId="1957"/>
    <cellStyle name="Comma 3 5 3 2 3" xfId="2886"/>
    <cellStyle name="Comma 3 5 3 3" xfId="1443"/>
    <cellStyle name="Comma 3 5 3 4" xfId="2436"/>
    <cellStyle name="Comma 3 5 4" xfId="656"/>
    <cellStyle name="Comma 3 5 4 2" xfId="1700"/>
    <cellStyle name="Comma 3 5 4 3" xfId="2661"/>
    <cellStyle name="Comma 3 5 5" xfId="1176"/>
    <cellStyle name="Comma 3 5 6" xfId="2201"/>
    <cellStyle name="Comma 3 6" xfId="200"/>
    <cellStyle name="Comma 3 6 2" xfId="471"/>
    <cellStyle name="Comma 3 6 2 2" xfId="985"/>
    <cellStyle name="Comma 3 6 2 2 2" xfId="2029"/>
    <cellStyle name="Comma 3 6 2 2 3" xfId="2958"/>
    <cellStyle name="Comma 3 6 2 3" xfId="1515"/>
    <cellStyle name="Comma 3 6 2 4" xfId="2508"/>
    <cellStyle name="Comma 3 6 3" xfId="728"/>
    <cellStyle name="Comma 3 6 3 2" xfId="1772"/>
    <cellStyle name="Comma 3 6 3 3" xfId="2733"/>
    <cellStyle name="Comma 3 6 4" xfId="1252"/>
    <cellStyle name="Comma 3 6 5" xfId="2277"/>
    <cellStyle name="Comma 3 7" xfId="74"/>
    <cellStyle name="Comma 3 7 2" xfId="361"/>
    <cellStyle name="Comma 3 7 2 2" xfId="875"/>
    <cellStyle name="Comma 3 7 2 2 2" xfId="1919"/>
    <cellStyle name="Comma 3 7 2 2 3" xfId="2850"/>
    <cellStyle name="Comma 3 7 2 3" xfId="1405"/>
    <cellStyle name="Comma 3 7 2 4" xfId="2400"/>
    <cellStyle name="Comma 3 7 3" xfId="618"/>
    <cellStyle name="Comma 3 7 3 2" xfId="1662"/>
    <cellStyle name="Comma 3 7 3 3" xfId="2625"/>
    <cellStyle name="Comma 3 7 4" xfId="1134"/>
    <cellStyle name="Comma 3 7 5" xfId="2161"/>
    <cellStyle name="Comma 3 8" xfId="1106"/>
    <cellStyle name="Comma 3 9" xfId="2149"/>
    <cellStyle name="Comma 4" xfId="57"/>
    <cellStyle name="Comma 4 10" xfId="1117"/>
    <cellStyle name="Comma 4 11" xfId="2153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3" xfId="3060"/>
    <cellStyle name="Comma 4 2 2 2 2 2 3" xfId="1617"/>
    <cellStyle name="Comma 4 2 2 2 2 2 4" xfId="2610"/>
    <cellStyle name="Comma 4 2 2 2 2 3" xfId="830"/>
    <cellStyle name="Comma 4 2 2 2 2 3 2" xfId="1874"/>
    <cellStyle name="Comma 4 2 2 2 2 3 3" xfId="2835"/>
    <cellStyle name="Comma 4 2 2 2 2 4" xfId="1360"/>
    <cellStyle name="Comma 4 2 2 2 2 5" xfId="2385"/>
    <cellStyle name="Comma 4 2 2 2 3" xfId="465"/>
    <cellStyle name="Comma 4 2 2 2 3 2" xfId="979"/>
    <cellStyle name="Comma 4 2 2 2 3 2 2" xfId="2023"/>
    <cellStyle name="Comma 4 2 2 2 3 2 3" xfId="2952"/>
    <cellStyle name="Comma 4 2 2 2 3 3" xfId="1509"/>
    <cellStyle name="Comma 4 2 2 2 3 4" xfId="2502"/>
    <cellStyle name="Comma 4 2 2 2 4" xfId="722"/>
    <cellStyle name="Comma 4 2 2 2 4 2" xfId="1766"/>
    <cellStyle name="Comma 4 2 2 2 4 3" xfId="2727"/>
    <cellStyle name="Comma 4 2 2 2 5" xfId="1246"/>
    <cellStyle name="Comma 4 2 2 2 6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3" xfId="3024"/>
    <cellStyle name="Comma 4 2 2 3 2 2 3" xfId="1581"/>
    <cellStyle name="Comma 4 2 2 3 2 2 4" xfId="2574"/>
    <cellStyle name="Comma 4 2 2 3 2 3" xfId="794"/>
    <cellStyle name="Comma 4 2 2 3 2 3 2" xfId="1838"/>
    <cellStyle name="Comma 4 2 2 3 2 3 3" xfId="2799"/>
    <cellStyle name="Comma 4 2 2 3 2 4" xfId="1322"/>
    <cellStyle name="Comma 4 2 2 3 2 5" xfId="2347"/>
    <cellStyle name="Comma 4 2 2 3 3" xfId="429"/>
    <cellStyle name="Comma 4 2 2 3 3 2" xfId="943"/>
    <cellStyle name="Comma 4 2 2 3 3 2 2" xfId="1987"/>
    <cellStyle name="Comma 4 2 2 3 3 2 3" xfId="2916"/>
    <cellStyle name="Comma 4 2 2 3 3 3" xfId="1473"/>
    <cellStyle name="Comma 4 2 2 3 3 4" xfId="2466"/>
    <cellStyle name="Comma 4 2 2 3 4" xfId="686"/>
    <cellStyle name="Comma 4 2 2 3 4 2" xfId="1730"/>
    <cellStyle name="Comma 4 2 2 3 4 3" xfId="2691"/>
    <cellStyle name="Comma 4 2 2 3 5" xfId="1208"/>
    <cellStyle name="Comma 4 2 2 3 6" xfId="2233"/>
    <cellStyle name="Comma 4 2 2 4" xfId="233"/>
    <cellStyle name="Comma 4 2 2 4 2" xfId="501"/>
    <cellStyle name="Comma 4 2 2 4 2 2" xfId="1015"/>
    <cellStyle name="Comma 4 2 2 4 2 2 2" xfId="2059"/>
    <cellStyle name="Comma 4 2 2 4 2 2 3" xfId="2988"/>
    <cellStyle name="Comma 4 2 2 4 2 3" xfId="1545"/>
    <cellStyle name="Comma 4 2 2 4 2 4" xfId="2538"/>
    <cellStyle name="Comma 4 2 2 4 3" xfId="758"/>
    <cellStyle name="Comma 4 2 2 4 3 2" xfId="1802"/>
    <cellStyle name="Comma 4 2 2 4 3 3" xfId="2763"/>
    <cellStyle name="Comma 4 2 2 4 4" xfId="1284"/>
    <cellStyle name="Comma 4 2 2 4 5" xfId="2309"/>
    <cellStyle name="Comma 4 2 2 5" xfId="393"/>
    <cellStyle name="Comma 4 2 2 5 2" xfId="907"/>
    <cellStyle name="Comma 4 2 2 5 2 2" xfId="1951"/>
    <cellStyle name="Comma 4 2 2 5 2 3" xfId="2880"/>
    <cellStyle name="Comma 4 2 2 5 3" xfId="1437"/>
    <cellStyle name="Comma 4 2 2 5 4" xfId="2430"/>
    <cellStyle name="Comma 4 2 2 6" xfId="650"/>
    <cellStyle name="Comma 4 2 2 6 2" xfId="1694"/>
    <cellStyle name="Comma 4 2 2 6 3" xfId="2655"/>
    <cellStyle name="Comma 4 2 2 7" xfId="1170"/>
    <cellStyle name="Comma 4 2 2 8" xfId="2195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3" xfId="3042"/>
    <cellStyle name="Comma 4 2 3 2 2 3" xfId="1599"/>
    <cellStyle name="Comma 4 2 3 2 2 4" xfId="2592"/>
    <cellStyle name="Comma 4 2 3 2 3" xfId="812"/>
    <cellStyle name="Comma 4 2 3 2 3 2" xfId="1856"/>
    <cellStyle name="Comma 4 2 3 2 3 3" xfId="2817"/>
    <cellStyle name="Comma 4 2 3 2 4" xfId="1341"/>
    <cellStyle name="Comma 4 2 3 2 5" xfId="2366"/>
    <cellStyle name="Comma 4 2 3 3" xfId="447"/>
    <cellStyle name="Comma 4 2 3 3 2" xfId="961"/>
    <cellStyle name="Comma 4 2 3 3 2 2" xfId="2005"/>
    <cellStyle name="Comma 4 2 3 3 2 3" xfId="2934"/>
    <cellStyle name="Comma 4 2 3 3 3" xfId="1491"/>
    <cellStyle name="Comma 4 2 3 3 4" xfId="2484"/>
    <cellStyle name="Comma 4 2 3 4" xfId="704"/>
    <cellStyle name="Comma 4 2 3 4 2" xfId="1748"/>
    <cellStyle name="Comma 4 2 3 4 3" xfId="2709"/>
    <cellStyle name="Comma 4 2 3 5" xfId="1227"/>
    <cellStyle name="Comma 4 2 3 6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3" xfId="3006"/>
    <cellStyle name="Comma 4 2 4 2 2 3" xfId="1563"/>
    <cellStyle name="Comma 4 2 4 2 2 4" xfId="2556"/>
    <cellStyle name="Comma 4 2 4 2 3" xfId="776"/>
    <cellStyle name="Comma 4 2 4 2 3 2" xfId="1820"/>
    <cellStyle name="Comma 4 2 4 2 3 3" xfId="2781"/>
    <cellStyle name="Comma 4 2 4 2 4" xfId="1303"/>
    <cellStyle name="Comma 4 2 4 2 5" xfId="2328"/>
    <cellStyle name="Comma 4 2 4 3" xfId="411"/>
    <cellStyle name="Comma 4 2 4 3 2" xfId="925"/>
    <cellStyle name="Comma 4 2 4 3 2 2" xfId="1969"/>
    <cellStyle name="Comma 4 2 4 3 2 3" xfId="2898"/>
    <cellStyle name="Comma 4 2 4 3 3" xfId="1455"/>
    <cellStyle name="Comma 4 2 4 3 4" xfId="2448"/>
    <cellStyle name="Comma 4 2 4 4" xfId="668"/>
    <cellStyle name="Comma 4 2 4 4 2" xfId="1712"/>
    <cellStyle name="Comma 4 2 4 4 3" xfId="2673"/>
    <cellStyle name="Comma 4 2 4 5" xfId="1189"/>
    <cellStyle name="Comma 4 2 4 6" xfId="2214"/>
    <cellStyle name="Comma 4 2 5" xfId="213"/>
    <cellStyle name="Comma 4 2 5 2" xfId="483"/>
    <cellStyle name="Comma 4 2 5 2 2" xfId="997"/>
    <cellStyle name="Comma 4 2 5 2 2 2" xfId="2041"/>
    <cellStyle name="Comma 4 2 5 2 2 3" xfId="2970"/>
    <cellStyle name="Comma 4 2 5 2 3" xfId="1527"/>
    <cellStyle name="Comma 4 2 5 2 4" xfId="2520"/>
    <cellStyle name="Comma 4 2 5 3" xfId="740"/>
    <cellStyle name="Comma 4 2 5 3 2" xfId="1784"/>
    <cellStyle name="Comma 4 2 5 3 3" xfId="2745"/>
    <cellStyle name="Comma 4 2 5 4" xfId="1265"/>
    <cellStyle name="Comma 4 2 5 5" xfId="2290"/>
    <cellStyle name="Comma 4 2 6" xfId="375"/>
    <cellStyle name="Comma 4 2 6 2" xfId="889"/>
    <cellStyle name="Comma 4 2 6 2 2" xfId="1933"/>
    <cellStyle name="Comma 4 2 6 2 3" xfId="2862"/>
    <cellStyle name="Comma 4 2 6 3" xfId="1419"/>
    <cellStyle name="Comma 4 2 6 4" xfId="2412"/>
    <cellStyle name="Comma 4 2 7" xfId="632"/>
    <cellStyle name="Comma 4 2 7 2" xfId="1676"/>
    <cellStyle name="Comma 4 2 7 3" xfId="2637"/>
    <cellStyle name="Comma 4 2 8" xfId="1151"/>
    <cellStyle name="Comma 4 2 9" xfId="2176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3" xfId="3051"/>
    <cellStyle name="Comma 4 3 2 2 2 3" xfId="1608"/>
    <cellStyle name="Comma 4 3 2 2 2 4" xfId="2601"/>
    <cellStyle name="Comma 4 3 2 2 3" xfId="821"/>
    <cellStyle name="Comma 4 3 2 2 3 2" xfId="1865"/>
    <cellStyle name="Comma 4 3 2 2 3 3" xfId="2826"/>
    <cellStyle name="Comma 4 3 2 2 4" xfId="1350"/>
    <cellStyle name="Comma 4 3 2 2 5" xfId="2375"/>
    <cellStyle name="Comma 4 3 2 3" xfId="456"/>
    <cellStyle name="Comma 4 3 2 3 2" xfId="970"/>
    <cellStyle name="Comma 4 3 2 3 2 2" xfId="2014"/>
    <cellStyle name="Comma 4 3 2 3 2 3" xfId="2943"/>
    <cellStyle name="Comma 4 3 2 3 3" xfId="1500"/>
    <cellStyle name="Comma 4 3 2 3 4" xfId="2493"/>
    <cellStyle name="Comma 4 3 2 4" xfId="713"/>
    <cellStyle name="Comma 4 3 2 4 2" xfId="1757"/>
    <cellStyle name="Comma 4 3 2 4 3" xfId="2718"/>
    <cellStyle name="Comma 4 3 2 5" xfId="1236"/>
    <cellStyle name="Comma 4 3 2 6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3" xfId="3015"/>
    <cellStyle name="Comma 4 3 3 2 2 3" xfId="1572"/>
    <cellStyle name="Comma 4 3 3 2 2 4" xfId="2565"/>
    <cellStyle name="Comma 4 3 3 2 3" xfId="785"/>
    <cellStyle name="Comma 4 3 3 2 3 2" xfId="1829"/>
    <cellStyle name="Comma 4 3 3 2 3 3" xfId="2790"/>
    <cellStyle name="Comma 4 3 3 2 4" xfId="1312"/>
    <cellStyle name="Comma 4 3 3 2 5" xfId="2337"/>
    <cellStyle name="Comma 4 3 3 3" xfId="420"/>
    <cellStyle name="Comma 4 3 3 3 2" xfId="934"/>
    <cellStyle name="Comma 4 3 3 3 2 2" xfId="1978"/>
    <cellStyle name="Comma 4 3 3 3 2 3" xfId="2907"/>
    <cellStyle name="Comma 4 3 3 3 3" xfId="1464"/>
    <cellStyle name="Comma 4 3 3 3 4" xfId="2457"/>
    <cellStyle name="Comma 4 3 3 4" xfId="677"/>
    <cellStyle name="Comma 4 3 3 4 2" xfId="1721"/>
    <cellStyle name="Comma 4 3 3 4 3" xfId="2682"/>
    <cellStyle name="Comma 4 3 3 5" xfId="1198"/>
    <cellStyle name="Comma 4 3 3 6" xfId="2223"/>
    <cellStyle name="Comma 4 3 4" xfId="223"/>
    <cellStyle name="Comma 4 3 4 2" xfId="492"/>
    <cellStyle name="Comma 4 3 4 2 2" xfId="1006"/>
    <cellStyle name="Comma 4 3 4 2 2 2" xfId="2050"/>
    <cellStyle name="Comma 4 3 4 2 2 3" xfId="2979"/>
    <cellStyle name="Comma 4 3 4 2 3" xfId="1536"/>
    <cellStyle name="Comma 4 3 4 2 4" xfId="2529"/>
    <cellStyle name="Comma 4 3 4 3" xfId="749"/>
    <cellStyle name="Comma 4 3 4 3 2" xfId="1793"/>
    <cellStyle name="Comma 4 3 4 3 3" xfId="2754"/>
    <cellStyle name="Comma 4 3 4 4" xfId="1274"/>
    <cellStyle name="Comma 4 3 4 5" xfId="2299"/>
    <cellStyle name="Comma 4 3 5" xfId="384"/>
    <cellStyle name="Comma 4 3 5 2" xfId="898"/>
    <cellStyle name="Comma 4 3 5 2 2" xfId="1942"/>
    <cellStyle name="Comma 4 3 5 2 3" xfId="2871"/>
    <cellStyle name="Comma 4 3 5 3" xfId="1428"/>
    <cellStyle name="Comma 4 3 5 4" xfId="2421"/>
    <cellStyle name="Comma 4 3 6" xfId="641"/>
    <cellStyle name="Comma 4 3 6 2" xfId="1685"/>
    <cellStyle name="Comma 4 3 6 3" xfId="2646"/>
    <cellStyle name="Comma 4 3 7" xfId="1160"/>
    <cellStyle name="Comma 4 3 8" xfId="218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3" xfId="3033"/>
    <cellStyle name="Comma 4 4 2 2 3" xfId="1590"/>
    <cellStyle name="Comma 4 4 2 2 4" xfId="2583"/>
    <cellStyle name="Comma 4 4 2 3" xfId="803"/>
    <cellStyle name="Comma 4 4 2 3 2" xfId="1847"/>
    <cellStyle name="Comma 4 4 2 3 3" xfId="2808"/>
    <cellStyle name="Comma 4 4 2 4" xfId="1331"/>
    <cellStyle name="Comma 4 4 2 5" xfId="2356"/>
    <cellStyle name="Comma 4 4 3" xfId="438"/>
    <cellStyle name="Comma 4 4 3 2" xfId="952"/>
    <cellStyle name="Comma 4 4 3 2 2" xfId="1996"/>
    <cellStyle name="Comma 4 4 3 2 3" xfId="2925"/>
    <cellStyle name="Comma 4 4 3 3" xfId="1482"/>
    <cellStyle name="Comma 4 4 3 4" xfId="2475"/>
    <cellStyle name="Comma 4 4 4" xfId="695"/>
    <cellStyle name="Comma 4 4 4 2" xfId="1739"/>
    <cellStyle name="Comma 4 4 4 3" xfId="2700"/>
    <cellStyle name="Comma 4 4 5" xfId="1217"/>
    <cellStyle name="Comma 4 4 6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3" xfId="2997"/>
    <cellStyle name="Comma 4 5 2 2 3" xfId="1554"/>
    <cellStyle name="Comma 4 5 2 2 4" xfId="2547"/>
    <cellStyle name="Comma 4 5 2 3" xfId="767"/>
    <cellStyle name="Comma 4 5 2 3 2" xfId="1811"/>
    <cellStyle name="Comma 4 5 2 3 3" xfId="2772"/>
    <cellStyle name="Comma 4 5 2 4" xfId="1293"/>
    <cellStyle name="Comma 4 5 2 5" xfId="2318"/>
    <cellStyle name="Comma 4 5 3" xfId="402"/>
    <cellStyle name="Comma 4 5 3 2" xfId="916"/>
    <cellStyle name="Comma 4 5 3 2 2" xfId="1960"/>
    <cellStyle name="Comma 4 5 3 2 3" xfId="2889"/>
    <cellStyle name="Comma 4 5 3 3" xfId="1446"/>
    <cellStyle name="Comma 4 5 3 4" xfId="2439"/>
    <cellStyle name="Comma 4 5 4" xfId="659"/>
    <cellStyle name="Comma 4 5 4 2" xfId="1703"/>
    <cellStyle name="Comma 4 5 4 3" xfId="2664"/>
    <cellStyle name="Comma 4 5 5" xfId="1179"/>
    <cellStyle name="Comma 4 5 6" xfId="2204"/>
    <cellStyle name="Comma 4 6" xfId="203"/>
    <cellStyle name="Comma 4 6 2" xfId="474"/>
    <cellStyle name="Comma 4 6 2 2" xfId="988"/>
    <cellStyle name="Comma 4 6 2 2 2" xfId="2032"/>
    <cellStyle name="Comma 4 6 2 2 3" xfId="2961"/>
    <cellStyle name="Comma 4 6 2 3" xfId="1518"/>
    <cellStyle name="Comma 4 6 2 4" xfId="2511"/>
    <cellStyle name="Comma 4 6 3" xfId="731"/>
    <cellStyle name="Comma 4 6 3 2" xfId="1775"/>
    <cellStyle name="Comma 4 6 3 3" xfId="2736"/>
    <cellStyle name="Comma 4 6 4" xfId="1255"/>
    <cellStyle name="Comma 4 6 5" xfId="2280"/>
    <cellStyle name="Comma 4 7" xfId="77"/>
    <cellStyle name="Comma 4 7 2" xfId="364"/>
    <cellStyle name="Comma 4 7 2 2" xfId="878"/>
    <cellStyle name="Comma 4 7 2 2 2" xfId="1922"/>
    <cellStyle name="Comma 4 7 2 2 3" xfId="2853"/>
    <cellStyle name="Comma 4 7 2 3" xfId="1408"/>
    <cellStyle name="Comma 4 7 2 4" xfId="2403"/>
    <cellStyle name="Comma 4 7 3" xfId="621"/>
    <cellStyle name="Comma 4 7 3 2" xfId="1665"/>
    <cellStyle name="Comma 4 7 3 3" xfId="2628"/>
    <cellStyle name="Comma 4 7 4" xfId="1137"/>
    <cellStyle name="Comma 4 7 5" xfId="2164"/>
    <cellStyle name="Comma 4 8" xfId="344"/>
    <cellStyle name="Comma 4 8 2" xfId="858"/>
    <cellStyle name="Comma 4 8 2 2" xfId="1902"/>
    <cellStyle name="Comma 4 8 2 3" xfId="2842"/>
    <cellStyle name="Comma 4 8 3" xfId="1388"/>
    <cellStyle name="Comma 4 8 4" xfId="2392"/>
    <cellStyle name="Comma 4 9" xfId="601"/>
    <cellStyle name="Comma 4 9 2" xfId="1645"/>
    <cellStyle name="Comma 4 9 3" xfId="2617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3" xfId="3054"/>
    <cellStyle name="Comma 5 2 2 2 2 3" xfId="1611"/>
    <cellStyle name="Comma 5 2 2 2 2 4" xfId="2604"/>
    <cellStyle name="Comma 5 2 2 2 3" xfId="824"/>
    <cellStyle name="Comma 5 2 2 2 3 2" xfId="1868"/>
    <cellStyle name="Comma 5 2 2 2 3 3" xfId="2829"/>
    <cellStyle name="Comma 5 2 2 2 4" xfId="1354"/>
    <cellStyle name="Comma 5 2 2 2 5" xfId="2379"/>
    <cellStyle name="Comma 5 2 2 3" xfId="459"/>
    <cellStyle name="Comma 5 2 2 3 2" xfId="973"/>
    <cellStyle name="Comma 5 2 2 3 2 2" xfId="2017"/>
    <cellStyle name="Comma 5 2 2 3 2 3" xfId="2946"/>
    <cellStyle name="Comma 5 2 2 3 3" xfId="1503"/>
    <cellStyle name="Comma 5 2 2 3 4" xfId="2496"/>
    <cellStyle name="Comma 5 2 2 4" xfId="716"/>
    <cellStyle name="Comma 5 2 2 4 2" xfId="1760"/>
    <cellStyle name="Comma 5 2 2 4 3" xfId="2721"/>
    <cellStyle name="Comma 5 2 2 5" xfId="1240"/>
    <cellStyle name="Comma 5 2 2 6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3" xfId="3018"/>
    <cellStyle name="Comma 5 2 3 2 2 3" xfId="1575"/>
    <cellStyle name="Comma 5 2 3 2 2 4" xfId="2568"/>
    <cellStyle name="Comma 5 2 3 2 3" xfId="788"/>
    <cellStyle name="Comma 5 2 3 2 3 2" xfId="1832"/>
    <cellStyle name="Comma 5 2 3 2 3 3" xfId="2793"/>
    <cellStyle name="Comma 5 2 3 2 4" xfId="1316"/>
    <cellStyle name="Comma 5 2 3 2 5" xfId="2341"/>
    <cellStyle name="Comma 5 2 3 3" xfId="423"/>
    <cellStyle name="Comma 5 2 3 3 2" xfId="937"/>
    <cellStyle name="Comma 5 2 3 3 2 2" xfId="1981"/>
    <cellStyle name="Comma 5 2 3 3 2 3" xfId="2910"/>
    <cellStyle name="Comma 5 2 3 3 3" xfId="1467"/>
    <cellStyle name="Comma 5 2 3 3 4" xfId="2460"/>
    <cellStyle name="Comma 5 2 3 4" xfId="680"/>
    <cellStyle name="Comma 5 2 3 4 2" xfId="1724"/>
    <cellStyle name="Comma 5 2 3 4 3" xfId="2685"/>
    <cellStyle name="Comma 5 2 3 5" xfId="1202"/>
    <cellStyle name="Comma 5 2 3 6" xfId="2227"/>
    <cellStyle name="Comma 5 2 4" xfId="227"/>
    <cellStyle name="Comma 5 2 4 2" xfId="495"/>
    <cellStyle name="Comma 5 2 4 2 2" xfId="1009"/>
    <cellStyle name="Comma 5 2 4 2 2 2" xfId="2053"/>
    <cellStyle name="Comma 5 2 4 2 2 3" xfId="2982"/>
    <cellStyle name="Comma 5 2 4 2 3" xfId="1539"/>
    <cellStyle name="Comma 5 2 4 2 4" xfId="2532"/>
    <cellStyle name="Comma 5 2 4 3" xfId="752"/>
    <cellStyle name="Comma 5 2 4 3 2" xfId="1796"/>
    <cellStyle name="Comma 5 2 4 3 3" xfId="2757"/>
    <cellStyle name="Comma 5 2 4 4" xfId="1278"/>
    <cellStyle name="Comma 5 2 4 5" xfId="2303"/>
    <cellStyle name="Comma 5 2 5" xfId="387"/>
    <cellStyle name="Comma 5 2 5 2" xfId="901"/>
    <cellStyle name="Comma 5 2 5 2 2" xfId="1945"/>
    <cellStyle name="Comma 5 2 5 2 3" xfId="2874"/>
    <cellStyle name="Comma 5 2 5 3" xfId="1431"/>
    <cellStyle name="Comma 5 2 5 4" xfId="2424"/>
    <cellStyle name="Comma 5 2 6" xfId="644"/>
    <cellStyle name="Comma 5 2 6 2" xfId="1688"/>
    <cellStyle name="Comma 5 2 6 3" xfId="2649"/>
    <cellStyle name="Comma 5 2 7" xfId="1164"/>
    <cellStyle name="Comma 5 2 8" xfId="2189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3" xfId="3036"/>
    <cellStyle name="Comma 5 3 2 2 3" xfId="1593"/>
    <cellStyle name="Comma 5 3 2 2 4" xfId="2586"/>
    <cellStyle name="Comma 5 3 2 3" xfId="806"/>
    <cellStyle name="Comma 5 3 2 3 2" xfId="1850"/>
    <cellStyle name="Comma 5 3 2 3 3" xfId="2811"/>
    <cellStyle name="Comma 5 3 2 4" xfId="1335"/>
    <cellStyle name="Comma 5 3 2 5" xfId="2360"/>
    <cellStyle name="Comma 5 3 3" xfId="441"/>
    <cellStyle name="Comma 5 3 3 2" xfId="955"/>
    <cellStyle name="Comma 5 3 3 2 2" xfId="1999"/>
    <cellStyle name="Comma 5 3 3 2 3" xfId="2928"/>
    <cellStyle name="Comma 5 3 3 3" xfId="1485"/>
    <cellStyle name="Comma 5 3 3 4" xfId="2478"/>
    <cellStyle name="Comma 5 3 4" xfId="698"/>
    <cellStyle name="Comma 5 3 4 2" xfId="1742"/>
    <cellStyle name="Comma 5 3 4 3" xfId="2703"/>
    <cellStyle name="Comma 5 3 5" xfId="1221"/>
    <cellStyle name="Comma 5 3 6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3" xfId="3000"/>
    <cellStyle name="Comma 5 4 2 2 3" xfId="1557"/>
    <cellStyle name="Comma 5 4 2 2 4" xfId="2550"/>
    <cellStyle name="Comma 5 4 2 3" xfId="770"/>
    <cellStyle name="Comma 5 4 2 3 2" xfId="1814"/>
    <cellStyle name="Comma 5 4 2 3 3" xfId="2775"/>
    <cellStyle name="Comma 5 4 2 4" xfId="1297"/>
    <cellStyle name="Comma 5 4 2 5" xfId="2322"/>
    <cellStyle name="Comma 5 4 3" xfId="405"/>
    <cellStyle name="Comma 5 4 3 2" xfId="919"/>
    <cellStyle name="Comma 5 4 3 2 2" xfId="1963"/>
    <cellStyle name="Comma 5 4 3 2 3" xfId="2892"/>
    <cellStyle name="Comma 5 4 3 3" xfId="1449"/>
    <cellStyle name="Comma 5 4 3 4" xfId="2442"/>
    <cellStyle name="Comma 5 4 4" xfId="662"/>
    <cellStyle name="Comma 5 4 4 2" xfId="1706"/>
    <cellStyle name="Comma 5 4 4 3" xfId="2667"/>
    <cellStyle name="Comma 5 4 5" xfId="1183"/>
    <cellStyle name="Comma 5 4 6" xfId="2208"/>
    <cellStyle name="Comma 5 5" xfId="207"/>
    <cellStyle name="Comma 5 5 2" xfId="477"/>
    <cellStyle name="Comma 5 5 2 2" xfId="991"/>
    <cellStyle name="Comma 5 5 2 2 2" xfId="2035"/>
    <cellStyle name="Comma 5 5 2 2 3" xfId="2964"/>
    <cellStyle name="Comma 5 5 2 3" xfId="1521"/>
    <cellStyle name="Comma 5 5 2 4" xfId="2514"/>
    <cellStyle name="Comma 5 5 3" xfId="734"/>
    <cellStyle name="Comma 5 5 3 2" xfId="1778"/>
    <cellStyle name="Comma 5 5 3 3" xfId="2739"/>
    <cellStyle name="Comma 5 5 4" xfId="1259"/>
    <cellStyle name="Comma 5 5 5" xfId="2284"/>
    <cellStyle name="Comma 5 6" xfId="368"/>
    <cellStyle name="Comma 5 6 2" xfId="882"/>
    <cellStyle name="Comma 5 6 2 2" xfId="1926"/>
    <cellStyle name="Comma 5 6 2 3" xfId="2856"/>
    <cellStyle name="Comma 5 6 3" xfId="1412"/>
    <cellStyle name="Comma 5 6 4" xfId="2406"/>
    <cellStyle name="Comma 5 7" xfId="625"/>
    <cellStyle name="Comma 5 7 2" xfId="1669"/>
    <cellStyle name="Comma 5 7 3" xfId="2631"/>
    <cellStyle name="Comma 5 8" xfId="1144"/>
    <cellStyle name="Comma 5 9" xfId="2170"/>
    <cellStyle name="Comma 6" xfId="81"/>
    <cellStyle name="Comma 6 2" xfId="104"/>
    <cellStyle name="Comma 6 2 2" xfId="182"/>
    <cellStyle name="Comma 6 2 2 2" xfId="304"/>
    <cellStyle name="Comma 6 2 2 2 2" xfId="1353"/>
    <cellStyle name="Comma 6 2 2 2 3" xfId="2378"/>
    <cellStyle name="Comma 6 2 2 3" xfId="1239"/>
    <cellStyle name="Comma 6 2 2 4" xfId="2264"/>
    <cellStyle name="Comma 6 2 3" xfId="143"/>
    <cellStyle name="Comma 6 2 3 2" xfId="265"/>
    <cellStyle name="Comma 6 2 3 2 2" xfId="1315"/>
    <cellStyle name="Comma 6 2 3 2 3" xfId="2340"/>
    <cellStyle name="Comma 6 2 3 3" xfId="1201"/>
    <cellStyle name="Comma 6 2 3 4" xfId="2226"/>
    <cellStyle name="Comma 6 2 4" xfId="226"/>
    <cellStyle name="Comma 6 2 4 2" xfId="1277"/>
    <cellStyle name="Comma 6 2 4 3" xfId="2302"/>
    <cellStyle name="Comma 6 2 5" xfId="1163"/>
    <cellStyle name="Comma 6 2 6" xfId="2188"/>
    <cellStyle name="Comma 6 3" xfId="162"/>
    <cellStyle name="Comma 6 3 2" xfId="284"/>
    <cellStyle name="Comma 6 3 2 2" xfId="1334"/>
    <cellStyle name="Comma 6 3 2 3" xfId="2359"/>
    <cellStyle name="Comma 6 3 3" xfId="1220"/>
    <cellStyle name="Comma 6 3 4" xfId="2245"/>
    <cellStyle name="Comma 6 4" xfId="124"/>
    <cellStyle name="Comma 6 4 2" xfId="246"/>
    <cellStyle name="Comma 6 4 2 2" xfId="1296"/>
    <cellStyle name="Comma 6 4 2 3" xfId="2321"/>
    <cellStyle name="Comma 6 4 3" xfId="1182"/>
    <cellStyle name="Comma 6 4 4" xfId="2207"/>
    <cellStyle name="Comma 6 5" xfId="206"/>
    <cellStyle name="Comma 6 5 2" xfId="1258"/>
    <cellStyle name="Comma 6 5 3" xfId="2283"/>
    <cellStyle name="Comma 6 6" xfId="1141"/>
    <cellStyle name="Comma 6 7" xfId="2168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3" xfId="3045"/>
    <cellStyle name="Comma 7 2 2 2 3" xfId="1602"/>
    <cellStyle name="Comma 7 2 2 2 4" xfId="2595"/>
    <cellStyle name="Comma 7 2 2 3" xfId="815"/>
    <cellStyle name="Comma 7 2 2 3 2" xfId="1859"/>
    <cellStyle name="Comma 7 2 2 3 3" xfId="2820"/>
    <cellStyle name="Comma 7 2 2 4" xfId="1344"/>
    <cellStyle name="Comma 7 2 2 5" xfId="2369"/>
    <cellStyle name="Comma 7 2 3" xfId="450"/>
    <cellStyle name="Comma 7 2 3 2" xfId="964"/>
    <cellStyle name="Comma 7 2 3 2 2" xfId="2008"/>
    <cellStyle name="Comma 7 2 3 2 3" xfId="2937"/>
    <cellStyle name="Comma 7 2 3 3" xfId="1494"/>
    <cellStyle name="Comma 7 2 3 4" xfId="2487"/>
    <cellStyle name="Comma 7 2 4" xfId="707"/>
    <cellStyle name="Comma 7 2 4 2" xfId="1751"/>
    <cellStyle name="Comma 7 2 4 3" xfId="2712"/>
    <cellStyle name="Comma 7 2 5" xfId="1230"/>
    <cellStyle name="Comma 7 2 6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3" xfId="3009"/>
    <cellStyle name="Comma 7 3 2 2 3" xfId="1566"/>
    <cellStyle name="Comma 7 3 2 2 4" xfId="2559"/>
    <cellStyle name="Comma 7 3 2 3" xfId="779"/>
    <cellStyle name="Comma 7 3 2 3 2" xfId="1823"/>
    <cellStyle name="Comma 7 3 2 3 3" xfId="2784"/>
    <cellStyle name="Comma 7 3 2 4" xfId="1306"/>
    <cellStyle name="Comma 7 3 2 5" xfId="2331"/>
    <cellStyle name="Comma 7 3 3" xfId="414"/>
    <cellStyle name="Comma 7 3 3 2" xfId="928"/>
    <cellStyle name="Comma 7 3 3 2 2" xfId="1972"/>
    <cellStyle name="Comma 7 3 3 2 3" xfId="2901"/>
    <cellStyle name="Comma 7 3 3 3" xfId="1458"/>
    <cellStyle name="Comma 7 3 3 4" xfId="2451"/>
    <cellStyle name="Comma 7 3 4" xfId="671"/>
    <cellStyle name="Comma 7 3 4 2" xfId="1715"/>
    <cellStyle name="Comma 7 3 4 3" xfId="2676"/>
    <cellStyle name="Comma 7 3 5" xfId="1192"/>
    <cellStyle name="Comma 7 3 6" xfId="2217"/>
    <cellStyle name="Comma 7 4" xfId="217"/>
    <cellStyle name="Comma 7 4 2" xfId="486"/>
    <cellStyle name="Comma 7 4 2 2" xfId="1000"/>
    <cellStyle name="Comma 7 4 2 2 2" xfId="2044"/>
    <cellStyle name="Comma 7 4 2 2 3" xfId="2973"/>
    <cellStyle name="Comma 7 4 2 3" xfId="1530"/>
    <cellStyle name="Comma 7 4 2 4" xfId="2523"/>
    <cellStyle name="Comma 7 4 3" xfId="743"/>
    <cellStyle name="Comma 7 4 3 2" xfId="1787"/>
    <cellStyle name="Comma 7 4 3 3" xfId="2748"/>
    <cellStyle name="Comma 7 4 4" xfId="1268"/>
    <cellStyle name="Comma 7 4 5" xfId="2293"/>
    <cellStyle name="Comma 7 5" xfId="378"/>
    <cellStyle name="Comma 7 5 2" xfId="892"/>
    <cellStyle name="Comma 7 5 2 2" xfId="1936"/>
    <cellStyle name="Comma 7 5 2 3" xfId="2865"/>
    <cellStyle name="Comma 7 5 3" xfId="1422"/>
    <cellStyle name="Comma 7 5 4" xfId="2415"/>
    <cellStyle name="Comma 7 6" xfId="635"/>
    <cellStyle name="Comma 7 6 2" xfId="1679"/>
    <cellStyle name="Comma 7 6 3" xfId="2640"/>
    <cellStyle name="Comma 7 7" xfId="1154"/>
    <cellStyle name="Comma 7 8" xfId="2179"/>
    <cellStyle name="Comma 8" xfId="153"/>
    <cellStyle name="Comma 8 2" xfId="275"/>
    <cellStyle name="Comma 8 2 2" xfId="540"/>
    <cellStyle name="Comma 8 2 2 2" xfId="1054"/>
    <cellStyle name="Comma 8 2 2 2 2" xfId="2098"/>
    <cellStyle name="Comma 8 2 2 2 3" xfId="3027"/>
    <cellStyle name="Comma 8 2 2 3" xfId="1584"/>
    <cellStyle name="Comma 8 2 2 4" xfId="2577"/>
    <cellStyle name="Comma 8 2 3" xfId="797"/>
    <cellStyle name="Comma 8 2 3 2" xfId="1841"/>
    <cellStyle name="Comma 8 2 3 3" xfId="2802"/>
    <cellStyle name="Comma 8 2 4" xfId="1325"/>
    <cellStyle name="Comma 8 2 5" xfId="2350"/>
    <cellStyle name="Comma 8 3" xfId="432"/>
    <cellStyle name="Comma 8 3 2" xfId="946"/>
    <cellStyle name="Comma 8 3 2 2" xfId="1990"/>
    <cellStyle name="Comma 8 3 2 3" xfId="2919"/>
    <cellStyle name="Comma 8 3 3" xfId="1476"/>
    <cellStyle name="Comma 8 3 4" xfId="2469"/>
    <cellStyle name="Comma 8 4" xfId="689"/>
    <cellStyle name="Comma 8 4 2" xfId="1733"/>
    <cellStyle name="Comma 8 4 3" xfId="2694"/>
    <cellStyle name="Comma 8 5" xfId="1211"/>
    <cellStyle name="Comma 8 6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3" xfId="2991"/>
    <cellStyle name="Comma 9 2 2 3" xfId="1548"/>
    <cellStyle name="Comma 9 2 2 4" xfId="2541"/>
    <cellStyle name="Comma 9 2 3" xfId="761"/>
    <cellStyle name="Comma 9 2 3 2" xfId="1805"/>
    <cellStyle name="Comma 9 2 3 3" xfId="2766"/>
    <cellStyle name="Comma 9 2 4" xfId="1287"/>
    <cellStyle name="Comma 9 2 5" xfId="2312"/>
    <cellStyle name="Comma 9 3" xfId="396"/>
    <cellStyle name="Comma 9 3 2" xfId="910"/>
    <cellStyle name="Comma 9 3 2 2" xfId="1954"/>
    <cellStyle name="Comma 9 3 2 3" xfId="2883"/>
    <cellStyle name="Comma 9 3 3" xfId="1440"/>
    <cellStyle name="Comma 9 3 4" xfId="2433"/>
    <cellStyle name="Comma 9 4" xfId="653"/>
    <cellStyle name="Comma 9 4 2" xfId="1697"/>
    <cellStyle name="Comma 9 4 3" xfId="2658"/>
    <cellStyle name="Comma 9 5" xfId="1173"/>
    <cellStyle name="Comma 9 6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3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306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3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K19" sqref="K19"/>
    </sheetView>
  </sheetViews>
  <sheetFormatPr defaultColWidth="9.109375" defaultRowHeight="13.2" x14ac:dyDescent="0.25"/>
  <cols>
    <col min="1" max="1" width="35" style="10" customWidth="1"/>
    <col min="2" max="2" width="14" style="10" customWidth="1"/>
    <col min="3" max="3" width="16.44140625" style="10" customWidth="1"/>
    <col min="4" max="4" width="13.33203125" style="10" customWidth="1"/>
    <col min="5" max="5" width="10.6640625" style="10" customWidth="1"/>
    <col min="6" max="6" width="15.5546875" style="10" bestFit="1" customWidth="1"/>
    <col min="7" max="8" width="16" style="10" bestFit="1" customWidth="1"/>
    <col min="9" max="9" width="15.5546875" style="10" bestFit="1" customWidth="1"/>
    <col min="10" max="10" width="18.6640625" style="10" bestFit="1" customWidth="1"/>
    <col min="11" max="11" width="18.6640625" style="178" bestFit="1" customWidth="1"/>
    <col min="12" max="12" width="17.109375" style="178" customWidth="1"/>
    <col min="13" max="16384" width="9.109375" style="10"/>
  </cols>
  <sheetData>
    <row r="3" spans="1:12" x14ac:dyDescent="0.25">
      <c r="H3" s="126">
        <v>43131</v>
      </c>
    </row>
    <row r="7" spans="1:12" x14ac:dyDescent="0.25">
      <c r="A7" s="107" t="str">
        <f>"Market Profile - "&amp; TEXT($H$3,"MMM")&amp;" "&amp;TEXT($H$3,"YYYY")</f>
        <v>Market Profile - Jan 2018</v>
      </c>
    </row>
    <row r="8" spans="1:12" x14ac:dyDescent="0.25">
      <c r="A8" s="107"/>
      <c r="G8" s="380" t="s">
        <v>199</v>
      </c>
      <c r="H8" s="380"/>
      <c r="I8" s="380"/>
    </row>
    <row r="9" spans="1:12" x14ac:dyDescent="0.25">
      <c r="A9" s="107"/>
      <c r="G9" s="380"/>
      <c r="H9" s="380"/>
      <c r="I9" s="380"/>
    </row>
    <row r="10" spans="1:12" x14ac:dyDescent="0.25">
      <c r="A10" s="107"/>
    </row>
    <row r="11" spans="1:12" x14ac:dyDescent="0.25">
      <c r="K11" s="174"/>
    </row>
    <row r="12" spans="1:12" s="107" customFormat="1" ht="12.75" customHeight="1" thickBot="1" x14ac:dyDescent="0.3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9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9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90"/>
      <c r="B15" s="282" t="str">
        <f>TEXT($H$3,"MMM")&amp;" "&amp;TEXT($H$3,"YYYY")</f>
        <v>Jan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5">
      <c r="A16" s="248" t="s">
        <v>117</v>
      </c>
      <c r="B16" s="127">
        <f>Data!D2</f>
        <v>5406216</v>
      </c>
      <c r="C16" s="127">
        <f>Data!D5</f>
        <v>5406216</v>
      </c>
      <c r="D16" s="249">
        <f>Data!D8</f>
        <v>5640582</v>
      </c>
      <c r="E16" s="286">
        <f>(C16-D16)/ABS(D16)</f>
        <v>-4.1549967716097383E-2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5">
      <c r="A17" s="248" t="s">
        <v>118</v>
      </c>
      <c r="B17" s="127">
        <f>Data!B2/1000000</f>
        <v>6957.3697679999996</v>
      </c>
      <c r="C17" s="127">
        <f>Data!B5/1000000</f>
        <v>6957.3697679999996</v>
      </c>
      <c r="D17" s="249">
        <f>Data!B8/1000000</f>
        <v>5512.6479550000004</v>
      </c>
      <c r="E17" s="286">
        <f t="shared" ref="E17:E18" si="0">(C17-D17)/ABS(D17)</f>
        <v>0.26207402046953299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5">
      <c r="A18" s="248" t="s">
        <v>119</v>
      </c>
      <c r="B18" s="127">
        <f>Data!C2/1000000</f>
        <v>510081.95836987678</v>
      </c>
      <c r="C18" s="127">
        <f>Data!C5/1000000</f>
        <v>510081.95836987678</v>
      </c>
      <c r="D18" s="249">
        <f>Data!C8/1000000</f>
        <v>389202.4237824048</v>
      </c>
      <c r="E18" s="286">
        <f t="shared" si="0"/>
        <v>0.31058268705709108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5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5">
      <c r="A21" s="248" t="s">
        <v>117</v>
      </c>
      <c r="B21" s="127">
        <f>Data!F2</f>
        <v>2475</v>
      </c>
      <c r="C21" s="127">
        <f>Data!F5</f>
        <v>2475</v>
      </c>
      <c r="D21" s="249">
        <f>Data!F8</f>
        <v>2274</v>
      </c>
      <c r="E21" s="286">
        <f>(C21-D21)/ABS(D21)</f>
        <v>8.8390501319261211E-2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5">
      <c r="A22" s="248" t="s">
        <v>118</v>
      </c>
      <c r="B22" s="127">
        <f>Data!G2/1000000</f>
        <v>508.69282399999997</v>
      </c>
      <c r="C22" s="127">
        <f>Data!G5/1000000</f>
        <v>508.69282399999997</v>
      </c>
      <c r="D22" s="249">
        <f>Data!G8/1000000</f>
        <v>559.45813299999998</v>
      </c>
      <c r="E22" s="286">
        <f t="shared" ref="E22:E23" si="1">(C22-D22)/ABS(D22)</f>
        <v>-9.074013944131902E-2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3">
      <c r="A23" s="289" t="s">
        <v>119</v>
      </c>
      <c r="B23" s="128">
        <f>Data!H2/1000000</f>
        <v>31941.266698541825</v>
      </c>
      <c r="C23" s="128">
        <f>Data!H5/1000000</f>
        <v>31941.266698541825</v>
      </c>
      <c r="D23" s="290">
        <f>Data!H8/1000000</f>
        <v>23244.021820079797</v>
      </c>
      <c r="E23" s="291">
        <f t="shared" si="1"/>
        <v>0.3741712577015715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5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3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Jan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5">
      <c r="A29" s="248" t="s">
        <v>10</v>
      </c>
      <c r="B29" s="249">
        <f>Data!O2/1000000</f>
        <v>122511.52041625</v>
      </c>
      <c r="C29" s="249">
        <f>Data!O5/1000000</f>
        <v>122511.52041625</v>
      </c>
      <c r="D29" s="249">
        <f>Data!O8/1000000</f>
        <v>62459.805469650004</v>
      </c>
      <c r="E29" s="195">
        <f>C29-D29</f>
        <v>60051.714946599997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5">
      <c r="A30" s="248" t="s">
        <v>11</v>
      </c>
      <c r="B30" s="249">
        <f>Data!P2/1000000</f>
        <v>-111693.90251480001</v>
      </c>
      <c r="C30" s="249">
        <f>Data!P5/1000000</f>
        <v>-111693.90251480001</v>
      </c>
      <c r="D30" s="249">
        <f>Data!P8/1000000</f>
        <v>-78617.666684619995</v>
      </c>
      <c r="E30" s="195">
        <f>C30-D30</f>
        <v>-33076.235830180012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10817.617901450001</v>
      </c>
      <c r="C31" s="298">
        <f>Data!Q5/1000000</f>
        <v>10817.617901450001</v>
      </c>
      <c r="D31" s="298">
        <f>Data!Q8/1000000</f>
        <v>-16157.86121497</v>
      </c>
      <c r="E31" s="299">
        <f>C31-D31</f>
        <v>26975.47911642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5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3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Jan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5">
      <c r="A38" s="305" t="s">
        <v>117</v>
      </c>
      <c r="B38" s="287">
        <f>Data!CK1</f>
        <v>24727</v>
      </c>
      <c r="C38" s="287">
        <f>Data!CK6</f>
        <v>24727</v>
      </c>
      <c r="D38" s="287">
        <f>Data!CK11</f>
        <v>22193</v>
      </c>
      <c r="E38" s="286">
        <f t="shared" ref="E38:E40" si="2">IFERROR(IF(OR(AND(D38="",C38=""),AND(D38=0,C38=0)),"",
IF(OR(D38="",D38=0),1,
IF(OR(D38&lt;&gt;"",D38&lt;&gt;0),(C38-D38)/ABS(D38)))),-1)</f>
        <v>0.11418014689316451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5">
      <c r="A39" s="305" t="s">
        <v>151</v>
      </c>
      <c r="B39" s="287">
        <f>Data!CK2/1000000</f>
        <v>842888.02806000004</v>
      </c>
      <c r="C39" s="287">
        <f>Data!CK7/1000000</f>
        <v>842888.02806000004</v>
      </c>
      <c r="D39" s="287">
        <f>Data!CK12/1000000</f>
        <v>517553.15460000001</v>
      </c>
      <c r="E39" s="286">
        <f t="shared" si="2"/>
        <v>0.62860185580636785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5">
      <c r="A40" s="305" t="s">
        <v>152</v>
      </c>
      <c r="B40" s="287">
        <f>Data!CK3/1000000</f>
        <v>866668.42222961865</v>
      </c>
      <c r="C40" s="287">
        <f>Data!CK8/1000000</f>
        <v>866668.42222961993</v>
      </c>
      <c r="D40" s="287">
        <f>Data!CK13/1000000</f>
        <v>550331.95252595097</v>
      </c>
      <c r="E40" s="286">
        <f t="shared" si="2"/>
        <v>0.57481029086486135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5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5">
      <c r="A43" s="305" t="s">
        <v>117</v>
      </c>
      <c r="B43" s="287">
        <f>Data!CN1</f>
        <v>14086</v>
      </c>
      <c r="C43" s="287">
        <f>Data!CN6</f>
        <v>14086</v>
      </c>
      <c r="D43" s="287">
        <f>Data!CN11</f>
        <v>12425</v>
      </c>
      <c r="E43" s="286">
        <f t="shared" ref="E43:E45" si="3">IFERROR(IF(OR(AND(D43="",C43=""),AND(D43=0,C43=0)),"",
IF(OR(D43="",D43=0),1,
IF(OR(D43&lt;&gt;"",D43&lt;&gt;0),(C43-D43)/ABS(D43)))),-1)</f>
        <v>0.133682092555332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5">
      <c r="A44" s="305" t="s">
        <v>154</v>
      </c>
      <c r="B44" s="287">
        <f>Data!CN2/1000000</f>
        <v>1604476.8165599999</v>
      </c>
      <c r="C44" s="287">
        <f>Data!CN7/1000000</f>
        <v>1604476.8165599999</v>
      </c>
      <c r="D44" s="287">
        <f>Data!CN12/1000000</f>
        <v>1177915.8482679999</v>
      </c>
      <c r="E44" s="286">
        <f t="shared" si="3"/>
        <v>0.36213195443393736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5">
      <c r="A45" s="305" t="s">
        <v>152</v>
      </c>
      <c r="B45" s="287">
        <f>Data!CN3/1000000</f>
        <v>1610501.6770356197</v>
      </c>
      <c r="C45" s="287">
        <f>Data!CN8/1000000</f>
        <v>1610501.6770356204</v>
      </c>
      <c r="D45" s="287">
        <f>Data!CN13/1000000</f>
        <v>1173940.8205394389</v>
      </c>
      <c r="E45" s="286">
        <f t="shared" si="3"/>
        <v>0.37187637473546326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5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5">
      <c r="A48" s="305" t="s">
        <v>117</v>
      </c>
      <c r="B48" s="127">
        <f>Data!CQ1</f>
        <v>730</v>
      </c>
      <c r="C48" s="127">
        <f>Data!CQ6</f>
        <v>730</v>
      </c>
      <c r="D48" s="249">
        <f>Data!CQ11</f>
        <v>644</v>
      </c>
      <c r="E48" s="286">
        <f t="shared" ref="E48:E50" si="4">IFERROR(IF(OR(AND(D48="",C48=""),AND(D48=0,C48=0)),"",
IF(OR(D48="",D48=0),1,
IF(OR(D48&lt;&gt;"",D48&lt;&gt;0),(C48-D48)/ABS(D48)))),-1)</f>
        <v>0.13354037267080746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5">
      <c r="A49" s="305" t="s">
        <v>154</v>
      </c>
      <c r="B49" s="127">
        <f>Data!CQ2/1000000</f>
        <v>57165.938962</v>
      </c>
      <c r="C49" s="127">
        <f>Data!CQ7/1000000</f>
        <v>57165.938962</v>
      </c>
      <c r="D49" s="249">
        <f>Data!CQ12/1000000</f>
        <v>46458.898559000001</v>
      </c>
      <c r="E49" s="286">
        <f t="shared" si="4"/>
        <v>0.23046263977616049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3">
      <c r="A50" s="309" t="s">
        <v>152</v>
      </c>
      <c r="B50" s="128">
        <f>Data!CQ3/1000000</f>
        <v>19182.857828769997</v>
      </c>
      <c r="C50" s="128">
        <f>Data!CQ8/1000000</f>
        <v>19182.85782877</v>
      </c>
      <c r="D50" s="290">
        <f>Data!CQ13/1000000</f>
        <v>23344.201415709998</v>
      </c>
      <c r="E50" s="291">
        <f t="shared" si="4"/>
        <v>-0.17826026741439652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5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5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3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Jan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5">
      <c r="A57" s="305" t="s">
        <v>157</v>
      </c>
      <c r="B57" s="287">
        <f>(SUMIFS(Data!$CZ$14:$CZ$25,Data!$CU$14:$CU$25,"Standard Trade")+SUMIFS(Data!$CZ$14:$CZ$25,Data!$CU$14:$CU$25,"Standard Trade (Spot)"))/1000000</f>
        <v>125418.81944599999</v>
      </c>
      <c r="C57" s="287">
        <f>(SUMIFS(Data!$CZ$1:$CZ$12,Data!$CU$1:$CU$12,"Standard Trade")+SUMIFS(Data!$CZ$1:$CZ$12,Data!$CU$1:$CU$12,"Standard Trade (Spot)"))/1000000</f>
        <v>125418.81944599999</v>
      </c>
      <c r="D57" s="287">
        <f>(SUMIFS(Data!$CZ$27:$CZ$38,Data!$CU$27:$CU$38,"Standard Trade")+SUMIFS(Data!$CZ$27:$CZ$38,Data!$CU$27:$CU$38,"Standard Trade (Spot)"))/1000000</f>
        <v>63265.412591</v>
      </c>
      <c r="E57" s="195">
        <f>C57-D57</f>
        <v>62153.406854999994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5">
      <c r="A58" s="305" t="s">
        <v>158</v>
      </c>
      <c r="B58" s="287">
        <f>(SUMIFS(Data!$DC$14:$DC$25,Data!$CU$14:$CU$25,"Standard Trade")+SUMIFS(Data!$DC$14:$DC$25,Data!$CU$14:$CU$25,"Standard Trade (Spot)"))/1000000</f>
        <v>132284.36027400001</v>
      </c>
      <c r="C58" s="287">
        <f>(SUMIFS(Data!$DC$1:$DC$12,Data!$CU$1:$CU$12,"Standard Trade")+SUMIFS(Data!$DC$1:$DC$12,Data!$CU$1:$CU$12,"Standard Trade (Spot)"))/1000000</f>
        <v>132284.36027400001</v>
      </c>
      <c r="D58" s="287">
        <f>(SUMIFS(Data!$DC$27:$DC$38,Data!$CU$27:$CU$38,"Standard Trade")+SUMIFS(Data!$DC$27:$DC$38,Data!$CU$27:$CU$38,"Standard Trade (Spot)"))/1000000</f>
        <v>68604.807027999996</v>
      </c>
      <c r="E58" s="195">
        <f>C58-D58</f>
        <v>63679.55324600001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-6865.540828000012</v>
      </c>
      <c r="C59" s="298">
        <f t="shared" ref="C59" si="5">C57-C58</f>
        <v>-6865.540828000012</v>
      </c>
      <c r="D59" s="298">
        <f>D57-D58</f>
        <v>-5339.3944369999954</v>
      </c>
      <c r="E59" s="298">
        <f>E57-E58</f>
        <v>-1526.1463910000166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5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5">
      <c r="F61" s="24"/>
      <c r="G61" s="27"/>
      <c r="J61" s="30"/>
    </row>
    <row r="62" spans="1:12" ht="13.8" thickBot="1" x14ac:dyDescent="0.3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3.8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3.8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4.4" thickBot="1" x14ac:dyDescent="0.3">
      <c r="A65" s="302"/>
      <c r="B65" s="282" t="str">
        <f>TEXT($H$3,"MMM")&amp;" "&amp;TEXT($H$3,"YYYY")</f>
        <v>Jan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3.8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3.8" x14ac:dyDescent="0.25">
      <c r="A67" s="248" t="s">
        <v>117</v>
      </c>
      <c r="B67" s="127">
        <f>C361</f>
        <v>246530</v>
      </c>
      <c r="C67" s="249">
        <f>Data!BR2</f>
        <v>250369</v>
      </c>
      <c r="D67" s="249">
        <f>Data!BR8</f>
        <v>255470</v>
      </c>
      <c r="E67" s="286">
        <f>IFERROR(IF(OR(AND(D67="",C67=""),AND(D67=0,C67=0)),"",
IF(OR(D67="",D67=0),1,
IF(OR(D67&lt;&gt;"",D67&lt;&gt;0),(C67-D67)/ABS(D67)))),-1)</f>
        <v>-1.9967119426938584E-2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3.8" x14ac:dyDescent="0.25">
      <c r="A68" s="248" t="s">
        <v>142</v>
      </c>
      <c r="B68" s="127">
        <f>C379/1000</f>
        <v>3303.431</v>
      </c>
      <c r="C68" s="249">
        <f>Data!BQ2/1000</f>
        <v>3969.9110000000001</v>
      </c>
      <c r="D68" s="249">
        <f>Data!BQ8/1000</f>
        <v>5134.5379999999996</v>
      </c>
      <c r="E68" s="286">
        <f t="shared" ref="E68:E70" si="6">IFERROR(IF(OR(AND(D68="",C68=""),AND(D68=0,C68=0)),"",
IF(OR(D68="",D68=0),1,
IF(OR(D68&lt;&gt;"",D68&lt;&gt;0),(C68-D68)/ABS(D68)))),-1)</f>
        <v>-0.2268221600463371</v>
      </c>
      <c r="F68" s="369">
        <v>293559</v>
      </c>
      <c r="G68" s="361">
        <v>412077</v>
      </c>
      <c r="H68" s="361">
        <v>432277</v>
      </c>
      <c r="I68" s="361">
        <v>210421</v>
      </c>
      <c r="J68" s="158"/>
    </row>
    <row r="69" spans="1:12" ht="13.8" x14ac:dyDescent="0.25">
      <c r="A69" s="248" t="s">
        <v>143</v>
      </c>
      <c r="B69" s="127">
        <f>C397/1000000</f>
        <v>327.96890933057176</v>
      </c>
      <c r="C69" s="249">
        <f>Data!BP2/1000000000</f>
        <v>327.97157303257177</v>
      </c>
      <c r="D69" s="249">
        <f>Data!BP8/1000000000</f>
        <v>349.38752525859087</v>
      </c>
      <c r="E69" s="286">
        <f t="shared" si="6"/>
        <v>-6.1295697979395783E-2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3.8" x14ac:dyDescent="0.25">
      <c r="A70" s="248" t="s">
        <v>144</v>
      </c>
      <c r="B70" s="127">
        <f>SUM(C408:C414)</f>
        <v>10664473</v>
      </c>
      <c r="C70" s="249">
        <f>B70</f>
        <v>10664473</v>
      </c>
      <c r="D70" s="249">
        <f>Data!BP14</f>
        <v>38779269</v>
      </c>
      <c r="E70" s="286">
        <f t="shared" si="6"/>
        <v>-0.72499551242185611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3.8" x14ac:dyDescent="0.25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3.8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3.8" x14ac:dyDescent="0.25">
      <c r="A73" s="248" t="s">
        <v>117</v>
      </c>
      <c r="B73" s="249">
        <f>C368</f>
        <v>789</v>
      </c>
      <c r="C73" s="249">
        <f>Data!BR5</f>
        <v>789</v>
      </c>
      <c r="D73" s="249">
        <f>Data!BR11</f>
        <v>2094</v>
      </c>
      <c r="E73" s="286">
        <f t="shared" ref="E73:E76" si="7">IFERROR(IF(OR(AND(D73="",C73=""),AND(D73=0,C73=0)),"",
IF(OR(D73="",D73=0),1,
IF(OR(D73&lt;&gt;"",D73&lt;&gt;0),(C73-D73)/ABS(D73)))),-1)</f>
        <v>-0.62320916905444124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3.8" x14ac:dyDescent="0.25">
      <c r="A74" s="248" t="s">
        <v>142</v>
      </c>
      <c r="B74" s="249">
        <f>C386/1000</f>
        <v>1679.94</v>
      </c>
      <c r="C74" s="249">
        <f>Data!BQ5/1000</f>
        <v>1679.94</v>
      </c>
      <c r="D74" s="249">
        <f>Data!BQ11/1000</f>
        <v>1768.24</v>
      </c>
      <c r="E74" s="286">
        <f t="shared" si="7"/>
        <v>-4.9936660181875737E-2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3.8" x14ac:dyDescent="0.25">
      <c r="A75" s="248" t="s">
        <v>145</v>
      </c>
      <c r="B75" s="249">
        <f>C404/1000000</f>
        <v>2.0006807149100001</v>
      </c>
      <c r="C75" s="249">
        <f>Data!BP5/1000000000</f>
        <v>2.0006807149100001</v>
      </c>
      <c r="D75" s="249">
        <f>Data!BP11/1000000000</f>
        <v>4.4863983192800001</v>
      </c>
      <c r="E75" s="286">
        <f t="shared" si="7"/>
        <v>-0.55405637829521137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3.8" x14ac:dyDescent="0.25">
      <c r="A76" s="248" t="s">
        <v>144</v>
      </c>
      <c r="B76" s="249">
        <f>SUM(C417:C420)</f>
        <v>3010616</v>
      </c>
      <c r="C76" s="249">
        <f>B76</f>
        <v>3010616</v>
      </c>
      <c r="D76" s="249">
        <f>Data!BP17</f>
        <v>3206594</v>
      </c>
      <c r="E76" s="286">
        <f t="shared" si="7"/>
        <v>-6.1117185399835461E-2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5">
      <c r="C77" s="157"/>
      <c r="D77" s="157"/>
      <c r="E77" s="157"/>
      <c r="F77" s="157"/>
      <c r="G77" s="157"/>
      <c r="H77" s="157"/>
      <c r="I77" s="157"/>
      <c r="J77" s="157"/>
    </row>
    <row r="78" spans="1:12" x14ac:dyDescent="0.25">
      <c r="C78" s="157"/>
      <c r="D78" s="157"/>
      <c r="E78" s="157"/>
      <c r="F78" s="157"/>
      <c r="G78" s="157"/>
      <c r="H78" s="157"/>
      <c r="I78" s="157"/>
      <c r="J78" s="157"/>
    </row>
    <row r="79" spans="1:12" x14ac:dyDescent="0.25">
      <c r="C79" s="157"/>
      <c r="D79" s="157"/>
      <c r="E79" s="157"/>
      <c r="F79" s="157"/>
      <c r="G79" s="157"/>
      <c r="H79" s="157"/>
      <c r="I79" s="157"/>
      <c r="J79" s="157"/>
    </row>
    <row r="80" spans="1:12" x14ac:dyDescent="0.25">
      <c r="C80" s="157"/>
    </row>
    <row r="81" spans="1:9" x14ac:dyDescent="0.25">
      <c r="C81" s="157"/>
    </row>
    <row r="82" spans="1:9" x14ac:dyDescent="0.25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5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5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5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5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5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5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5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5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5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5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5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5">
      <c r="A94" s="107" t="str">
        <f>"Market Profile - "&amp; TEXT($H$3,"MMM")&amp;" "&amp;TEXT($H$3,"YYYY")</f>
        <v>Market Profile - Jan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5">
      <c r="A95" s="246"/>
      <c r="B95" s="230"/>
      <c r="C95" s="230"/>
      <c r="D95" s="230"/>
      <c r="E95" s="247"/>
      <c r="F95" s="380" t="s">
        <v>199</v>
      </c>
      <c r="G95" s="380"/>
      <c r="H95" s="380"/>
      <c r="I95" s="230"/>
    </row>
    <row r="96" spans="1:9" x14ac:dyDescent="0.25">
      <c r="A96" s="247"/>
      <c r="B96" s="159"/>
      <c r="C96" s="247"/>
      <c r="D96" s="247"/>
      <c r="E96" s="247"/>
      <c r="F96" s="380"/>
      <c r="G96" s="380"/>
      <c r="H96" s="380"/>
      <c r="I96" s="247"/>
    </row>
    <row r="97" spans="1:9" x14ac:dyDescent="0.25">
      <c r="B97" s="19"/>
      <c r="F97" s="24"/>
      <c r="G97" s="27"/>
    </row>
    <row r="98" spans="1:9" ht="13.8" thickBot="1" x14ac:dyDescent="0.3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3.8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3.8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4.4" thickBot="1" x14ac:dyDescent="0.3">
      <c r="A101" s="302"/>
      <c r="B101" s="282" t="str">
        <f>TEXT($H$3,"MMM")&amp;" "&amp;TEXT($H$3,"YYYY")</f>
        <v>Jan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3.8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3.8" x14ac:dyDescent="0.25">
      <c r="A103" s="248" t="s">
        <v>117</v>
      </c>
      <c r="B103" s="127">
        <f>Data!BR20</f>
        <v>2086</v>
      </c>
      <c r="C103" s="249">
        <f>Data!BR32</f>
        <v>2086</v>
      </c>
      <c r="D103" s="249">
        <f>Data!BR38</f>
        <v>1509</v>
      </c>
      <c r="E103" s="286">
        <f t="shared" ref="E103:E106" si="8">IFERROR(IF(OR(AND(D103="",C103=""),AND(D103=0,C103=0)),"",
IF(OR(D103="",D103=0),1,
IF(OR(D103&lt;&gt;"",D103&lt;&gt;0),(C103-D103)/ABS(D103)))),-1)</f>
        <v>0.38237243207422134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3.8" x14ac:dyDescent="0.25">
      <c r="A104" s="248" t="s">
        <v>146</v>
      </c>
      <c r="B104" s="127">
        <f>Data!BQ20</f>
        <v>2517737</v>
      </c>
      <c r="C104" s="249">
        <f>Data!BQ32</f>
        <v>2517737</v>
      </c>
      <c r="D104" s="249">
        <f>Data!BQ38</f>
        <v>1968757</v>
      </c>
      <c r="E104" s="286">
        <f t="shared" si="8"/>
        <v>0.27884599267456572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3.8" x14ac:dyDescent="0.25">
      <c r="A105" s="248" t="s">
        <v>119</v>
      </c>
      <c r="B105" s="127">
        <f>Data!BP20/1000000</f>
        <v>281811.42672390997</v>
      </c>
      <c r="C105" s="249">
        <f>Data!BP32/1000000</f>
        <v>281811.42672390997</v>
      </c>
      <c r="D105" s="249">
        <f>Data!BP38/1000000</f>
        <v>229534.51139967999</v>
      </c>
      <c r="E105" s="286">
        <f t="shared" si="8"/>
        <v>0.22775187489432519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3.8" x14ac:dyDescent="0.25">
      <c r="A106" s="248" t="s">
        <v>144</v>
      </c>
      <c r="B106" s="127">
        <f>Data!BP26</f>
        <v>1378397</v>
      </c>
      <c r="C106" s="249">
        <f>B106</f>
        <v>1378397</v>
      </c>
      <c r="D106" s="249">
        <f>Data!BP44</f>
        <v>1141073</v>
      </c>
      <c r="E106" s="286">
        <f t="shared" si="8"/>
        <v>0.20798318775398245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3.8" x14ac:dyDescent="0.25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3.8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3.8" x14ac:dyDescent="0.25">
      <c r="A109" s="248" t="s">
        <v>117</v>
      </c>
      <c r="B109" s="127">
        <f>Data!BR23</f>
        <v>99</v>
      </c>
      <c r="C109" s="127">
        <f>Data!BR35</f>
        <v>99</v>
      </c>
      <c r="D109" s="127">
        <f>Data!BR41</f>
        <v>29</v>
      </c>
      <c r="E109" s="286">
        <f t="shared" ref="E109:E112" si="9">IFERROR(IF(OR(AND(D109="",C109=""),AND(D109=0,C109=0)),"",
IF(OR(D109="",D109=0),1,
IF(OR(D109&lt;&gt;"",D109&lt;&gt;0),(C109-D109)/ABS(D109)))),-1)</f>
        <v>2.4137931034482758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3.8" x14ac:dyDescent="0.25">
      <c r="A110" s="248" t="s">
        <v>146</v>
      </c>
      <c r="B110" s="127">
        <f>Data!BQ23</f>
        <v>60405</v>
      </c>
      <c r="C110" s="127">
        <f>Data!BQ35</f>
        <v>60405</v>
      </c>
      <c r="D110" s="127">
        <f>Data!BQ41</f>
        <v>14483</v>
      </c>
      <c r="E110" s="286">
        <f t="shared" si="9"/>
        <v>3.1707519160394946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3.8" x14ac:dyDescent="0.25">
      <c r="A111" s="248" t="s">
        <v>196</v>
      </c>
      <c r="B111" s="127">
        <f>Data!BP23/1000000</f>
        <v>6370.8727609999996</v>
      </c>
      <c r="C111" s="127">
        <f>Data!BP35/1000000</f>
        <v>6370.8727609999996</v>
      </c>
      <c r="D111" s="127">
        <f>Data!BP41/1000000</f>
        <v>1346.14256146</v>
      </c>
      <c r="E111" s="286">
        <f t="shared" si="9"/>
        <v>3.7326880104661981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4.4" thickBot="1" x14ac:dyDescent="0.3">
      <c r="A112" s="289" t="s">
        <v>144</v>
      </c>
      <c r="B112" s="128">
        <f>Data!BP29</f>
        <v>153746</v>
      </c>
      <c r="C112" s="128">
        <f>B112</f>
        <v>153746</v>
      </c>
      <c r="D112" s="128">
        <f>Data!BP47</f>
        <v>47845</v>
      </c>
      <c r="E112" s="291">
        <f t="shared" si="9"/>
        <v>2.213418330024036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8" thickTop="1" x14ac:dyDescent="0.25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5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5">
      <c r="A115" s="35"/>
      <c r="B115" s="19"/>
      <c r="F115" s="24"/>
      <c r="G115" s="27"/>
    </row>
    <row r="116" spans="1:12" ht="13.8" thickBot="1" x14ac:dyDescent="0.3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3.8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3.8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4.4" thickBot="1" x14ac:dyDescent="0.3">
      <c r="A119" s="302"/>
      <c r="B119" s="282" t="str">
        <f>TEXT($H$3,"MMM")&amp;" "&amp;TEXT($H$3,"YYYY")</f>
        <v>Jan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3.8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3.8" x14ac:dyDescent="0.25">
      <c r="A121" s="248" t="s">
        <v>117</v>
      </c>
      <c r="B121" s="249">
        <f>Data!BR50</f>
        <v>3300</v>
      </c>
      <c r="C121" s="249">
        <f>Data!BR60</f>
        <v>3300</v>
      </c>
      <c r="D121" s="249">
        <f>Data!BR66</f>
        <v>3787</v>
      </c>
      <c r="E121" s="286">
        <f t="shared" ref="E121:E123" si="10">IFERROR(IF(OR(AND(D121="",C121=""),AND(D121=0,C121=0)),"",
IF(OR(D121="",D121=0),1,
IF(OR(D121&lt;&gt;"",D121&lt;&gt;0),(C121-D121)/ABS(D121)))),-1)</f>
        <v>-0.12859783469764985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3.8" x14ac:dyDescent="0.25">
      <c r="A122" s="248" t="s">
        <v>146</v>
      </c>
      <c r="B122" s="249">
        <f>Data!BQ50</f>
        <v>2323459</v>
      </c>
      <c r="C122" s="249">
        <f>Data!BQ60</f>
        <v>2323459</v>
      </c>
      <c r="D122" s="249">
        <f>Data!BQ66</f>
        <v>1159008</v>
      </c>
      <c r="E122" s="286">
        <f t="shared" si="10"/>
        <v>1.0046962574891631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3.8" x14ac:dyDescent="0.25">
      <c r="A123" s="248" t="s">
        <v>119</v>
      </c>
      <c r="B123" s="249">
        <f>Data!BP50/1000000</f>
        <v>29325.3090964</v>
      </c>
      <c r="C123" s="249">
        <f>Data!BP60/1000000</f>
        <v>29325.3090964</v>
      </c>
      <c r="D123" s="249">
        <f>Data!BP66/1000000</f>
        <v>15591.437735399999</v>
      </c>
      <c r="E123" s="286">
        <f t="shared" si="10"/>
        <v>0.88085984077129487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3.8" x14ac:dyDescent="0.25">
      <c r="A124" s="248" t="s">
        <v>144</v>
      </c>
      <c r="B124" s="249">
        <f>VLOOKUP("Future",Data!$BP$55:$BQ$57,2,FALSE)</f>
        <v>1567597</v>
      </c>
      <c r="C124" s="249">
        <f>B124</f>
        <v>1567597</v>
      </c>
      <c r="D124" s="249">
        <f>VLOOKUP("Future",Data!$BP$71:$BQ$73,2,FALSE)</f>
        <v>986271</v>
      </c>
      <c r="E124" s="286">
        <f>IFERROR(IF(OR(AND(D124="",C124=""),AND(D124=0,C124=0)),"",
IF(OR(D124="",D124=0),1,
IF(OR(D124&lt;&gt;"",D124&lt;&gt;0),(C124-D124)/ABS(D124)))),-1)</f>
        <v>0.58941812138854333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3.8" x14ac:dyDescent="0.25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3.8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3.8" x14ac:dyDescent="0.25">
      <c r="A127" s="248" t="s">
        <v>117</v>
      </c>
      <c r="B127" s="249">
        <f>Data!BR53</f>
        <v>243</v>
      </c>
      <c r="C127" s="249">
        <f>Data!BR63</f>
        <v>243</v>
      </c>
      <c r="D127" s="249">
        <f>Data!BR69</f>
        <v>165</v>
      </c>
      <c r="E127" s="286">
        <f t="shared" ref="E127:E129" si="11">IFERROR(IF(OR(AND(D127="",C127=""),AND(D127=0,C127=0)),"",
IF(OR(D127="",D127=0),1,
IF(OR(D127&lt;&gt;"",D127&lt;&gt;0),(C127-D127)/ABS(D127)))),-1)</f>
        <v>0.47272727272727272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3.8" x14ac:dyDescent="0.25">
      <c r="A128" s="248" t="s">
        <v>146</v>
      </c>
      <c r="B128" s="249">
        <f>Data!BQ53</f>
        <v>2233443</v>
      </c>
      <c r="C128" s="249">
        <f>Data!BQ63</f>
        <v>2233443</v>
      </c>
      <c r="D128" s="249">
        <f>Data!BQ69</f>
        <v>714637</v>
      </c>
      <c r="E128" s="286">
        <f t="shared" si="11"/>
        <v>2.1252831857292582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3.8" x14ac:dyDescent="0.25">
      <c r="A129" s="248" t="s">
        <v>177</v>
      </c>
      <c r="B129" s="249">
        <f>Data!BP53/1000000</f>
        <v>29114.850223000001</v>
      </c>
      <c r="C129" s="249">
        <f>Data!BP63/1000000</f>
        <v>29114.850223000001</v>
      </c>
      <c r="D129" s="249">
        <f>Data!BP69/1000000</f>
        <v>9714.0547072999998</v>
      </c>
      <c r="E129" s="286">
        <f t="shared" si="11"/>
        <v>1.9971882082484598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3.8" x14ac:dyDescent="0.25">
      <c r="A130" s="248" t="s">
        <v>144</v>
      </c>
      <c r="B130" s="249">
        <f>VLOOKUP("Option",Data!$BP$55:$BQ$57,2,FALSE)</f>
        <v>3608052</v>
      </c>
      <c r="C130" s="249">
        <f>MarketProfile!B130</f>
        <v>3608052</v>
      </c>
      <c r="D130" s="249">
        <f>VLOOKUP("Option",Data!$BP$71:$BQ$73,2,FALSE)</f>
        <v>1627995</v>
      </c>
      <c r="E130" s="286">
        <f>IFERROR(IF(OR(AND(D130="",C130=""),AND(D130=0,C130=0)),"",
IF(OR(D130="",D130=0),1,
IF(OR(D130&lt;&gt;"",D130&lt;&gt;0),(C130-D130)/ABS(D130)))),-1)</f>
        <v>1.2162549639280218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5">
      <c r="A131" s="59" t="s">
        <v>178</v>
      </c>
      <c r="B131" s="62"/>
      <c r="C131" s="62"/>
      <c r="D131" s="62"/>
      <c r="H131" s="62"/>
      <c r="J131" s="107"/>
    </row>
    <row r="132" spans="1:12" x14ac:dyDescent="0.25">
      <c r="B132" s="3"/>
      <c r="C132" s="3"/>
      <c r="D132" s="3"/>
      <c r="J132" s="107"/>
    </row>
    <row r="133" spans="1:12" ht="13.8" thickBot="1" x14ac:dyDescent="0.3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3.8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3.8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4.4" thickBot="1" x14ac:dyDescent="0.3">
      <c r="A136" s="302"/>
      <c r="B136" s="282" t="str">
        <f>TEXT($H$3,"MMM")&amp;" "&amp;TEXT($H$3,"YYYY")</f>
        <v>Jan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3.8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3.8" x14ac:dyDescent="0.25">
      <c r="A138" s="248" t="s">
        <v>117</v>
      </c>
      <c r="B138" s="249">
        <f>SUMIFS(Data!$AC:$AC,Data!$AE:$AE,"1")</f>
        <v>39102</v>
      </c>
      <c r="C138" s="249">
        <f>Data!BR76</f>
        <v>39102</v>
      </c>
      <c r="D138" s="249">
        <f>Data!BR82</f>
        <v>26318</v>
      </c>
      <c r="E138" s="286">
        <f>IFERROR(IF(OR(AND(D138="",C138=""),AND(D138=0,C138=0)),"",
IF(OR(D138="",D138=0),1,
IF(OR(D138&lt;&gt;"",D138&lt;&gt;0),(C138-D138)/ABS(D138)))),-1)</f>
        <v>0.48575119689946045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3.8" x14ac:dyDescent="0.25">
      <c r="A139" s="248" t="s">
        <v>142</v>
      </c>
      <c r="B139" s="249">
        <f>SUMIFS(Data!$AB:$AB,Data!$AE:$AE,"1")/1000</f>
        <v>229.89500000000001</v>
      </c>
      <c r="C139" s="249">
        <f>Data!BQ76/1000</f>
        <v>229.89500000000001</v>
      </c>
      <c r="D139" s="249">
        <f>Data!BQ82/1000</f>
        <v>173.74</v>
      </c>
      <c r="E139" s="286">
        <f t="shared" ref="E139:E141" si="12">IFERROR(IF(OR(AND(D139="",C139=""),AND(D139=0,C139=0)),"",
IF(OR(D139="",D139=0),1,
IF(OR(D139&lt;&gt;"",D139&lt;&gt;0),(C139-D139)/ABS(D139)))),-1)</f>
        <v>0.32321284678254864</v>
      </c>
      <c r="F139" s="366">
        <v>2718</v>
      </c>
      <c r="G139" s="249">
        <v>2955</v>
      </c>
      <c r="H139" s="249">
        <v>2956</v>
      </c>
      <c r="I139" s="249">
        <v>2395</v>
      </c>
    </row>
    <row r="140" spans="1:12" ht="13.8" x14ac:dyDescent="0.25">
      <c r="A140" s="248" t="s">
        <v>119</v>
      </c>
      <c r="B140" s="249">
        <f>SUMIFS(Data!$AA:$AA,Data!$AE:$AE,"1")/1000000</f>
        <v>46759.607667574986</v>
      </c>
      <c r="C140" s="249">
        <f>Data!BP76/1000000</f>
        <v>46759.607667574986</v>
      </c>
      <c r="D140" s="249">
        <f>Data!BP82/1000000</f>
        <v>43976.047236175989</v>
      </c>
      <c r="E140" s="286">
        <f t="shared" si="12"/>
        <v>6.3297194867235784E-2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3.8" x14ac:dyDescent="0.25">
      <c r="A141" s="248" t="s">
        <v>144</v>
      </c>
      <c r="B141" s="249">
        <f>SUMIFS(Data!$AK:$AK,Data!$AL:$AL,"1")</f>
        <v>116392</v>
      </c>
      <c r="C141" s="249">
        <f>B141</f>
        <v>116392</v>
      </c>
      <c r="D141" s="249">
        <f>Data!BP88</f>
        <v>70290</v>
      </c>
      <c r="E141" s="286">
        <f t="shared" si="12"/>
        <v>0.65588277137572915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3.8" x14ac:dyDescent="0.25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3.8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3.8" x14ac:dyDescent="0.25">
      <c r="A144" s="248" t="s">
        <v>117</v>
      </c>
      <c r="B144" s="249">
        <f>SUMIFS(Data!$AC:$AC,Data!$AE:$AE,"0")</f>
        <v>3749</v>
      </c>
      <c r="C144" s="249">
        <f>Data!BR79</f>
        <v>3749</v>
      </c>
      <c r="D144" s="249">
        <f>Data!BR85</f>
        <v>3779</v>
      </c>
      <c r="E144" s="286">
        <f>IFERROR(IF(OR(AND(D144="",C144=""),AND(D144=0,C144=0)),"",
IF(OR(D144="",D144=0),1,
IF(OR(D144&lt;&gt;"",D144&lt;&gt;0),(C144-D144)/ABS(D144)))),-1)</f>
        <v>-7.9386080973802599E-3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3.8" x14ac:dyDescent="0.25">
      <c r="A145" s="248" t="s">
        <v>142</v>
      </c>
      <c r="B145" s="249">
        <f>SUMIFS(Data!$AB:$AB,Data!$AE:$AE,"0")/1000</f>
        <v>35.601999999999997</v>
      </c>
      <c r="C145" s="249">
        <f>Data!BQ79</f>
        <v>35602</v>
      </c>
      <c r="D145" s="249">
        <f>Data!BQ85</f>
        <v>28908</v>
      </c>
      <c r="E145" s="286">
        <f t="shared" ref="E145:E146" si="13">IFERROR(IF(OR(AND(D145="",C145=""),AND(D145=0,C145=0)),"",
IF(OR(D145="",D145=0),1,
IF(OR(D145&lt;&gt;"",D145&lt;&gt;0),(C145-D145)/ABS(D145)))),-1)</f>
        <v>0.23156219731562197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3.8" x14ac:dyDescent="0.25">
      <c r="A146" s="248" t="s">
        <v>119</v>
      </c>
      <c r="B146" s="249">
        <f>SUMIFS(Data!$AA:$AA,Data!$AE:$AE,"0")/1000000</f>
        <v>298.00041052</v>
      </c>
      <c r="C146" s="249">
        <f>Data!BP79/1000000</f>
        <v>298.00041052</v>
      </c>
      <c r="D146" s="249">
        <f>Data!BP85/1000000</f>
        <v>641.70294160000003</v>
      </c>
      <c r="E146" s="286">
        <f t="shared" si="13"/>
        <v>-0.53561002887570375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3.8" x14ac:dyDescent="0.25">
      <c r="A147" s="248" t="s">
        <v>144</v>
      </c>
      <c r="B147" s="249">
        <f>SUMIFS(Data!$AK:$AK,Data!$AL:$AL,"0")</f>
        <v>62287</v>
      </c>
      <c r="C147" s="249">
        <f>B147</f>
        <v>62287</v>
      </c>
      <c r="D147" s="249">
        <f>Data!BP91</f>
        <v>44374</v>
      </c>
      <c r="E147" s="286">
        <f>IFERROR(IF(OR(AND(D147="",C147=""),AND(D147=0,C147=0)),"",
IF(OR(D147="",D147=0),1,
IF(OR(D147&lt;&gt;"",D147&lt;&gt;0),(C147-D147)/ABS(D147)))),-1)</f>
        <v>0.40368233650335783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5">
      <c r="B148" s="3"/>
    </row>
    <row r="149" spans="1:10" ht="12.75" customHeight="1" x14ac:dyDescent="0.25">
      <c r="B149" s="3"/>
      <c r="F149" s="380" t="s">
        <v>200</v>
      </c>
      <c r="G149" s="380"/>
      <c r="H149" s="380"/>
      <c r="I149" s="125"/>
    </row>
    <row r="150" spans="1:10" ht="12.75" customHeight="1" x14ac:dyDescent="0.25">
      <c r="B150" s="3"/>
      <c r="F150" s="380"/>
      <c r="G150" s="380"/>
      <c r="H150" s="380"/>
      <c r="I150" s="125"/>
      <c r="J150" s="161"/>
    </row>
    <row r="151" spans="1:10" ht="13.8" thickBot="1" x14ac:dyDescent="0.3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3.8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4.4" thickBot="1" x14ac:dyDescent="0.3">
      <c r="A153" s="295"/>
      <c r="B153" s="282" t="str">
        <f>TEXT($H$3,"MMM")&amp;" "&amp;TEXT($H$3,"YYYY")</f>
        <v>Jan 2018</v>
      </c>
      <c r="C153" s="282" t="str">
        <f>TEXT(DATE(2000,TEXT(H3,"M")-1,1),"mmm")&amp; " "&amp; TEXT(H3,"YYYY")</f>
        <v>Dec 2018</v>
      </c>
      <c r="D153" s="284" t="s">
        <v>121</v>
      </c>
      <c r="E153" s="282"/>
      <c r="F153" s="282"/>
      <c r="G153" s="282" t="str">
        <f>TEXT($H$3,"MMM")&amp;" "&amp;TEXT($H$3,"YYYY")</f>
        <v>Jan 2018</v>
      </c>
      <c r="H153" s="282" t="str">
        <f>TEXT($H$3,"MMM")&amp;" "&amp;TEXT($H$3,"YYYY")-1</f>
        <v>Jan 2017</v>
      </c>
      <c r="I153" s="284" t="s">
        <v>121</v>
      </c>
      <c r="J153" s="161"/>
    </row>
    <row r="154" spans="1:10" ht="13.8" x14ac:dyDescent="0.25">
      <c r="A154" s="248" t="s">
        <v>122</v>
      </c>
      <c r="B154" s="322">
        <f>VLOOKUP("ABuy",Data!$J$1:$M$5,4,FALSE)/1000000</f>
        <v>236485.50043780883</v>
      </c>
      <c r="C154" s="322">
        <f>VLOOKUP("ABuy",Data!$J$7:$M$11,4,FALSE)/1000000</f>
        <v>287220.96371467825</v>
      </c>
      <c r="D154" s="186">
        <f>((B154/C154)-1)</f>
        <v>-0.17664261905084822</v>
      </c>
      <c r="E154" s="322"/>
      <c r="F154" s="322"/>
      <c r="G154" s="322">
        <f>VLOOKUP("Abuy",Data!$J$13:$M$17,4,FALSE)/1000000</f>
        <v>227120.853137575</v>
      </c>
      <c r="H154" s="322">
        <f>VLOOKUP("Abuy",Data!$J$19:$M$23,4,FALSE)/1000000</f>
        <v>251825.77348500502</v>
      </c>
      <c r="I154" s="200">
        <f>((G154/H154)-1)</f>
        <v>-9.8103224326643756E-2</v>
      </c>
      <c r="J154" s="161"/>
    </row>
    <row r="155" spans="1:10" ht="13.8" x14ac:dyDescent="0.25">
      <c r="A155" s="248" t="s">
        <v>123</v>
      </c>
      <c r="B155" s="322">
        <f>VLOOKUP("ASell",Data!$J$1:$M$5,4,FALSE)/1000000</f>
        <v>234156.89207503176</v>
      </c>
      <c r="C155" s="322">
        <f>VLOOKUP("Asell",Data!$J$7:$M$11,4,FALSE)/1000000</f>
        <v>309715.23844291456</v>
      </c>
      <c r="D155" s="200">
        <f t="shared" ref="D155:D157" si="14">((B155/C155)-1)</f>
        <v>-0.24396069998928838</v>
      </c>
      <c r="E155" s="322"/>
      <c r="F155" s="322"/>
      <c r="G155" s="322">
        <f>VLOOKUP("Asell",Data!$J$13:$M$17,4,FALSE)/1000000</f>
        <v>225900.951155405</v>
      </c>
      <c r="H155" s="322">
        <f>VLOOKUP("Asell",Data!$J$19:$M$23,4,FALSE)/1000000</f>
        <v>273466.05746878503</v>
      </c>
      <c r="I155" s="200">
        <f t="shared" ref="I155:I157" si="15">((G155/H155)-1)</f>
        <v>-0.17393422333157149</v>
      </c>
      <c r="J155" s="161"/>
    </row>
    <row r="156" spans="1:10" ht="13.8" x14ac:dyDescent="0.25">
      <c r="A156" s="248" t="s">
        <v>124</v>
      </c>
      <c r="B156" s="322">
        <f>VLOOKUP("PBuy",Data!$J$1:$M$5,4,FALSE)/1000000</f>
        <v>273596.45793206798</v>
      </c>
      <c r="C156" s="322">
        <f>VLOOKUP("Pbuy",Data!$J$7:$M$11,4,FALSE)/1000000</f>
        <v>287376.23461628117</v>
      </c>
      <c r="D156" s="200">
        <f t="shared" si="14"/>
        <v>-4.79503000747874E-2</v>
      </c>
      <c r="E156" s="322"/>
      <c r="F156" s="322"/>
      <c r="G156" s="322">
        <f>VLOOKUP("Pbuy",Data!$J$13:$M$17,4,FALSE)/1000000</f>
        <v>251019.83853376002</v>
      </c>
      <c r="H156" s="322">
        <f>VLOOKUP("Pbuy",Data!$J$19:$M$23,4,FALSE)/1000000</f>
        <v>262882.66731511004</v>
      </c>
      <c r="I156" s="200">
        <f t="shared" si="15"/>
        <v>-4.5125944979591881E-2</v>
      </c>
      <c r="J156" s="161"/>
    </row>
    <row r="157" spans="1:10" ht="13.8" x14ac:dyDescent="0.25">
      <c r="A157" s="248" t="s">
        <v>125</v>
      </c>
      <c r="B157" s="322">
        <f>VLOOKUP("PSell",Data!$J$1:$M$5,4,FALSE)/1000000</f>
        <v>275925.06629484502</v>
      </c>
      <c r="C157" s="322">
        <f>VLOOKUP("Psell",Data!$J$7:$M$11,4,FALSE)/1000000</f>
        <v>264881.95988804486</v>
      </c>
      <c r="D157" s="200">
        <f t="shared" si="14"/>
        <v>4.1690670106290462E-2</v>
      </c>
      <c r="E157" s="322"/>
      <c r="F157" s="322"/>
      <c r="G157" s="322">
        <f>VLOOKUP("Psell",Data!$J$13:$M$17,4,FALSE)/1000000</f>
        <v>252239.74051593</v>
      </c>
      <c r="H157" s="322">
        <f>VLOOKUP("Psell",Data!$J$19:$M$23,4,FALSE)/1000000</f>
        <v>241242.38333133</v>
      </c>
      <c r="I157" s="200">
        <f t="shared" si="15"/>
        <v>4.55863394845335E-2</v>
      </c>
      <c r="J157" s="161"/>
    </row>
    <row r="158" spans="1:10" ht="13.8" x14ac:dyDescent="0.25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4.4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4.4" thickBot="1" x14ac:dyDescent="0.3">
      <c r="A160" s="295"/>
      <c r="B160" s="284" t="s">
        <v>127</v>
      </c>
      <c r="C160" s="284" t="s">
        <v>4</v>
      </c>
      <c r="D160" s="392" t="s">
        <v>128</v>
      </c>
      <c r="E160" s="392"/>
      <c r="F160" s="284" t="s">
        <v>129</v>
      </c>
      <c r="G160" s="388" t="s">
        <v>130</v>
      </c>
      <c r="H160" s="388"/>
      <c r="I160" s="284" t="s">
        <v>28</v>
      </c>
      <c r="J160" s="161"/>
    </row>
    <row r="161" spans="1:10" ht="13.8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3.8" x14ac:dyDescent="0.25">
      <c r="A162" s="248" t="s">
        <v>117</v>
      </c>
      <c r="B162" s="206">
        <v>667996</v>
      </c>
      <c r="C162" s="335">
        <v>42349</v>
      </c>
      <c r="D162" s="391">
        <v>1959547</v>
      </c>
      <c r="E162" s="391"/>
      <c r="F162" s="335">
        <v>42349</v>
      </c>
      <c r="G162" s="391">
        <v>7331360</v>
      </c>
      <c r="H162" s="391"/>
      <c r="I162" s="198" t="s">
        <v>533</v>
      </c>
    </row>
    <row r="163" spans="1:10" ht="13.8" x14ac:dyDescent="0.25">
      <c r="A163" s="248" t="s">
        <v>523</v>
      </c>
      <c r="B163" s="368">
        <v>1391491</v>
      </c>
      <c r="C163" s="374">
        <v>43012</v>
      </c>
      <c r="D163" s="391">
        <f>2513652909/1000000</f>
        <v>2513.6529089999999</v>
      </c>
      <c r="E163" s="391"/>
      <c r="F163" s="335">
        <v>42349</v>
      </c>
      <c r="G163" s="391">
        <v>9748834</v>
      </c>
      <c r="H163" s="391"/>
      <c r="I163" s="205" t="s">
        <v>131</v>
      </c>
    </row>
    <row r="164" spans="1:10" ht="13.8" x14ac:dyDescent="0.25">
      <c r="A164" s="248" t="s">
        <v>522</v>
      </c>
      <c r="B164" s="368">
        <v>74815</v>
      </c>
      <c r="C164" s="374">
        <v>43090</v>
      </c>
      <c r="D164" s="391">
        <v>165827</v>
      </c>
      <c r="E164" s="391"/>
      <c r="F164" s="335">
        <v>42631</v>
      </c>
      <c r="G164" s="391">
        <v>612552</v>
      </c>
      <c r="H164" s="391"/>
      <c r="I164" s="205" t="s">
        <v>533</v>
      </c>
    </row>
    <row r="165" spans="1:10" ht="13.8" x14ac:dyDescent="0.25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8" thickBot="1" x14ac:dyDescent="0.3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8" thickTop="1" x14ac:dyDescent="0.25"/>
    <row r="177" spans="1:11" ht="12.75" customHeight="1" x14ac:dyDescent="0.25">
      <c r="A177" s="107" t="str">
        <f>"Market Profile - "&amp; TEXT($H$3,"MMM")&amp;" "&amp;TEXT($H$3,"YYYY")</f>
        <v>Market Profile - Jan 2018</v>
      </c>
      <c r="G177" s="125"/>
      <c r="H177" s="125"/>
    </row>
    <row r="178" spans="1:11" ht="12.75" customHeight="1" x14ac:dyDescent="0.25">
      <c r="F178" s="380" t="s">
        <v>200</v>
      </c>
      <c r="G178" s="380"/>
      <c r="H178" s="380"/>
    </row>
    <row r="179" spans="1:11" x14ac:dyDescent="0.25">
      <c r="F179" s="380"/>
      <c r="G179" s="380"/>
      <c r="H179" s="380"/>
    </row>
    <row r="180" spans="1:11" x14ac:dyDescent="0.25">
      <c r="K180" s="126"/>
    </row>
    <row r="181" spans="1:11" ht="13.8" thickBot="1" x14ac:dyDescent="0.3">
      <c r="A181" s="116" t="str">
        <f>"Position in the world league in "&amp;TEXT(DATE(YEAR(H3),MONTH(H3)-1,DAY(H3)),"MMMM") &amp;" "&amp; TEXT(H3,"YYYY")&amp;" (based on the WFE statistics)"</f>
        <v>Position in the world league in December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3.8" x14ac:dyDescent="0.25">
      <c r="A182" s="281"/>
      <c r="B182" s="281"/>
      <c r="C182" s="281"/>
      <c r="D182" s="281"/>
      <c r="E182" s="319"/>
      <c r="F182" s="400" t="s">
        <v>209</v>
      </c>
      <c r="G182" s="400"/>
      <c r="H182" s="400"/>
      <c r="I182" s="400"/>
    </row>
    <row r="183" spans="1:11" ht="14.4" thickBot="1" x14ac:dyDescent="0.3">
      <c r="A183" s="295"/>
      <c r="B183" s="320">
        <v>43070</v>
      </c>
      <c r="C183" s="284" t="s">
        <v>16</v>
      </c>
      <c r="D183" s="320">
        <v>42705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3.8" x14ac:dyDescent="0.25">
      <c r="A184" s="248" t="s">
        <v>17</v>
      </c>
      <c r="B184" s="369">
        <v>1230977.19241447</v>
      </c>
      <c r="C184" s="345">
        <v>17</v>
      </c>
      <c r="D184" s="376">
        <v>958907.37419070001</v>
      </c>
      <c r="E184" s="379">
        <v>17</v>
      </c>
      <c r="F184" s="377">
        <v>17</v>
      </c>
      <c r="G184" s="345">
        <v>17</v>
      </c>
      <c r="H184" s="305">
        <v>18</v>
      </c>
      <c r="I184" s="345">
        <v>17</v>
      </c>
      <c r="K184" s="126"/>
    </row>
    <row r="185" spans="1:11" ht="13.8" x14ac:dyDescent="0.25">
      <c r="A185" s="248" t="s">
        <v>18</v>
      </c>
      <c r="B185" s="369">
        <v>46506.883796974529</v>
      </c>
      <c r="C185" s="345">
        <v>19</v>
      </c>
      <c r="D185" s="376">
        <v>30685.690644601644</v>
      </c>
      <c r="E185" s="379">
        <v>20</v>
      </c>
      <c r="F185" s="377">
        <v>20</v>
      </c>
      <c r="G185" s="345">
        <v>21</v>
      </c>
      <c r="H185" s="305">
        <v>20</v>
      </c>
      <c r="I185" s="345">
        <v>24</v>
      </c>
      <c r="K185" s="262"/>
    </row>
    <row r="186" spans="1:11" ht="13.8" x14ac:dyDescent="0.25">
      <c r="A186" s="248" t="s">
        <v>164</v>
      </c>
      <c r="B186" s="363">
        <v>0.31063515774265382</v>
      </c>
      <c r="C186" s="345">
        <v>30</v>
      </c>
      <c r="D186" s="378">
        <v>0.39415064068561689</v>
      </c>
      <c r="E186" s="379">
        <v>27</v>
      </c>
      <c r="F186" s="377">
        <v>27</v>
      </c>
      <c r="G186" s="345">
        <v>25</v>
      </c>
      <c r="H186" s="305">
        <v>22</v>
      </c>
      <c r="I186" s="345">
        <v>29</v>
      </c>
      <c r="K186" s="262"/>
    </row>
    <row r="187" spans="1:11" ht="13.8" x14ac:dyDescent="0.25">
      <c r="A187" s="248" t="s">
        <v>165</v>
      </c>
      <c r="B187" s="363">
        <v>0.40611241340106563</v>
      </c>
      <c r="C187" s="345">
        <v>25</v>
      </c>
      <c r="D187" s="378">
        <v>0.31836003372925559</v>
      </c>
      <c r="E187" s="379">
        <v>31</v>
      </c>
      <c r="F187" s="377">
        <v>31</v>
      </c>
      <c r="G187" s="345">
        <v>28</v>
      </c>
      <c r="H187" s="305">
        <v>22</v>
      </c>
      <c r="I187" s="345">
        <v>29</v>
      </c>
      <c r="K187" s="262"/>
    </row>
    <row r="188" spans="1:11" ht="13.8" thickBot="1" x14ac:dyDescent="0.3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8" thickTop="1" x14ac:dyDescent="0.25">
      <c r="A189" s="18" t="s">
        <v>19</v>
      </c>
      <c r="B189" s="18"/>
      <c r="D189" s="27"/>
      <c r="E189" s="49"/>
      <c r="K189" s="262"/>
    </row>
    <row r="190" spans="1:11" x14ac:dyDescent="0.25">
      <c r="A190" s="18" t="s">
        <v>20</v>
      </c>
      <c r="B190" s="36"/>
      <c r="K190" s="262"/>
    </row>
    <row r="191" spans="1:11" x14ac:dyDescent="0.25">
      <c r="K191" s="262"/>
    </row>
    <row r="192" spans="1:11" x14ac:dyDescent="0.25">
      <c r="A192" s="124" t="s">
        <v>166</v>
      </c>
      <c r="K192" s="262"/>
    </row>
    <row r="193" spans="1:9" ht="13.8" thickBot="1" x14ac:dyDescent="0.3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3.8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3.8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4.4" thickBot="1" x14ac:dyDescent="0.3">
      <c r="A196" s="295"/>
      <c r="B196" s="282" t="str">
        <f>TEXT($H$3,"MMM")&amp;" "&amp;TEXT($H$3,"YYYY")</f>
        <v>Jan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3.8" x14ac:dyDescent="0.25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0</v>
      </c>
      <c r="D197" s="361">
        <f>SUMIF(Data!$DM$1:$DM$15,"AS",Data!$DN$1:$DN$15)/1000000</f>
        <v>0</v>
      </c>
      <c r="E197" s="363">
        <f>IFERROR(IF(OR(AND(D197="",C197=""),AND(D197=0,C197=0)),0,
IF(OR(D197="",D197=0),1,
IF(OR(D197&lt;&gt;"",D197&lt;&gt;0),(C197-D197)/ABS(D197)))),-1)</f>
        <v>0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3.8" x14ac:dyDescent="0.25">
      <c r="A198" s="248" t="s">
        <v>22</v>
      </c>
      <c r="B198" s="195">
        <f>(SUMIF(Data!$DG$1:$DG$15,"RT",Data!$DH$1:$DH$15)+SUMIF(Data!$DG$1:$DG$15,"TU",Data!$DH$1:$DH$15))/1000000</f>
        <v>747.99999700000001</v>
      </c>
      <c r="C198" s="361">
        <f>(SUMIF(Data!$DJ$1:$DJ$15,"RT",Data!$DK$1:$DK$15)+SUMIF(Data!$DJ$1:$DJ$15,"TU",Data!$DK$1:$DK$15))/1000000</f>
        <v>747.99999700000001</v>
      </c>
      <c r="D198" s="361">
        <f>(SUMIF(Data!$DM$1:$DM$15,"RT",Data!$DN$1:$DN$15)+SUMIF(Data!$DM$1:$DM$15,"TU",Data!$DN$1:$DN$15))/1000000</f>
        <v>0</v>
      </c>
      <c r="E198" s="363">
        <f t="shared" ref="E198:E201" si="16">IFERROR(IF(OR(AND(D198="",C198=""),AND(D198=0,C198=0)),0,
IF(OR(D198="",D198=0),1,
IF(OR(D198&lt;&gt;"",D198&lt;&gt;0),(C198-D198)/ABS(D198)))),-1)</f>
        <v>1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3.8" x14ac:dyDescent="0.25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3.8" x14ac:dyDescent="0.25">
      <c r="A200" s="248" t="s">
        <v>23</v>
      </c>
      <c r="B200" s="195">
        <f>(SUMIF(Data!$DG$1:$DG$15,"SO",Data!$DH$1:$DH$15)+SUMIF(Data!$DG$1:$DG$15,"SS",Data!$DH$1:$DH$15))/1000000</f>
        <v>147.96824587</v>
      </c>
      <c r="C200" s="361">
        <f>(SUMIF(Data!$DJ$1:$DJ$15,"SO",Data!$DK$1:$DK$15)+SUMIF(Data!$DJ$1:$DJ$15,"SS",Data!$DK$1:$DK$15))/1000000</f>
        <v>147.96824587</v>
      </c>
      <c r="D200" s="361">
        <f>(SUMIF(Data!$DM$1:$DM$15,"SO",Data!$DN$1:$DN$15)+SUMIF(Data!$DM$1:$DM$15,"SS",Data!$DN$1:$DN$15))/1000000</f>
        <v>184.42908707000001</v>
      </c>
      <c r="E200" s="363">
        <f t="shared" si="16"/>
        <v>-0.19769572023181628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3.8" x14ac:dyDescent="0.25">
      <c r="A201" s="248" t="s">
        <v>24</v>
      </c>
      <c r="B201" s="195">
        <f>(SUMIF(Data!$DG$1:$DG$15,"SI",Data!$DH$1:$DH$15)+SUMIF(Data!$DG$1:$DG$15,"GI",Data!$DH$1:$DH$15))/1000000</f>
        <v>2115.2983480399998</v>
      </c>
      <c r="C201" s="361">
        <f>(SUMIF(Data!$DJ$1:$DJ$15,"SI",Data!$DK$1:$DK$15)+SUMIF(Data!$DJ$1:$DJ$15,"GI",Data!$DK$1:$DK$15))/1000000</f>
        <v>2115.2983480399998</v>
      </c>
      <c r="D201" s="361">
        <f>(SUMIF(Data!$DM$1:$DM$15,"SI",Data!$DN$1:$DN$15)+SUMIF(Data!$DM$1:$DM$15,"GI",Data!$DN$1:$DN$15))/1000000</f>
        <v>302.50290745999996</v>
      </c>
      <c r="E201" s="363">
        <f t="shared" si="16"/>
        <v>5.9926546022361995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3.8" x14ac:dyDescent="0.25">
      <c r="A202" s="288" t="s">
        <v>25</v>
      </c>
      <c r="B202" s="362">
        <f>SUM(B197:B201)</f>
        <v>3011.2665909099996</v>
      </c>
      <c r="C202" s="362">
        <f>SUM(C197:C201)</f>
        <v>3011.2665909099996</v>
      </c>
      <c r="D202" s="362">
        <f>SUM(D197:D201)</f>
        <v>486.93199453</v>
      </c>
      <c r="E202" s="364">
        <f>IFERROR(IF(OR(AND(D202="",C202=""),AND(D202=0,C202=0)),0,
IF(OR(D202="",D202=0),1,
IF(OR(D202&lt;&gt;"",D202&lt;&gt;0),(C202-D202)/ABS(D202)))),-1)</f>
        <v>5.1841625211269102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8" thickBot="1" x14ac:dyDescent="0.3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8" thickTop="1" x14ac:dyDescent="0.25">
      <c r="A204" s="18" t="s">
        <v>174</v>
      </c>
      <c r="B204" s="27"/>
      <c r="D204" s="28"/>
      <c r="E204" s="28"/>
      <c r="F204" s="28"/>
    </row>
    <row r="206" spans="1:9" ht="13.8" thickBot="1" x14ac:dyDescent="0.3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3.8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3.8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4.4" thickBot="1" x14ac:dyDescent="0.3">
      <c r="A209" s="295"/>
      <c r="B209" s="282" t="str">
        <f>TEXT($H$3,"MMM")&amp;" "&amp;TEXT($H$3,"YYYY")</f>
        <v>Jan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3.8" x14ac:dyDescent="0.25">
      <c r="A210" s="248" t="s">
        <v>172</v>
      </c>
      <c r="B210" s="286">
        <f>250*Data!CE9/Data!CH2/Data!CD18</f>
        <v>0.37309278699414555</v>
      </c>
      <c r="C210" s="286">
        <f>250*Data!CE9/Data!CH2/Data!CD18</f>
        <v>0.37309278699414555</v>
      </c>
      <c r="D210" s="286">
        <v>0.3372</v>
      </c>
      <c r="E210" s="286">
        <f>IFERROR(IF(OR(AND(D210="",C210=""),AND(D210=0,C210=0)),"",
IF(OR(D210="",D210=0),1,
IF(OR(D210&lt;&gt;"",D210&lt;&gt;0),(C210-D210)/ABS(D210)))),-1)</f>
        <v>0.10644361504788123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3.8" x14ac:dyDescent="0.25">
      <c r="A211" s="247" t="s">
        <v>173</v>
      </c>
      <c r="B211" s="286">
        <f>250*(Data!C2-Data!H2)/Data!CH2/Data!CD18</f>
        <v>0.35600599401056249</v>
      </c>
      <c r="C211" s="286">
        <f>250*(Data!C2-Data!H2)/Data!CH2/Data!CD18</f>
        <v>0.35600599401056249</v>
      </c>
      <c r="D211" s="286">
        <v>0.31690000000000002</v>
      </c>
      <c r="E211" s="286">
        <f>IFERROR(IF(OR(AND(D211="",C211=""),AND(D211=0,C211=0)),"",
IF(OR(D211="",D211=0),1,
IF(OR(D211&lt;&gt;"",D211&lt;&gt;0),(C211-D211)/ABS(D211)))),-1)</f>
        <v>0.1234016851074865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8" thickBot="1" x14ac:dyDescent="0.3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8" thickTop="1" x14ac:dyDescent="0.25">
      <c r="A213" s="18" t="s">
        <v>670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5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8" thickBot="1" x14ac:dyDescent="0.3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3.8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3.8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4.4" thickBot="1" x14ac:dyDescent="0.3">
      <c r="A219" s="295"/>
      <c r="B219" s="282" t="str">
        <f>TEXT($H$3,"MMM")&amp;" "&amp;TEXT($H$3,"YYYY")</f>
        <v>Jan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3.8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3.8" x14ac:dyDescent="0.25">
      <c r="A221" s="248" t="s">
        <v>29</v>
      </c>
      <c r="B221" s="249">
        <f ca="1">SUMIF(Data!$BT$1:$BT$7,"&lt;&gt;AltX",Data!$BU$1:$BU$6)</f>
        <v>324</v>
      </c>
      <c r="C221" s="249">
        <f>SUMIF(Data!$BT$9:$BT$14,"&lt;&gt;AltX",Data!BU9:BU14)</f>
        <v>324</v>
      </c>
      <c r="D221" s="249">
        <f>SUMIF(Data!$BT$17:$BT$23,"&lt;&gt;AltX",Data!$BU$17:$BU$24)</f>
        <v>327</v>
      </c>
      <c r="E221" s="286">
        <f>IFERROR(IF(OR(AND(D221="",C221=""),AND(D221=0,C221=0)),"",
IF(OR(D221="",D221=0),1,
IF(OR(D221&lt;&gt;"",D221&lt;&gt;0),(C221-D221)/ABS(D221)))),-1)</f>
        <v>-9.1743119266055051E-3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3.8" x14ac:dyDescent="0.25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0</v>
      </c>
      <c r="D222" s="249">
        <f>SUMIF(Data!$BT$17:$BT$23,"&lt;&gt;AltX",Data!$BV$17:$BV$23)</f>
        <v>0</v>
      </c>
      <c r="E222" s="286" t="str">
        <f t="shared" ref="E222:E223" si="17">IFERROR(IF(OR(AND(D222="",C222=""),AND(D222=0,C222=0)),"",
IF(OR(D222="",D222=0),1,
IF(OR(D222&lt;&gt;"",D222&lt;&gt;0),(C222-D222)/ABS(D222)))),-1)</f>
        <v/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3.8" x14ac:dyDescent="0.25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0</v>
      </c>
      <c r="D223" s="249">
        <f>SUMIF(Data!$BT$17:$BT$23,"&lt;&gt;AltX",Data!$BW$17:$BW$23)</f>
        <v>1</v>
      </c>
      <c r="E223" s="286">
        <f t="shared" si="17"/>
        <v>-1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3.8" x14ac:dyDescent="0.25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3.8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3.8" x14ac:dyDescent="0.25">
      <c r="A226" s="248" t="s">
        <v>29</v>
      </c>
      <c r="B226" s="249">
        <f ca="1">SUMIF(Data!$BT$1:$BT$7,"AltX",Data!$BU$1:$BU$6)</f>
        <v>52</v>
      </c>
      <c r="C226" s="249">
        <f>SUMIF(Data!$BT$9:$BT$14,"AltX",Data!BU9:BU14)</f>
        <v>52</v>
      </c>
      <c r="D226" s="249">
        <f>SUMIF(Data!$BT$17:$BT$23,"AltX",Data!$BU$17:$BU$24)</f>
        <v>59</v>
      </c>
      <c r="E226" s="286">
        <f t="shared" ref="E226:E227" si="18">IFERROR(IF(OR(AND(D226="",C226=""),AND(D226=0,C226=0)),"",
IF(OR(D226="",D226=0),1,
IF(OR(D226&lt;&gt;"",D226&lt;&gt;0),(C226-D226)/ABS(D226)))),-1)</f>
        <v>-0.11864406779661017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3.8" x14ac:dyDescent="0.25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6">
        <v>8</v>
      </c>
      <c r="G227" s="249">
        <v>7</v>
      </c>
      <c r="H227" s="249">
        <v>8</v>
      </c>
      <c r="I227" s="249">
        <v>6</v>
      </c>
    </row>
    <row r="228" spans="1:9" ht="13.8" x14ac:dyDescent="0.25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1</v>
      </c>
      <c r="D228" s="249">
        <f>SUMIF(Data!$BT$17:$BT$23,"AltX",Data!$BW$17:$BW$23)</f>
        <v>1</v>
      </c>
      <c r="E228" s="286">
        <f t="shared" ref="E228" ca="1" si="19">IFERROR(IF(OR(AND(C228="",B228=""),AND(C228=0,B228=0)),"",
IF(OR(C228="",C228=0),1,
IF(OR(C228&lt;&gt;"",C228&lt;&gt;0),(B228-C228)/ABS(C228)))),-1)</f>
        <v>0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3.8" x14ac:dyDescent="0.25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3.8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3.8" x14ac:dyDescent="0.25">
      <c r="A231" s="248" t="s">
        <v>30</v>
      </c>
      <c r="B231" s="249">
        <f t="shared" ref="B231:D232" ca="1" si="20">B222+B227</f>
        <v>0</v>
      </c>
      <c r="C231" s="249">
        <f t="shared" si="20"/>
        <v>0</v>
      </c>
      <c r="D231" s="249">
        <f t="shared" si="20"/>
        <v>0</v>
      </c>
      <c r="E231" s="286" t="str">
        <f t="shared" ref="E231:E237" si="21">IFERROR(IF(OR(AND(D231="",C231=""),AND(D231=0,C231=0)),"",
IF(OR(D231="",D231=0),1,
IF(OR(D231&lt;&gt;"",D231&lt;&gt;0),(C231-D231)/ABS(D231)))),-1)</f>
        <v/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3.8" x14ac:dyDescent="0.25">
      <c r="A232" s="248" t="s">
        <v>31</v>
      </c>
      <c r="B232" s="249">
        <f t="shared" ca="1" si="20"/>
        <v>1</v>
      </c>
      <c r="C232" s="249">
        <f t="shared" si="20"/>
        <v>1</v>
      </c>
      <c r="D232" s="249">
        <f t="shared" si="20"/>
        <v>2</v>
      </c>
      <c r="E232" s="286">
        <f>IFERROR(IF(OR(AND(D232="",C232=""),AND(D232=0,C232=0)),"",
IF(OR(D232="",D232=0),1,
IF(OR(D232&lt;&gt;"",D232&lt;&gt;0),(C232-D232)/ABS(D232)))),-1)</f>
        <v>-0.5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3.8" x14ac:dyDescent="0.25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76</v>
      </c>
      <c r="E233" s="286">
        <f t="shared" si="21"/>
        <v>-2.6315789473684209E-2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3.8" x14ac:dyDescent="0.25">
      <c r="A234" s="248" t="s">
        <v>34</v>
      </c>
      <c r="B234" s="249">
        <f>SUM(Data!$CA$2:$CA$6)</f>
        <v>302</v>
      </c>
      <c r="C234" s="249">
        <f>SUM(Data!$CA$10:$CA$14)</f>
        <v>302</v>
      </c>
      <c r="D234" s="249">
        <f>SUM(Data!CA18:CA22)</f>
        <v>310</v>
      </c>
      <c r="E234" s="286">
        <f t="shared" si="21"/>
        <v>-2.5806451612903226E-2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3.8" x14ac:dyDescent="0.25">
      <c r="A235" s="288" t="s">
        <v>35</v>
      </c>
      <c r="B235" s="250">
        <f ca="1">B221+B226</f>
        <v>376</v>
      </c>
      <c r="C235" s="250">
        <f>C221+C226</f>
        <v>376</v>
      </c>
      <c r="D235" s="250">
        <f>D221+D226</f>
        <v>386</v>
      </c>
      <c r="E235" s="326">
        <f t="shared" si="21"/>
        <v>-2.5906735751295335E-2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3.8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3.8" x14ac:dyDescent="0.25">
      <c r="A237" s="288" t="s">
        <v>36</v>
      </c>
      <c r="B237" s="250">
        <f>Data!CD2</f>
        <v>819</v>
      </c>
      <c r="C237" s="250">
        <f>Data!CD2</f>
        <v>819</v>
      </c>
      <c r="D237" s="250">
        <f>Data!CD5</f>
        <v>830</v>
      </c>
      <c r="E237" s="326">
        <f t="shared" si="21"/>
        <v>-1.3253012048192771E-2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3.8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3.8" x14ac:dyDescent="0.25">
      <c r="A239" s="246" t="s">
        <v>37</v>
      </c>
      <c r="B239" s="327">
        <f>Data!CE2/1000000000</f>
        <v>15444.225241882681</v>
      </c>
      <c r="C239" s="327"/>
      <c r="D239" s="327">
        <f>Data!CE5/1000000000</f>
        <v>13988.068718612461</v>
      </c>
      <c r="E239" s="326">
        <f>IFERROR(IF(OR(AND(D239="",B239=""),AND(D239=0,B239=0)),"",
IF(OR(D239="",D239=0),1,
IF(OR(D239&lt;&gt;"",D239&lt;&gt;0),(B239-D239)/ABS(D239)))),-1)</f>
        <v>0.10409989774590285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8" thickBot="1" x14ac:dyDescent="0.3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8" thickTop="1" x14ac:dyDescent="0.25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5">
      <c r="E261" s="125"/>
      <c r="F261" s="125"/>
      <c r="G261" s="125"/>
      <c r="H261" s="125"/>
      <c r="I261" s="125"/>
    </row>
    <row r="262" spans="1:13" ht="12.75" customHeight="1" x14ac:dyDescent="0.25">
      <c r="A262" s="107" t="str">
        <f>"Market Profile - "&amp; TEXT($H$3,"MMM")&amp;" "&amp;TEXT($H$3,"YYYY")</f>
        <v>Market Profile - Jan 2018</v>
      </c>
      <c r="E262" s="380" t="s">
        <v>201</v>
      </c>
      <c r="F262" s="380"/>
      <c r="G262" s="380"/>
      <c r="H262" s="380"/>
      <c r="I262" s="125"/>
    </row>
    <row r="263" spans="1:13" ht="13.8" thickBot="1" x14ac:dyDescent="0.3">
      <c r="A263" s="116"/>
      <c r="B263" s="116"/>
      <c r="C263" s="116"/>
      <c r="D263" s="116"/>
      <c r="E263" s="393"/>
      <c r="F263" s="393"/>
      <c r="G263" s="393"/>
      <c r="H263" s="393"/>
      <c r="I263" s="116"/>
    </row>
    <row r="264" spans="1:13" ht="13.8" x14ac:dyDescent="0.25">
      <c r="A264" s="281"/>
      <c r="B264" s="281"/>
      <c r="C264" s="281"/>
      <c r="D264" s="181"/>
      <c r="E264" s="208"/>
      <c r="F264" s="328"/>
      <c r="G264" s="396" t="s">
        <v>203</v>
      </c>
      <c r="H264" s="396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6" t="s">
        <v>40</v>
      </c>
      <c r="F265" s="401" t="str">
        <f>"Index Close   "&amp;TEXT($H$3,"MMM")&amp;" "&amp;TEXT($H$3,"YYYY")</f>
        <v>Index Close   Jan 2018</v>
      </c>
      <c r="G265" s="396"/>
      <c r="H265" s="396"/>
      <c r="I265" s="403" t="s">
        <v>41</v>
      </c>
    </row>
    <row r="266" spans="1:13" ht="14.4" thickBot="1" x14ac:dyDescent="0.3">
      <c r="A266" s="330"/>
      <c r="B266" s="331"/>
      <c r="C266" s="331"/>
      <c r="D266" s="197"/>
      <c r="E266" s="397"/>
      <c r="F266" s="402"/>
      <c r="G266" s="397"/>
      <c r="H266" s="397"/>
      <c r="I266" s="404"/>
    </row>
    <row r="267" spans="1:13" ht="13.8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3.8" x14ac:dyDescent="0.25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59506.123521039997</v>
      </c>
      <c r="G268" s="286">
        <f>IF(IFERROR(VLOOKUP(E268,Data!$O$23:$P$196,2,FALSE),0)=0,0,(F268-IFERROR(VLOOKUP(E268,Data!$O$23:$P$196,2,FALSE),0))/ABS(IFERROR(VLOOKUP(E268,Data!$O$23:$P$196,2,FALSE),0)))</f>
        <v>2.438270736946668E-5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3.8" x14ac:dyDescent="0.25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79794.70774862</v>
      </c>
      <c r="G269" s="286">
        <f>IF(IFERROR(VLOOKUP(E269,Data!$O$23:$P$196,2,FALSE),0)=0,0,(F269-IFERROR(VLOOKUP(E269,Data!$O$23:$P$196,2,FALSE),0))/ABS(IFERROR(VLOOKUP(E269,Data!$O$23:$P$196,2,FALSE),0)))</f>
        <v>-5.6126146686180413E-3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3.8" x14ac:dyDescent="0.25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60667.751436300001</v>
      </c>
      <c r="G270" s="334">
        <f>IF(IFERROR(VLOOKUP(E270,Data!$O$23:$P$196,2,FALSE),0)=0,0,(F270-IFERROR(VLOOKUP(E270,Data!$O$23:$P$196,2,FALSE),0))/ABS(IFERROR(VLOOKUP(E270,Data!$O$23:$P$196,2,FALSE),0)))</f>
        <v>-4.9781561257310238E-3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3.8" x14ac:dyDescent="0.25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7557.7300084600001</v>
      </c>
      <c r="G271" s="286">
        <f>IF(IFERROR(VLOOKUP(E271,Data!$O$23:$P$196,2,FALSE),0)=0,0,(F271-IFERROR(VLOOKUP(E271,Data!$O$23:$P$196,2,FALSE),0))/ABS(IFERROR(VLOOKUP(E271,Data!$O$23:$P$196,2,FALSE),0)))</f>
        <v>2.5336616722881154E-3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3.8" x14ac:dyDescent="0.25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29829.961820230001</v>
      </c>
      <c r="G272" s="286">
        <f>IF(IFERROR(VLOOKUP(E272,Data!$O$23:$P$196,2,FALSE),0)=0,0,(F272-IFERROR(VLOOKUP(E272,Data!$O$23:$P$196,2,FALSE),0))/ABS(IFERROR(VLOOKUP(E272,Data!$O$23:$P$196,2,FALSE),0)))</f>
        <v>2.5371766326403476E-3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3.8" x14ac:dyDescent="0.25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13185.96484565</v>
      </c>
      <c r="G273" s="286">
        <f>IF(IFERROR(VLOOKUP(E273,Data!$O$23:$P$196,2,FALSE),0)=0,0,(F273-IFERROR(VLOOKUP(E273,Data!$O$23:$P$196,2,FALSE),0))/ABS(IFERROR(VLOOKUP(E273,Data!$O$23:$P$196,2,FALSE),0)))</f>
        <v>-7.9964262748810078E-3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3.8" x14ac:dyDescent="0.25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3.8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3.8" x14ac:dyDescent="0.25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52614.652741489997</v>
      </c>
      <c r="G276" s="286">
        <f>IF(IFERROR(VLOOKUP(E276,Data!$O$23:$P$196,2,FALSE),0)=0,0,(F276-IFERROR(VLOOKUP(E276,Data!$O$23:$P$196,2,FALSE),0))/ABS(IFERROR(VLOOKUP(E276,Data!$O$23:$P$196,2,FALSE),0)))</f>
        <v>1.5534782194873724E-3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3.8" x14ac:dyDescent="0.25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27276.629072349999</v>
      </c>
      <c r="G277" s="286">
        <f>IF(IFERROR(VLOOKUP(E277,Data!$O$23:$P$196,2,FALSE),0)=0,0,(F277-IFERROR(VLOOKUP(E277,Data!$O$23:$P$196,2,FALSE),0))/ABS(IFERROR(VLOOKUP(E277,Data!$O$23:$P$196,2,FALSE),0)))</f>
        <v>5.0516187816133347E-3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3.8" x14ac:dyDescent="0.25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11885.389932780001</v>
      </c>
      <c r="G278" s="286">
        <f>IF(IFERROR(VLOOKUP(E278,Data!$O$23:$P$196,2,FALSE),0)=0,0,(F278-IFERROR(VLOOKUP(E278,Data!$O$23:$P$196,2,FALSE),0))/ABS(IFERROR(VLOOKUP(E278,Data!$O$23:$P$196,2,FALSE),0)))</f>
        <v>-7.2798422284496801E-3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3.8" x14ac:dyDescent="0.25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37586.082474299998</v>
      </c>
      <c r="G279" s="286">
        <f>IF(IFERROR(VLOOKUP(E279,Data!$O$23:$P$196,2,FALSE),0)=0,0,(F279-IFERROR(VLOOKUP(E279,Data!$O$23:$P$196,2,FALSE),0))/ABS(IFERROR(VLOOKUP(E279,Data!$O$23:$P$196,2,FALSE),0)))</f>
        <v>3.5627414699697504E-2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3.8" x14ac:dyDescent="0.25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1245.08332258</v>
      </c>
      <c r="G280" s="286">
        <f>IF(IFERROR(VLOOKUP(E280,Data!$O$23:$P$196,2,FALSE),0)=0,0,(F280-IFERROR(VLOOKUP(E280,Data!$O$23:$P$196,2,FALSE),0))/ABS(IFERROR(VLOOKUP(E280,Data!$O$23:$P$196,2,FALSE),0)))</f>
        <v>-4.4880630708974203E-2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3.8" x14ac:dyDescent="0.25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79169.695995720002</v>
      </c>
      <c r="G281" s="286">
        <f>IF(IFERROR(VLOOKUP(E281,Data!$O$23:$P$196,2,FALSE),0)=0,0,(F281-IFERROR(VLOOKUP(E281,Data!$O$23:$P$196,2,FALSE),0))/ABS(IFERROR(VLOOKUP(E281,Data!$O$23:$P$196,2,FALSE),0)))</f>
        <v>1.0648157815200633E-3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3.8" x14ac:dyDescent="0.25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17460.233719349999</v>
      </c>
      <c r="G282" s="286">
        <f>IF(IFERROR(VLOOKUP(E282,Data!$O$23:$P$196,2,FALSE),0)=0,0,(F282-IFERROR(VLOOKUP(E282,Data!$O$23:$P$196,2,FALSE),0))/ABS(IFERROR(VLOOKUP(E282,Data!$O$23:$P$196,2,FALSE),0)))</f>
        <v>-2.310732689573711E-2</v>
      </c>
      <c r="H282" s="184">
        <f>VLOOKUP(E282,Data!$B$23:$E$273,3,FALSE)</f>
        <v>18404.477409030002</v>
      </c>
      <c r="I282" s="333">
        <f>VLOOKUP(E282,Data!$B$23:$E$273,2,FALSE)</f>
        <v>43125</v>
      </c>
      <c r="J282" s="157"/>
      <c r="M282" s="157"/>
    </row>
    <row r="283" spans="1:13" ht="13.8" x14ac:dyDescent="0.25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83267.56205085</v>
      </c>
      <c r="G283" s="286">
        <f>IF(IFERROR(VLOOKUP(E283,Data!$O$23:$P$196,2,FALSE),0)=0,0,(F283-IFERROR(VLOOKUP(E283,Data!$O$23:$P$196,2,FALSE),0))/ABS(IFERROR(VLOOKUP(E283,Data!$O$23:$P$196,2,FALSE),0)))</f>
        <v>-6.5272548158420238E-3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3.8" x14ac:dyDescent="0.25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3.8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3.8" x14ac:dyDescent="0.25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3.8" x14ac:dyDescent="0.25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26737.98110927</v>
      </c>
      <c r="G287" s="286">
        <f>IF(IFERROR(VLOOKUP(E287,Data!$O$23:$P$196,2,FALSE),0)=0,0,(F287-IFERROR(VLOOKUP(E287,Data!$O$23:$P$196,2,FALSE),0))/ABS(IFERROR(VLOOKUP(E287,Data!$O$23:$P$196,2,FALSE),0)))</f>
        <v>3.0977505466391671E-2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3.8" x14ac:dyDescent="0.25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56940.766648949997</v>
      </c>
      <c r="G288" s="286">
        <f>IF(IFERROR(VLOOKUP(E288,Data!$O$23:$P$196,2,FALSE),0)=0,0,(F288-IFERROR(VLOOKUP(E288,Data!$O$23:$P$196,2,FALSE),0))/ABS(IFERROR(VLOOKUP(E288,Data!$O$23:$P$196,2,FALSE),0)))</f>
        <v>5.4335995206012823E-2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3.8" x14ac:dyDescent="0.25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68641.785407520001</v>
      </c>
      <c r="G289" s="286">
        <f>IF(IFERROR(VLOOKUP(E289,Data!$O$23:$P$196,2,FALSE),0)=0,0,(F289-IFERROR(VLOOKUP(E289,Data!$O$23:$P$196,2,FALSE),0))/ABS(IFERROR(VLOOKUP(E289,Data!$O$23:$P$196,2,FALSE),0)))</f>
        <v>1.4820362746237301E-2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3.8" x14ac:dyDescent="0.25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25253.892299200001</v>
      </c>
      <c r="G290" s="286">
        <f>IF(IFERROR(VLOOKUP(E290,Data!$O$23:$P$196,2,FALSE),0)=0,0,(F290-IFERROR(VLOOKUP(E290,Data!$O$23:$P$196,2,FALSE),0))/ABS(IFERROR(VLOOKUP(E290,Data!$O$23:$P$196,2,FALSE),0)))</f>
        <v>-9.1834415549526364E-3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3.8" x14ac:dyDescent="0.25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46031.843077040001</v>
      </c>
      <c r="G291" s="286">
        <f>IF(IFERROR(VLOOKUP(E291,Data!$O$23:$P$196,2,FALSE),0)=0,0,(F291-IFERROR(VLOOKUP(E291,Data!$O$23:$P$196,2,FALSE),0))/ABS(IFERROR(VLOOKUP(E291,Data!$O$23:$P$196,2,FALSE),0)))</f>
        <v>-2.9877582637220155E-2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3.8" x14ac:dyDescent="0.25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36888.86895579</v>
      </c>
      <c r="G292" s="286">
        <f>IF(IFERROR(VLOOKUP(E292,Data!$O$23:$P$196,2,FALSE),0)=0,0,(F292-IFERROR(VLOOKUP(E292,Data!$O$23:$P$196,2,FALSE),0))/ABS(IFERROR(VLOOKUP(E292,Data!$O$23:$P$196,2,FALSE),0)))</f>
        <v>-5.3261338667221443E-2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3.8" x14ac:dyDescent="0.25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7193.6163041600003</v>
      </c>
      <c r="G293" s="286">
        <f>IF(IFERROR(VLOOKUP(E293,Data!$O$23:$P$196,2,FALSE),0)=0,0,(F293-IFERROR(VLOOKUP(E293,Data!$O$23:$P$196,2,FALSE),0))/ABS(IFERROR(VLOOKUP(E293,Data!$O$23:$P$196,2,FALSE),0)))</f>
        <v>4.9738630929026442E-3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3.8" x14ac:dyDescent="0.25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7047.5919699200003</v>
      </c>
      <c r="G294" s="286">
        <f>IF(IFERROR(VLOOKUP(E294,Data!$O$23:$P$196,2,FALSE),0)=0,0,(F294-IFERROR(VLOOKUP(E294,Data!$O$23:$P$196,2,FALSE),0))/ABS(IFERROR(VLOOKUP(E294,Data!$O$23:$P$196,2,FALSE),0)))</f>
        <v>-2.358878740579223E-2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3.8" x14ac:dyDescent="0.25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3.8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3.8" x14ac:dyDescent="0.25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3.8" x14ac:dyDescent="0.25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3534.0939974600001</v>
      </c>
      <c r="G298" s="286">
        <f>IF(IFERROR(VLOOKUP(E298,Data!$O$23:$P$196,2,FALSE),0)=0,0,(F298-IFERROR(VLOOKUP(E298,Data!$O$23:$P$196,2,FALSE),0))/ABS(IFERROR(VLOOKUP(E298,Data!$O$23:$P$196,2,FALSE),0)))</f>
        <v>1.9198884950180878E-2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3.8" x14ac:dyDescent="0.25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876.14721712000005</v>
      </c>
      <c r="G299" s="286">
        <f>IF(IFERROR(VLOOKUP(E299,Data!$O$23:$P$196,2,FALSE),0)=0,0,(F299-IFERROR(VLOOKUP(E299,Data!$O$23:$P$196,2,FALSE),0))/ABS(IFERROR(VLOOKUP(E299,Data!$O$23:$P$196,2,FALSE),0)))</f>
        <v>-6.3459649893097783E-2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3.8" x14ac:dyDescent="0.25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625.85621914000001</v>
      </c>
      <c r="G300" s="286">
        <f>IF(IFERROR(VLOOKUP(E300,Data!$O$23:$P$196,2,FALSE),0)=0,0,(F300-IFERROR(VLOOKUP(E300,Data!$O$23:$P$196,2,FALSE),0))/ABS(IFERROR(VLOOKUP(E300,Data!$O$23:$P$196,2,FALSE),0)))</f>
        <v>-9.9055241899671367E-2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3.8" x14ac:dyDescent="0.25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503.82706374000003</v>
      </c>
      <c r="G301" s="286">
        <f>IF(IFERROR(VLOOKUP(E301,Data!$O$23:$P$196,2,FALSE),0)=0,0,(F301-IFERROR(VLOOKUP(E301,Data!$O$23:$P$196,2,FALSE),0))/ABS(IFERROR(VLOOKUP(E301,Data!$O$23:$P$196,2,FALSE),0)))</f>
        <v>-0.100331026500566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3.8" x14ac:dyDescent="0.25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21334.190257580001</v>
      </c>
      <c r="G302" s="286">
        <f>IF(IFERROR(VLOOKUP(E302,Data!$O$23:$P$196,2,FALSE),0)=0,0,(F302-IFERROR(VLOOKUP(E302,Data!$O$23:$P$196,2,FALSE),0))/ABS(IFERROR(VLOOKUP(E302,Data!$O$23:$P$196,2,FALSE),0)))</f>
        <v>3.0977505466520394E-2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3.8" x14ac:dyDescent="0.25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389.09384507999999</v>
      </c>
      <c r="G303" s="286">
        <f>IF(IFERROR(VLOOKUP(E303,Data!$O$23:$P$196,2,FALSE),0)=0,0,(F303-IFERROR(VLOOKUP(E303,Data!$O$23:$P$196,2,FALSE),0))/ABS(IFERROR(VLOOKUP(E303,Data!$O$23:$P$196,2,FALSE),0)))</f>
        <v>3.4059185825766588E-3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3.8" x14ac:dyDescent="0.25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701.52163184999995</v>
      </c>
      <c r="G304" s="286">
        <f>IF(IFERROR(VLOOKUP(E304,Data!$O$23:$P$196,2,FALSE),0)=0,0,(F304-IFERROR(VLOOKUP(E304,Data!$O$23:$P$196,2,FALSE),0))/ABS(IFERROR(VLOOKUP(E304,Data!$O$23:$P$196,2,FALSE),0)))</f>
        <v>-1.5318398205967369E-3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3.8" x14ac:dyDescent="0.25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3.8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3.8" x14ac:dyDescent="0.25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20.17474983</v>
      </c>
      <c r="G307" s="286">
        <f>IF(IFERROR(VLOOKUP(E307,Data!$O$23:$P$196,2,FALSE),0)=0,0,(F307-IFERROR(VLOOKUP(E307,Data!$O$23:$P$196,2,FALSE),0))/ABS(IFERROR(VLOOKUP(E307,Data!$O$23:$P$196,2,FALSE),0)))</f>
        <v>3.4126038591169285E-2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3.8" x14ac:dyDescent="0.25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8957.0313316100001</v>
      </c>
      <c r="G308" s="286">
        <f>IF(IFERROR(VLOOKUP(E308,Data!$O$23:$P$196,2,FALSE),0)=0,0,(F308-IFERROR(VLOOKUP(E308,Data!$O$23:$P$196,2,FALSE),0))/ABS(IFERROR(VLOOKUP(E308,Data!$O$23:$P$196,2,FALSE),0)))</f>
        <v>7.4829804743869563E-2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3.8" x14ac:dyDescent="0.25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3.8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3.8" x14ac:dyDescent="0.25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3.8" x14ac:dyDescent="0.25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3.8" x14ac:dyDescent="0.25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1154.51579477</v>
      </c>
      <c r="G313" s="286">
        <f>IF(IFERROR(VLOOKUP(E313,Data!$O$23:$P$196,2,FALSE),0)=0,0,(F313-IFERROR(VLOOKUP(E313,Data!$O$23:$P$196,2,FALSE),0))/ABS(IFERROR(VLOOKUP(E313,Data!$O$23:$P$196,2,FALSE),0)))</f>
        <v>-1.2253636361041138E-2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4.4" thickBot="1" x14ac:dyDescent="0.3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8" thickTop="1" x14ac:dyDescent="0.25">
      <c r="A315" s="365" t="s">
        <v>532</v>
      </c>
      <c r="D315" s="2"/>
      <c r="E315" s="2"/>
      <c r="F315" s="12"/>
    </row>
    <row r="316" spans="1:9" x14ac:dyDescent="0.25">
      <c r="A316" s="59" t="s">
        <v>116</v>
      </c>
      <c r="D316" s="2"/>
      <c r="E316" s="2"/>
      <c r="F316" s="12"/>
    </row>
    <row r="334" spans="11:12" s="247" customFormat="1" x14ac:dyDescent="0.25">
      <c r="K334" s="262"/>
      <c r="L334" s="262"/>
    </row>
    <row r="336" spans="11:12" s="247" customFormat="1" x14ac:dyDescent="0.25">
      <c r="K336" s="262"/>
      <c r="L336" s="262"/>
    </row>
    <row r="346" spans="1:9" ht="12.75" customHeight="1" x14ac:dyDescent="0.25">
      <c r="E346" s="125"/>
      <c r="F346" s="125"/>
      <c r="G346" s="125"/>
      <c r="H346" s="125"/>
      <c r="I346" s="125"/>
    </row>
    <row r="347" spans="1:9" ht="12.75" customHeight="1" x14ac:dyDescent="0.25">
      <c r="A347" s="107" t="str">
        <f>"Market Profile - "&amp; TEXT($H$3,"MMM")&amp;" "&amp;TEXT($H$3,"YYYY")</f>
        <v>Market Profile - Jan 2018</v>
      </c>
      <c r="E347" s="380" t="s">
        <v>204</v>
      </c>
      <c r="F347" s="380"/>
      <c r="G347" s="380"/>
      <c r="H347" s="380"/>
      <c r="I347" s="125"/>
    </row>
    <row r="348" spans="1:9" ht="13.8" thickBot="1" x14ac:dyDescent="0.3">
      <c r="A348" s="116"/>
      <c r="B348" s="116"/>
      <c r="C348" s="116"/>
      <c r="D348" s="116"/>
      <c r="E348" s="393"/>
      <c r="F348" s="393"/>
      <c r="G348" s="393"/>
      <c r="H348" s="393"/>
      <c r="I348" s="116"/>
    </row>
    <row r="349" spans="1:9" ht="13.8" x14ac:dyDescent="0.25">
      <c r="A349" s="281"/>
      <c r="B349" s="337"/>
      <c r="C349" s="281"/>
      <c r="D349" s="385" t="str">
        <f>TEXT(DATE(2000,TEXT(H3,"M")-1,1),"mmm")&amp; " "&amp; TEXT(H3,"YYYY")</f>
        <v>Dec 2018</v>
      </c>
      <c r="E349" s="385"/>
      <c r="F349" s="280" t="s">
        <v>27</v>
      </c>
      <c r="G349" s="310"/>
      <c r="H349" s="281"/>
      <c r="I349" s="280" t="s">
        <v>27</v>
      </c>
    </row>
    <row r="350" spans="1:9" ht="13.8" x14ac:dyDescent="0.25">
      <c r="A350" s="281"/>
      <c r="B350" s="337"/>
      <c r="C350" s="281"/>
      <c r="D350" s="386"/>
      <c r="E350" s="386"/>
      <c r="F350" s="280" t="s">
        <v>38</v>
      </c>
      <c r="G350" s="310"/>
      <c r="H350" s="281"/>
      <c r="I350" s="280" t="s">
        <v>147</v>
      </c>
    </row>
    <row r="351" spans="1:9" ht="14.4" thickBot="1" x14ac:dyDescent="0.3">
      <c r="A351" s="295"/>
      <c r="B351" s="338"/>
      <c r="C351" s="338" t="str">
        <f>TEXT($H$3,"MMM")&amp;" "&amp;TEXT($H$3,"YYYY")</f>
        <v>Jan 2018</v>
      </c>
      <c r="D351" s="387"/>
      <c r="E351" s="387"/>
      <c r="F351" s="284" t="s">
        <v>1</v>
      </c>
      <c r="G351" s="330"/>
      <c r="H351" s="338" t="str">
        <f>TEXT($H$3,"MMM")&amp;" "&amp;TEXT($H$3,"YYYY")-1</f>
        <v>Jan 2017</v>
      </c>
      <c r="I351" s="284" t="s">
        <v>28</v>
      </c>
    </row>
    <row r="352" spans="1:9" ht="13.8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3.8" x14ac:dyDescent="0.25">
      <c r="A353" s="339" t="s">
        <v>14</v>
      </c>
      <c r="B353" s="248"/>
      <c r="C353" s="248"/>
      <c r="D353" s="383"/>
      <c r="E353" s="383"/>
      <c r="F353" s="248"/>
      <c r="G353" s="248"/>
      <c r="H353" s="248"/>
      <c r="I353" s="248"/>
    </row>
    <row r="354" spans="1:9" ht="13.8" x14ac:dyDescent="0.25">
      <c r="A354" s="248" t="s">
        <v>446</v>
      </c>
      <c r="B354" s="249"/>
      <c r="C354" s="249">
        <f>SUMIFS(Data!$V$2:$V$14,Data!$S$2:$S$14,MarketProfile!A354,Data!$X$2:$X$14,"1")</f>
        <v>241920</v>
      </c>
      <c r="D354" s="383">
        <f>SUMIFS(Data!$V$30:$V$42,Data!$S$30:$S$42,MarketProfile!A354,Data!$X$30:$X$42,"1")</f>
        <v>233228</v>
      </c>
      <c r="E354" s="383"/>
      <c r="F354" s="286">
        <f>IFERROR(IF(OR(AND(D354="",C354=""),AND(D354=0,C354=0)),"",
IF(OR(D354="",D354=0),1,
IF(OR(D354&lt;&gt;"",D354&lt;&gt;0),(C354-D354)/ABS(D354)))),-1)</f>
        <v>3.726825252542576E-2</v>
      </c>
      <c r="G354" s="383">
        <f>SUMIFS(Data!$V$60:$V$72,Data!$S$60:$S$72,MarketProfile!A354,Data!$X$60:$X$72,"1")</f>
        <v>246027</v>
      </c>
      <c r="H354" s="383"/>
      <c r="I354" s="286">
        <f t="shared" ref="I354:I367" si="22">IFERROR(IF(OR(AND(G354="",C354=""),AND(G354=0,C354=0)),"",
IF(OR(G354="",G354=0),1,
IF(OR(G354&lt;&gt;"",G354&lt;&gt;0),(C354-G354)/ABS(G354)))),-1)</f>
        <v>-1.6693289760879904E-2</v>
      </c>
    </row>
    <row r="355" spans="1:9" ht="13.8" x14ac:dyDescent="0.25">
      <c r="A355" s="248" t="s">
        <v>447</v>
      </c>
      <c r="B355" s="249"/>
      <c r="C355" s="249">
        <f>SUMIFS(Data!$V$2:$V$14,Data!$S$2:$S$14,MarketProfile!A355,Data!$X$2:$X$14,"1")</f>
        <v>4014</v>
      </c>
      <c r="D355" s="383">
        <f>SUMIFS(Data!$V$30:$V$42,Data!$S$30:$S$42,MarketProfile!A355,Data!$X$30:$X$42,"1")</f>
        <v>7118</v>
      </c>
      <c r="E355" s="383"/>
      <c r="F355" s="286">
        <f t="shared" ref="F355:F361" si="23">IFERROR(IF(OR(AND(D355="",C355=""),AND(D355=0,C355=0)),"",
IF(OR(D355="",D355=0),1,
IF(OR(D355&lt;&gt;"",D355&lt;&gt;0),(C355-D355)/ABS(D355)))),-1)</f>
        <v>-0.43607754987356001</v>
      </c>
      <c r="G355" s="383">
        <f>SUMIFS(Data!$V$60:$V$72,Data!$S$60:$S$72,MarketProfile!A355,Data!$X$60:$X$72,"1")</f>
        <v>4466</v>
      </c>
      <c r="H355" s="383"/>
      <c r="I355" s="286">
        <f t="shared" si="22"/>
        <v>-0.10120913569189431</v>
      </c>
    </row>
    <row r="356" spans="1:9" ht="13.8" x14ac:dyDescent="0.25">
      <c r="A356" s="248" t="s">
        <v>448</v>
      </c>
      <c r="B356" s="249"/>
      <c r="C356" s="249">
        <f>SUMIFS(Data!$V$2:$V$14,Data!$S$2:$S$14,MarketProfile!A356,Data!$X$2:$X$14,"1")</f>
        <v>0</v>
      </c>
      <c r="D356" s="383">
        <f>SUMIFS(Data!$V$30:$V$42,Data!$S$30:$S$42,MarketProfile!A356,Data!$X$30:$X$42,"1")</f>
        <v>0</v>
      </c>
      <c r="E356" s="383"/>
      <c r="F356" s="286" t="str">
        <f t="shared" si="23"/>
        <v/>
      </c>
      <c r="G356" s="383">
        <f>SUMIFS(Data!$V$60:$V$72,Data!$S$60:$S$72,MarketProfile!A356,Data!$X$60:$X$72,"1")</f>
        <v>4318</v>
      </c>
      <c r="H356" s="383"/>
      <c r="I356" s="286">
        <f t="shared" si="22"/>
        <v>-1</v>
      </c>
    </row>
    <row r="357" spans="1:9" ht="13.8" x14ac:dyDescent="0.25">
      <c r="A357" s="248" t="s">
        <v>182</v>
      </c>
      <c r="B357" s="249"/>
      <c r="C357" s="249">
        <f>SUMIFS(Data!$V$2:$V$14,Data!$S$2:$S$14,MarketProfile!A357,Data!$X$2:$X$14,"1")</f>
        <v>430</v>
      </c>
      <c r="D357" s="383">
        <f>SUMIFS(Data!$V$30:$V$42,Data!$S$30:$S$42,MarketProfile!A357,Data!$X$30:$X$42,"1")</f>
        <v>371</v>
      </c>
      <c r="E357" s="383"/>
      <c r="F357" s="286">
        <f t="shared" si="23"/>
        <v>0.15902964959568733</v>
      </c>
      <c r="G357" s="383">
        <f>SUMIFS(Data!$V$60:$V$72,Data!$S$60:$S$72,MarketProfile!A357,Data!$X$60:$X$72,"1")</f>
        <v>242</v>
      </c>
      <c r="H357" s="383"/>
      <c r="I357" s="286">
        <f t="shared" si="22"/>
        <v>0.77685950413223137</v>
      </c>
    </row>
    <row r="358" spans="1:9" ht="13.8" x14ac:dyDescent="0.25">
      <c r="A358" s="248" t="s">
        <v>449</v>
      </c>
      <c r="B358" s="249"/>
      <c r="C358" s="249">
        <f>SUMIFS(Data!$V$2:$V$14,Data!$S$2:$S$14,MarketProfile!A358,Data!$X$2:$X$14,"1")</f>
        <v>79</v>
      </c>
      <c r="D358" s="383">
        <f>SUMIFS(Data!$V$30:$V$42,Data!$S$30:$S$42,MarketProfile!A358,Data!$X$30:$X$42,"1")</f>
        <v>566</v>
      </c>
      <c r="E358" s="383"/>
      <c r="F358" s="286">
        <f t="shared" si="23"/>
        <v>-0.86042402826855124</v>
      </c>
      <c r="G358" s="383">
        <f>SUMIFS(Data!$V$60:$V$72,Data!$S$60:$S$72,MarketProfile!A358,Data!$X$60:$X$72,"1")</f>
        <v>122</v>
      </c>
      <c r="H358" s="383"/>
      <c r="I358" s="286">
        <f t="shared" si="22"/>
        <v>-0.35245901639344263</v>
      </c>
    </row>
    <row r="359" spans="1:9" ht="13.8" x14ac:dyDescent="0.25">
      <c r="A359" s="248" t="s">
        <v>450</v>
      </c>
      <c r="B359" s="249"/>
      <c r="C359" s="249">
        <f>SUMIFS(Data!$V$2:$V$14,Data!$S$2:$S$14,MarketProfile!A359,Data!$X$2:$X$14,"1")</f>
        <v>0</v>
      </c>
      <c r="D359" s="383">
        <f>SUMIFS(Data!$V$30:$V$42,Data!$S$30:$S$42,MarketProfile!A359,Data!$X$30:$X$42,"1")</f>
        <v>548</v>
      </c>
      <c r="E359" s="383"/>
      <c r="F359" s="286">
        <f t="shared" si="23"/>
        <v>-1</v>
      </c>
      <c r="G359" s="383">
        <f>SUMIFS(Data!$V$60:$V$72,Data!$S$60:$S$72,MarketProfile!A359,Data!$X$60:$X$72,"1")</f>
        <v>114</v>
      </c>
      <c r="H359" s="383"/>
      <c r="I359" s="286">
        <f t="shared" si="22"/>
        <v>-1</v>
      </c>
    </row>
    <row r="360" spans="1:9" ht="13.8" x14ac:dyDescent="0.25">
      <c r="A360" s="248" t="s">
        <v>451</v>
      </c>
      <c r="B360" s="249"/>
      <c r="C360" s="249">
        <f>SUMIFS(Data!$V$2:$V$14,Data!$S$2:$S$14,MarketProfile!A360,Data!$X$2:$X$14,"1")</f>
        <v>87</v>
      </c>
      <c r="D360" s="383">
        <f>SUMIFS(Data!$V$30:$V$42,Data!$S$30:$S$42,MarketProfile!A360,Data!$X$30:$X$42,"1")</f>
        <v>140</v>
      </c>
      <c r="E360" s="383"/>
      <c r="F360" s="286">
        <f t="shared" si="23"/>
        <v>-0.37857142857142856</v>
      </c>
      <c r="G360" s="383">
        <f>SUMIFS(Data!$V$60:$V$72,Data!$S$60:$S$72,MarketProfile!A360,Data!$X$60:$X$72,"1")</f>
        <v>181</v>
      </c>
      <c r="H360" s="383"/>
      <c r="I360" s="286">
        <f t="shared" si="22"/>
        <v>-0.51933701657458564</v>
      </c>
    </row>
    <row r="361" spans="1:9" ht="13.8" x14ac:dyDescent="0.25">
      <c r="A361" s="288" t="s">
        <v>133</v>
      </c>
      <c r="B361" s="250"/>
      <c r="C361" s="250">
        <f>SUM(C354:C360)</f>
        <v>246530</v>
      </c>
      <c r="D361" s="384">
        <f>SUM(D354:E360)</f>
        <v>241971</v>
      </c>
      <c r="E361" s="384"/>
      <c r="F361" s="326">
        <f t="shared" si="23"/>
        <v>1.8841100793070244E-2</v>
      </c>
      <c r="G361" s="384">
        <f>SUM(G354:H360)</f>
        <v>255470</v>
      </c>
      <c r="H361" s="384">
        <v>228310</v>
      </c>
      <c r="I361" s="326">
        <f t="shared" si="22"/>
        <v>-3.499432418679297E-2</v>
      </c>
    </row>
    <row r="362" spans="1:9" ht="13.8" x14ac:dyDescent="0.25">
      <c r="A362" s="248"/>
      <c r="B362" s="249"/>
      <c r="C362" s="249"/>
      <c r="D362" s="383"/>
      <c r="E362" s="383"/>
      <c r="F362" s="286"/>
      <c r="G362" s="248"/>
      <c r="H362" s="249"/>
      <c r="I362" s="286" t="str">
        <f t="shared" si="22"/>
        <v/>
      </c>
    </row>
    <row r="363" spans="1:9" ht="13.8" x14ac:dyDescent="0.25">
      <c r="A363" s="339" t="s">
        <v>206</v>
      </c>
      <c r="B363" s="250"/>
      <c r="C363" s="250"/>
      <c r="D363" s="383"/>
      <c r="E363" s="383"/>
      <c r="F363" s="286"/>
      <c r="G363" s="248"/>
      <c r="H363" s="250"/>
      <c r="I363" s="326" t="str">
        <f t="shared" si="22"/>
        <v/>
      </c>
    </row>
    <row r="364" spans="1:9" ht="13.8" x14ac:dyDescent="0.25">
      <c r="A364" s="248" t="s">
        <v>446</v>
      </c>
      <c r="B364" s="249"/>
      <c r="C364" s="249">
        <f>SUMIFS(Data!$V$2:$V$14,Data!$S$2:$S$14,MarketProfile!A364,Data!$X$2:$X$14,"0")</f>
        <v>286</v>
      </c>
      <c r="D364" s="383">
        <f>SUMIFS(Data!$V$30:$V$42,Data!$S$30:$S$42,MarketProfile!A364,Data!$X$30:$X$42,"0")</f>
        <v>490</v>
      </c>
      <c r="E364" s="383"/>
      <c r="F364" s="286">
        <f t="shared" ref="F364:F368" si="24">IFERROR(IF(OR(AND(D364="",C364=""),AND(D364=0,C364=0)),"",
IF(OR(D364="",D364=0),1,
IF(OR(D364&lt;&gt;"",D364&lt;&gt;0),(C364-D364)/ABS(D364)))),-1)</f>
        <v>-0.41632653061224489</v>
      </c>
      <c r="G364" s="383">
        <f>SUMIFS(Data!$V$60:$V$72,Data!$S$60:$S$72,MarketProfile!A364,Data!$X$60:$X$72,"0")</f>
        <v>1555</v>
      </c>
      <c r="H364" s="383"/>
      <c r="I364" s="286">
        <f t="shared" si="22"/>
        <v>-0.81607717041800643</v>
      </c>
    </row>
    <row r="365" spans="1:9" ht="13.8" x14ac:dyDescent="0.25">
      <c r="A365" s="248" t="s">
        <v>447</v>
      </c>
      <c r="B365" s="249"/>
      <c r="C365" s="249">
        <f>SUMIFS(Data!$V$2:$V$14,Data!$S$2:$S$14,MarketProfile!A365,Data!$X$2:$X$14,"0")</f>
        <v>422</v>
      </c>
      <c r="D365" s="383">
        <f>SUMIFS(Data!$V$30:$V$42,Data!$S$30:$S$42,MarketProfile!A365,Data!$X$30:$X$42,"0")</f>
        <v>479</v>
      </c>
      <c r="E365" s="383"/>
      <c r="F365" s="286">
        <f t="shared" si="24"/>
        <v>-0.11899791231732777</v>
      </c>
      <c r="G365" s="383">
        <f>SUMIFS(Data!$V$60:$V$72,Data!$S$60:$S$72,MarketProfile!A365,Data!$X$60:$X$72,"0")</f>
        <v>462</v>
      </c>
      <c r="H365" s="383"/>
      <c r="I365" s="286">
        <f t="shared" si="22"/>
        <v>-8.6580086580086577E-2</v>
      </c>
    </row>
    <row r="366" spans="1:9" ht="13.8" x14ac:dyDescent="0.25">
      <c r="A366" s="248" t="s">
        <v>451</v>
      </c>
      <c r="B366" s="249"/>
      <c r="C366" s="249">
        <f>SUMIFS(Data!$V$2:$V$14,Data!$S$2:$S$14,MarketProfile!A366,Data!$X$2:$X$14,"0")</f>
        <v>81</v>
      </c>
      <c r="D366" s="383">
        <f>SUMIFS(Data!$V$30:$V$42,Data!$S$30:$S$42,MarketProfile!A366,Data!$X$30:$X$42,"0")</f>
        <v>104</v>
      </c>
      <c r="E366" s="383"/>
      <c r="F366" s="286">
        <f t="shared" si="24"/>
        <v>-0.22115384615384615</v>
      </c>
      <c r="G366" s="383">
        <f>SUMIFS(Data!$V$60:$V$72,Data!$S$60:$S$72,MarketProfile!A366,Data!$X$60:$X$72,"0")</f>
        <v>77</v>
      </c>
      <c r="H366" s="383"/>
      <c r="I366" s="286">
        <f t="shared" si="22"/>
        <v>5.1948051948051951E-2</v>
      </c>
    </row>
    <row r="367" spans="1:9" ht="13.8" x14ac:dyDescent="0.25">
      <c r="A367" s="248" t="s">
        <v>448</v>
      </c>
      <c r="B367" s="249"/>
      <c r="C367" s="249">
        <f>SUMIFS(Data!$V$2:$V$14,Data!$S$2:$S$14,MarketProfile!A367,Data!$X$2:$X$14,"0")</f>
        <v>0</v>
      </c>
      <c r="D367" s="383">
        <f>SUMIFS(Data!$V$30:$V$42,Data!$S$30:$S$42,MarketProfile!A367,Data!$X$30:$X$42,"0")</f>
        <v>0</v>
      </c>
      <c r="E367" s="383"/>
      <c r="F367" s="286" t="str">
        <f t="shared" si="24"/>
        <v/>
      </c>
      <c r="G367" s="383">
        <f>SUMIFS(Data!$V$60:$V$72,Data!$S$60:$S$72,MarketProfile!A367,Data!$X$60:$X$72,"0")</f>
        <v>0</v>
      </c>
      <c r="H367" s="383"/>
      <c r="I367" s="286" t="str">
        <f t="shared" si="22"/>
        <v/>
      </c>
    </row>
    <row r="368" spans="1:9" ht="13.8" x14ac:dyDescent="0.25">
      <c r="A368" s="288" t="s">
        <v>133</v>
      </c>
      <c r="B368" s="250"/>
      <c r="C368" s="250">
        <f>SUM(C364:C367)</f>
        <v>789</v>
      </c>
      <c r="D368" s="384">
        <f t="shared" ref="D368:E368" si="25">SUM(D364:D367)</f>
        <v>1073</v>
      </c>
      <c r="E368" s="384">
        <f t="shared" si="25"/>
        <v>0</v>
      </c>
      <c r="F368" s="326">
        <f t="shared" si="24"/>
        <v>-0.26467847157502328</v>
      </c>
      <c r="G368" s="384">
        <f>SUM(G364:H367)</f>
        <v>2094</v>
      </c>
      <c r="H368" s="384">
        <v>1646</v>
      </c>
      <c r="I368" s="326">
        <f>IFERROR(IF(OR(AND(G368="",C368=""),AND(G368=0,C368=0)),"",
IF(OR(G368="",G368=0),1,
IF(OR(G368&lt;&gt;"",G368&lt;&gt;0),(C368-G368)/ABS(G368)))),-1)</f>
        <v>-0.62320916905444124</v>
      </c>
    </row>
    <row r="369" spans="1:9" ht="13.8" x14ac:dyDescent="0.25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3.8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3.8" x14ac:dyDescent="0.25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3.8" x14ac:dyDescent="0.25">
      <c r="A372" s="248" t="s">
        <v>446</v>
      </c>
      <c r="B372" s="249"/>
      <c r="C372" s="249">
        <f>SUMIFS(Data!$U$2:$U$14,Data!$S$2:$S$14,MarketProfile!A372,Data!$X$2:$X$14,"1")</f>
        <v>970105</v>
      </c>
      <c r="D372" s="383">
        <f>SUMIFS(Data!$U$30:$U$42,Data!$S$30:$S$42,MarketProfile!A372,Data!$X$30:$X$42,"1")</f>
        <v>2989174</v>
      </c>
      <c r="E372" s="383"/>
      <c r="F372" s="286">
        <f t="shared" ref="F372:F379" si="26">IFERROR(IF(OR(AND(D372="",C372=""),AND(D372=0,C372=0)),"",
IF(OR(D372="",D372=0),1,
IF(OR(D372&lt;&gt;"",D372&lt;&gt;0),(C372-D372)/ABS(D372)))),-1)</f>
        <v>-0.67546051183370392</v>
      </c>
      <c r="G372" s="383">
        <f>SUMIFS(Data!$U$60:$U$72,Data!$S$60:$S$72,MarketProfile!A372,Data!$X$60:$X$72,"1")</f>
        <v>1171482</v>
      </c>
      <c r="H372" s="383"/>
      <c r="I372" s="286">
        <f t="shared" ref="I372:I379" si="27">IFERROR(IF(OR(AND(G372="",C372=""),AND(G372=0,C372=0)),"",
IF(OR(G372="",G372=0),1,
IF(OR(G372&lt;&gt;"",G372&lt;&gt;0),(C372-G372)/ABS(G372)))),-1)</f>
        <v>-0.17189935483430391</v>
      </c>
    </row>
    <row r="373" spans="1:9" ht="13.8" x14ac:dyDescent="0.25">
      <c r="A373" s="248" t="s">
        <v>447</v>
      </c>
      <c r="B373" s="249"/>
      <c r="C373" s="249">
        <f>SUMIFS(Data!$U$2:$U$14,Data!$S$2:$S$14,MarketProfile!A373,Data!$X$2:$X$14,"1")</f>
        <v>614040</v>
      </c>
      <c r="D373" s="383">
        <f>SUMIFS(Data!$U$30:$U$42,Data!$S$30:$S$42,MarketProfile!A373,Data!$X$30:$X$42,"1")</f>
        <v>2488258</v>
      </c>
      <c r="E373" s="383"/>
      <c r="F373" s="286">
        <f t="shared" si="26"/>
        <v>-0.75322494693074427</v>
      </c>
      <c r="G373" s="383">
        <f>SUMIFS(Data!$U$60:$U$72,Data!$S$60:$S$72,MarketProfile!A373,Data!$X$60:$X$72,"1")</f>
        <v>484725</v>
      </c>
      <c r="H373" s="383"/>
      <c r="I373" s="286">
        <f t="shared" si="27"/>
        <v>0.26678013306514003</v>
      </c>
    </row>
    <row r="374" spans="1:9" ht="13.8" x14ac:dyDescent="0.25">
      <c r="A374" s="248" t="s">
        <v>448</v>
      </c>
      <c r="B374" s="249"/>
      <c r="C374" s="249">
        <f>SUMIFS(Data!$U$2:$U$14,Data!$S$2:$S$14,MarketProfile!A374,Data!$X$2:$X$14,"1")</f>
        <v>0</v>
      </c>
      <c r="D374" s="383">
        <f>SUMIFS(Data!$U$30:$U$42,Data!$S$30:$S$42,MarketProfile!A374,Data!$X$30:$X$42,"1")</f>
        <v>0</v>
      </c>
      <c r="E374" s="383"/>
      <c r="F374" s="286" t="str">
        <f t="shared" si="26"/>
        <v/>
      </c>
      <c r="G374" s="383">
        <f>SUMIFS(Data!$U$60:$U$72,Data!$S$60:$S$72,MarketProfile!A374,Data!$X$60:$X$72,"1")</f>
        <v>234167</v>
      </c>
      <c r="H374" s="383"/>
      <c r="I374" s="286">
        <f t="shared" si="27"/>
        <v>-1</v>
      </c>
    </row>
    <row r="375" spans="1:9" ht="13.8" x14ac:dyDescent="0.25">
      <c r="A375" s="248" t="s">
        <v>182</v>
      </c>
      <c r="B375" s="249"/>
      <c r="C375" s="249">
        <f>SUMIFS(Data!$U$2:$U$14,Data!$S$2:$S$14,MarketProfile!A375,Data!$X$2:$X$14,"1")</f>
        <v>1427057</v>
      </c>
      <c r="D375" s="383">
        <f>SUMIFS(Data!$U$30:$U$42,Data!$S$30:$S$42,MarketProfile!A375,Data!$X$30:$X$42,"1")</f>
        <v>2004101</v>
      </c>
      <c r="E375" s="383"/>
      <c r="F375" s="286">
        <f t="shared" si="26"/>
        <v>-0.28793159626186504</v>
      </c>
      <c r="G375" s="383">
        <f>SUMIFS(Data!$U$60:$U$72,Data!$S$60:$S$72,MarketProfile!A375,Data!$X$60:$X$72,"1")</f>
        <v>723314</v>
      </c>
      <c r="H375" s="383"/>
      <c r="I375" s="286">
        <f t="shared" si="27"/>
        <v>0.972942594779031</v>
      </c>
    </row>
    <row r="376" spans="1:9" ht="13.8" x14ac:dyDescent="0.25">
      <c r="A376" s="248" t="s">
        <v>449</v>
      </c>
      <c r="B376" s="249"/>
      <c r="C376" s="249">
        <f>SUMIFS(Data!$U$2:$U$14,Data!$S$2:$S$14,MarketProfile!A376,Data!$X$2:$X$14,"1")</f>
        <v>244958</v>
      </c>
      <c r="D376" s="383">
        <f>SUMIFS(Data!$U$30:$U$42,Data!$S$30:$S$42,MarketProfile!A376,Data!$X$30:$X$42,"1")</f>
        <v>19205089</v>
      </c>
      <c r="E376" s="383"/>
      <c r="F376" s="286">
        <f t="shared" si="26"/>
        <v>-0.98724515153249226</v>
      </c>
      <c r="G376" s="383">
        <f>SUMIFS(Data!$U$60:$U$72,Data!$S$60:$S$72,MarketProfile!A376,Data!$X$60:$X$72,"1")</f>
        <v>1275107</v>
      </c>
      <c r="H376" s="383"/>
      <c r="I376" s="286">
        <f t="shared" si="27"/>
        <v>-0.80789220041925891</v>
      </c>
    </row>
    <row r="377" spans="1:9" ht="13.8" x14ac:dyDescent="0.25">
      <c r="A377" s="248" t="s">
        <v>450</v>
      </c>
      <c r="B377" s="249"/>
      <c r="C377" s="249">
        <f>SUMIFS(Data!$U$2:$U$14,Data!$S$2:$S$14,MarketProfile!A377,Data!$X$2:$X$14,"1")</f>
        <v>0</v>
      </c>
      <c r="D377" s="383">
        <f>SUMIFS(Data!$U$30:$U$42,Data!$S$30:$S$42,MarketProfile!A377,Data!$X$30:$X$42,"1")</f>
        <v>12007640</v>
      </c>
      <c r="E377" s="383"/>
      <c r="F377" s="286">
        <f t="shared" si="26"/>
        <v>-1</v>
      </c>
      <c r="G377" s="383">
        <f>SUMIFS(Data!$U$60:$U$72,Data!$S$60:$S$72,MarketProfile!A377,Data!$X$60:$X$72,"1")</f>
        <v>1209166</v>
      </c>
      <c r="H377" s="383"/>
      <c r="I377" s="286">
        <f t="shared" si="27"/>
        <v>-1</v>
      </c>
    </row>
    <row r="378" spans="1:9" ht="13.8" x14ac:dyDescent="0.25">
      <c r="A378" s="248" t="s">
        <v>451</v>
      </c>
      <c r="B378" s="249"/>
      <c r="C378" s="249">
        <f>SUMIFS(Data!$U$2:$U$14,Data!$S$2:$S$14,MarketProfile!A378,Data!$X$2:$X$14,"1")</f>
        <v>47271</v>
      </c>
      <c r="D378" s="383">
        <f>SUMIFS(Data!$U$30:$U$42,Data!$S$30:$S$42,MarketProfile!A378,Data!$X$30:$X$42,"1")</f>
        <v>302096</v>
      </c>
      <c r="E378" s="383"/>
      <c r="F378" s="286">
        <f t="shared" si="26"/>
        <v>-0.8435232508871352</v>
      </c>
      <c r="G378" s="383">
        <f>SUMIFS(Data!$U$60:$U$72,Data!$S$60:$S$72,MarketProfile!A378,Data!$X$60:$X$72,"1")</f>
        <v>36577</v>
      </c>
      <c r="H378" s="383"/>
      <c r="I378" s="286">
        <f t="shared" si="27"/>
        <v>0.29236952183065862</v>
      </c>
    </row>
    <row r="379" spans="1:9" ht="13.8" x14ac:dyDescent="0.25">
      <c r="A379" s="288" t="s">
        <v>133</v>
      </c>
      <c r="B379" s="250"/>
      <c r="C379" s="250">
        <f>SUM(C372:C378)</f>
        <v>3303431</v>
      </c>
      <c r="D379" s="384">
        <f>SUM(D372:E378)</f>
        <v>38996358</v>
      </c>
      <c r="E379" s="384"/>
      <c r="F379" s="326">
        <f t="shared" si="26"/>
        <v>-0.91528873029630098</v>
      </c>
      <c r="G379" s="384">
        <f>SUM(G372:H378)</f>
        <v>5134538</v>
      </c>
      <c r="H379" s="384">
        <v>17193059</v>
      </c>
      <c r="I379" s="326">
        <f t="shared" si="27"/>
        <v>-0.35662546464745221</v>
      </c>
    </row>
    <row r="380" spans="1:9" ht="13.8" x14ac:dyDescent="0.25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3.8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3.8" x14ac:dyDescent="0.25">
      <c r="A382" s="248" t="s">
        <v>446</v>
      </c>
      <c r="B382" s="249"/>
      <c r="C382" s="249">
        <f>SUMIFS(Data!$U$2:$U$14,Data!$S$2:$S$14,MarketProfile!A382,Data!$X$2:$X$14,"0")</f>
        <v>379147</v>
      </c>
      <c r="D382" s="383">
        <f>SUMIFS(Data!$U$30:$U$42,Data!$S$30:$S$42,MarketProfile!A382,Data!$X$30:$X$42,"0")</f>
        <v>325466</v>
      </c>
      <c r="E382" s="383"/>
      <c r="F382" s="286">
        <f t="shared" ref="F382:F386" si="28">IFERROR(IF(OR(AND(D382="",C382=""),AND(D382=0,C382=0)),"",
IF(OR(D382="",D382=0),1,
IF(OR(D382&lt;&gt;"",D382&lt;&gt;0),(C382-D382)/ABS(D382)))),-1)</f>
        <v>0.16493581510818334</v>
      </c>
      <c r="G382" s="383">
        <f>SUMIFS(Data!$U$60:$U$72,Data!$S$60:$S$72,MarketProfile!A382,Data!$X$60:$X$72,"0")</f>
        <v>395562</v>
      </c>
      <c r="H382" s="383"/>
      <c r="I382" s="286">
        <f t="shared" ref="I382:I386" si="29">IFERROR(IF(OR(AND(G382="",C382=""),AND(G382=0,C382=0)),"",
IF(OR(G382="",G382=0),1,
IF(OR(G382&lt;&gt;"",G382&lt;&gt;0),(C382-G382)/ABS(G382)))),-1)</f>
        <v>-4.1497919415919626E-2</v>
      </c>
    </row>
    <row r="383" spans="1:9" ht="13.8" x14ac:dyDescent="0.25">
      <c r="A383" s="248" t="s">
        <v>447</v>
      </c>
      <c r="B383" s="249"/>
      <c r="C383" s="249">
        <f>SUMIFS(Data!$U$2:$U$14,Data!$S$2:$S$14,MarketProfile!A383,Data!$X$2:$X$14,"0")</f>
        <v>1239426</v>
      </c>
      <c r="D383" s="383">
        <f>SUMIFS(Data!$U$30:$U$42,Data!$S$30:$S$42,MarketProfile!A383,Data!$X$30:$X$42,"0")</f>
        <v>409037</v>
      </c>
      <c r="E383" s="383"/>
      <c r="F383" s="286">
        <f t="shared" si="28"/>
        <v>2.0301073008065287</v>
      </c>
      <c r="G383" s="383">
        <f>SUMIFS(Data!$U$60:$U$72,Data!$S$60:$S$72,MarketProfile!A383,Data!$X$60:$X$72,"0")</f>
        <v>674757</v>
      </c>
      <c r="H383" s="383"/>
      <c r="I383" s="286">
        <f t="shared" si="29"/>
        <v>0.83684793192215867</v>
      </c>
    </row>
    <row r="384" spans="1:9" ht="13.8" x14ac:dyDescent="0.25">
      <c r="A384" s="248" t="s">
        <v>451</v>
      </c>
      <c r="B384" s="249"/>
      <c r="C384" s="249">
        <f>SUMIFS(Data!$U$2:$U$14,Data!$S$2:$S$14,MarketProfile!A384,Data!$X$2:$X$14,"0")</f>
        <v>61367</v>
      </c>
      <c r="D384" s="383">
        <f>SUMIFS(Data!$U$30:$U$42,Data!$S$30:$S$42,MarketProfile!A384,Data!$X$30:$X$42,"0")</f>
        <v>90638</v>
      </c>
      <c r="E384" s="383"/>
      <c r="F384" s="286">
        <f t="shared" si="28"/>
        <v>-0.32294401906485137</v>
      </c>
      <c r="G384" s="383">
        <f>SUMIFS(Data!$U$60:$U$72,Data!$S$60:$S$72,MarketProfile!A384,Data!$X$60:$X$72,"0")</f>
        <v>697921</v>
      </c>
      <c r="H384" s="383"/>
      <c r="I384" s="286">
        <f t="shared" si="29"/>
        <v>-0.91207171012191923</v>
      </c>
    </row>
    <row r="385" spans="1:9" ht="13.8" x14ac:dyDescent="0.25">
      <c r="A385" s="248" t="s">
        <v>448</v>
      </c>
      <c r="B385" s="249"/>
      <c r="C385" s="249">
        <f>SUMIFS(Data!$U$2:$U$14,Data!$S$2:$S$14,MarketProfile!A385,Data!$X$2:$X$14,"0")</f>
        <v>0</v>
      </c>
      <c r="D385" s="383">
        <f>SUMIFS(Data!$U$30:$U$42,Data!$S$30:$S$42,MarketProfile!A385,Data!$X$30:$X$42,"0")</f>
        <v>0</v>
      </c>
      <c r="E385" s="383"/>
      <c r="F385" s="286" t="str">
        <f t="shared" si="28"/>
        <v/>
      </c>
      <c r="G385" s="383">
        <f>SUMIFS(Data!$U$60:$U$72,Data!$S$60:$S$72,MarketProfile!A385,Data!$X$60:$X$72,"0")</f>
        <v>0</v>
      </c>
      <c r="H385" s="383"/>
      <c r="I385" s="286" t="str">
        <f t="shared" si="29"/>
        <v/>
      </c>
    </row>
    <row r="386" spans="1:9" ht="13.8" x14ac:dyDescent="0.25">
      <c r="A386" s="288" t="s">
        <v>133</v>
      </c>
      <c r="B386" s="250"/>
      <c r="C386" s="250">
        <f>SUM(C382:C385)</f>
        <v>1679940</v>
      </c>
      <c r="D386" s="384">
        <f>SUM(D382:E385)</f>
        <v>825141</v>
      </c>
      <c r="E386" s="384">
        <f>SUM(E382:E385)</f>
        <v>0</v>
      </c>
      <c r="F386" s="326">
        <f t="shared" si="28"/>
        <v>1.0359429479325353</v>
      </c>
      <c r="G386" s="384">
        <f>SUM(G382:H385)</f>
        <v>1768240</v>
      </c>
      <c r="H386" s="384">
        <v>677531</v>
      </c>
      <c r="I386" s="326">
        <f t="shared" si="29"/>
        <v>-4.9936660181875765E-2</v>
      </c>
    </row>
    <row r="387" spans="1:9" ht="13.8" x14ac:dyDescent="0.25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3.8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3.8" x14ac:dyDescent="0.25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3.8" x14ac:dyDescent="0.25">
      <c r="A390" s="248" t="s">
        <v>446</v>
      </c>
      <c r="B390" s="249"/>
      <c r="C390" s="249">
        <f>SUMIFS(Data!$T$2:$T$14,Data!$S$2:$S$14,MarketProfile!A390,Data!$X$2:$X$14,"1")/1000</f>
        <v>316277454.51018482</v>
      </c>
      <c r="D390" s="383">
        <f>SUMIFS(Data!$T$30:$T$42,Data!$S$30:$S$42,MarketProfile!A390,Data!$X$30:$X$42,"1")/1000</f>
        <v>815300629.7293216</v>
      </c>
      <c r="E390" s="383"/>
      <c r="F390" s="286">
        <f t="shared" ref="F390:F397" si="30">IFERROR(IF(OR(AND(D390="",C390=""),AND(D390=0,C390=0)),"",
IF(OR(D390="",D390=0),1,
IF(OR(D390&lt;&gt;"",D390&lt;&gt;0),(C390-D390)/ABS(D390)))),-1)</f>
        <v>-0.61207259877232234</v>
      </c>
      <c r="G390" s="383">
        <f>SUMIFS(Data!$T$60:$T$72,Data!$S$60:$S$72,MarketProfile!A390,Data!$X$60:$X$72,"1")/1000</f>
        <v>338105930.88116342</v>
      </c>
      <c r="H390" s="383"/>
      <c r="I390" s="286">
        <f t="shared" ref="I390:I397" si="31">IFERROR(IF(OR(AND(G390="",C390=""),AND(G390=0,C390=0)),"",
IF(OR(G390="",G390=0),1,
IF(OR(G390&lt;&gt;"",G390&lt;&gt;0),(C390-G390)/ABS(G390)))),-1)</f>
        <v>-6.4561057281928624E-2</v>
      </c>
    </row>
    <row r="391" spans="1:9" ht="13.8" x14ac:dyDescent="0.25">
      <c r="A391" s="248" t="s">
        <v>447</v>
      </c>
      <c r="B391" s="249"/>
      <c r="C391" s="249">
        <f>SUMIFS(Data!$T$2:$T$14,Data!$S$2:$S$14,MarketProfile!A391,Data!$X$2:$X$14,"1")/1000</f>
        <v>9635947.9255680013</v>
      </c>
      <c r="D391" s="383">
        <f>SUMIFS(Data!$T$30:$T$42,Data!$S$30:$S$42,MarketProfile!A391,Data!$X$30:$X$42,"1")/1000</f>
        <v>24436112.879662</v>
      </c>
      <c r="E391" s="383"/>
      <c r="F391" s="286">
        <f t="shared" si="30"/>
        <v>-0.60566772739096608</v>
      </c>
      <c r="G391" s="383">
        <f>SUMIFS(Data!$T$60:$T$72,Data!$S$60:$S$72,MarketProfile!A391,Data!$X$60:$X$72,"1")/1000</f>
        <v>8758303.8957280014</v>
      </c>
      <c r="H391" s="383"/>
      <c r="I391" s="286">
        <f t="shared" si="31"/>
        <v>0.10020707665420064</v>
      </c>
    </row>
    <row r="392" spans="1:9" ht="13.8" x14ac:dyDescent="0.25">
      <c r="A392" s="248" t="s">
        <v>448</v>
      </c>
      <c r="B392" s="249"/>
      <c r="C392" s="249">
        <f>SUMIFS(Data!$T$2:$T$14,Data!$S$2:$S$14,MarketProfile!A392,Data!$X$2:$X$14,"1")/1000</f>
        <v>0</v>
      </c>
      <c r="D392" s="383">
        <f>SUMIFS(Data!$T$30:$T$42,Data!$S$30:$S$42,MarketProfile!A392,Data!$X$30:$X$42,"1")/1000</f>
        <v>0</v>
      </c>
      <c r="E392" s="383"/>
      <c r="F392" s="286" t="str">
        <f t="shared" si="30"/>
        <v/>
      </c>
      <c r="G392" s="383">
        <f>SUMIFS(Data!$T$60:$T$72,Data!$S$60:$S$72,MarketProfile!A392,Data!$X$60:$X$72,"1")/1000</f>
        <v>820.86</v>
      </c>
      <c r="H392" s="383"/>
      <c r="I392" s="286">
        <f t="shared" si="31"/>
        <v>-1</v>
      </c>
    </row>
    <row r="393" spans="1:9" ht="13.8" x14ac:dyDescent="0.25">
      <c r="A393" s="248" t="s">
        <v>182</v>
      </c>
      <c r="B393" s="249"/>
      <c r="C393" s="249">
        <f>SUMIFS(Data!$T$2:$T$14,Data!$S$2:$S$14,MarketProfile!A393,Data!$X$2:$X$14,"1")/1000</f>
        <v>73739.037784999993</v>
      </c>
      <c r="D393" s="383">
        <f>SUMIFS(Data!$T$30:$T$42,Data!$S$30:$S$42,MarketProfile!A393,Data!$X$30:$X$42,"1")/1000</f>
        <v>355129.55121200002</v>
      </c>
      <c r="E393" s="383"/>
      <c r="F393" s="286">
        <f t="shared" si="30"/>
        <v>-0.79236017522805269</v>
      </c>
      <c r="G393" s="383">
        <f>SUMIFS(Data!$T$60:$T$72,Data!$S$60:$S$72,MarketProfile!A393,Data!$X$60:$X$72,"1")/1000</f>
        <v>37640.903865999993</v>
      </c>
      <c r="H393" s="383"/>
      <c r="I393" s="286">
        <f t="shared" si="31"/>
        <v>0.95901347235198742</v>
      </c>
    </row>
    <row r="394" spans="1:9" ht="13.8" x14ac:dyDescent="0.25">
      <c r="A394" s="248" t="s">
        <v>449</v>
      </c>
      <c r="B394" s="249"/>
      <c r="C394" s="249">
        <f>SUMIFS(Data!$T$2:$T$14,Data!$S$2:$S$14,MarketProfile!A394,Data!$X$2:$X$14,"1")/1000</f>
        <v>330425.56535399996</v>
      </c>
      <c r="D394" s="383">
        <f>SUMIFS(Data!$T$30:$T$42,Data!$S$30:$S$42,MarketProfile!A394,Data!$X$30:$X$42,"1")/1000</f>
        <v>4828825.4354659999</v>
      </c>
      <c r="E394" s="383"/>
      <c r="F394" s="286">
        <f t="shared" si="30"/>
        <v>-0.93157226953636763</v>
      </c>
      <c r="G394" s="383">
        <f>SUMIFS(Data!$T$60:$T$72,Data!$S$60:$S$72,MarketProfile!A394,Data!$X$60:$X$72,"1")/1000</f>
        <v>464552.25776750001</v>
      </c>
      <c r="H394" s="383"/>
      <c r="I394" s="286">
        <f t="shared" si="31"/>
        <v>-0.28872250682425493</v>
      </c>
    </row>
    <row r="395" spans="1:9" ht="13.8" x14ac:dyDescent="0.25">
      <c r="A395" s="248" t="s">
        <v>450</v>
      </c>
      <c r="B395" s="249"/>
      <c r="C395" s="249">
        <f>SUMIFS(Data!$T$2:$T$14,Data!$S$2:$S$14,MarketProfile!A395,Data!$X$2:$X$14,"1")/1000</f>
        <v>0</v>
      </c>
      <c r="D395" s="383">
        <f>SUMIFS(Data!$T$30:$T$42,Data!$S$30:$S$42,MarketProfile!A395,Data!$X$30:$X$42,"1")/1000</f>
        <v>0.73229999999999995</v>
      </c>
      <c r="E395" s="383"/>
      <c r="F395" s="286">
        <f t="shared" si="30"/>
        <v>-1</v>
      </c>
      <c r="G395" s="383">
        <f>SUMIFS(Data!$T$60:$T$72,Data!$S$60:$S$72,MarketProfile!A395,Data!$X$60:$X$72,"1")/1000</f>
        <v>2.5729899999999999</v>
      </c>
      <c r="H395" s="383"/>
      <c r="I395" s="286">
        <f t="shared" si="31"/>
        <v>-1</v>
      </c>
    </row>
    <row r="396" spans="1:9" ht="13.8" x14ac:dyDescent="0.25">
      <c r="A396" s="248" t="s">
        <v>451</v>
      </c>
      <c r="B396" s="249"/>
      <c r="C396" s="249">
        <f>SUMIFS(Data!$T$2:$T$14,Data!$S$2:$S$14,MarketProfile!A396,Data!$X$2:$X$14,"1")/1000</f>
        <v>1651342.29168</v>
      </c>
      <c r="D396" s="383">
        <f>SUMIFS(Data!$T$30:$T$42,Data!$S$30:$S$42,MarketProfile!A396,Data!$X$30:$X$42,"1")/1000</f>
        <v>5327767.1565299993</v>
      </c>
      <c r="E396" s="383"/>
      <c r="F396" s="286">
        <f t="shared" si="30"/>
        <v>-0.69004983829745159</v>
      </c>
      <c r="G396" s="383">
        <f>SUMIFS(Data!$T$60:$T$72,Data!$S$60:$S$72,MarketProfile!A396,Data!$X$60:$X$72,"1")/1000</f>
        <v>2020273.887076</v>
      </c>
      <c r="H396" s="383"/>
      <c r="I396" s="286">
        <f t="shared" si="31"/>
        <v>-0.18261464336895686</v>
      </c>
    </row>
    <row r="397" spans="1:9" ht="13.8" x14ac:dyDescent="0.25">
      <c r="A397" s="288" t="s">
        <v>133</v>
      </c>
      <c r="B397" s="250"/>
      <c r="C397" s="250">
        <f>SUM(C390:C396)</f>
        <v>327968909.33057177</v>
      </c>
      <c r="D397" s="384">
        <f>SUM(D390:E396)</f>
        <v>850248465.48449171</v>
      </c>
      <c r="E397" s="384">
        <f>SUM(E390:E396)</f>
        <v>0</v>
      </c>
      <c r="F397" s="326">
        <f t="shared" si="30"/>
        <v>-0.61426697883695991</v>
      </c>
      <c r="G397" s="384">
        <f>SUM(G390:H396)</f>
        <v>349387525.25859094</v>
      </c>
      <c r="H397" s="384">
        <v>320543973</v>
      </c>
      <c r="I397" s="326">
        <f t="shared" si="31"/>
        <v>-6.1303321897845903E-2</v>
      </c>
    </row>
    <row r="398" spans="1:9" ht="13.8" x14ac:dyDescent="0.25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3.8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3.8" x14ac:dyDescent="0.25">
      <c r="A400" s="248" t="s">
        <v>446</v>
      </c>
      <c r="B400" s="249"/>
      <c r="C400" s="249">
        <f>SUMIFS(Data!$T$2:$T$14,Data!$S$2:$S$14,MarketProfile!A400,Data!$X$2:$X$14,"0")/1000</f>
        <v>1188005.54859</v>
      </c>
      <c r="D400" s="383">
        <f>SUMIFS(Data!$T$30:$T$42,Data!$S$30:$S$42,MarketProfile!A400,Data!$X$30:$X$42,"0")/1000</f>
        <v>1504619.9761600001</v>
      </c>
      <c r="E400" s="383"/>
      <c r="F400" s="286">
        <f t="shared" ref="F400:F404" si="32">IFERROR(IF(OR(AND(D400="",C400=""),AND(D400=0,C400=0)),"",
IF(OR(D400="",D400=0),1,
IF(OR(D400&lt;&gt;"",D400&lt;&gt;0),(C400-D400)/ABS(D400)))),-1)</f>
        <v>-0.2104281696286156</v>
      </c>
      <c r="G400" s="383">
        <f>SUMIFS(Data!$T$60:$T$72,Data!$S$60:$S$72,MarketProfile!A400,Data!$X$60:$X$72,"0")/1000</f>
        <v>4001667.4688300001</v>
      </c>
      <c r="H400" s="383"/>
      <c r="I400" s="286">
        <f t="shared" ref="I400:I404" si="33">IFERROR(IF(OR(AND(G400="",C400=""),AND(G400=0,C400=0)),"",
IF(OR(G400="",G400=0),1,
IF(OR(G400&lt;&gt;"",G400&lt;&gt;0),(C400-G400)/ABS(G400)))),-1)</f>
        <v>-0.70312237140050349</v>
      </c>
    </row>
    <row r="401" spans="1:9" ht="13.8" x14ac:dyDescent="0.25">
      <c r="A401" s="248" t="s">
        <v>447</v>
      </c>
      <c r="B401" s="249"/>
      <c r="C401" s="249">
        <f>SUMIFS(Data!$T$2:$T$14,Data!$S$2:$S$14,MarketProfile!A401,Data!$X$2:$X$14,"0")/1000</f>
        <v>667287.42972999997</v>
      </c>
      <c r="D401" s="383">
        <f>SUMIFS(Data!$T$30:$T$42,Data!$S$30:$S$42,MarketProfile!A401,Data!$X$30:$X$42,"0")/1000</f>
        <v>513040.76754000003</v>
      </c>
      <c r="E401" s="383"/>
      <c r="F401" s="286">
        <f t="shared" si="32"/>
        <v>0.30065186228689683</v>
      </c>
      <c r="G401" s="383">
        <f>SUMIFS(Data!$T$60:$T$72,Data!$S$60:$S$72,MarketProfile!A401,Data!$X$60:$X$72,"0")/1000</f>
        <v>391491.48332</v>
      </c>
      <c r="H401" s="383"/>
      <c r="I401" s="286">
        <f t="shared" si="33"/>
        <v>0.7044749583596126</v>
      </c>
    </row>
    <row r="402" spans="1:9" ht="13.8" x14ac:dyDescent="0.25">
      <c r="A402" s="248" t="s">
        <v>451</v>
      </c>
      <c r="B402" s="249"/>
      <c r="C402" s="249">
        <f>SUMIFS(Data!$T$2:$T$14,Data!$S$2:$S$14,MarketProfile!A402,Data!$X$2:$X$14,"0")/1000</f>
        <v>145387.73659000001</v>
      </c>
      <c r="D402" s="383">
        <f>SUMIFS(Data!$T$30:$T$42,Data!$S$30:$S$42,MarketProfile!A402,Data!$X$30:$X$42,"0")/1000</f>
        <v>201107.30846</v>
      </c>
      <c r="E402" s="383"/>
      <c r="F402" s="286">
        <f t="shared" si="32"/>
        <v>-0.2770638834395347</v>
      </c>
      <c r="G402" s="383">
        <f>SUMIFS(Data!$T$60:$T$72,Data!$S$60:$S$72,MarketProfile!A402,Data!$X$60:$X$72,"0")/1000</f>
        <v>93239.367129999999</v>
      </c>
      <c r="H402" s="383"/>
      <c r="I402" s="286">
        <f t="shared" si="33"/>
        <v>0.55929561799032357</v>
      </c>
    </row>
    <row r="403" spans="1:9" ht="13.8" x14ac:dyDescent="0.25">
      <c r="A403" s="248" t="s">
        <v>448</v>
      </c>
      <c r="B403" s="249"/>
      <c r="C403" s="249">
        <f>SUMIFS(Data!$T$2:$T$14,Data!$S$2:$S$14,MarketProfile!A403,Data!$X$2:$X$14,"0")/1000</f>
        <v>0</v>
      </c>
      <c r="D403" s="383">
        <f>SUMIFS(Data!$T$30:$T$42,Data!$S$30:$S$42,MarketProfile!A403,Data!$X$30:$X$42,"0")/1000</f>
        <v>0</v>
      </c>
      <c r="E403" s="383"/>
      <c r="F403" s="286" t="str">
        <f t="shared" si="32"/>
        <v/>
      </c>
      <c r="G403" s="383">
        <f>SUMIFS(Data!$T$60:$T$72,Data!$S$60:$S$72,MarketProfile!A403,Data!$X$60:$X$72,"0")/1000</f>
        <v>0</v>
      </c>
      <c r="H403" s="383"/>
      <c r="I403" s="286" t="str">
        <f t="shared" si="33"/>
        <v/>
      </c>
    </row>
    <row r="404" spans="1:9" ht="13.8" x14ac:dyDescent="0.25">
      <c r="A404" s="288" t="s">
        <v>133</v>
      </c>
      <c r="B404" s="250"/>
      <c r="C404" s="250">
        <f>SUM(C400:C403)</f>
        <v>2000680.7149100001</v>
      </c>
      <c r="D404" s="384">
        <f>SUM(D400:E403)</f>
        <v>2218768.05216</v>
      </c>
      <c r="E404" s="384">
        <f>SUM(E400:E403)</f>
        <v>0</v>
      </c>
      <c r="F404" s="326">
        <f t="shared" si="32"/>
        <v>-9.8292084671801977E-2</v>
      </c>
      <c r="G404" s="384">
        <f>SUM(G400:H403)</f>
        <v>4486398.3192800004</v>
      </c>
      <c r="H404" s="384">
        <v>1436842</v>
      </c>
      <c r="I404" s="326">
        <f t="shared" si="33"/>
        <v>-0.55405637829521137</v>
      </c>
    </row>
    <row r="405" spans="1:9" ht="13.8" x14ac:dyDescent="0.25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3.8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3.8" x14ac:dyDescent="0.25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3.8" x14ac:dyDescent="0.25">
      <c r="A408" s="248" t="s">
        <v>446</v>
      </c>
      <c r="B408" s="127"/>
      <c r="C408" s="127">
        <f>SUMIFS(Data!$W$15:$W$27,Data!$S$15:$S$27,MarketProfile!A408,Data!$X$15:$X$27,"1")</f>
        <v>560071</v>
      </c>
      <c r="D408" s="383">
        <f>SUMIFS(Data!$W$45:$W$57,Data!$S$45:$S$57,MarketProfile!A408,Data!$X$45:$X$57,"1")</f>
        <v>561322</v>
      </c>
      <c r="E408" s="383"/>
      <c r="F408" s="286">
        <f t="shared" ref="F408:F414" si="34">IFERROR(IF(OR(AND(D408="",C408=""),AND(D408=0,C408=0)),"",
IF(OR(D408="",D408=0),1,
IF(OR(D408&lt;&gt;"",D408&lt;&gt;0),(C408-D408)/ABS(D408)))),-1)</f>
        <v>-2.2286673246371957E-3</v>
      </c>
      <c r="G408" s="383">
        <f>SUMIFS(Data!$W$75:$W$87,Data!$S$75:$S$87,MarketProfile!A408,Data!$X$75:$X$87,"1")</f>
        <v>855599</v>
      </c>
      <c r="H408" s="383"/>
      <c r="I408" s="286">
        <f t="shared" ref="I408:I414" si="35">IFERROR(IF(OR(AND(G408="",C408=""),AND(G408=0,C408=0)),"",
IF(OR(G408="",G408=0),1,
IF(OR(G408&lt;&gt;"",G408&lt;&gt;0),(C408-G408)/ABS(G408)))),-1)</f>
        <v>-0.34540479827582782</v>
      </c>
    </row>
    <row r="409" spans="1:9" ht="13.8" x14ac:dyDescent="0.25">
      <c r="A409" s="248" t="s">
        <v>447</v>
      </c>
      <c r="B409" s="127"/>
      <c r="C409" s="127">
        <f>SUMIFS(Data!$W$15:$W$27,Data!$S$15:$S$27,MarketProfile!A409,Data!$X$15:$X$27,"1")</f>
        <v>858189</v>
      </c>
      <c r="D409" s="383">
        <f>SUMIFS(Data!$W$45:$W$57,Data!$S$45:$S$57,MarketProfile!A409,Data!$X$45:$X$57,"1")</f>
        <v>862571</v>
      </c>
      <c r="E409" s="383"/>
      <c r="F409" s="286">
        <f t="shared" si="34"/>
        <v>-5.0801615171388792E-3</v>
      </c>
      <c r="G409" s="383">
        <f>SUMIFS(Data!$W$75:$W$87,Data!$S$75:$S$87,MarketProfile!A409,Data!$X$75:$X$87,"1")</f>
        <v>896235</v>
      </c>
      <c r="H409" s="383"/>
      <c r="I409" s="286">
        <f t="shared" si="35"/>
        <v>-4.2450919680664112E-2</v>
      </c>
    </row>
    <row r="410" spans="1:9" ht="13.8" x14ac:dyDescent="0.25">
      <c r="A410" s="248" t="s">
        <v>448</v>
      </c>
      <c r="B410" s="127"/>
      <c r="C410" s="127">
        <f>SUMIFS(Data!$W$15:$W$27,Data!$S$15:$S$27,MarketProfile!A410,Data!$X$15:$X$27,"1")</f>
        <v>0</v>
      </c>
      <c r="D410" s="383">
        <f>SUMIFS(Data!$W$45:$W$57,Data!$S$45:$S$57,MarketProfile!A410,Data!$X$45:$X$57,"1")</f>
        <v>0</v>
      </c>
      <c r="E410" s="383"/>
      <c r="F410" s="286" t="str">
        <f t="shared" si="34"/>
        <v/>
      </c>
      <c r="G410" s="383">
        <f>SUMIFS(Data!$W$75:$W$87,Data!$S$75:$S$87,MarketProfile!A410,Data!$X$75:$X$87,"1")</f>
        <v>734158</v>
      </c>
      <c r="H410" s="383"/>
      <c r="I410" s="286">
        <f t="shared" si="35"/>
        <v>-1</v>
      </c>
    </row>
    <row r="411" spans="1:9" ht="13.8" x14ac:dyDescent="0.25">
      <c r="A411" s="248" t="s">
        <v>182</v>
      </c>
      <c r="B411" s="127"/>
      <c r="C411" s="127">
        <f>SUMIFS(Data!$W$15:$W$27,Data!$S$15:$S$27,MarketProfile!A411,Data!$X$15:$X$27,"1")</f>
        <v>1130173</v>
      </c>
      <c r="D411" s="383">
        <f>SUMIFS(Data!$W$45:$W$57,Data!$S$45:$S$57,MarketProfile!A411,Data!$X$45:$X$57,"1")</f>
        <v>1034954</v>
      </c>
      <c r="E411" s="383"/>
      <c r="F411" s="286">
        <f t="shared" si="34"/>
        <v>9.2003122844107083E-2</v>
      </c>
      <c r="G411" s="383">
        <f>SUMIFS(Data!$W$75:$W$87,Data!$S$75:$S$87,MarketProfile!A411,Data!$X$75:$X$87,"1")</f>
        <v>1596582</v>
      </c>
      <c r="H411" s="383"/>
      <c r="I411" s="286">
        <f t="shared" si="35"/>
        <v>-0.29212968704394765</v>
      </c>
    </row>
    <row r="412" spans="1:9" ht="13.8" x14ac:dyDescent="0.25">
      <c r="A412" s="248" t="s">
        <v>449</v>
      </c>
      <c r="B412" s="127"/>
      <c r="C412" s="127">
        <f>SUMIFS(Data!$W$15:$W$27,Data!$S$15:$S$27,MarketProfile!A412,Data!$X$15:$X$27,"1")</f>
        <v>8116040</v>
      </c>
      <c r="D412" s="383">
        <f>SUMIFS(Data!$W$45:$W$57,Data!$S$45:$S$57,MarketProfile!A412,Data!$X$45:$X$57,"1")</f>
        <v>8150872</v>
      </c>
      <c r="E412" s="383"/>
      <c r="F412" s="286">
        <f t="shared" si="34"/>
        <v>-4.273407802257231E-3</v>
      </c>
      <c r="G412" s="383">
        <f>SUMIFS(Data!$W$75:$W$87,Data!$S$75:$S$87,MarketProfile!A412,Data!$X$75:$X$87,"1")</f>
        <v>17490822</v>
      </c>
      <c r="H412" s="383"/>
      <c r="I412" s="286">
        <f t="shared" si="35"/>
        <v>-0.53598292864680686</v>
      </c>
    </row>
    <row r="413" spans="1:9" ht="13.8" x14ac:dyDescent="0.25">
      <c r="A413" s="248" t="s">
        <v>450</v>
      </c>
      <c r="B413" s="127"/>
      <c r="C413" s="127">
        <f>SUMIFS(Data!$W$15:$W$27,Data!$S$15:$S$27,MarketProfile!A413,Data!$X$15:$X$27,"1")</f>
        <v>0</v>
      </c>
      <c r="D413" s="383">
        <f>SUMIFS(Data!$W$45:$W$57,Data!$S$45:$S$57,MarketProfile!A413,Data!$X$45:$X$57,"1")</f>
        <v>8025162</v>
      </c>
      <c r="E413" s="383"/>
      <c r="F413" s="286">
        <f t="shared" si="34"/>
        <v>-1</v>
      </c>
      <c r="G413" s="383">
        <f>SUMIFS(Data!$W$75:$W$87,Data!$S$75:$S$87,MarketProfile!A413,Data!$X$75:$X$87,"1")</f>
        <v>17040934</v>
      </c>
      <c r="H413" s="383"/>
      <c r="I413" s="286">
        <f t="shared" si="35"/>
        <v>-1</v>
      </c>
    </row>
    <row r="414" spans="1:9" ht="13.8" x14ac:dyDescent="0.25">
      <c r="A414" s="248" t="s">
        <v>451</v>
      </c>
      <c r="B414" s="127"/>
      <c r="C414" s="127">
        <f>SUMIFS(Data!$W$15:$W$27,Data!$S$15:$S$27,MarketProfile!A414,Data!$X$15:$X$27,"1")</f>
        <v>0</v>
      </c>
      <c r="D414" s="383">
        <f>SUMIFS(Data!$W$45:$W$57,Data!$S$45:$S$57,MarketProfile!A414,Data!$X$45:$X$57,"1")</f>
        <v>412523</v>
      </c>
      <c r="E414" s="383"/>
      <c r="F414" s="286">
        <f t="shared" si="34"/>
        <v>-1</v>
      </c>
      <c r="G414" s="383">
        <f>SUMIFS(Data!$W$75:$W$87,Data!$S$75:$S$87,MarketProfile!A414,Data!$X$75:$X$87,"1")</f>
        <v>164939</v>
      </c>
      <c r="H414" s="383"/>
      <c r="I414" s="286">
        <f t="shared" si="35"/>
        <v>-1</v>
      </c>
    </row>
    <row r="415" spans="1:9" ht="13.8" x14ac:dyDescent="0.25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3.8" x14ac:dyDescent="0.25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3.8" x14ac:dyDescent="0.25">
      <c r="A417" s="248" t="s">
        <v>446</v>
      </c>
      <c r="B417" s="127"/>
      <c r="C417" s="127">
        <f>SUMIFS(Data!$W$15:$W$27,Data!$S$15:$S$27,MarketProfile!A417,Data!$X$15:$X$27,"0")</f>
        <v>1000234</v>
      </c>
      <c r="D417" s="383">
        <f>SUMIFS(Data!$W$45:$W$57,Data!$S$45:$S$57,MarketProfile!A417,Data!$X$45:$X$57,"0")</f>
        <v>782813</v>
      </c>
      <c r="E417" s="383"/>
      <c r="F417" s="286">
        <f t="shared" ref="F417:F419" si="36">IFERROR(IF(OR(AND(D417="",C417=""),AND(D417=0,C417=0)),"",
IF(OR(D417="",D417=0),1,
IF(OR(D417&lt;&gt;"",D417&lt;&gt;0),(C417-D417)/ABS(D417)))),-1)</f>
        <v>0.27774321581271644</v>
      </c>
      <c r="G417" s="383">
        <f>SUMIFS(Data!$W$75:$W$87,Data!$S$75:$S$87,MarketProfile!A417,Data!$X$75:$X$87,"0")</f>
        <v>923891</v>
      </c>
      <c r="H417" s="383"/>
      <c r="I417" s="286">
        <f t="shared" ref="I417:I419" si="37">IFERROR(IF(OR(AND(G417="",C417=""),AND(G417=0,C417=0)),"",
IF(OR(G417="",G417=0),1,
IF(OR(G417&lt;&gt;"",G417&lt;&gt;0),(C417-G417)/ABS(G417)))),-1)</f>
        <v>8.2632042091545427E-2</v>
      </c>
    </row>
    <row r="418" spans="1:12" ht="13.8" x14ac:dyDescent="0.25">
      <c r="A418" s="248" t="s">
        <v>447</v>
      </c>
      <c r="B418" s="127"/>
      <c r="C418" s="127">
        <f>SUMIFS(Data!$W$15:$W$27,Data!$S$15:$S$27,MarketProfile!A418,Data!$X$15:$X$27,"0")</f>
        <v>1797298</v>
      </c>
      <c r="D418" s="383">
        <f>SUMIFS(Data!$W$45:$W$57,Data!$S$45:$S$57,MarketProfile!A418,Data!$X$45:$X$57,"0")</f>
        <v>1288741</v>
      </c>
      <c r="E418" s="383"/>
      <c r="F418" s="286">
        <f t="shared" si="36"/>
        <v>0.39461536491816429</v>
      </c>
      <c r="G418" s="383">
        <f>SUMIFS(Data!$W$75:$W$87,Data!$S$75:$S$87,MarketProfile!A418,Data!$X$75:$X$87,"0")</f>
        <v>1470740</v>
      </c>
      <c r="H418" s="383"/>
      <c r="I418" s="286">
        <f t="shared" si="37"/>
        <v>0.22203652583053429</v>
      </c>
    </row>
    <row r="419" spans="1:12" ht="13.8" x14ac:dyDescent="0.25">
      <c r="A419" s="248" t="s">
        <v>451</v>
      </c>
      <c r="B419" s="127"/>
      <c r="C419" s="127">
        <f>SUMIFS(Data!$W$15:$W$27,Data!$S$15:$S$27,MarketProfile!A419,Data!$X$15:$X$27,"0")</f>
        <v>213084</v>
      </c>
      <c r="D419" s="383">
        <f>SUMIFS(Data!$W$45:$W$57,Data!$S$45:$S$57,MarketProfile!A419,Data!$X$45:$X$57,"0")</f>
        <v>225288</v>
      </c>
      <c r="E419" s="383"/>
      <c r="F419" s="286">
        <f t="shared" si="36"/>
        <v>-5.4170661553211888E-2</v>
      </c>
      <c r="G419" s="383">
        <f>SUMIFS(Data!$W$75:$W$87,Data!$S$75:$S$87,MarketProfile!A419,Data!$X$75:$X$87,"0")</f>
        <v>811963</v>
      </c>
      <c r="H419" s="383"/>
      <c r="I419" s="286">
        <f t="shared" si="37"/>
        <v>-0.73756932274007558</v>
      </c>
    </row>
    <row r="420" spans="1:12" ht="14.4" thickBot="1" x14ac:dyDescent="0.3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4.4" thickTop="1" x14ac:dyDescent="0.25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3.8" x14ac:dyDescent="0.25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3.8" x14ac:dyDescent="0.25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3.8" x14ac:dyDescent="0.25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3.8" x14ac:dyDescent="0.25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3.8" x14ac:dyDescent="0.25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5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3.8" x14ac:dyDescent="0.25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5">
      <c r="A429" s="394" t="str">
        <f>"Market Profile - "&amp; TEXT($H$3,"MMM")&amp;" "&amp;TEXT($H$3,"YYYY")</f>
        <v>Market Profile - Jan 2018</v>
      </c>
      <c r="B429" s="248"/>
      <c r="C429" s="248"/>
      <c r="D429" s="248"/>
      <c r="E429" s="398" t="s">
        <v>205</v>
      </c>
      <c r="F429" s="398"/>
      <c r="G429" s="398"/>
      <c r="H429" s="398"/>
      <c r="I429" s="398"/>
    </row>
    <row r="430" spans="1:12" ht="10.5" customHeight="1" thickBot="1" x14ac:dyDescent="0.3">
      <c r="A430" s="395"/>
      <c r="B430" s="278"/>
      <c r="C430" s="278"/>
      <c r="D430" s="278"/>
      <c r="E430" s="399"/>
      <c r="F430" s="399"/>
      <c r="G430" s="399"/>
      <c r="H430" s="399"/>
      <c r="I430" s="399"/>
    </row>
    <row r="431" spans="1:12" ht="38.25" customHeight="1" thickBot="1" x14ac:dyDescent="0.3">
      <c r="A431" s="330"/>
      <c r="B431" s="330"/>
      <c r="C431" s="341" t="str">
        <f>TEXT($H$3,"MMM")&amp;" "&amp;TEXT($H$3,"YYYY")</f>
        <v>Jan 2018</v>
      </c>
      <c r="D431" s="330"/>
      <c r="E431" s="341" t="str">
        <f>TEXT(DATE(2000,TEXT(H3,"M")-1,1),"mmm")&amp; " "&amp; TEXT(H3,"YYYY")</f>
        <v>Dec 2018</v>
      </c>
      <c r="F431" s="180" t="s">
        <v>193</v>
      </c>
      <c r="G431" s="330"/>
      <c r="H431" s="342" t="str">
        <f>TEXT($H$3,"MMM")&amp;" "&amp;TEXT($H$3,"YYYY")-1</f>
        <v>Jan 2017</v>
      </c>
      <c r="I431" s="342" t="s">
        <v>194</v>
      </c>
    </row>
    <row r="432" spans="1:12" ht="13.8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5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5">
      <c r="A434" s="247" t="s">
        <v>461</v>
      </c>
      <c r="B434" s="247"/>
      <c r="C434" s="3">
        <f>SUMIFS(Data!$AC:$AC,Data!$Z:$Z,MarketProfile!A434,Data!$AE:$AE,"1")</f>
        <v>947</v>
      </c>
      <c r="D434" s="381">
        <f>SUMIFS(Data!$AQ:$AQ,Data!$AN:$AN,MarketProfile!A434,Data!$AS:$AS,"1")</f>
        <v>852</v>
      </c>
      <c r="E434" s="381"/>
      <c r="F434" s="179">
        <f>IFERROR(IF(OR(AND(D434="",C434=""),AND(D434=0,C434=0)),"",
IF(OR(D434="",D434=0),1,
IF(OR(D434&lt;&gt;"",D434&lt;&gt;0),(C434-D434)/ABS(D434)))),-1)</f>
        <v>0.11150234741784038</v>
      </c>
      <c r="G434" s="381">
        <f>SUMIFS(Data!$BE:$BE,Data!$BB:$BB,MarketProfile!A434,Data!BG:BG,"1")</f>
        <v>650</v>
      </c>
      <c r="H434" s="381"/>
      <c r="I434" s="179">
        <f t="shared" ref="I434:I441" si="38">IFERROR(IF(OR(AND(G434="",C434=""),AND(G434=0,C434=0)),"",
IF(OR(G434="",G434=0),1,
IF(OR(G434&lt;&gt;"",G434&lt;&gt;0),(C434-G434)/ABS(G434)))),-1)</f>
        <v>0.45692307692307693</v>
      </c>
      <c r="J434" s="158"/>
    </row>
    <row r="435" spans="1:10" x14ac:dyDescent="0.25">
      <c r="A435" s="247" t="s">
        <v>184</v>
      </c>
      <c r="B435" s="247"/>
      <c r="C435" s="3">
        <f>SUMIFS(Data!$AC:$AC,Data!$Z:$Z,MarketProfile!A435,Data!$AE:$AE,"1")</f>
        <v>1967</v>
      </c>
      <c r="D435" s="381">
        <f>SUMIFS(Data!$AQ:$AQ,Data!$AN:$AN,MarketProfile!A435,Data!$AS:$AS,"1")</f>
        <v>1504</v>
      </c>
      <c r="E435" s="381"/>
      <c r="F435" s="179">
        <f t="shared" ref="F435:F442" si="39">IFERROR(IF(OR(AND(D435="",C435=""),AND(D435=0,C435=0)),"",
IF(OR(D435="",D435=0),1,
IF(OR(D435&lt;&gt;"",D435&lt;&gt;0),(C435-D435)/ABS(D435)))),-1)</f>
        <v>0.30784574468085107</v>
      </c>
      <c r="G435" s="381">
        <f>SUMIFS(Data!$BE:$BE,Data!$BB:$BB,MarketProfile!A435,Data!BG:BG,"1")</f>
        <v>1229</v>
      </c>
      <c r="H435" s="381"/>
      <c r="I435" s="179">
        <f t="shared" si="38"/>
        <v>0.60048820179007323</v>
      </c>
      <c r="J435" s="158"/>
    </row>
    <row r="436" spans="1:10" x14ac:dyDescent="0.25">
      <c r="A436" s="247" t="s">
        <v>462</v>
      </c>
      <c r="B436" s="247"/>
      <c r="C436" s="3">
        <f>SUMIFS(Data!$AC:$AC,Data!$Z:$Z,MarketProfile!A436,Data!$AE:$AE,"1")</f>
        <v>6658</v>
      </c>
      <c r="D436" s="381">
        <f>SUMIFS(Data!$AQ:$AQ,Data!$AN:$AN,MarketProfile!A436,Data!$AS:$AS,"1")</f>
        <v>4686</v>
      </c>
      <c r="E436" s="381"/>
      <c r="F436" s="179">
        <f t="shared" si="39"/>
        <v>0.420827998292787</v>
      </c>
      <c r="G436" s="381">
        <f>SUMIFS(Data!$BE:$BE,Data!$BB:$BB,MarketProfile!A436,Data!BG:BG,"1")</f>
        <v>6761</v>
      </c>
      <c r="H436" s="381"/>
      <c r="I436" s="179">
        <f t="shared" si="38"/>
        <v>-1.5234432776216536E-2</v>
      </c>
      <c r="J436" s="158"/>
    </row>
    <row r="437" spans="1:10" x14ac:dyDescent="0.25">
      <c r="A437" s="247" t="s">
        <v>140</v>
      </c>
      <c r="B437" s="247"/>
      <c r="C437" s="3">
        <f>SUMIFS(Data!$AC:$AC,Data!$Z:$Z,MarketProfile!A437,Data!$AE:$AE,"1")</f>
        <v>2</v>
      </c>
      <c r="D437" s="381">
        <f>SUMIFS(Data!$AQ:$AQ,Data!$AN:$AN,MarketProfile!A437,Data!$AS:$AS,"1")</f>
        <v>21</v>
      </c>
      <c r="E437" s="381"/>
      <c r="F437" s="179">
        <f t="shared" si="39"/>
        <v>-0.90476190476190477</v>
      </c>
      <c r="G437" s="381">
        <f>SUMIFS(Data!$BE:$BE,Data!$BB:$BB,MarketProfile!A437,Data!BG:BG,"1")</f>
        <v>21</v>
      </c>
      <c r="H437" s="381"/>
      <c r="I437" s="179">
        <f t="shared" si="38"/>
        <v>-0.90476190476190477</v>
      </c>
      <c r="J437" s="158"/>
    </row>
    <row r="438" spans="1:10" x14ac:dyDescent="0.25">
      <c r="A438" s="247" t="s">
        <v>463</v>
      </c>
      <c r="B438" s="247"/>
      <c r="C438" s="3">
        <f>SUMIFS(Data!$AC:$AC,Data!$Z:$Z,MarketProfile!A438,Data!$AE:$AE,"1")</f>
        <v>2959</v>
      </c>
      <c r="D438" s="381">
        <f>SUMIFS(Data!$AQ:$AQ,Data!$AN:$AN,MarketProfile!A438,Data!$AS:$AS,"1")</f>
        <v>1822</v>
      </c>
      <c r="E438" s="381"/>
      <c r="F438" s="179">
        <f t="shared" si="39"/>
        <v>0.62403951701427007</v>
      </c>
      <c r="G438" s="381">
        <f>SUMIFS(Data!$BE:$BE,Data!$BB:$BB,MarketProfile!A438,Data!BG:BG,"1")</f>
        <v>1343</v>
      </c>
      <c r="H438" s="381"/>
      <c r="I438" s="179">
        <f t="shared" si="38"/>
        <v>1.2032762472077438</v>
      </c>
      <c r="J438" s="158"/>
    </row>
    <row r="439" spans="1:10" x14ac:dyDescent="0.25">
      <c r="A439" s="247" t="s">
        <v>464</v>
      </c>
      <c r="B439" s="247"/>
      <c r="C439" s="3">
        <f>SUMIFS(Data!$AC:$AC,Data!$Z:$Z,MarketProfile!A439,Data!$AE:$AE,"1")</f>
        <v>22205</v>
      </c>
      <c r="D439" s="381">
        <f>SUMIFS(Data!$AQ:$AQ,Data!$AN:$AN,MarketProfile!A439,Data!$AS:$AS,"1")</f>
        <v>10275</v>
      </c>
      <c r="E439" s="381"/>
      <c r="F439" s="179">
        <f t="shared" si="39"/>
        <v>1.1610705596107056</v>
      </c>
      <c r="G439" s="381">
        <f>SUMIFS(Data!$BE:$BE,Data!$BB:$BB,MarketProfile!A439,Data!BG:BG,"1")</f>
        <v>13753</v>
      </c>
      <c r="H439" s="381"/>
      <c r="I439" s="179">
        <f t="shared" si="38"/>
        <v>0.61455682396568023</v>
      </c>
      <c r="J439" s="158"/>
    </row>
    <row r="440" spans="1:10" x14ac:dyDescent="0.25">
      <c r="A440" s="247" t="s">
        <v>465</v>
      </c>
      <c r="B440" s="247"/>
      <c r="C440" s="3">
        <f>SUMIFS(Data!$AC:$AC,Data!$Z:$Z,MarketProfile!A440,Data!$AE:$AE,"1")</f>
        <v>14</v>
      </c>
      <c r="D440" s="381">
        <f>SUMIFS(Data!$AQ:$AQ,Data!$AN:$AN,MarketProfile!A440,Data!$AS:$AS,"1")</f>
        <v>25</v>
      </c>
      <c r="E440" s="381"/>
      <c r="F440" s="179">
        <f t="shared" si="39"/>
        <v>-0.44</v>
      </c>
      <c r="G440" s="381">
        <f>SUMIFS(Data!$BE:$BE,Data!$BB:$BB,MarketProfile!A440,Data!BG:BG,"1")</f>
        <v>24</v>
      </c>
      <c r="H440" s="381"/>
      <c r="I440" s="179">
        <f t="shared" si="38"/>
        <v>-0.41666666666666669</v>
      </c>
      <c r="J440" s="158"/>
    </row>
    <row r="441" spans="1:10" x14ac:dyDescent="0.25">
      <c r="A441" s="247" t="s">
        <v>141</v>
      </c>
      <c r="B441" s="247"/>
      <c r="C441" s="3">
        <f>SUMIFS(Data!$AC:$AC,Data!$Z:$Z,MarketProfile!A441,Data!$AE:$AE,"1")</f>
        <v>0</v>
      </c>
      <c r="D441" s="381">
        <f>SUMIFS(Data!$AQ:$AQ,Data!$AN:$AN,MarketProfile!A441,Data!$AS:$AS,"1")</f>
        <v>8</v>
      </c>
      <c r="E441" s="381"/>
      <c r="F441" s="179">
        <f t="shared" si="39"/>
        <v>-1</v>
      </c>
      <c r="G441" s="381">
        <f>SUMIFS(Data!$BE:$BE,Data!$BB:$BB,MarketProfile!A441,Data!BG:BG,"1")</f>
        <v>19</v>
      </c>
      <c r="H441" s="381"/>
      <c r="I441" s="179">
        <f t="shared" si="38"/>
        <v>-1</v>
      </c>
      <c r="J441" s="158"/>
    </row>
    <row r="442" spans="1:10" x14ac:dyDescent="0.25">
      <c r="A442" s="246" t="s">
        <v>187</v>
      </c>
      <c r="B442" s="247"/>
      <c r="C442" s="4">
        <f>SUM(C434:C441)</f>
        <v>34752</v>
      </c>
      <c r="D442" s="382">
        <f>SUM(D434:E441)</f>
        <v>19193</v>
      </c>
      <c r="E442" s="382">
        <f>SUM(E434:E441)</f>
        <v>0</v>
      </c>
      <c r="F442" s="166">
        <f t="shared" si="39"/>
        <v>0.81066013650810187</v>
      </c>
      <c r="G442" s="382">
        <f>SUM(G434:H441)</f>
        <v>23800</v>
      </c>
      <c r="H442" s="382">
        <f>SUM(H434:H441)</f>
        <v>0</v>
      </c>
      <c r="I442" s="166">
        <f>IFERROR(IF(OR(AND(G442="",C442=""),AND(G442=0,C442=0)),"",
IF(OR(G442="",G442=0),1,
IF(OR(G442&lt;&gt;"",G442&lt;&gt;0),(C442-G442)/ABS(G442)))),-1)</f>
        <v>0.46016806722689074</v>
      </c>
      <c r="J442" s="158"/>
    </row>
    <row r="443" spans="1:10" x14ac:dyDescent="0.25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5">
      <c r="A444" s="247" t="s">
        <v>461</v>
      </c>
      <c r="B444" s="247"/>
      <c r="C444" s="3">
        <f>SUMIFS(Data!$AC:$AC,Data!$Z:$Z,MarketProfile!A444,Data!$AE:$AE,"0")</f>
        <v>2</v>
      </c>
      <c r="D444" s="381">
        <f>SUMIFS(Data!$AQ:$AQ,Data!$AN:$AN,MarketProfile!A444,Data!$AS:$AS,"0")</f>
        <v>3</v>
      </c>
      <c r="E444" s="381"/>
      <c r="F444" s="179">
        <f t="shared" ref="F444:F452" si="40">IFERROR(IF(OR(AND(D444="",C444=""),AND(D444=0,C444=0)),"",
IF(OR(D444="",D444=0),1,
IF(OR(D444&lt;&gt;"",D444&lt;&gt;0),(C444-D444)/ABS(D444)))),-1)</f>
        <v>-0.33333333333333331</v>
      </c>
      <c r="G444" s="381">
        <f>SUMIFS(Data!$BE:$BE,Data!$BB:$BB,MarketProfile!A444,Data!BG:BG,"0")</f>
        <v>0</v>
      </c>
      <c r="H444" s="381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5">
      <c r="A445" s="247" t="s">
        <v>184</v>
      </c>
      <c r="B445" s="247"/>
      <c r="C445" s="3">
        <f>SUMIFS(Data!$AC:$AC,Data!$Z:$Z,MarketProfile!A445,Data!$AE:$AE,"0")</f>
        <v>140</v>
      </c>
      <c r="D445" s="381">
        <f>SUMIFS(Data!$AQ:$AQ,Data!$AN:$AN,MarketProfile!A445,Data!$AS:$AS,"0")</f>
        <v>75</v>
      </c>
      <c r="E445" s="381"/>
      <c r="F445" s="179">
        <f t="shared" si="40"/>
        <v>0.8666666666666667</v>
      </c>
      <c r="G445" s="381">
        <f>SUMIFS(Data!$BE:$BE,Data!$BB:$BB,MarketProfile!A445,Data!BG:BG,"0")</f>
        <v>98</v>
      </c>
      <c r="H445" s="381"/>
      <c r="I445" s="179">
        <f t="shared" si="41"/>
        <v>0.42857142857142855</v>
      </c>
    </row>
    <row r="446" spans="1:10" x14ac:dyDescent="0.25">
      <c r="A446" s="247" t="s">
        <v>462</v>
      </c>
      <c r="B446" s="247"/>
      <c r="C446" s="3">
        <f>SUMIFS(Data!$AC:$AC,Data!$Z:$Z,MarketProfile!A446,Data!$AE:$AE,"0")</f>
        <v>497</v>
      </c>
      <c r="D446" s="381">
        <f>SUMIFS(Data!$AQ:$AQ,Data!$AN:$AN,MarketProfile!A446,Data!$AS:$AS,"0")</f>
        <v>240</v>
      </c>
      <c r="E446" s="381"/>
      <c r="F446" s="179">
        <f t="shared" si="40"/>
        <v>1.0708333333333333</v>
      </c>
      <c r="G446" s="381">
        <f>SUMIFS(Data!$BE:$BE,Data!$BB:$BB,MarketProfile!A446,Data!BG:BG,"0")</f>
        <v>516</v>
      </c>
      <c r="H446" s="381"/>
      <c r="I446" s="179">
        <f t="shared" si="41"/>
        <v>-3.6821705426356592E-2</v>
      </c>
    </row>
    <row r="447" spans="1:10" x14ac:dyDescent="0.25">
      <c r="A447" s="247" t="s">
        <v>140</v>
      </c>
      <c r="B447" s="247"/>
      <c r="C447" s="3">
        <f>SUMIFS(Data!$AC:$AC,Data!$Z:$Z,MarketProfile!A447,Data!$AE:$AE,"0")</f>
        <v>0</v>
      </c>
      <c r="D447" s="381">
        <f>SUMIFS(Data!$AQ:$AQ,Data!$AN:$AN,MarketProfile!A447,Data!$AS:$AS,"0")</f>
        <v>0</v>
      </c>
      <c r="E447" s="381"/>
      <c r="F447" s="179" t="str">
        <f t="shared" si="40"/>
        <v/>
      </c>
      <c r="G447" s="381">
        <f>SUMIFS(Data!$BE:$BE,Data!$BB:$BB,MarketProfile!A447,Data!BG:BG,"0")</f>
        <v>0</v>
      </c>
      <c r="H447" s="381"/>
      <c r="I447" s="179" t="str">
        <f t="shared" si="41"/>
        <v/>
      </c>
    </row>
    <row r="448" spans="1:10" x14ac:dyDescent="0.25">
      <c r="A448" s="247" t="s">
        <v>463</v>
      </c>
      <c r="B448" s="247"/>
      <c r="C448" s="3">
        <f>SUMIFS(Data!$AC:$AC,Data!$Z:$Z,MarketProfile!A448,Data!$AE:$AE,"0")</f>
        <v>260</v>
      </c>
      <c r="D448" s="381">
        <f>SUMIFS(Data!$AQ:$AQ,Data!$AN:$AN,MarketProfile!A448,Data!$AS:$AS,"0")</f>
        <v>97</v>
      </c>
      <c r="E448" s="381"/>
      <c r="F448" s="179">
        <f t="shared" si="40"/>
        <v>1.6804123711340206</v>
      </c>
      <c r="G448" s="381">
        <f>SUMIFS(Data!$BE:$BE,Data!$BB:$BB,MarketProfile!A448,Data!BG:BG,"0")</f>
        <v>172</v>
      </c>
      <c r="H448" s="381"/>
      <c r="I448" s="179">
        <f t="shared" si="41"/>
        <v>0.51162790697674421</v>
      </c>
    </row>
    <row r="449" spans="1:9" x14ac:dyDescent="0.25">
      <c r="A449" s="247" t="s">
        <v>464</v>
      </c>
      <c r="B449" s="247"/>
      <c r="C449" s="3">
        <f>SUMIFS(Data!$AC:$AC,Data!$Z:$Z,MarketProfile!A449,Data!$AE:$AE,"0")</f>
        <v>2795</v>
      </c>
      <c r="D449" s="381">
        <f>SUMIFS(Data!$AQ:$AQ,Data!$AN:$AN,MarketProfile!A449,Data!$AS:$AS,"0")</f>
        <v>1339</v>
      </c>
      <c r="E449" s="381"/>
      <c r="F449" s="179">
        <f t="shared" si="40"/>
        <v>1.087378640776699</v>
      </c>
      <c r="G449" s="381">
        <f>SUMIFS(Data!$BE:$BE,Data!$BB:$BB,MarketProfile!A449,Data!BG:BG,"0")</f>
        <v>2988</v>
      </c>
      <c r="H449" s="381"/>
      <c r="I449" s="179">
        <f t="shared" si="41"/>
        <v>-6.4591700133868807E-2</v>
      </c>
    </row>
    <row r="450" spans="1:9" x14ac:dyDescent="0.25">
      <c r="A450" s="247" t="s">
        <v>465</v>
      </c>
      <c r="B450" s="247"/>
      <c r="C450" s="3">
        <f>SUMIFS(Data!$AC:$AC,Data!$Z:$Z,MarketProfile!A450,Data!$AE:$AE,"0")</f>
        <v>0</v>
      </c>
      <c r="D450" s="381">
        <f>SUMIFS(Data!$AQ:$AQ,Data!$AN:$AN,MarketProfile!A450,Data!$AS:$AS,"0")</f>
        <v>4</v>
      </c>
      <c r="E450" s="381"/>
      <c r="F450" s="179">
        <f t="shared" si="40"/>
        <v>-1</v>
      </c>
      <c r="G450" s="381">
        <f>SUMIFS(Data!$BE:$BE,Data!$BB:$BB,MarketProfile!A450,Data!BG:BG,"0")</f>
        <v>0</v>
      </c>
      <c r="H450" s="381"/>
      <c r="I450" s="179" t="str">
        <f t="shared" si="41"/>
        <v/>
      </c>
    </row>
    <row r="451" spans="1:9" x14ac:dyDescent="0.25">
      <c r="A451" s="247" t="s">
        <v>141</v>
      </c>
      <c r="B451" s="247"/>
      <c r="C451" s="3">
        <f>SUMIFS(Data!$AC:$AC,Data!$Z:$Z,MarketProfile!A451,Data!$AE:$AE,"0")</f>
        <v>0</v>
      </c>
      <c r="D451" s="381">
        <f>SUMIFS(Data!$AQ:$AQ,Data!$AN:$AN,MarketProfile!A451,Data!$AS:$AS,"0")</f>
        <v>0</v>
      </c>
      <c r="E451" s="381"/>
      <c r="F451" s="179" t="str">
        <f t="shared" si="40"/>
        <v/>
      </c>
      <c r="G451" s="381">
        <f>SUMIFS(Data!$BE:$BE,Data!$BB:$BB,MarketProfile!A451,Data!BG:BG,"0")</f>
        <v>0</v>
      </c>
      <c r="H451" s="381"/>
      <c r="I451" s="179" t="str">
        <f t="shared" si="41"/>
        <v/>
      </c>
    </row>
    <row r="452" spans="1:9" x14ac:dyDescent="0.25">
      <c r="A452" s="246" t="s">
        <v>188</v>
      </c>
      <c r="B452" s="247"/>
      <c r="C452" s="4">
        <f>SUM(C444:C451)</f>
        <v>3694</v>
      </c>
      <c r="D452" s="382">
        <f>SUM(D444:E451)</f>
        <v>1758</v>
      </c>
      <c r="E452" s="382">
        <f>SUM(E444:E451)</f>
        <v>0</v>
      </c>
      <c r="F452" s="166">
        <f t="shared" si="40"/>
        <v>1.1012514220705347</v>
      </c>
      <c r="G452" s="382">
        <f>SUM(G444:H451)</f>
        <v>3774</v>
      </c>
      <c r="H452" s="382">
        <f>SUM(H444:H451)</f>
        <v>0</v>
      </c>
      <c r="I452" s="166">
        <f t="shared" si="41"/>
        <v>-2.1197668256491786E-2</v>
      </c>
    </row>
    <row r="453" spans="1:9" x14ac:dyDescent="0.25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5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5">
      <c r="A455" s="247" t="s">
        <v>461</v>
      </c>
      <c r="B455" s="247"/>
      <c r="C455" s="3">
        <f>SUMIFS(Data!$AB:$AB,Data!$Z:$Z,MarketProfile!A455,Data!$AE:$AE,"1")</f>
        <v>16879</v>
      </c>
      <c r="D455" s="381">
        <f>SUMIFS(Data!$AP:$AP,Data!$AN:$AN,MarketProfile!A455,Data!$AS:$AS,"1")</f>
        <v>8666</v>
      </c>
      <c r="E455" s="381"/>
      <c r="F455" s="179">
        <f t="shared" ref="F455:F463" si="42">IFERROR(IF(OR(AND(D455="",C455=""),AND(D455=0,C455=0)),"",
IF(OR(D455="",D455=0),1,
IF(OR(D455&lt;&gt;"",D455&lt;&gt;0),(C455-D455)/ABS(D455)))),-1)</f>
        <v>0.9477267482114009</v>
      </c>
      <c r="G455" s="381">
        <f>SUMIFS(Data!$BD:$BD,Data!$BB:$BB,MarketProfile!A455,Data!BG:BG,"1")</f>
        <v>11443</v>
      </c>
      <c r="H455" s="381"/>
      <c r="I455" s="179">
        <f t="shared" ref="I455:I463" si="43">IFERROR(IF(OR(AND(G455="",C455=""),AND(G455=0,C455=0)),"",
IF(OR(G455="",G455=0),1,
IF(OR(G455&lt;&gt;"",G455&lt;&gt;0),(C455-G455)/ABS(G455)))),-1)</f>
        <v>0.47505024906056104</v>
      </c>
    </row>
    <row r="456" spans="1:9" x14ac:dyDescent="0.25">
      <c r="A456" s="247" t="s">
        <v>184</v>
      </c>
      <c r="B456" s="247"/>
      <c r="C456" s="3">
        <f>SUMIFS(Data!$AB:$AB,Data!$Z:$Z,MarketProfile!A456,Data!$AE:$AE,"1")</f>
        <v>28296</v>
      </c>
      <c r="D456" s="381">
        <f>SUMIFS(Data!$AP:$AP,Data!$AN:$AN,MarketProfile!A456,Data!$AS:$AS,"1")</f>
        <v>13532</v>
      </c>
      <c r="E456" s="381"/>
      <c r="F456" s="179">
        <f t="shared" si="42"/>
        <v>1.0910434525569022</v>
      </c>
      <c r="G456" s="381">
        <f>SUMIFS(Data!$BD:$BD,Data!$BB:$BB,MarketProfile!A456,Data!BG:BG,"1")</f>
        <v>8592</v>
      </c>
      <c r="H456" s="381"/>
      <c r="I456" s="179">
        <f t="shared" si="43"/>
        <v>2.2932960893854748</v>
      </c>
    </row>
    <row r="457" spans="1:9" x14ac:dyDescent="0.25">
      <c r="A457" s="247" t="s">
        <v>462</v>
      </c>
      <c r="B457" s="247"/>
      <c r="C457" s="3">
        <f>SUMIFS(Data!$AB:$AB,Data!$Z:$Z,MarketProfile!A457,Data!$AE:$AE,"1")</f>
        <v>37326</v>
      </c>
      <c r="D457" s="381">
        <f>SUMIFS(Data!$AP:$AP,Data!$AN:$AN,MarketProfile!A457,Data!$AS:$AS,"1")</f>
        <v>29862</v>
      </c>
      <c r="E457" s="381"/>
      <c r="F457" s="179">
        <f t="shared" si="42"/>
        <v>0.24994976893711071</v>
      </c>
      <c r="G457" s="381">
        <f>SUMIFS(Data!$BD:$BD,Data!$BB:$BB,MarketProfile!A457,Data!BG:BG,"1")</f>
        <v>38753</v>
      </c>
      <c r="H457" s="381"/>
      <c r="I457" s="179">
        <f t="shared" si="43"/>
        <v>-3.6822955642143836E-2</v>
      </c>
    </row>
    <row r="458" spans="1:9" x14ac:dyDescent="0.25">
      <c r="A458" s="247" t="s">
        <v>140</v>
      </c>
      <c r="B458" s="247"/>
      <c r="C458" s="3">
        <f>SUMIFS(Data!$AB:$AB,Data!$Z:$Z,MarketProfile!A458,Data!$AE:$AE,"1")</f>
        <v>8</v>
      </c>
      <c r="D458" s="381">
        <f>SUMIFS(Data!$AP:$AP,Data!$AN:$AN,MarketProfile!A458,Data!$AS:$AS,"1")</f>
        <v>1311</v>
      </c>
      <c r="E458" s="381"/>
      <c r="F458" s="179">
        <f t="shared" si="42"/>
        <v>-0.99389778794813122</v>
      </c>
      <c r="G458" s="381">
        <f>SUMIFS(Data!$BD:$BD,Data!$BB:$BB,MarketProfile!A458,Data!BG:BG,"1")</f>
        <v>36</v>
      </c>
      <c r="H458" s="381"/>
      <c r="I458" s="179">
        <f t="shared" si="43"/>
        <v>-0.77777777777777779</v>
      </c>
    </row>
    <row r="459" spans="1:9" x14ac:dyDescent="0.25">
      <c r="A459" s="247" t="s">
        <v>463</v>
      </c>
      <c r="B459" s="247"/>
      <c r="C459" s="3">
        <f>SUMIFS(Data!$AB:$AB,Data!$Z:$Z,MarketProfile!A459,Data!$AE:$AE,"1")</f>
        <v>18822</v>
      </c>
      <c r="D459" s="381">
        <f>SUMIFS(Data!$AP:$AP,Data!$AN:$AN,MarketProfile!A459,Data!$AS:$AS,"1")</f>
        <v>12701</v>
      </c>
      <c r="E459" s="381"/>
      <c r="F459" s="179">
        <f t="shared" si="42"/>
        <v>0.48193055664908274</v>
      </c>
      <c r="G459" s="381">
        <f>SUMIFS(Data!$BD:$BD,Data!$BB:$BB,MarketProfile!A459,Data!BG:BG,"1")</f>
        <v>9987</v>
      </c>
      <c r="H459" s="381"/>
      <c r="I459" s="179">
        <f t="shared" si="43"/>
        <v>0.88465004505857614</v>
      </c>
    </row>
    <row r="460" spans="1:9" x14ac:dyDescent="0.25">
      <c r="A460" s="247" t="s">
        <v>464</v>
      </c>
      <c r="B460" s="247"/>
      <c r="C460" s="3">
        <f>SUMIFS(Data!$AB:$AB,Data!$Z:$Z,MarketProfile!A460,Data!$AE:$AE,"1")</f>
        <v>96486</v>
      </c>
      <c r="D460" s="381">
        <f>SUMIFS(Data!$AP:$AP,Data!$AN:$AN,MarketProfile!A460,Data!$AS:$AS,"1")</f>
        <v>65887</v>
      </c>
      <c r="E460" s="381"/>
      <c r="F460" s="179">
        <f t="shared" si="42"/>
        <v>0.46441634920394009</v>
      </c>
      <c r="G460" s="381">
        <f>SUMIFS(Data!$BD:$BD,Data!$BB:$BB,MarketProfile!A460,Data!BG:BG,"1")</f>
        <v>70250</v>
      </c>
      <c r="H460" s="381"/>
      <c r="I460" s="179">
        <f t="shared" si="43"/>
        <v>0.3734661921708185</v>
      </c>
    </row>
    <row r="461" spans="1:9" x14ac:dyDescent="0.25">
      <c r="A461" s="247" t="s">
        <v>465</v>
      </c>
      <c r="B461" s="247"/>
      <c r="C461" s="3">
        <f>SUMIFS(Data!$AB:$AB,Data!$Z:$Z,MarketProfile!A461,Data!$AE:$AE,"1")</f>
        <v>183</v>
      </c>
      <c r="D461" s="381">
        <f>SUMIFS(Data!$AP:$AP,Data!$AN:$AN,MarketProfile!A461,Data!$AS:$AS,"1")</f>
        <v>590</v>
      </c>
      <c r="E461" s="381"/>
      <c r="F461" s="179">
        <f t="shared" si="42"/>
        <v>-0.68983050847457628</v>
      </c>
      <c r="G461" s="381">
        <f>SUMIFS(Data!$BD:$BD,Data!$BB:$BB,MarketProfile!A461,Data!BG:BG,"1")</f>
        <v>198</v>
      </c>
      <c r="H461" s="381"/>
      <c r="I461" s="179">
        <f t="shared" si="43"/>
        <v>-7.575757575757576E-2</v>
      </c>
    </row>
    <row r="462" spans="1:9" x14ac:dyDescent="0.25">
      <c r="A462" s="247" t="s">
        <v>141</v>
      </c>
      <c r="B462" s="247"/>
      <c r="C462" s="3">
        <f>SUMIFS(Data!$AB:$AB,Data!$Z:$Z,MarketProfile!A462,Data!$AE:$AE,"1")</f>
        <v>0</v>
      </c>
      <c r="D462" s="381">
        <f>SUMIFS(Data!$AP:$AP,Data!$AN:$AN,MarketProfile!A462,Data!$AS:$AS,"1")</f>
        <v>18</v>
      </c>
      <c r="E462" s="381"/>
      <c r="F462" s="179">
        <f t="shared" si="42"/>
        <v>-1</v>
      </c>
      <c r="G462" s="381">
        <f>SUMIFS(Data!$BD:$BD,Data!$BB:$BB,MarketProfile!A462,Data!BG:BG,"1")</f>
        <v>1131</v>
      </c>
      <c r="H462" s="381"/>
      <c r="I462" s="179">
        <f t="shared" si="43"/>
        <v>-1</v>
      </c>
    </row>
    <row r="463" spans="1:9" x14ac:dyDescent="0.25">
      <c r="A463" s="246" t="s">
        <v>187</v>
      </c>
      <c r="B463" s="247"/>
      <c r="C463" s="4">
        <f>SUM(C455:C462)</f>
        <v>198000</v>
      </c>
      <c r="D463" s="382">
        <f>SUM(D455:E462)</f>
        <v>132567</v>
      </c>
      <c r="E463" s="382">
        <f>SUM(E455:E462)</f>
        <v>0</v>
      </c>
      <c r="F463" s="166">
        <f t="shared" si="42"/>
        <v>0.49358437620222229</v>
      </c>
      <c r="G463" s="382">
        <f>SUM(G455:H462)</f>
        <v>140390</v>
      </c>
      <c r="H463" s="382">
        <f>SUM(H455:H462)</f>
        <v>0</v>
      </c>
      <c r="I463" s="166">
        <f t="shared" si="43"/>
        <v>0.41035686302443192</v>
      </c>
    </row>
    <row r="464" spans="1:9" x14ac:dyDescent="0.25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5">
      <c r="A465" s="247" t="s">
        <v>461</v>
      </c>
      <c r="B465" s="247"/>
      <c r="C465" s="3">
        <f>SUMIFS(Data!$AB:$AB,Data!$Z:$Z,MarketProfile!A465,Data!$AE:$AE,"0")</f>
        <v>30</v>
      </c>
      <c r="D465" s="381">
        <f>SUMIFS(Data!$AP:$AP,Data!$AN:$AN,MarketProfile!A465,Data!$AS:$AS,"0")</f>
        <v>150</v>
      </c>
      <c r="E465" s="381"/>
      <c r="F465" s="179">
        <f t="shared" ref="F465:F473" si="44">IFERROR(IF(OR(AND(D465="",C465=""),AND(D465=0,C465=0)),"",
IF(OR(D465="",D465=0),1,
IF(OR(D465&lt;&gt;"",D465&lt;&gt;0),(C465-D465)/ABS(D465)))),-1)</f>
        <v>-0.8</v>
      </c>
      <c r="G465" s="381">
        <f>SUMIFS(Data!$BD:$BD,Data!$BB:$BB,MarketProfile!A465,Data!BG:BG,"0")</f>
        <v>0</v>
      </c>
      <c r="H465" s="381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5">
      <c r="A466" s="247" t="s">
        <v>184</v>
      </c>
      <c r="B466" s="247"/>
      <c r="C466" s="3">
        <f>SUMIFS(Data!$AB:$AB,Data!$Z:$Z,MarketProfile!A466,Data!$AE:$AE,"0")</f>
        <v>2065</v>
      </c>
      <c r="D466" s="381">
        <f>SUMIFS(Data!$AP:$AP,Data!$AN:$AN,MarketProfile!A466,Data!$AS:$AS,"0")</f>
        <v>469</v>
      </c>
      <c r="E466" s="381"/>
      <c r="F466" s="179">
        <f t="shared" si="44"/>
        <v>3.4029850746268657</v>
      </c>
      <c r="G466" s="381">
        <f>SUMIFS(Data!$BD:$BD,Data!$BB:$BB,MarketProfile!A466,Data!BG:BG,"0")</f>
        <v>296</v>
      </c>
      <c r="H466" s="381"/>
      <c r="I466" s="179">
        <f t="shared" si="45"/>
        <v>5.9763513513513518</v>
      </c>
    </row>
    <row r="467" spans="1:9" x14ac:dyDescent="0.25">
      <c r="A467" s="247" t="s">
        <v>462</v>
      </c>
      <c r="B467" s="247"/>
      <c r="C467" s="3">
        <f>SUMIFS(Data!$AB:$AB,Data!$Z:$Z,MarketProfile!A467,Data!$AE:$AE,"0")</f>
        <v>8534</v>
      </c>
      <c r="D467" s="381">
        <f>SUMIFS(Data!$AP:$AP,Data!$AN:$AN,MarketProfile!A467,Data!$AS:$AS,"0")</f>
        <v>3150</v>
      </c>
      <c r="E467" s="381"/>
      <c r="F467" s="179">
        <f t="shared" si="44"/>
        <v>1.7092063492063492</v>
      </c>
      <c r="G467" s="381">
        <f>SUMIFS(Data!$BD:$BD,Data!$BB:$BB,MarketProfile!A467,Data!BG:BG,"0")</f>
        <v>3960</v>
      </c>
      <c r="H467" s="381"/>
      <c r="I467" s="179">
        <f t="shared" si="45"/>
        <v>1.1550505050505051</v>
      </c>
    </row>
    <row r="468" spans="1:9" x14ac:dyDescent="0.25">
      <c r="A468" s="247" t="s">
        <v>140</v>
      </c>
      <c r="B468" s="247"/>
      <c r="C468" s="3">
        <f>SUMIFS(Data!$AB:$AB,Data!$Z:$Z,MarketProfile!A468,Data!$AE:$AE,"0")</f>
        <v>0</v>
      </c>
      <c r="D468" s="381">
        <f>SUMIFS(Data!$AP:$AP,Data!$AN:$AN,MarketProfile!A468,Data!$AS:$AS,"0")</f>
        <v>0</v>
      </c>
      <c r="E468" s="381"/>
      <c r="F468" s="179" t="str">
        <f t="shared" si="44"/>
        <v/>
      </c>
      <c r="G468" s="381">
        <f>SUMIFS(Data!$BD:$BD,Data!$BB:$BB,MarketProfile!A468,Data!BG:BG,"0")</f>
        <v>0</v>
      </c>
      <c r="H468" s="381"/>
      <c r="I468" s="179" t="str">
        <f t="shared" si="45"/>
        <v/>
      </c>
    </row>
    <row r="469" spans="1:9" x14ac:dyDescent="0.25">
      <c r="A469" s="247" t="s">
        <v>463</v>
      </c>
      <c r="B469" s="247"/>
      <c r="C469" s="3">
        <f>SUMIFS(Data!$AB:$AB,Data!$Z:$Z,MarketProfile!A469,Data!$AE:$AE,"0")</f>
        <v>1947</v>
      </c>
      <c r="D469" s="381">
        <f>SUMIFS(Data!$AP:$AP,Data!$AN:$AN,MarketProfile!A469,Data!$AS:$AS,"0")</f>
        <v>2694</v>
      </c>
      <c r="E469" s="381"/>
      <c r="F469" s="179">
        <f t="shared" si="44"/>
        <v>-0.27728285077951004</v>
      </c>
      <c r="G469" s="381">
        <f>SUMIFS(Data!$BD:$BD,Data!$BB:$BB,MarketProfile!A469,Data!BG:BG,"0")</f>
        <v>2524</v>
      </c>
      <c r="H469" s="381"/>
      <c r="I469" s="179">
        <f t="shared" si="45"/>
        <v>-0.2286053882725832</v>
      </c>
    </row>
    <row r="470" spans="1:9" x14ac:dyDescent="0.25">
      <c r="A470" s="247" t="s">
        <v>464</v>
      </c>
      <c r="B470" s="247"/>
      <c r="C470" s="3">
        <f>SUMIFS(Data!$AB:$AB,Data!$Z:$Z,MarketProfile!A470,Data!$AE:$AE,"0")</f>
        <v>22044</v>
      </c>
      <c r="D470" s="381">
        <f>SUMIFS(Data!$AP:$AP,Data!$AN:$AN,MarketProfile!A470,Data!$AS:$AS,"0")</f>
        <v>9938</v>
      </c>
      <c r="E470" s="381"/>
      <c r="F470" s="179">
        <f t="shared" si="44"/>
        <v>1.21815254578386</v>
      </c>
      <c r="G470" s="381">
        <f>SUMIFS(Data!$BD:$BD,Data!$BB:$BB,MarketProfile!A470,Data!BG:BG,"0")</f>
        <v>22056</v>
      </c>
      <c r="H470" s="381"/>
      <c r="I470" s="179">
        <f t="shared" si="45"/>
        <v>-5.4406964091403701E-4</v>
      </c>
    </row>
    <row r="471" spans="1:9" x14ac:dyDescent="0.25">
      <c r="A471" s="247" t="s">
        <v>465</v>
      </c>
      <c r="B471" s="247"/>
      <c r="C471" s="3">
        <f>SUMIFS(Data!$AB:$AB,Data!$Z:$Z,MarketProfile!A471,Data!$AE:$AE,"0")</f>
        <v>0</v>
      </c>
      <c r="D471" s="381">
        <f>SUMIFS(Data!$AP:$AP,Data!$AN:$AN,MarketProfile!A471,Data!$AS:$AS,"0")</f>
        <v>50</v>
      </c>
      <c r="E471" s="381"/>
      <c r="F471" s="179">
        <f t="shared" si="44"/>
        <v>-1</v>
      </c>
      <c r="G471" s="381">
        <f>SUMIFS(Data!$BD:$BD,Data!$BB:$BB,MarketProfile!A471,Data!BG:BG,"0")</f>
        <v>0</v>
      </c>
      <c r="H471" s="381"/>
      <c r="I471" s="179" t="str">
        <f t="shared" si="45"/>
        <v/>
      </c>
    </row>
    <row r="472" spans="1:9" x14ac:dyDescent="0.25">
      <c r="A472" s="247" t="s">
        <v>141</v>
      </c>
      <c r="B472" s="247"/>
      <c r="C472" s="3">
        <f>SUMIFS(Data!$AB:$AB,Data!$Z:$Z,MarketProfile!A472,Data!$AE:$AE,"0")</f>
        <v>0</v>
      </c>
      <c r="D472" s="381">
        <f>SUMIFS(Data!$AP:$AP,Data!$AN:$AN,MarketProfile!A472,Data!$AS:$AS,"0")</f>
        <v>0</v>
      </c>
      <c r="E472" s="381"/>
      <c r="F472" s="179" t="str">
        <f t="shared" si="44"/>
        <v/>
      </c>
      <c r="G472" s="381">
        <f>SUMIFS(Data!$BD:$BD,Data!$BB:$BB,MarketProfile!A472,Data!BG:BG,"0")</f>
        <v>0</v>
      </c>
      <c r="H472" s="381"/>
      <c r="I472" s="179" t="str">
        <f t="shared" si="45"/>
        <v/>
      </c>
    </row>
    <row r="473" spans="1:9" x14ac:dyDescent="0.25">
      <c r="A473" s="246" t="s">
        <v>188</v>
      </c>
      <c r="B473" s="247"/>
      <c r="C473" s="4">
        <f>SUM(C465:C472)</f>
        <v>34620</v>
      </c>
      <c r="D473" s="382">
        <f>SUM(D465:E472)</f>
        <v>16451</v>
      </c>
      <c r="E473" s="382">
        <v>34213</v>
      </c>
      <c r="F473" s="166">
        <f t="shared" si="44"/>
        <v>1.1044313415597835</v>
      </c>
      <c r="G473" s="382">
        <f>SUM(G465:H472)</f>
        <v>28836</v>
      </c>
      <c r="H473" s="382">
        <f>SUM(H465:H472)</f>
        <v>0</v>
      </c>
      <c r="I473" s="166">
        <f t="shared" si="45"/>
        <v>0.20058260507698711</v>
      </c>
    </row>
    <row r="474" spans="1:9" x14ac:dyDescent="0.25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5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5">
      <c r="A476" s="247" t="s">
        <v>461</v>
      </c>
      <c r="B476" s="247"/>
      <c r="C476" s="3">
        <f>SUMIFS(Data!$AA:$AA,Data!$Z:$Z,MarketProfile!A476,Data!$AE:$AE,"1")/1000</f>
        <v>3033244.48196</v>
      </c>
      <c r="D476" s="381">
        <f>SUMIFS(Data!$AO:$AO,Data!$AN:$AN,MarketProfile!A476,Data!$AS:$AS,"1")/1000</f>
        <v>1672331.4437200001</v>
      </c>
      <c r="E476" s="381"/>
      <c r="F476" s="179">
        <f t="shared" ref="F476:F484" si="46">IFERROR(IF(OR(AND(D476="",C476=""),AND(D476=0,C476=0)),"",
IF(OR(D476="",D476=0),1,
IF(OR(D476&lt;&gt;"",D476&lt;&gt;0),(C476-D476)/ABS(D476)))),-1)</f>
        <v>0.81378188716749311</v>
      </c>
      <c r="G476" s="381">
        <f>SUMIFS(Data!$BC:$BC,Data!$BB:$BB,MarketProfile!A476,Data!BG:BG,"1")/1000</f>
        <v>2283016.0933900001</v>
      </c>
      <c r="H476" s="381"/>
      <c r="I476" s="179">
        <f t="shared" ref="I476:I484" si="47">IFERROR(IF(OR(AND(G476="",C476=""),AND(G476=0,C476=0)),"",
IF(OR(G476="",G476=0),1,
IF(OR(G476&lt;&gt;"",G476&lt;&gt;0),(C476-G476)/ABS(G476)))),-1)</f>
        <v>0.32861283402343539</v>
      </c>
    </row>
    <row r="477" spans="1:9" x14ac:dyDescent="0.25">
      <c r="A477" s="247" t="s">
        <v>184</v>
      </c>
      <c r="B477" s="247"/>
      <c r="C477" s="3">
        <f>SUMIFS(Data!$AA:$AA,Data!$Z:$Z,MarketProfile!A477,Data!$AE:$AE,"1")/1000</f>
        <v>6583007.58158</v>
      </c>
      <c r="D477" s="381">
        <f>SUMIFS(Data!$AO:$AO,Data!$AN:$AN,MarketProfile!A477,Data!$AS:$AS,"1")/1000</f>
        <v>3299621.5430600001</v>
      </c>
      <c r="E477" s="381"/>
      <c r="F477" s="179">
        <f t="shared" si="46"/>
        <v>0.99507958584700484</v>
      </c>
      <c r="G477" s="381">
        <f>SUMIFS(Data!$BC:$BC,Data!$BB:$BB,MarketProfile!A477,Data!BG:BG,"1")/1000</f>
        <v>2634666.3657649998</v>
      </c>
      <c r="H477" s="381"/>
      <c r="I477" s="179">
        <f t="shared" si="47"/>
        <v>1.4986114625821181</v>
      </c>
    </row>
    <row r="478" spans="1:9" x14ac:dyDescent="0.25">
      <c r="A478" s="247" t="s">
        <v>462</v>
      </c>
      <c r="B478" s="247"/>
      <c r="C478" s="3">
        <f>SUMIFS(Data!$AA:$AA,Data!$Z:$Z,MarketProfile!A478,Data!$AE:$AE,"1")/1000</f>
        <v>7615322.5743199997</v>
      </c>
      <c r="D478" s="381">
        <f>SUMIFS(Data!$AO:$AO,Data!$AN:$AN,MarketProfile!A478,Data!$AS:$AS,"1")/1000</f>
        <v>6020377.0144100003</v>
      </c>
      <c r="E478" s="381"/>
      <c r="F478" s="179">
        <f t="shared" si="46"/>
        <v>0.26492453148572537</v>
      </c>
      <c r="G478" s="381">
        <f>SUMIFS(Data!$BC:$BC,Data!$BB:$BB,MarketProfile!A478,Data!BG:BG,"1")/1000</f>
        <v>10552368.50299</v>
      </c>
      <c r="H478" s="381"/>
      <c r="I478" s="179">
        <f t="shared" si="47"/>
        <v>-0.27833049308672192</v>
      </c>
    </row>
    <row r="479" spans="1:9" x14ac:dyDescent="0.25">
      <c r="A479" s="247" t="s">
        <v>140</v>
      </c>
      <c r="B479" s="247"/>
      <c r="C479" s="3">
        <f>SUMIFS(Data!$AA:$AA,Data!$Z:$Z,MarketProfile!A479,Data!$AE:$AE,"1")/1000</f>
        <v>1300.1600000000001</v>
      </c>
      <c r="D479" s="381">
        <f>SUMIFS(Data!$AO:$AO,Data!$AN:$AN,MarketProfile!A479,Data!$AS:$AS,"1")/1000</f>
        <v>226217.50980899998</v>
      </c>
      <c r="E479" s="381"/>
      <c r="F479" s="179">
        <f t="shared" si="46"/>
        <v>-0.9942526111214921</v>
      </c>
      <c r="G479" s="381">
        <f>SUMIFS(Data!$BC:$BC,Data!$BB:$BB,MarketProfile!A479,Data!BG:BG,"1")/1000</f>
        <v>5900.23</v>
      </c>
      <c r="H479" s="381"/>
      <c r="I479" s="179">
        <f t="shared" si="47"/>
        <v>-0.77964248851315965</v>
      </c>
    </row>
    <row r="480" spans="1:9" x14ac:dyDescent="0.25">
      <c r="A480" s="247" t="s">
        <v>463</v>
      </c>
      <c r="B480" s="247"/>
      <c r="C480" s="3">
        <f>SUMIFS(Data!$AA:$AA,Data!$Z:$Z,MarketProfile!A480,Data!$AE:$AE,"1")/1000</f>
        <v>4466843.9271299997</v>
      </c>
      <c r="D480" s="381">
        <f>SUMIFS(Data!$AO:$AO,Data!$AN:$AN,MarketProfile!A480,Data!$AS:$AS,"1")/1000</f>
        <v>2868339.2155800001</v>
      </c>
      <c r="E480" s="381"/>
      <c r="F480" s="179">
        <f t="shared" si="46"/>
        <v>0.55729277167337055</v>
      </c>
      <c r="G480" s="381">
        <f>SUMIFS(Data!$BC:$BC,Data!$BB:$BB,MarketProfile!A480,Data!BG:BG,"1")/1000</f>
        <v>2733639.7682600003</v>
      </c>
      <c r="H480" s="381"/>
      <c r="I480" s="179">
        <f t="shared" si="47"/>
        <v>0.63402800141922433</v>
      </c>
    </row>
    <row r="481" spans="1:9" x14ac:dyDescent="0.25">
      <c r="A481" s="247" t="s">
        <v>464</v>
      </c>
      <c r="B481" s="247"/>
      <c r="C481" s="3">
        <f>SUMIFS(Data!$AA:$AA,Data!$Z:$Z,MarketProfile!A481,Data!$AE:$AE,"1")/1000</f>
        <v>19487187.070319988</v>
      </c>
      <c r="D481" s="381">
        <f>SUMIFS(Data!$AO:$AO,Data!$AN:$AN,MarketProfile!A481,Data!$AS:$AS,"1")/1000</f>
        <v>12681793.75389</v>
      </c>
      <c r="E481" s="381"/>
      <c r="F481" s="179">
        <f t="shared" si="46"/>
        <v>0.53662702993750455</v>
      </c>
      <c r="G481" s="381">
        <f>SUMIFS(Data!$BC:$BC,Data!$BB:$BB,MarketProfile!A481,Data!BG:BG,"1")/1000</f>
        <v>20169065.845919989</v>
      </c>
      <c r="H481" s="381"/>
      <c r="I481" s="179">
        <f t="shared" si="47"/>
        <v>-3.3808148617747648E-2</v>
      </c>
    </row>
    <row r="482" spans="1:9" x14ac:dyDescent="0.25">
      <c r="A482" s="247" t="s">
        <v>465</v>
      </c>
      <c r="B482" s="247"/>
      <c r="C482" s="3">
        <f>SUMIFS(Data!$AA:$AA,Data!$Z:$Z,MarketProfile!A482,Data!$AE:$AE,"1")/1000</f>
        <v>23153.930053</v>
      </c>
      <c r="D482" s="381">
        <f>SUMIFS(Data!$AO:$AO,Data!$AN:$AN,MarketProfile!A482,Data!$AS:$AS,"1")/1000</f>
        <v>71782.731864999994</v>
      </c>
      <c r="E482" s="381"/>
      <c r="F482" s="179">
        <f t="shared" si="46"/>
        <v>-0.67744428985309413</v>
      </c>
      <c r="G482" s="381">
        <f>SUMIFS(Data!$BC:$BC,Data!$BB:$BB,MarketProfile!A482,Data!BG:BG,"1")/1000</f>
        <v>26919.545201000001</v>
      </c>
      <c r="H482" s="381"/>
      <c r="I482" s="179">
        <f t="shared" si="47"/>
        <v>-0.13988405524251266</v>
      </c>
    </row>
    <row r="483" spans="1:9" x14ac:dyDescent="0.25">
      <c r="A483" s="247" t="s">
        <v>141</v>
      </c>
      <c r="B483" s="247"/>
      <c r="C483" s="3">
        <f>SUMIFS(Data!$AA:$AA,Data!$Z:$Z,MarketProfile!A483,Data!$AE:$AE,"1")/1000</f>
        <v>0</v>
      </c>
      <c r="D483" s="381">
        <f>SUMIFS(Data!$AO:$AO,Data!$AN:$AN,MarketProfile!A483,Data!$AS:$AS,"1")/1000</f>
        <v>1405.53</v>
      </c>
      <c r="E483" s="381"/>
      <c r="F483" s="179">
        <f t="shared" si="46"/>
        <v>-1</v>
      </c>
      <c r="G483" s="381">
        <f>SUMIFS(Data!$BC:$BC,Data!$BB:$BB,MarketProfile!A483,Data!BG:BG,"1")/1000</f>
        <v>84557.913400000005</v>
      </c>
      <c r="H483" s="381"/>
      <c r="I483" s="179">
        <f t="shared" si="47"/>
        <v>-1</v>
      </c>
    </row>
    <row r="484" spans="1:9" x14ac:dyDescent="0.25">
      <c r="A484" s="246" t="s">
        <v>187</v>
      </c>
      <c r="B484" s="247"/>
      <c r="C484" s="4">
        <f>SUM(C476:C483)</f>
        <v>41210059.725362994</v>
      </c>
      <c r="D484" s="382">
        <f>SUM(D476:E483)</f>
        <v>26841868.742334001</v>
      </c>
      <c r="E484" s="382">
        <f>SUM(E476:E483)</f>
        <v>0</v>
      </c>
      <c r="F484" s="166">
        <f t="shared" si="46"/>
        <v>0.53529026316889827</v>
      </c>
      <c r="G484" s="382">
        <f>SUM(G476:H483)</f>
        <v>38490134.264925994</v>
      </c>
      <c r="H484" s="382">
        <f>SUM(H476:H483)</f>
        <v>0</v>
      </c>
      <c r="I484" s="166">
        <f t="shared" si="47"/>
        <v>7.0665522799059771E-2</v>
      </c>
    </row>
    <row r="485" spans="1:9" x14ac:dyDescent="0.25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5">
      <c r="A486" s="247" t="s">
        <v>461</v>
      </c>
      <c r="B486" s="247"/>
      <c r="C486" s="3">
        <f>SUMIFS(Data!$AA:$AA,Data!$Z:$Z,MarketProfile!A486,Data!$AE:$AE,"0")/1000</f>
        <v>139.5675</v>
      </c>
      <c r="D486" s="381">
        <f>SUMIFS(Data!$AO:$AO,Data!$AN:$AN,MarketProfile!A486,Data!$AS:$AS,"0")/1000</f>
        <v>794.6</v>
      </c>
      <c r="E486" s="381"/>
      <c r="F486" s="179">
        <f t="shared" ref="F486:F494" si="48">IFERROR(IF(OR(AND(D486="",C486=""),AND(D486=0,C486=0)),"",
IF(OR(D486="",D486=0),1,
IF(OR(D486&lt;&gt;"",D486&lt;&gt;0),(C486-D486)/ABS(D486)))),-1)</f>
        <v>-0.8243550213944123</v>
      </c>
      <c r="G486" s="381">
        <f>SUMIFS(Data!$BC:$BC,Data!$BB:$BB,MarketProfile!A486,Data!BG:BG,"0")/1000</f>
        <v>0</v>
      </c>
      <c r="H486" s="381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5">
      <c r="A487" s="247" t="s">
        <v>184</v>
      </c>
      <c r="B487" s="247"/>
      <c r="C487" s="3">
        <f>SUMIFS(Data!$AA:$AA,Data!$Z:$Z,MarketProfile!A487,Data!$AE:$AE,"0")/1000</f>
        <v>20039.982949999998</v>
      </c>
      <c r="D487" s="381">
        <f>SUMIFS(Data!$AO:$AO,Data!$AN:$AN,MarketProfile!A487,Data!$AS:$AS,"0")/1000</f>
        <v>4677.1689999999999</v>
      </c>
      <c r="E487" s="381"/>
      <c r="F487" s="179">
        <f t="shared" si="48"/>
        <v>3.2846394795655232</v>
      </c>
      <c r="G487" s="381">
        <f>SUMIFS(Data!$BC:$BC,Data!$BB:$BB,MarketProfile!A487,Data!BG:BG,"0")/1000</f>
        <v>2306.1098999999999</v>
      </c>
      <c r="H487" s="381"/>
      <c r="I487" s="179">
        <f t="shared" si="49"/>
        <v>7.6899513982399537</v>
      </c>
    </row>
    <row r="488" spans="1:9" x14ac:dyDescent="0.25">
      <c r="A488" s="247" t="s">
        <v>462</v>
      </c>
      <c r="B488" s="247"/>
      <c r="C488" s="3">
        <f>SUMIFS(Data!$AA:$AA,Data!$Z:$Z,MarketProfile!A488,Data!$AE:$AE,"0")/1000</f>
        <v>68752.486269999994</v>
      </c>
      <c r="D488" s="381">
        <f>SUMIFS(Data!$AO:$AO,Data!$AN:$AN,MarketProfile!A488,Data!$AS:$AS,"0")/1000</f>
        <v>28075.3433</v>
      </c>
      <c r="E488" s="381"/>
      <c r="F488" s="179">
        <f t="shared" si="48"/>
        <v>1.4488564764940912</v>
      </c>
      <c r="G488" s="381">
        <f>SUMIFS(Data!$BC:$BC,Data!$BB:$BB,MarketProfile!A488,Data!BG:BG,"0")/1000</f>
        <v>50046.963920000002</v>
      </c>
      <c r="H488" s="381"/>
      <c r="I488" s="179">
        <f t="shared" si="49"/>
        <v>0.37375938288485877</v>
      </c>
    </row>
    <row r="489" spans="1:9" x14ac:dyDescent="0.25">
      <c r="A489" s="247" t="s">
        <v>140</v>
      </c>
      <c r="B489" s="247"/>
      <c r="C489" s="3">
        <f>SUMIFS(Data!$AA:$AA,Data!$Z:$Z,MarketProfile!A489,Data!$AE:$AE,"0")/1000</f>
        <v>0</v>
      </c>
      <c r="D489" s="381">
        <f>SUMIFS(Data!$AO:$AO,Data!$AN:$AN,MarketProfile!A489,Data!$AS:$AS,"0")/1000</f>
        <v>0</v>
      </c>
      <c r="E489" s="381"/>
      <c r="F489" s="179" t="str">
        <f t="shared" si="48"/>
        <v/>
      </c>
      <c r="G489" s="381">
        <f>SUMIFS(Data!$BC:$BC,Data!$BB:$BB,MarketProfile!A489,Data!BG:BG,"0")/1000</f>
        <v>0</v>
      </c>
      <c r="H489" s="381"/>
      <c r="I489" s="179" t="str">
        <f t="shared" si="49"/>
        <v/>
      </c>
    </row>
    <row r="490" spans="1:9" x14ac:dyDescent="0.25">
      <c r="A490" s="247" t="s">
        <v>463</v>
      </c>
      <c r="B490" s="247"/>
      <c r="C490" s="3">
        <f>SUMIFS(Data!$AA:$AA,Data!$Z:$Z,MarketProfile!A490,Data!$AE:$AE,"0")/1000</f>
        <v>15468.385550000001</v>
      </c>
      <c r="D490" s="381">
        <f>SUMIFS(Data!$AO:$AO,Data!$AN:$AN,MarketProfile!A490,Data!$AS:$AS,"0")/1000</f>
        <v>27622.278399999999</v>
      </c>
      <c r="E490" s="381"/>
      <c r="F490" s="179">
        <f t="shared" si="48"/>
        <v>-0.44000327105529424</v>
      </c>
      <c r="G490" s="381">
        <f>SUMIFS(Data!$BC:$BC,Data!$BB:$BB,MarketProfile!A490,Data!BG:BG,"0")/1000</f>
        <v>40708.32776</v>
      </c>
      <c r="H490" s="381"/>
      <c r="I490" s="179">
        <f t="shared" si="49"/>
        <v>-0.62001913610415527</v>
      </c>
    </row>
    <row r="491" spans="1:9" x14ac:dyDescent="0.25">
      <c r="A491" s="247" t="s">
        <v>464</v>
      </c>
      <c r="B491" s="247"/>
      <c r="C491" s="3">
        <f>SUMIFS(Data!$AA:$AA,Data!$Z:$Z,MarketProfile!A491,Data!$AE:$AE,"0")/1000</f>
        <v>188864.10515000002</v>
      </c>
      <c r="D491" s="381">
        <f>SUMIFS(Data!$AO:$AO,Data!$AN:$AN,MarketProfile!A491,Data!$AS:$AS,"0")/1000</f>
        <v>127273.51775</v>
      </c>
      <c r="E491" s="381"/>
      <c r="F491" s="179">
        <f>IFERROR(IF(OR(AND(D491="",C491=""),AND(D491=0,C491=0)),"",
IF(OR(D491="",D491=0),1,
IF(OR(D491&lt;&gt;"",D491&lt;&gt;0),(C491-D491)/ABS(D491)))),-1)</f>
        <v>0.48392303826300126</v>
      </c>
      <c r="G491" s="381">
        <f>SUMIFS(Data!$BC:$BC,Data!$BB:$BB,MarketProfile!A491,Data!BG:BG,"0")/1000</f>
        <v>548268.07001999998</v>
      </c>
      <c r="H491" s="381"/>
      <c r="I491" s="179">
        <f t="shared" si="49"/>
        <v>-0.65552598176452159</v>
      </c>
    </row>
    <row r="492" spans="1:9" x14ac:dyDescent="0.25">
      <c r="A492" s="247" t="s">
        <v>465</v>
      </c>
      <c r="B492" s="247"/>
      <c r="C492" s="3">
        <f>SUMIFS(Data!$AA:$AA,Data!$Z:$Z,MarketProfile!A492,Data!$AE:$AE,"0")/1000</f>
        <v>0</v>
      </c>
      <c r="D492" s="381">
        <f>SUMIFS(Data!$AO:$AO,Data!$AN:$AN,MarketProfile!A492,Data!$AS:$AS,"0")/1000</f>
        <v>444.798</v>
      </c>
      <c r="E492" s="381"/>
      <c r="F492" s="179">
        <f t="shared" si="48"/>
        <v>-1</v>
      </c>
      <c r="G492" s="381">
        <f>SUMIFS(Data!$BC:$BC,Data!$BB:$BB,MarketProfile!A492,Data!BG:BG,"0")/1000</f>
        <v>0</v>
      </c>
      <c r="H492" s="381"/>
      <c r="I492" s="179" t="str">
        <f t="shared" si="49"/>
        <v/>
      </c>
    </row>
    <row r="493" spans="1:9" x14ac:dyDescent="0.25">
      <c r="A493" s="247" t="s">
        <v>141</v>
      </c>
      <c r="B493" s="247"/>
      <c r="C493" s="3">
        <f>SUMIFS(Data!$AA:$AA,Data!$Z:$Z,MarketProfile!A493,Data!$AE:$AE,"0")/1000</f>
        <v>0</v>
      </c>
      <c r="D493" s="381">
        <f>SUMIFS(Data!$AO:$AO,Data!$AN:$AN,MarketProfile!A493,Data!$AS:$AS,"0")/1000</f>
        <v>0</v>
      </c>
      <c r="E493" s="381"/>
      <c r="F493" s="179" t="str">
        <f t="shared" si="48"/>
        <v/>
      </c>
      <c r="G493" s="381">
        <f>SUMIFS(Data!$BC:$BC,Data!$BB:$BB,MarketProfile!A493,Data!BG:BG,"0")/1000</f>
        <v>0</v>
      </c>
      <c r="H493" s="381"/>
      <c r="I493" s="179" t="str">
        <f t="shared" si="49"/>
        <v/>
      </c>
    </row>
    <row r="494" spans="1:9" x14ac:dyDescent="0.25">
      <c r="A494" s="246" t="s">
        <v>188</v>
      </c>
      <c r="B494" s="247"/>
      <c r="C494" s="4">
        <f>SUM(C486:C493)</f>
        <v>293264.52742</v>
      </c>
      <c r="D494" s="382">
        <f>SUM(D486:E493)</f>
        <v>188887.70645</v>
      </c>
      <c r="E494" s="382">
        <f>SUM(E486:E493)</f>
        <v>0</v>
      </c>
      <c r="F494" s="166">
        <f t="shared" si="48"/>
        <v>0.55258662901722155</v>
      </c>
      <c r="G494" s="382">
        <f>SUM(G486:H493)</f>
        <v>641329.47160000005</v>
      </c>
      <c r="H494" s="382">
        <f>SUM(H486:H493)</f>
        <v>0</v>
      </c>
      <c r="I494" s="166">
        <f t="shared" si="49"/>
        <v>-0.54272407489966357</v>
      </c>
    </row>
    <row r="495" spans="1:9" x14ac:dyDescent="0.25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5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5">
      <c r="A497" s="247" t="s">
        <v>461</v>
      </c>
      <c r="B497" s="247"/>
      <c r="C497" s="3">
        <f>SUMIFS(Data!$AK:$AK,Data!$AG:$AG,MarketProfile!A497,Data!$AL:$AL,"1")</f>
        <v>15463</v>
      </c>
      <c r="D497" s="381">
        <f>SUMIFS(Data!$AY:$AY,Data!$AU:$AU,MarketProfile!A497,Data!$AZ:$AZ,"1")</f>
        <v>18568</v>
      </c>
      <c r="E497" s="381"/>
      <c r="F497" s="179">
        <f t="shared" ref="F497:F512" si="50">IFERROR(IF(OR(AND(D497="",C497=""),AND(D497=0,C497=0)),"",
IF(OR(D497="",D497=0),1,
IF(OR(D497&lt;&gt;"",D497&lt;&gt;0),(C497-D497)/ABS(D497)))),-1)</f>
        <v>-0.16722317966393796</v>
      </c>
      <c r="G497" s="381">
        <f>SUMIFS(Data!$BL:$BL,Data!$BH:$BH,MarketProfile!A497,Data!$BM:$BM,"1")</f>
        <v>6402</v>
      </c>
      <c r="H497" s="381"/>
      <c r="I497" s="179">
        <f t="shared" ref="I497:I504" si="51">IFERROR(IF(OR(AND(G497="",C497=""),AND(G497=0,C497=0)),"",
IF(OR(G497="",G497=0),1,
IF(OR(G497&lt;&gt;"",G497&lt;&gt;0),(C497-G497)/ABS(G497)))),-1)</f>
        <v>1.4153389565760699</v>
      </c>
    </row>
    <row r="498" spans="1:9" x14ac:dyDescent="0.25">
      <c r="A498" s="247" t="s">
        <v>184</v>
      </c>
      <c r="B498" s="247"/>
      <c r="C498" s="3">
        <f>SUMIFS(Data!$AK:$AK,Data!$AG:$AG,MarketProfile!A498,Data!$AL:$AL,"1")</f>
        <v>14079</v>
      </c>
      <c r="D498" s="381">
        <f>SUMIFS(Data!$AY:$AY,Data!$AU:$AU,MarketProfile!A498,Data!$AZ:$AZ,"1")</f>
        <v>14239</v>
      </c>
      <c r="E498" s="381"/>
      <c r="F498" s="179">
        <f t="shared" si="50"/>
        <v>-1.1236744153381557E-2</v>
      </c>
      <c r="G498" s="381">
        <f>SUMIFS(Data!$BL:$BL,Data!$BH:$BH,MarketProfile!A498,Data!$BM:$BM,"1")</f>
        <v>5069</v>
      </c>
      <c r="H498" s="381"/>
      <c r="I498" s="179">
        <f t="shared" si="51"/>
        <v>1.7774709015584929</v>
      </c>
    </row>
    <row r="499" spans="1:9" x14ac:dyDescent="0.25">
      <c r="A499" s="247" t="s">
        <v>462</v>
      </c>
      <c r="B499" s="247"/>
      <c r="C499" s="3">
        <f>SUMIFS(Data!$AK:$AK,Data!$AG:$AG,MarketProfile!A499,Data!$AL:$AL,"1")</f>
        <v>21080</v>
      </c>
      <c r="D499" s="381">
        <f>SUMIFS(Data!$AY:$AY,Data!$AU:$AU,MarketProfile!A499,Data!$AZ:$AZ,"1")</f>
        <v>21534</v>
      </c>
      <c r="E499" s="381"/>
      <c r="F499" s="179">
        <f t="shared" si="50"/>
        <v>-2.1082938608711806E-2</v>
      </c>
      <c r="G499" s="381">
        <f>SUMIFS(Data!$BL:$BL,Data!$BH:$BH,MarketProfile!A499,Data!$BM:$BM,"1")</f>
        <v>13924</v>
      </c>
      <c r="H499" s="381"/>
      <c r="I499" s="179">
        <f t="shared" si="51"/>
        <v>0.51393277793737435</v>
      </c>
    </row>
    <row r="500" spans="1:9" x14ac:dyDescent="0.25">
      <c r="A500" s="247" t="s">
        <v>140</v>
      </c>
      <c r="B500" s="247"/>
      <c r="C500" s="3">
        <f>SUMIFS(Data!$AK:$AK,Data!$AG:$AG,MarketProfile!A500,Data!$AL:$AL,"1")</f>
        <v>22</v>
      </c>
      <c r="D500" s="381">
        <f>SUMIFS(Data!$AY:$AY,Data!$AU:$AU,MarketProfile!A500,Data!$AZ:$AZ,"1")</f>
        <v>30</v>
      </c>
      <c r="E500" s="381"/>
      <c r="F500" s="179">
        <f t="shared" si="50"/>
        <v>-0.26666666666666666</v>
      </c>
      <c r="G500" s="381">
        <f>SUMIFS(Data!$BL:$BL,Data!$BH:$BH,MarketProfile!A500,Data!$BM:$BM,"1")</f>
        <v>55</v>
      </c>
      <c r="H500" s="381"/>
      <c r="I500" s="179">
        <f t="shared" si="51"/>
        <v>-0.6</v>
      </c>
    </row>
    <row r="501" spans="1:9" x14ac:dyDescent="0.25">
      <c r="A501" s="247" t="s">
        <v>463</v>
      </c>
      <c r="B501" s="247"/>
      <c r="C501" s="3">
        <f>SUMIFS(Data!$AK:$AK,Data!$AG:$AG,MarketProfile!A501,Data!$AL:$AL,"1")</f>
        <v>7522</v>
      </c>
      <c r="D501" s="381">
        <f>SUMIFS(Data!$AY:$AY,Data!$AU:$AU,MarketProfile!A501,Data!$AZ:$AZ,"1")</f>
        <v>7653</v>
      </c>
      <c r="E501" s="381"/>
      <c r="F501" s="179">
        <f t="shared" si="50"/>
        <v>-1.7117470273095518E-2</v>
      </c>
      <c r="G501" s="381">
        <f>SUMIFS(Data!$BL:$BL,Data!$BH:$BH,MarketProfile!A501,Data!$BM:$BM,"1")</f>
        <v>5166</v>
      </c>
      <c r="H501" s="381"/>
      <c r="I501" s="179">
        <f t="shared" si="51"/>
        <v>0.45605884630274873</v>
      </c>
    </row>
    <row r="502" spans="1:9" x14ac:dyDescent="0.25">
      <c r="A502" s="247" t="s">
        <v>464</v>
      </c>
      <c r="B502" s="247"/>
      <c r="C502" s="3">
        <f>SUMIFS(Data!$AK:$AK,Data!$AG:$AG,MarketProfile!A502,Data!$AL:$AL,"1")</f>
        <v>36716</v>
      </c>
      <c r="D502" s="381">
        <f>SUMIFS(Data!$AY:$AY,Data!$AU:$AU,MarketProfile!A502,Data!$AZ:$AZ,"1")</f>
        <v>38073</v>
      </c>
      <c r="E502" s="381"/>
      <c r="F502" s="179">
        <f t="shared" si="50"/>
        <v>-3.5642056050219313E-2</v>
      </c>
      <c r="G502" s="381">
        <f>SUMIFS(Data!$BL:$BL,Data!$BH:$BH,MarketProfile!A502,Data!$BM:$BM,"1")</f>
        <v>18983</v>
      </c>
      <c r="H502" s="381"/>
      <c r="I502" s="179">
        <f t="shared" si="51"/>
        <v>0.9341516093346679</v>
      </c>
    </row>
    <row r="503" spans="1:9" x14ac:dyDescent="0.25">
      <c r="A503" s="247" t="s">
        <v>465</v>
      </c>
      <c r="B503" s="247"/>
      <c r="C503" s="3">
        <f>SUMIFS(Data!$AK:$AK,Data!$AG:$AG,MarketProfile!A503,Data!$AL:$AL,"1")</f>
        <v>207</v>
      </c>
      <c r="D503" s="381">
        <f>SUMIFS(Data!$AY:$AY,Data!$AU:$AU,MarketProfile!A503,Data!$AZ:$AZ,"1")</f>
        <v>45</v>
      </c>
      <c r="E503" s="381"/>
      <c r="F503" s="179">
        <f t="shared" si="50"/>
        <v>3.6</v>
      </c>
      <c r="G503" s="381">
        <f>SUMIFS(Data!$BL:$BL,Data!$BH:$BH,MarketProfile!A503,Data!$BM:$BM,"1")</f>
        <v>184</v>
      </c>
      <c r="H503" s="381"/>
      <c r="I503" s="179">
        <f t="shared" si="51"/>
        <v>0.125</v>
      </c>
    </row>
    <row r="504" spans="1:9" x14ac:dyDescent="0.25">
      <c r="A504" s="247" t="s">
        <v>141</v>
      </c>
      <c r="B504" s="247"/>
      <c r="C504" s="3">
        <f>SUMIFS(Data!$AK:$AK,Data!$AG:$AG,MarketProfile!A504,Data!$AL:$AL,"1")</f>
        <v>6</v>
      </c>
      <c r="D504" s="381">
        <f>SUMIFS(Data!$AY:$AY,Data!$AU:$AU,MarketProfile!A504,Data!$AZ:$AZ,"1")</f>
        <v>6</v>
      </c>
      <c r="E504" s="381"/>
      <c r="F504" s="179">
        <f t="shared" si="50"/>
        <v>0</v>
      </c>
      <c r="G504" s="381">
        <f>SUMIFS(Data!$BL:$BL,Data!$BH:$BH,MarketProfile!A504,Data!$BM:$BM,"1")</f>
        <v>50</v>
      </c>
      <c r="H504" s="381"/>
      <c r="I504" s="179">
        <f t="shared" si="51"/>
        <v>-0.88</v>
      </c>
    </row>
    <row r="505" spans="1:9" x14ac:dyDescent="0.25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5">
      <c r="A506" s="247" t="s">
        <v>461</v>
      </c>
      <c r="B506" s="247"/>
      <c r="C506" s="3">
        <f>SUMIFS(Data!$AK:$AK,Data!$AG:$AG,MarketProfile!A506,Data!$AL:$AL,"0")</f>
        <v>300</v>
      </c>
      <c r="D506" s="381">
        <f>SUMIFS(Data!$AY:$AY,Data!$AU:$AU,MarketProfile!A506,Data!$AZ:$AZ,"0")</f>
        <v>270</v>
      </c>
      <c r="E506" s="381"/>
      <c r="F506" s="179">
        <f t="shared" si="50"/>
        <v>0.1111111111111111</v>
      </c>
      <c r="G506" s="381">
        <f>SUMIFS(Data!$BL:$BL,Data!$BH:$BH,MarketProfile!A506,Data!$BM:$BM,"0")</f>
        <v>1</v>
      </c>
      <c r="H506" s="381"/>
      <c r="I506" s="179">
        <f t="shared" ref="I506:I513" si="52">IFERROR(IF(OR(AND(G506="",C506=""),AND(G506=0,C506=0)),"",
IF(OR(G506="",G506=0),1,
IF(OR(G506&lt;&gt;"",G506&lt;&gt;0),(C506-G506)/ABS(G506)))),-1)</f>
        <v>299</v>
      </c>
    </row>
    <row r="507" spans="1:9" x14ac:dyDescent="0.25">
      <c r="A507" s="247" t="s">
        <v>184</v>
      </c>
      <c r="B507" s="247"/>
      <c r="C507" s="3">
        <f>SUMIFS(Data!$AK:$AK,Data!$AG:$AG,MarketProfile!A507,Data!$AL:$AL,"0")</f>
        <v>3807</v>
      </c>
      <c r="D507" s="381">
        <f>SUMIFS(Data!$AY:$AY,Data!$AU:$AU,MarketProfile!A507,Data!$AZ:$AZ,"0")</f>
        <v>3309</v>
      </c>
      <c r="E507" s="381"/>
      <c r="F507" s="179">
        <f t="shared" si="50"/>
        <v>0.15049864007252947</v>
      </c>
      <c r="G507" s="381">
        <f>SUMIFS(Data!$BL:$BL,Data!$BH:$BH,MarketProfile!A507,Data!$BM:$BM,"0")</f>
        <v>1746</v>
      </c>
      <c r="H507" s="381"/>
      <c r="I507" s="179">
        <f t="shared" si="52"/>
        <v>1.1804123711340206</v>
      </c>
    </row>
    <row r="508" spans="1:9" x14ac:dyDescent="0.25">
      <c r="A508" s="247" t="s">
        <v>462</v>
      </c>
      <c r="B508" s="247"/>
      <c r="C508" s="3">
        <f>SUMIFS(Data!$AK:$AK,Data!$AG:$AG,MarketProfile!A508,Data!$AL:$AL,"0")</f>
        <v>13118</v>
      </c>
      <c r="D508" s="381">
        <f>SUMIFS(Data!$AY:$AY,Data!$AU:$AU,MarketProfile!A508,Data!$AZ:$AZ,"0")</f>
        <v>9595</v>
      </c>
      <c r="E508" s="381"/>
      <c r="F508" s="179">
        <f t="shared" si="50"/>
        <v>0.36717040125065137</v>
      </c>
      <c r="G508" s="381">
        <f>SUMIFS(Data!$BL:$BL,Data!$BH:$BH,MarketProfile!A508,Data!$BM:$BM,"0")</f>
        <v>8571</v>
      </c>
      <c r="H508" s="381"/>
      <c r="I508" s="179">
        <f t="shared" si="52"/>
        <v>0.53050985882627466</v>
      </c>
    </row>
    <row r="509" spans="1:9" x14ac:dyDescent="0.25">
      <c r="A509" s="247" t="s">
        <v>140</v>
      </c>
      <c r="B509" s="247"/>
      <c r="C509" s="3">
        <f>SUMIFS(Data!$AK:$AK,Data!$AG:$AG,MarketProfile!A509,Data!$AL:$AL,"0")</f>
        <v>0</v>
      </c>
      <c r="D509" s="381">
        <f>SUMIFS(Data!$AY:$AY,Data!$AU:$AU,MarketProfile!A509,Data!$AZ:$AZ,"0")</f>
        <v>0</v>
      </c>
      <c r="E509" s="381"/>
      <c r="F509" s="179" t="str">
        <f t="shared" si="50"/>
        <v/>
      </c>
      <c r="G509" s="381">
        <f>SUMIFS(Data!$BL:$BL,Data!$BH:$BH,MarketProfile!A509,Data!$BM:$BM,"0")</f>
        <v>0</v>
      </c>
      <c r="H509" s="381"/>
      <c r="I509" s="179" t="str">
        <f t="shared" si="52"/>
        <v/>
      </c>
    </row>
    <row r="510" spans="1:9" x14ac:dyDescent="0.25">
      <c r="A510" s="247" t="s">
        <v>463</v>
      </c>
      <c r="B510" s="247"/>
      <c r="C510" s="3">
        <f>SUMIFS(Data!$AK:$AK,Data!$AG:$AG,MarketProfile!A510,Data!$AL:$AL,"0")</f>
        <v>4247</v>
      </c>
      <c r="D510" s="381">
        <f>SUMIFS(Data!$AY:$AY,Data!$AU:$AU,MarketProfile!A510,Data!$AZ:$AZ,"0")</f>
        <v>3289</v>
      </c>
      <c r="E510" s="381"/>
      <c r="F510" s="179">
        <f t="shared" si="50"/>
        <v>0.29127394344785651</v>
      </c>
      <c r="G510" s="381">
        <f>SUMIFS(Data!$BL:$BL,Data!$BH:$BH,MarketProfile!A510,Data!$BM:$BM,"0")</f>
        <v>2566</v>
      </c>
      <c r="H510" s="381"/>
      <c r="I510" s="179">
        <f t="shared" si="52"/>
        <v>0.65510522213561961</v>
      </c>
    </row>
    <row r="511" spans="1:9" x14ac:dyDescent="0.25">
      <c r="A511" s="247" t="s">
        <v>464</v>
      </c>
      <c r="B511" s="247"/>
      <c r="C511" s="3">
        <f>SUMIFS(Data!$AK:$AK,Data!$AG:$AG,MarketProfile!A511,Data!$AL:$AL,"0")</f>
        <v>40098</v>
      </c>
      <c r="D511" s="381">
        <f>SUMIFS(Data!$AY:$AY,Data!$AU:$AU,MarketProfile!A511,Data!$AZ:$AZ,"0")</f>
        <v>33494</v>
      </c>
      <c r="E511" s="381"/>
      <c r="F511" s="179">
        <f t="shared" si="50"/>
        <v>0.19716964232399833</v>
      </c>
      <c r="G511" s="381">
        <f>SUMIFS(Data!$BL:$BL,Data!$BH:$BH,MarketProfile!A511,Data!$BM:$BM,"0")</f>
        <v>30474</v>
      </c>
      <c r="H511" s="381"/>
      <c r="I511" s="179">
        <f t="shared" si="52"/>
        <v>0.3158101988580429</v>
      </c>
    </row>
    <row r="512" spans="1:9" x14ac:dyDescent="0.25">
      <c r="A512" s="247" t="s">
        <v>465</v>
      </c>
      <c r="B512" s="247"/>
      <c r="C512" s="3">
        <f>SUMIFS(Data!$AK:$AK,Data!$AG:$AG,MarketProfile!A512,Data!$AL:$AL,"0")</f>
        <v>50</v>
      </c>
      <c r="D512" s="381">
        <f>SUMIFS(Data!$AY:$AY,Data!$AU:$AU,MarketProfile!A512,Data!$AZ:$AZ,"0")</f>
        <v>50</v>
      </c>
      <c r="E512" s="381"/>
      <c r="F512" s="179">
        <f t="shared" si="50"/>
        <v>0</v>
      </c>
      <c r="G512" s="381">
        <f>SUMIFS(Data!$BL:$BL,Data!$BH:$BH,MarketProfile!A512,Data!$BM:$BM,"0")</f>
        <v>20</v>
      </c>
      <c r="H512" s="381"/>
      <c r="I512" s="179">
        <f t="shared" si="52"/>
        <v>1.5</v>
      </c>
    </row>
    <row r="513" spans="1:9" x14ac:dyDescent="0.25">
      <c r="A513" s="247" t="s">
        <v>141</v>
      </c>
      <c r="B513" s="247"/>
      <c r="C513" s="3">
        <f>SUMIFS(Data!$AK:$AK,Data!$AG:$AG,MarketProfile!A513,Data!$AL:$AL,"0")</f>
        <v>0</v>
      </c>
      <c r="D513" s="381">
        <f>SUMIFS(Data!$AY:$AY,Data!$AU:$AU,MarketProfile!A513,Data!$AZ:$AZ,"0")</f>
        <v>0</v>
      </c>
      <c r="E513" s="381"/>
      <c r="F513" s="179" t="str">
        <f t="shared" ref="F513" si="53">IFERROR(IF(OR(AND(C513="",D513=""),AND(C513=0,D513=0)),"",
IF(OR(C513="",C513=0),1,
IF(OR(C513&lt;&gt;"",C513&lt;&gt;0),(D513-C513)/ABS(C513)))),-1)</f>
        <v/>
      </c>
      <c r="G513" s="381">
        <f>SUMIFS(Data!$BL:$BL,Data!$BH:$BH,MarketProfile!A513,Data!$BM:$BM,"0")</f>
        <v>0</v>
      </c>
      <c r="H513" s="381"/>
      <c r="I513" s="179" t="str">
        <f t="shared" si="52"/>
        <v/>
      </c>
    </row>
    <row r="514" spans="1:9" x14ac:dyDescent="0.25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6" max="16383" man="1"/>
    <brk id="169" max="16383" man="1"/>
    <brk id="254" max="16383" man="1"/>
    <brk id="339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BU1" zoomScaleNormal="100" workbookViewId="0">
      <selection activeCell="DL14" sqref="DL14"/>
    </sheetView>
  </sheetViews>
  <sheetFormatPr defaultColWidth="9.109375" defaultRowHeight="13.2" x14ac:dyDescent="0.25"/>
  <cols>
    <col min="1" max="1" width="23.109375" style="147" customWidth="1"/>
    <col min="2" max="2" width="22.44140625" style="10" customWidth="1"/>
    <col min="3" max="3" width="17" style="10" bestFit="1" customWidth="1"/>
    <col min="4" max="4" width="18.88671875" style="10" customWidth="1"/>
    <col min="5" max="5" width="16.109375" style="10" customWidth="1"/>
    <col min="6" max="6" width="16" style="10" bestFit="1" customWidth="1"/>
    <col min="7" max="7" width="12.44140625" style="10" bestFit="1" customWidth="1"/>
    <col min="8" max="8" width="12.5546875" style="10" bestFit="1" customWidth="1"/>
    <col min="9" max="9" width="34.44140625" style="10" bestFit="1" customWidth="1"/>
    <col min="10" max="10" width="11.88671875" style="136" customWidth="1"/>
    <col min="11" max="12" width="9.109375" style="10"/>
    <col min="13" max="13" width="15.6640625" style="2" bestFit="1" customWidth="1"/>
    <col min="14" max="14" width="23.5546875" style="10" customWidth="1"/>
    <col min="15" max="15" width="17.44140625" style="10" bestFit="1" customWidth="1"/>
    <col min="16" max="16" width="14.109375" style="10" bestFit="1" customWidth="1"/>
    <col min="17" max="17" width="25.5546875" style="10" bestFit="1" customWidth="1"/>
    <col min="18" max="18" width="28.44140625" style="10" customWidth="1"/>
    <col min="19" max="19" width="25" style="10" bestFit="1" customWidth="1"/>
    <col min="20" max="20" width="14.44140625" style="10" bestFit="1" customWidth="1"/>
    <col min="21" max="21" width="16.109375" style="10" bestFit="1" customWidth="1"/>
    <col min="22" max="22" width="13.33203125" style="10" bestFit="1" customWidth="1"/>
    <col min="23" max="23" width="16.6640625" style="10" bestFit="1" customWidth="1"/>
    <col min="24" max="24" width="14.88671875" style="10" bestFit="1" customWidth="1"/>
    <col min="25" max="25" width="23.109375" style="10" customWidth="1"/>
    <col min="26" max="27" width="9.109375" style="10" customWidth="1"/>
    <col min="28" max="28" width="13.88671875" style="10" customWidth="1"/>
    <col min="29" max="30" width="9.109375" style="10" customWidth="1"/>
    <col min="31" max="31" width="17.109375" style="10" customWidth="1"/>
    <col min="32" max="32" width="30.5546875" style="157" customWidth="1"/>
    <col min="33" max="38" width="11.5546875" style="157" customWidth="1"/>
    <col min="39" max="39" width="25.6640625" style="10" customWidth="1"/>
    <col min="40" max="45" width="9.109375" style="10" customWidth="1"/>
    <col min="46" max="46" width="31.44140625" style="10" customWidth="1"/>
    <col min="47" max="52" width="9.109375" style="10" customWidth="1"/>
    <col min="53" max="53" width="27.5546875" style="10" customWidth="1"/>
    <col min="54" max="54" width="9.109375" style="10" customWidth="1"/>
    <col min="55" max="58" width="15" style="10" customWidth="1"/>
    <col min="59" max="59" width="9.109375" style="10" customWidth="1"/>
    <col min="60" max="60" width="19.109375" style="10" customWidth="1"/>
    <col min="61" max="65" width="9.109375" style="10"/>
    <col min="66" max="66" width="14" style="10" bestFit="1" customWidth="1"/>
    <col min="67" max="67" width="44.88671875" style="10" customWidth="1"/>
    <col min="68" max="68" width="13.5546875" style="10" bestFit="1" customWidth="1"/>
    <col min="69" max="69" width="15.33203125" style="10" bestFit="1" customWidth="1"/>
    <col min="70" max="70" width="12.33203125" style="10" bestFit="1" customWidth="1"/>
    <col min="71" max="71" width="27.88671875" style="10" customWidth="1"/>
    <col min="72" max="80" width="12.33203125" style="10" customWidth="1"/>
    <col min="81" max="81" width="24.44140625" style="10" customWidth="1"/>
    <col min="82" max="82" width="39.5546875" style="10" customWidth="1"/>
    <col min="83" max="83" width="18" style="10" bestFit="1" customWidth="1"/>
    <col min="84" max="84" width="19.88671875" style="10" customWidth="1"/>
    <col min="85" max="86" width="9.109375" style="10"/>
    <col min="87" max="87" width="14.6640625" style="10" customWidth="1"/>
    <col min="88" max="89" width="9.109375" style="10"/>
    <col min="90" max="90" width="22.44140625" style="10" customWidth="1"/>
    <col min="91" max="91" width="12.33203125" style="10" customWidth="1"/>
    <col min="92" max="92" width="12.109375" style="10" customWidth="1"/>
    <col min="93" max="95" width="9.109375" style="10"/>
    <col min="96" max="96" width="18.6640625" style="10" bestFit="1" customWidth="1"/>
    <col min="97" max="97" width="12.5546875" style="10" customWidth="1"/>
    <col min="98" max="108" width="7.88671875" style="10" customWidth="1"/>
    <col min="109" max="109" width="9.109375" style="10"/>
    <col min="110" max="110" width="19.5546875" style="10" bestFit="1" customWidth="1"/>
    <col min="111" max="111" width="22.44140625" style="10" bestFit="1" customWidth="1"/>
    <col min="112" max="112" width="13.6640625" style="10" bestFit="1" customWidth="1"/>
    <col min="113" max="113" width="18.5546875" style="10" bestFit="1" customWidth="1"/>
    <col min="114" max="114" width="22.44140625" style="10" bestFit="1" customWidth="1"/>
    <col min="115" max="115" width="13.6640625" style="10" bestFit="1" customWidth="1"/>
    <col min="116" max="116" width="28.33203125" style="10" bestFit="1" customWidth="1"/>
    <col min="117" max="117" width="22.44140625" style="10" bestFit="1" customWidth="1"/>
    <col min="118" max="118" width="13.6640625" style="10" bestFit="1" customWidth="1"/>
    <col min="119" max="16384" width="9.109375" style="10"/>
  </cols>
  <sheetData>
    <row r="1" spans="1:118" x14ac:dyDescent="0.25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623</v>
      </c>
      <c r="BU1" s="266" t="s">
        <v>624</v>
      </c>
      <c r="BV1" s="266" t="s">
        <v>625</v>
      </c>
      <c r="BW1" s="266" t="s">
        <v>626</v>
      </c>
      <c r="BX1" s="266" t="s">
        <v>627</v>
      </c>
      <c r="BY1" s="266" t="s">
        <v>628</v>
      </c>
      <c r="BZ1" s="266" t="s">
        <v>629</v>
      </c>
      <c r="CA1" s="266" t="s">
        <v>630</v>
      </c>
      <c r="CB1" s="266" t="s">
        <v>631</v>
      </c>
      <c r="CC1" s="267" t="s">
        <v>502</v>
      </c>
      <c r="CD1" s="268" t="s">
        <v>636</v>
      </c>
      <c r="CE1" s="268" t="s">
        <v>637</v>
      </c>
      <c r="CF1" s="267" t="s">
        <v>507</v>
      </c>
      <c r="CG1" s="266" t="s">
        <v>6</v>
      </c>
      <c r="CH1" s="266" t="s">
        <v>638</v>
      </c>
      <c r="CI1" s="267" t="s">
        <v>509</v>
      </c>
      <c r="CJ1" s="247" t="s">
        <v>117</v>
      </c>
      <c r="CK1" s="247">
        <v>24727</v>
      </c>
      <c r="CL1" s="267" t="s">
        <v>512</v>
      </c>
      <c r="CM1" s="247" t="s">
        <v>117</v>
      </c>
      <c r="CN1" s="247">
        <v>14086</v>
      </c>
      <c r="CO1" s="267" t="s">
        <v>515</v>
      </c>
      <c r="CP1" s="247" t="s">
        <v>117</v>
      </c>
      <c r="CQ1" s="247">
        <v>730</v>
      </c>
      <c r="CR1" s="267" t="s">
        <v>518</v>
      </c>
      <c r="CS1" s="276" t="s">
        <v>642</v>
      </c>
      <c r="CT1" s="275" t="s">
        <v>643</v>
      </c>
      <c r="CU1" s="275" t="s">
        <v>644</v>
      </c>
      <c r="CV1" s="275" t="s">
        <v>645</v>
      </c>
      <c r="CW1" s="275" t="s">
        <v>646</v>
      </c>
      <c r="CX1" s="275" t="s">
        <v>647</v>
      </c>
      <c r="CY1" s="275" t="s">
        <v>648</v>
      </c>
      <c r="CZ1" s="275" t="s">
        <v>649</v>
      </c>
      <c r="DA1" s="275" t="s">
        <v>650</v>
      </c>
      <c r="DB1" s="275" t="s">
        <v>651</v>
      </c>
      <c r="DC1" s="275" t="s">
        <v>652</v>
      </c>
      <c r="DD1" s="275" t="s">
        <v>653</v>
      </c>
      <c r="DF1" s="356" t="s">
        <v>529</v>
      </c>
      <c r="DG1" s="347" t="s">
        <v>663</v>
      </c>
      <c r="DH1" s="347" t="s">
        <v>664</v>
      </c>
      <c r="DI1" s="356" t="s">
        <v>530</v>
      </c>
      <c r="DJ1" s="354" t="s">
        <v>663</v>
      </c>
      <c r="DK1" s="354" t="s">
        <v>664</v>
      </c>
      <c r="DL1" s="356" t="s">
        <v>531</v>
      </c>
      <c r="DM1" s="349" t="s">
        <v>663</v>
      </c>
      <c r="DN1" s="349" t="s">
        <v>664</v>
      </c>
    </row>
    <row r="2" spans="1:118" x14ac:dyDescent="0.25">
      <c r="B2" s="188">
        <v>6957369768</v>
      </c>
      <c r="C2" s="188">
        <v>510081958369.87677</v>
      </c>
      <c r="D2" s="188">
        <v>5406216</v>
      </c>
      <c r="E2" s="209"/>
      <c r="F2" s="211">
        <v>2475</v>
      </c>
      <c r="G2" s="211">
        <v>508692824</v>
      </c>
      <c r="H2" s="211">
        <v>31941266698.541824</v>
      </c>
      <c r="J2" s="152" t="str">
        <f>K2&amp;L2</f>
        <v>ABuy</v>
      </c>
      <c r="K2" s="234" t="s">
        <v>542</v>
      </c>
      <c r="L2" s="234" t="s">
        <v>543</v>
      </c>
      <c r="M2" s="238">
        <v>236485500437.80884</v>
      </c>
      <c r="O2" s="241">
        <v>122511520416.25</v>
      </c>
      <c r="P2" s="241">
        <v>-111693902514.8</v>
      </c>
      <c r="Q2" s="241">
        <v>10817617901.450001</v>
      </c>
      <c r="S2" s="253" t="s">
        <v>570</v>
      </c>
      <c r="T2" s="258">
        <v>0</v>
      </c>
      <c r="U2" s="258">
        <v>0</v>
      </c>
      <c r="V2" s="258">
        <v>0</v>
      </c>
      <c r="W2" s="258">
        <v>0</v>
      </c>
      <c r="X2" s="258">
        <v>0</v>
      </c>
      <c r="Y2" s="245"/>
      <c r="Z2" s="253" t="s">
        <v>572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572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572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572</v>
      </c>
      <c r="AV2" s="253">
        <v>0</v>
      </c>
      <c r="AW2" s="253">
        <v>0</v>
      </c>
      <c r="AX2" s="253">
        <v>0</v>
      </c>
      <c r="AY2" s="253">
        <v>0</v>
      </c>
      <c r="AZ2" s="253">
        <v>1</v>
      </c>
      <c r="BA2" s="245"/>
      <c r="BB2" s="253" t="s">
        <v>573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573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327971573032.57178</v>
      </c>
      <c r="BQ2" s="263">
        <v>3969911</v>
      </c>
      <c r="BR2" s="263">
        <v>250369</v>
      </c>
      <c r="BS2" s="245"/>
      <c r="BT2" s="265" t="s">
        <v>139</v>
      </c>
      <c r="BU2" s="265">
        <v>52</v>
      </c>
      <c r="BV2" s="265">
        <v>0</v>
      </c>
      <c r="BW2" s="265">
        <v>1</v>
      </c>
      <c r="BX2" s="265">
        <v>0</v>
      </c>
      <c r="BY2" s="265">
        <v>0</v>
      </c>
      <c r="BZ2" s="265">
        <v>51</v>
      </c>
      <c r="CA2" s="265">
        <v>40</v>
      </c>
      <c r="CB2" s="265">
        <v>12</v>
      </c>
      <c r="CC2" s="245"/>
      <c r="CD2" s="269">
        <v>819</v>
      </c>
      <c r="CE2" s="269">
        <v>15444225241882.682</v>
      </c>
      <c r="CF2" s="245"/>
      <c r="CG2" s="265">
        <v>2018</v>
      </c>
      <c r="CH2" s="265">
        <v>22</v>
      </c>
      <c r="CI2" s="245"/>
      <c r="CJ2" s="247" t="s">
        <v>640</v>
      </c>
      <c r="CK2" s="247">
        <v>842888028060</v>
      </c>
      <c r="CL2" s="247"/>
      <c r="CM2" s="247" t="s">
        <v>640</v>
      </c>
      <c r="CN2" s="247">
        <v>1604476816560</v>
      </c>
      <c r="CO2" s="247"/>
      <c r="CP2" s="247" t="s">
        <v>640</v>
      </c>
      <c r="CQ2" s="247">
        <v>57165938962</v>
      </c>
      <c r="CR2" s="245"/>
      <c r="CS2" s="277">
        <v>2018</v>
      </c>
      <c r="CT2" s="275">
        <v>19</v>
      </c>
      <c r="CU2" s="275" t="s">
        <v>654</v>
      </c>
      <c r="CV2" s="275">
        <v>0</v>
      </c>
      <c r="CW2" s="275">
        <v>1503355997</v>
      </c>
      <c r="CX2" s="275">
        <v>399</v>
      </c>
      <c r="CY2" s="275">
        <v>0</v>
      </c>
      <c r="CZ2" s="275">
        <v>18890074146</v>
      </c>
      <c r="DA2" s="275">
        <v>188</v>
      </c>
      <c r="DB2" s="275">
        <v>0</v>
      </c>
      <c r="DC2" s="275">
        <v>17386718149</v>
      </c>
      <c r="DD2" s="275">
        <v>211</v>
      </c>
      <c r="DG2" s="348" t="s">
        <v>665</v>
      </c>
      <c r="DH2" s="346">
        <v>2035431090.6900001</v>
      </c>
      <c r="DJ2" s="352" t="s">
        <v>665</v>
      </c>
      <c r="DK2" s="350">
        <v>2035431090.6900001</v>
      </c>
      <c r="DM2" s="351" t="s">
        <v>665</v>
      </c>
      <c r="DN2" s="353">
        <v>196463250.25</v>
      </c>
    </row>
    <row r="3" spans="1:118" x14ac:dyDescent="0.25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273596457932.06796</v>
      </c>
      <c r="N3" s="136"/>
      <c r="O3" s="239"/>
      <c r="P3" s="239"/>
      <c r="Q3" s="239"/>
      <c r="S3" s="253" t="s">
        <v>449</v>
      </c>
      <c r="T3" s="258">
        <v>330425565.35399997</v>
      </c>
      <c r="U3" s="258">
        <v>244958</v>
      </c>
      <c r="V3" s="258">
        <v>79</v>
      </c>
      <c r="W3" s="258">
        <v>8116040</v>
      </c>
      <c r="X3" s="258">
        <v>1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574</v>
      </c>
      <c r="BC3" s="253">
        <v>0</v>
      </c>
      <c r="BD3" s="253">
        <v>0</v>
      </c>
      <c r="BE3" s="253">
        <v>0</v>
      </c>
      <c r="BF3" s="253">
        <v>21</v>
      </c>
      <c r="BG3" s="253">
        <v>0</v>
      </c>
      <c r="BH3" s="247" t="s">
        <v>574</v>
      </c>
      <c r="BI3" s="253">
        <v>0</v>
      </c>
      <c r="BJ3" s="253">
        <v>0</v>
      </c>
      <c r="BK3" s="253">
        <v>0</v>
      </c>
      <c r="BL3" s="253">
        <v>1</v>
      </c>
      <c r="BM3" s="253">
        <v>0</v>
      </c>
      <c r="BN3" s="253"/>
      <c r="BO3" s="245"/>
      <c r="BP3" s="245"/>
      <c r="BQ3" s="245"/>
      <c r="BR3" s="245"/>
      <c r="BS3" s="245"/>
      <c r="BT3" s="265" t="s">
        <v>632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21</v>
      </c>
      <c r="CI3" s="245"/>
      <c r="CJ3" s="247" t="s">
        <v>641</v>
      </c>
      <c r="CK3" s="247">
        <v>866668422229.61865</v>
      </c>
      <c r="CL3" s="247"/>
      <c r="CM3" s="247" t="s">
        <v>641</v>
      </c>
      <c r="CN3" s="247">
        <v>1610501677035.6196</v>
      </c>
      <c r="CO3" s="247"/>
      <c r="CP3" s="247" t="s">
        <v>641</v>
      </c>
      <c r="CQ3" s="247">
        <v>19182857828.769997</v>
      </c>
      <c r="CR3" s="245"/>
      <c r="CS3" s="277">
        <v>2018</v>
      </c>
      <c r="CT3" s="275">
        <v>23</v>
      </c>
      <c r="CU3" s="275" t="s">
        <v>655</v>
      </c>
      <c r="CV3" s="275">
        <v>-120735115832.23006</v>
      </c>
      <c r="CW3" s="275">
        <v>-109568036781</v>
      </c>
      <c r="CX3" s="275">
        <v>1157</v>
      </c>
      <c r="CY3" s="275">
        <v>35726950147.040001</v>
      </c>
      <c r="CZ3" s="275">
        <v>36773765090</v>
      </c>
      <c r="DA3" s="275">
        <v>543</v>
      </c>
      <c r="DB3" s="275">
        <v>156462065979.27014</v>
      </c>
      <c r="DC3" s="275">
        <v>146341801871</v>
      </c>
      <c r="DD3" s="275">
        <v>614</v>
      </c>
      <c r="DG3" s="348" t="s">
        <v>666</v>
      </c>
      <c r="DH3" s="346">
        <v>79867257.349999994</v>
      </c>
      <c r="DJ3" s="352" t="s">
        <v>666</v>
      </c>
      <c r="DK3" s="350">
        <v>79867257.349999994</v>
      </c>
      <c r="DM3" s="351" t="s">
        <v>666</v>
      </c>
      <c r="DN3" s="353">
        <v>106039657.20999999</v>
      </c>
    </row>
    <row r="4" spans="1:118" x14ac:dyDescent="0.25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234156892075.03177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447</v>
      </c>
      <c r="T4" s="258">
        <v>667287429.73000002</v>
      </c>
      <c r="U4" s="258">
        <v>1239426</v>
      </c>
      <c r="V4" s="258">
        <v>422</v>
      </c>
      <c r="W4" s="258">
        <v>1797298</v>
      </c>
      <c r="X4" s="258">
        <v>0</v>
      </c>
      <c r="Y4" s="245"/>
      <c r="Z4" s="253" t="s">
        <v>574</v>
      </c>
      <c r="AA4" s="253">
        <v>139567.5</v>
      </c>
      <c r="AB4" s="253">
        <v>30</v>
      </c>
      <c r="AC4" s="253">
        <v>2</v>
      </c>
      <c r="AD4" s="253">
        <v>6180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300</v>
      </c>
      <c r="AL4" s="253">
        <v>0</v>
      </c>
      <c r="AM4" s="245"/>
      <c r="AN4" s="253" t="s">
        <v>574</v>
      </c>
      <c r="AO4" s="253">
        <v>794600</v>
      </c>
      <c r="AP4" s="253">
        <v>150</v>
      </c>
      <c r="AQ4" s="253">
        <v>3</v>
      </c>
      <c r="AR4" s="253">
        <v>4680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270</v>
      </c>
      <c r="AZ4" s="253">
        <v>0</v>
      </c>
      <c r="BA4" s="245"/>
      <c r="BB4" s="253" t="s">
        <v>575</v>
      </c>
      <c r="BC4" s="253">
        <v>2306109.9</v>
      </c>
      <c r="BD4" s="253">
        <v>296</v>
      </c>
      <c r="BE4" s="253">
        <v>98</v>
      </c>
      <c r="BF4" s="253">
        <v>35037</v>
      </c>
      <c r="BG4" s="253">
        <v>0</v>
      </c>
      <c r="BH4" s="247" t="s">
        <v>575</v>
      </c>
      <c r="BI4" s="253">
        <v>493600</v>
      </c>
      <c r="BJ4" s="253">
        <v>65</v>
      </c>
      <c r="BK4" s="253">
        <v>5</v>
      </c>
      <c r="BL4" s="253">
        <v>1746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633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636</v>
      </c>
      <c r="CE4" s="270" t="s">
        <v>637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23</v>
      </c>
      <c r="CU4" s="275" t="s">
        <v>656</v>
      </c>
      <c r="CV4" s="275">
        <v>120730088780.73003</v>
      </c>
      <c r="CW4" s="275">
        <v>109548936781</v>
      </c>
      <c r="CX4" s="275">
        <v>1143</v>
      </c>
      <c r="CY4" s="275">
        <v>154847864396.92017</v>
      </c>
      <c r="CZ4" s="275">
        <v>144791401871</v>
      </c>
      <c r="DA4" s="275">
        <v>609</v>
      </c>
      <c r="DB4" s="275">
        <v>34117775616.190002</v>
      </c>
      <c r="DC4" s="275">
        <v>35242465090</v>
      </c>
      <c r="DD4" s="275">
        <v>534</v>
      </c>
      <c r="DG4" s="348" t="s">
        <v>667</v>
      </c>
      <c r="DH4" s="346">
        <v>12809592.060000001</v>
      </c>
      <c r="DJ4" s="352" t="s">
        <v>667</v>
      </c>
      <c r="DK4" s="350">
        <v>12809592.060000001</v>
      </c>
      <c r="DM4" s="351" t="s">
        <v>667</v>
      </c>
      <c r="DN4" s="353">
        <v>11777147.24</v>
      </c>
    </row>
    <row r="5" spans="1:118" x14ac:dyDescent="0.25">
      <c r="B5" s="188">
        <v>6957369768</v>
      </c>
      <c r="C5" s="188">
        <v>510081958369.87677</v>
      </c>
      <c r="D5" s="194">
        <v>5406216</v>
      </c>
      <c r="E5" s="209"/>
      <c r="F5" s="211">
        <v>2475</v>
      </c>
      <c r="G5" s="211">
        <v>508692824</v>
      </c>
      <c r="H5" s="225">
        <v>31941266698.541824</v>
      </c>
      <c r="J5" s="152" t="str">
        <f t="shared" si="0"/>
        <v>PSell</v>
      </c>
      <c r="K5" s="234" t="s">
        <v>544</v>
      </c>
      <c r="L5" s="234" t="s">
        <v>545</v>
      </c>
      <c r="M5" s="238">
        <v>275925066294.84503</v>
      </c>
      <c r="N5" s="136"/>
      <c r="O5" s="241">
        <v>122511520416.25</v>
      </c>
      <c r="P5" s="241">
        <v>-111693902514.8</v>
      </c>
      <c r="Q5" s="241">
        <v>10817617901.450001</v>
      </c>
      <c r="S5" s="253" t="s">
        <v>451</v>
      </c>
      <c r="T5" s="258">
        <v>145387736.59</v>
      </c>
      <c r="U5" s="258">
        <v>61367</v>
      </c>
      <c r="V5" s="258">
        <v>81</v>
      </c>
      <c r="W5" s="258">
        <v>213084</v>
      </c>
      <c r="X5" s="258">
        <v>0</v>
      </c>
      <c r="Y5" s="245"/>
      <c r="Z5" s="253" t="s">
        <v>575</v>
      </c>
      <c r="AA5" s="253">
        <v>20039982.949999999</v>
      </c>
      <c r="AB5" s="253">
        <v>2065</v>
      </c>
      <c r="AC5" s="253">
        <v>140</v>
      </c>
      <c r="AD5" s="253">
        <v>74905</v>
      </c>
      <c r="AE5" s="253">
        <v>0</v>
      </c>
      <c r="AF5" s="253"/>
      <c r="AG5" s="253" t="s">
        <v>575</v>
      </c>
      <c r="AH5" s="253">
        <v>32375</v>
      </c>
      <c r="AI5" s="253">
        <v>5</v>
      </c>
      <c r="AJ5" s="253">
        <v>5</v>
      </c>
      <c r="AK5" s="253">
        <v>3807</v>
      </c>
      <c r="AL5" s="253">
        <v>0</v>
      </c>
      <c r="AM5" s="245"/>
      <c r="AN5" s="253" t="s">
        <v>575</v>
      </c>
      <c r="AO5" s="253">
        <v>4677169</v>
      </c>
      <c r="AP5" s="253">
        <v>469</v>
      </c>
      <c r="AQ5" s="253">
        <v>75</v>
      </c>
      <c r="AR5" s="253">
        <v>62377</v>
      </c>
      <c r="AS5" s="253">
        <v>0</v>
      </c>
      <c r="AT5" s="245"/>
      <c r="AU5" s="253" t="s">
        <v>575</v>
      </c>
      <c r="AV5" s="253">
        <v>13000</v>
      </c>
      <c r="AW5" s="253">
        <v>1</v>
      </c>
      <c r="AX5" s="253">
        <v>1</v>
      </c>
      <c r="AY5" s="253">
        <v>3309</v>
      </c>
      <c r="AZ5" s="253">
        <v>0</v>
      </c>
      <c r="BA5" s="245"/>
      <c r="BB5" s="253" t="s">
        <v>617</v>
      </c>
      <c r="BC5" s="253">
        <v>0</v>
      </c>
      <c r="BD5" s="253">
        <v>0</v>
      </c>
      <c r="BE5" s="253">
        <v>0</v>
      </c>
      <c r="BF5" s="253">
        <v>0</v>
      </c>
      <c r="BG5" s="253">
        <v>1</v>
      </c>
      <c r="BH5" s="247" t="s">
        <v>617</v>
      </c>
      <c r="BI5" s="253">
        <v>0</v>
      </c>
      <c r="BJ5" s="253">
        <v>0</v>
      </c>
      <c r="BK5" s="253">
        <v>0</v>
      </c>
      <c r="BL5" s="253">
        <v>0</v>
      </c>
      <c r="BM5" s="253">
        <v>1</v>
      </c>
      <c r="BN5" s="253"/>
      <c r="BO5" s="245"/>
      <c r="BP5" s="263">
        <v>2000680714.9100001</v>
      </c>
      <c r="BQ5" s="263">
        <v>1679940</v>
      </c>
      <c r="BR5" s="263">
        <v>789</v>
      </c>
      <c r="BS5" s="245"/>
      <c r="BT5" s="265" t="s">
        <v>634</v>
      </c>
      <c r="BU5" s="265">
        <v>320</v>
      </c>
      <c r="BV5" s="265">
        <v>0</v>
      </c>
      <c r="BW5" s="265">
        <v>0</v>
      </c>
      <c r="BX5" s="265">
        <v>0</v>
      </c>
      <c r="BY5" s="265">
        <v>0</v>
      </c>
      <c r="BZ5" s="265">
        <v>320</v>
      </c>
      <c r="CA5" s="265">
        <v>258</v>
      </c>
      <c r="CB5" s="265">
        <v>62</v>
      </c>
      <c r="CC5" s="245"/>
      <c r="CD5" s="271">
        <v>830</v>
      </c>
      <c r="CE5" s="271">
        <v>13988068718612.461</v>
      </c>
      <c r="CF5" s="267" t="s">
        <v>508</v>
      </c>
      <c r="CG5" s="266" t="s">
        <v>6</v>
      </c>
      <c r="CH5" s="266" t="s">
        <v>638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65</v>
      </c>
      <c r="CU5" s="275" t="s">
        <v>657</v>
      </c>
      <c r="CV5" s="275">
        <v>-5903735750.6099997</v>
      </c>
      <c r="CW5" s="275">
        <v>-6082244116</v>
      </c>
      <c r="CX5" s="275">
        <v>829</v>
      </c>
      <c r="CY5" s="275">
        <v>14092216881.309999</v>
      </c>
      <c r="CZ5" s="275">
        <v>13684472892</v>
      </c>
      <c r="DA5" s="275">
        <v>432</v>
      </c>
      <c r="DB5" s="275">
        <v>19995952631.920002</v>
      </c>
      <c r="DC5" s="275">
        <v>19766717008</v>
      </c>
      <c r="DD5" s="275">
        <v>397</v>
      </c>
      <c r="DG5" s="348" t="s">
        <v>668</v>
      </c>
      <c r="DH5" s="346">
        <v>135158653.81</v>
      </c>
      <c r="DJ5" s="352" t="s">
        <v>668</v>
      </c>
      <c r="DK5" s="350">
        <v>135158653.81</v>
      </c>
      <c r="DM5" s="351" t="s">
        <v>668</v>
      </c>
      <c r="DN5" s="353">
        <v>172651939.83000001</v>
      </c>
    </row>
    <row r="6" spans="1:118" x14ac:dyDescent="0.25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45"/>
      <c r="Z6" s="253" t="s">
        <v>576</v>
      </c>
      <c r="AA6" s="253">
        <v>101535128.72</v>
      </c>
      <c r="AB6" s="253">
        <v>1218</v>
      </c>
      <c r="AC6" s="253">
        <v>94</v>
      </c>
      <c r="AD6" s="253">
        <v>62715</v>
      </c>
      <c r="AE6" s="253">
        <v>1</v>
      </c>
      <c r="AF6" s="253"/>
      <c r="AG6" s="253" t="s">
        <v>576</v>
      </c>
      <c r="AH6" s="253">
        <v>9456135.4000000004</v>
      </c>
      <c r="AI6" s="253">
        <v>117</v>
      </c>
      <c r="AJ6" s="253">
        <v>10</v>
      </c>
      <c r="AK6" s="253">
        <v>2831</v>
      </c>
      <c r="AL6" s="253">
        <v>1</v>
      </c>
      <c r="AM6" s="245"/>
      <c r="AN6" s="253" t="s">
        <v>576</v>
      </c>
      <c r="AO6" s="253">
        <v>825561786.82000005</v>
      </c>
      <c r="AP6" s="253">
        <v>9643</v>
      </c>
      <c r="AQ6" s="253">
        <v>90</v>
      </c>
      <c r="AR6" s="253">
        <v>54274</v>
      </c>
      <c r="AS6" s="253">
        <v>1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2905</v>
      </c>
      <c r="AZ6" s="253">
        <v>1</v>
      </c>
      <c r="BA6" s="245"/>
      <c r="BB6" s="253" t="s">
        <v>576</v>
      </c>
      <c r="BC6" s="253">
        <v>331149237.32999998</v>
      </c>
      <c r="BD6" s="253">
        <v>4272</v>
      </c>
      <c r="BE6" s="253">
        <v>140</v>
      </c>
      <c r="BF6" s="253">
        <v>27095</v>
      </c>
      <c r="BG6" s="253">
        <v>1</v>
      </c>
      <c r="BH6" s="247" t="s">
        <v>576</v>
      </c>
      <c r="BI6" s="253">
        <v>0</v>
      </c>
      <c r="BJ6" s="253">
        <v>0</v>
      </c>
      <c r="BK6" s="253">
        <v>0</v>
      </c>
      <c r="BL6" s="253">
        <v>375</v>
      </c>
      <c r="BM6" s="253">
        <v>1</v>
      </c>
      <c r="BN6" s="253"/>
      <c r="BO6" s="247"/>
      <c r="BP6" s="263"/>
      <c r="BQ6" s="263"/>
      <c r="BR6" s="263"/>
      <c r="BS6" s="245"/>
      <c r="BT6" s="265" t="s">
        <v>635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22</v>
      </c>
      <c r="CI6" s="267" t="s">
        <v>510</v>
      </c>
      <c r="CJ6" s="247" t="s">
        <v>117</v>
      </c>
      <c r="CK6" s="247">
        <v>24727</v>
      </c>
      <c r="CL6" s="267" t="s">
        <v>513</v>
      </c>
      <c r="CM6" s="247" t="s">
        <v>117</v>
      </c>
      <c r="CN6" s="247">
        <v>14086</v>
      </c>
      <c r="CO6" s="267" t="s">
        <v>516</v>
      </c>
      <c r="CP6" s="247" t="s">
        <v>117</v>
      </c>
      <c r="CQ6" s="247">
        <v>730</v>
      </c>
      <c r="CR6" s="245"/>
      <c r="CS6" s="277">
        <v>2018</v>
      </c>
      <c r="CT6" s="275">
        <v>78</v>
      </c>
      <c r="CU6" s="275" t="s">
        <v>658</v>
      </c>
      <c r="CV6" s="275">
        <v>-470108108.89999539</v>
      </c>
      <c r="CW6" s="275">
        <v>-783296712</v>
      </c>
      <c r="CX6" s="275">
        <v>3586</v>
      </c>
      <c r="CY6" s="275">
        <v>115697542206.38992</v>
      </c>
      <c r="CZ6" s="275">
        <v>111734346554</v>
      </c>
      <c r="DA6" s="275">
        <v>1840</v>
      </c>
      <c r="DB6" s="275">
        <v>116167650315.29004</v>
      </c>
      <c r="DC6" s="275">
        <v>112517643266</v>
      </c>
      <c r="DD6" s="275">
        <v>1746</v>
      </c>
      <c r="DG6" s="348" t="s">
        <v>669</v>
      </c>
      <c r="DH6" s="346">
        <v>747999997</v>
      </c>
      <c r="DJ6" s="352" t="s">
        <v>669</v>
      </c>
      <c r="DK6" s="350">
        <v>747999997</v>
      </c>
      <c r="DM6" s="351"/>
      <c r="DN6" s="353"/>
    </row>
    <row r="7" spans="1:118" x14ac:dyDescent="0.25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446</v>
      </c>
      <c r="T7" s="258">
        <v>1188005548.5899999</v>
      </c>
      <c r="U7" s="258">
        <v>379147</v>
      </c>
      <c r="V7" s="258">
        <v>286</v>
      </c>
      <c r="W7" s="258">
        <v>1000234</v>
      </c>
      <c r="X7" s="258">
        <v>0</v>
      </c>
      <c r="Y7" s="245"/>
      <c r="Z7" s="253" t="s">
        <v>577</v>
      </c>
      <c r="AA7" s="253">
        <v>49665320.75</v>
      </c>
      <c r="AB7" s="253">
        <v>1590</v>
      </c>
      <c r="AC7" s="253">
        <v>8</v>
      </c>
      <c r="AD7" s="253">
        <v>17490</v>
      </c>
      <c r="AE7" s="253">
        <v>1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795</v>
      </c>
      <c r="AL7" s="253">
        <v>1</v>
      </c>
      <c r="AM7" s="245"/>
      <c r="AN7" s="253" t="s">
        <v>577</v>
      </c>
      <c r="AO7" s="253">
        <v>48243222.450000003</v>
      </c>
      <c r="AP7" s="253">
        <v>1562</v>
      </c>
      <c r="AQ7" s="253">
        <v>7</v>
      </c>
      <c r="AR7" s="253">
        <v>38109</v>
      </c>
      <c r="AS7" s="253">
        <v>1</v>
      </c>
      <c r="AT7" s="245"/>
      <c r="AU7" s="253" t="s">
        <v>577</v>
      </c>
      <c r="AV7" s="253">
        <v>5046842.7</v>
      </c>
      <c r="AW7" s="253">
        <v>162</v>
      </c>
      <c r="AX7" s="253">
        <v>1</v>
      </c>
      <c r="AY7" s="253">
        <v>795</v>
      </c>
      <c r="AZ7" s="253">
        <v>1</v>
      </c>
      <c r="BA7" s="245"/>
      <c r="BB7" s="253" t="s">
        <v>577</v>
      </c>
      <c r="BC7" s="253">
        <v>109988964.95</v>
      </c>
      <c r="BD7" s="253">
        <v>3939</v>
      </c>
      <c r="BE7" s="253">
        <v>9</v>
      </c>
      <c r="BF7" s="253">
        <v>19440</v>
      </c>
      <c r="BG7" s="253">
        <v>1</v>
      </c>
      <c r="BH7" s="247" t="s">
        <v>577</v>
      </c>
      <c r="BI7" s="253">
        <v>103103008.7</v>
      </c>
      <c r="BJ7" s="253">
        <v>3689</v>
      </c>
      <c r="BK7" s="253">
        <v>7</v>
      </c>
      <c r="BL7" s="253">
        <v>890</v>
      </c>
      <c r="BM7" s="253">
        <v>1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21</v>
      </c>
      <c r="CI7" s="245"/>
      <c r="CJ7" s="247" t="s">
        <v>640</v>
      </c>
      <c r="CK7" s="247">
        <v>842888028060</v>
      </c>
      <c r="CL7" s="247"/>
      <c r="CM7" s="247" t="s">
        <v>640</v>
      </c>
      <c r="CN7" s="247">
        <v>1604476816560</v>
      </c>
      <c r="CO7" s="247"/>
      <c r="CP7" s="247" t="s">
        <v>640</v>
      </c>
      <c r="CQ7" s="247">
        <v>57165938962</v>
      </c>
      <c r="CR7" s="245"/>
      <c r="CS7" s="277">
        <v>2018</v>
      </c>
      <c r="CT7" s="275">
        <v>8</v>
      </c>
      <c r="CU7" s="275" t="s">
        <v>659</v>
      </c>
      <c r="CV7" s="275">
        <v>-1144223426.3999996</v>
      </c>
      <c r="CW7" s="275">
        <v>-1025043000</v>
      </c>
      <c r="CX7" s="275">
        <v>43</v>
      </c>
      <c r="CY7" s="275">
        <v>637143783.39999998</v>
      </c>
      <c r="CZ7" s="275">
        <v>601700000</v>
      </c>
      <c r="DA7" s="275">
        <v>23</v>
      </c>
      <c r="DB7" s="275">
        <v>1781367209.8000002</v>
      </c>
      <c r="DC7" s="275">
        <v>1626743000</v>
      </c>
      <c r="DD7" s="275">
        <v>20</v>
      </c>
    </row>
    <row r="8" spans="1:118" x14ac:dyDescent="0.25">
      <c r="B8" s="188">
        <v>5512647955</v>
      </c>
      <c r="C8" s="188">
        <v>389202423782.40479</v>
      </c>
      <c r="D8" s="194">
        <v>5640582</v>
      </c>
      <c r="E8" s="209"/>
      <c r="F8" s="211">
        <v>2274</v>
      </c>
      <c r="G8" s="211">
        <v>559458133</v>
      </c>
      <c r="H8" s="225">
        <v>23244021820.079796</v>
      </c>
      <c r="J8" s="152" t="str">
        <f>K8&amp;L8</f>
        <v>ABuy</v>
      </c>
      <c r="K8" s="234" t="s">
        <v>542</v>
      </c>
      <c r="L8" s="234" t="s">
        <v>543</v>
      </c>
      <c r="M8" s="238">
        <v>287220963714.67822</v>
      </c>
      <c r="O8" s="244">
        <v>62459805469.650002</v>
      </c>
      <c r="P8" s="244">
        <v>-78617666684.619995</v>
      </c>
      <c r="Q8" s="241">
        <v>-16157861214.969999</v>
      </c>
      <c r="S8" s="253" t="s">
        <v>571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578</v>
      </c>
      <c r="AA8" s="253">
        <v>4544920</v>
      </c>
      <c r="AB8" s="253">
        <v>47</v>
      </c>
      <c r="AC8" s="253">
        <v>5</v>
      </c>
      <c r="AD8" s="253">
        <v>3060</v>
      </c>
      <c r="AE8" s="253">
        <v>1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170</v>
      </c>
      <c r="AL8" s="253">
        <v>1</v>
      </c>
      <c r="AM8" s="245"/>
      <c r="AN8" s="253" t="s">
        <v>578</v>
      </c>
      <c r="AO8" s="253">
        <v>5660979.9850000003</v>
      </c>
      <c r="AP8" s="253">
        <v>54</v>
      </c>
      <c r="AQ8" s="253">
        <v>11</v>
      </c>
      <c r="AR8" s="253">
        <v>2268</v>
      </c>
      <c r="AS8" s="253">
        <v>1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125</v>
      </c>
      <c r="AZ8" s="253">
        <v>1</v>
      </c>
      <c r="BA8" s="245"/>
      <c r="BB8" s="253" t="s">
        <v>578</v>
      </c>
      <c r="BC8" s="253">
        <v>2515940</v>
      </c>
      <c r="BD8" s="253">
        <v>24</v>
      </c>
      <c r="BE8" s="253">
        <v>10</v>
      </c>
      <c r="BF8" s="253">
        <v>114</v>
      </c>
      <c r="BG8" s="253">
        <v>1</v>
      </c>
      <c r="BH8" s="247" t="s">
        <v>578</v>
      </c>
      <c r="BI8" s="253">
        <v>0</v>
      </c>
      <c r="BJ8" s="253">
        <v>0</v>
      </c>
      <c r="BK8" s="253">
        <v>0</v>
      </c>
      <c r="BL8" s="253">
        <v>12</v>
      </c>
      <c r="BM8" s="253">
        <v>1</v>
      </c>
      <c r="BN8" s="253"/>
      <c r="BO8" s="247"/>
      <c r="BP8" s="263">
        <v>349387525258.59088</v>
      </c>
      <c r="BQ8" s="263">
        <v>5134538</v>
      </c>
      <c r="BR8" s="263">
        <v>255470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637</v>
      </c>
      <c r="CE8" s="266" t="s">
        <v>639</v>
      </c>
      <c r="CF8" s="245"/>
      <c r="CG8" s="245"/>
      <c r="CH8" s="245"/>
      <c r="CI8" s="245"/>
      <c r="CJ8" s="247" t="s">
        <v>641</v>
      </c>
      <c r="CK8" s="247">
        <v>866668422229.61987</v>
      </c>
      <c r="CL8" s="247"/>
      <c r="CM8" s="247" t="s">
        <v>641</v>
      </c>
      <c r="CN8" s="247">
        <v>1610501677035.6204</v>
      </c>
      <c r="CO8" s="247"/>
      <c r="CP8" s="247" t="s">
        <v>641</v>
      </c>
      <c r="CQ8" s="247">
        <v>19182857828.77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5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287376234616.28119</v>
      </c>
      <c r="N9" s="19"/>
      <c r="O9" s="239"/>
      <c r="P9" s="239"/>
      <c r="Q9" s="239"/>
      <c r="S9" s="253" t="s">
        <v>447</v>
      </c>
      <c r="T9" s="258">
        <v>9635947925.5680008</v>
      </c>
      <c r="U9" s="258">
        <v>614040</v>
      </c>
      <c r="V9" s="258">
        <v>4014</v>
      </c>
      <c r="W9" s="258">
        <v>858189</v>
      </c>
      <c r="X9" s="258">
        <v>1</v>
      </c>
      <c r="Y9" s="245"/>
      <c r="Z9" s="253" t="s">
        <v>579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579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579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579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623</v>
      </c>
      <c r="BU9" s="266" t="s">
        <v>624</v>
      </c>
      <c r="BV9" s="266" t="s">
        <v>625</v>
      </c>
      <c r="BW9" s="266" t="s">
        <v>626</v>
      </c>
      <c r="BX9" s="266" t="s">
        <v>627</v>
      </c>
      <c r="BY9" s="266" t="s">
        <v>628</v>
      </c>
      <c r="BZ9" s="266" t="s">
        <v>629</v>
      </c>
      <c r="CA9" s="266" t="s">
        <v>630</v>
      </c>
      <c r="CB9" s="266" t="s">
        <v>631</v>
      </c>
      <c r="CC9" s="245"/>
      <c r="CD9" s="269">
        <v>341398780795744.56</v>
      </c>
      <c r="CE9" s="272">
        <v>501089437347.15332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5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309715238442.91455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182</v>
      </c>
      <c r="T10" s="258">
        <v>73739037.784999996</v>
      </c>
      <c r="U10" s="258">
        <v>1427057</v>
      </c>
      <c r="V10" s="258">
        <v>430</v>
      </c>
      <c r="W10" s="258">
        <v>1130173</v>
      </c>
      <c r="X10" s="258">
        <v>1</v>
      </c>
      <c r="Y10" s="245"/>
      <c r="Z10" s="253" t="s">
        <v>580</v>
      </c>
      <c r="AA10" s="253">
        <v>296858430.47000003</v>
      </c>
      <c r="AB10" s="253">
        <v>661</v>
      </c>
      <c r="AC10" s="253">
        <v>128</v>
      </c>
      <c r="AD10" s="253">
        <v>8649</v>
      </c>
      <c r="AE10" s="253">
        <v>1</v>
      </c>
      <c r="AF10" s="253"/>
      <c r="AG10" s="253" t="s">
        <v>580</v>
      </c>
      <c r="AH10" s="253">
        <v>1337660</v>
      </c>
      <c r="AI10" s="253">
        <v>3</v>
      </c>
      <c r="AJ10" s="253">
        <v>2</v>
      </c>
      <c r="AK10" s="253">
        <v>395</v>
      </c>
      <c r="AL10" s="253">
        <v>1</v>
      </c>
      <c r="AM10" s="245"/>
      <c r="AN10" s="253" t="s">
        <v>580</v>
      </c>
      <c r="AO10" s="253">
        <v>260144399.59</v>
      </c>
      <c r="AP10" s="253">
        <v>520</v>
      </c>
      <c r="AQ10" s="253">
        <v>125</v>
      </c>
      <c r="AR10" s="253">
        <v>10276</v>
      </c>
      <c r="AS10" s="253">
        <v>1</v>
      </c>
      <c r="AT10" s="245"/>
      <c r="AU10" s="253" t="s">
        <v>580</v>
      </c>
      <c r="AV10" s="253">
        <v>7600320</v>
      </c>
      <c r="AW10" s="253">
        <v>17</v>
      </c>
      <c r="AX10" s="253">
        <v>5</v>
      </c>
      <c r="AY10" s="253">
        <v>475</v>
      </c>
      <c r="AZ10" s="253">
        <v>1</v>
      </c>
      <c r="BA10" s="245"/>
      <c r="BB10" s="253" t="s">
        <v>580</v>
      </c>
      <c r="BC10" s="253">
        <v>120461879.89</v>
      </c>
      <c r="BD10" s="253">
        <v>230</v>
      </c>
      <c r="BE10" s="253">
        <v>29</v>
      </c>
      <c r="BF10" s="253">
        <v>5968</v>
      </c>
      <c r="BG10" s="253">
        <v>1</v>
      </c>
      <c r="BH10" s="247" t="s">
        <v>580</v>
      </c>
      <c r="BI10" s="253">
        <v>0</v>
      </c>
      <c r="BJ10" s="253">
        <v>0</v>
      </c>
      <c r="BK10" s="253">
        <v>0</v>
      </c>
      <c r="BL10" s="253">
        <v>313</v>
      </c>
      <c r="BM10" s="253">
        <v>1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52</v>
      </c>
      <c r="BV10" s="265">
        <v>0</v>
      </c>
      <c r="BW10" s="265">
        <v>1</v>
      </c>
      <c r="BX10" s="265">
        <v>0</v>
      </c>
      <c r="BY10" s="265">
        <v>0</v>
      </c>
      <c r="BZ10" s="265">
        <v>51</v>
      </c>
      <c r="CA10" s="265">
        <v>40</v>
      </c>
      <c r="CB10" s="265">
        <v>12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5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264881959888.04486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570</v>
      </c>
      <c r="T11" s="258">
        <v>0</v>
      </c>
      <c r="U11" s="258">
        <v>0</v>
      </c>
      <c r="V11" s="258">
        <v>0</v>
      </c>
      <c r="W11" s="258">
        <v>0</v>
      </c>
      <c r="X11" s="258">
        <v>1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660</v>
      </c>
      <c r="AE11" s="253">
        <v>1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30</v>
      </c>
      <c r="AL11" s="253">
        <v>1</v>
      </c>
      <c r="AM11" s="245"/>
      <c r="AN11" s="253" t="s">
        <v>581</v>
      </c>
      <c r="AO11" s="253">
        <v>49689378.75</v>
      </c>
      <c r="AP11" s="253">
        <v>480</v>
      </c>
      <c r="AQ11" s="253">
        <v>39</v>
      </c>
      <c r="AR11" s="253">
        <v>3829</v>
      </c>
      <c r="AS11" s="253">
        <v>1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30</v>
      </c>
      <c r="AZ11" s="253">
        <v>1</v>
      </c>
      <c r="BA11" s="245"/>
      <c r="BB11" s="253" t="s">
        <v>581</v>
      </c>
      <c r="BC11" s="253">
        <v>0</v>
      </c>
      <c r="BD11" s="253">
        <v>0</v>
      </c>
      <c r="BE11" s="253">
        <v>0</v>
      </c>
      <c r="BF11" s="253">
        <v>7350</v>
      </c>
      <c r="BG11" s="253">
        <v>1</v>
      </c>
      <c r="BH11" s="247" t="s">
        <v>581</v>
      </c>
      <c r="BI11" s="253">
        <v>0</v>
      </c>
      <c r="BJ11" s="253">
        <v>0</v>
      </c>
      <c r="BK11" s="253">
        <v>0</v>
      </c>
      <c r="BL11" s="253">
        <v>350</v>
      </c>
      <c r="BM11" s="253">
        <v>1</v>
      </c>
      <c r="BN11" s="253"/>
      <c r="BO11" s="247"/>
      <c r="BP11" s="263">
        <v>4486398319.2799997</v>
      </c>
      <c r="BQ11" s="263">
        <v>1768240</v>
      </c>
      <c r="BR11" s="263">
        <v>2094</v>
      </c>
      <c r="BS11" s="245"/>
      <c r="BT11" s="265" t="s">
        <v>632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637</v>
      </c>
      <c r="CE11" s="266" t="s">
        <v>639</v>
      </c>
      <c r="CF11" s="245"/>
      <c r="CG11" s="245"/>
      <c r="CH11" s="245"/>
      <c r="CI11" s="267" t="s">
        <v>511</v>
      </c>
      <c r="CJ11" s="247" t="s">
        <v>117</v>
      </c>
      <c r="CK11" s="247">
        <v>22193</v>
      </c>
      <c r="CL11" s="267" t="s">
        <v>514</v>
      </c>
      <c r="CM11" s="247" t="s">
        <v>117</v>
      </c>
      <c r="CN11" s="247">
        <v>12425</v>
      </c>
      <c r="CO11" s="267" t="s">
        <v>517</v>
      </c>
      <c r="CP11" s="247" t="s">
        <v>117</v>
      </c>
      <c r="CQ11" s="247">
        <v>644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5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0</v>
      </c>
      <c r="U12" s="258">
        <v>0</v>
      </c>
      <c r="V12" s="258">
        <v>0</v>
      </c>
      <c r="W12" s="258">
        <v>0</v>
      </c>
      <c r="X12" s="258">
        <v>0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582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582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633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341398780795744.56</v>
      </c>
      <c r="CE12" s="272">
        <v>501089437347.15332</v>
      </c>
      <c r="CF12" s="245"/>
      <c r="CG12" s="245"/>
      <c r="CH12" s="245"/>
      <c r="CI12" s="247"/>
      <c r="CJ12" s="247" t="s">
        <v>640</v>
      </c>
      <c r="CK12" s="247">
        <v>517553154600</v>
      </c>
      <c r="CL12" s="247"/>
      <c r="CM12" s="247" t="s">
        <v>640</v>
      </c>
      <c r="CN12" s="247">
        <v>1177915848268</v>
      </c>
      <c r="CO12" s="247"/>
      <c r="CP12" s="247" t="s">
        <v>640</v>
      </c>
      <c r="CQ12" s="247">
        <v>46458898559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5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446</v>
      </c>
      <c r="T13" s="258">
        <v>316277454510.18481</v>
      </c>
      <c r="U13" s="258">
        <v>970105</v>
      </c>
      <c r="V13" s="258">
        <v>241920</v>
      </c>
      <c r="W13" s="258">
        <v>560071</v>
      </c>
      <c r="X13" s="258">
        <v>1</v>
      </c>
      <c r="Y13" s="245"/>
      <c r="Z13" s="253" t="s">
        <v>583</v>
      </c>
      <c r="AA13" s="253">
        <v>7615322574.3199997</v>
      </c>
      <c r="AB13" s="253">
        <v>37326</v>
      </c>
      <c r="AC13" s="253">
        <v>6658</v>
      </c>
      <c r="AD13" s="253">
        <v>470050</v>
      </c>
      <c r="AE13" s="253">
        <v>1</v>
      </c>
      <c r="AF13" s="253"/>
      <c r="AG13" s="253" t="s">
        <v>583</v>
      </c>
      <c r="AH13" s="253">
        <v>227502873.59999999</v>
      </c>
      <c r="AI13" s="253">
        <v>1158</v>
      </c>
      <c r="AJ13" s="253">
        <v>201</v>
      </c>
      <c r="AK13" s="253">
        <v>21080</v>
      </c>
      <c r="AL13" s="253">
        <v>1</v>
      </c>
      <c r="AM13" s="245"/>
      <c r="AN13" s="253" t="s">
        <v>583</v>
      </c>
      <c r="AO13" s="253">
        <v>6020377014.4099998</v>
      </c>
      <c r="AP13" s="253">
        <v>29862</v>
      </c>
      <c r="AQ13" s="253">
        <v>4686</v>
      </c>
      <c r="AR13" s="253">
        <v>413293</v>
      </c>
      <c r="AS13" s="253">
        <v>1</v>
      </c>
      <c r="AT13" s="245"/>
      <c r="AU13" s="253" t="s">
        <v>583</v>
      </c>
      <c r="AV13" s="253">
        <v>174099113.52000001</v>
      </c>
      <c r="AW13" s="253">
        <v>870</v>
      </c>
      <c r="AX13" s="253">
        <v>126</v>
      </c>
      <c r="AY13" s="253">
        <v>21534</v>
      </c>
      <c r="AZ13" s="253">
        <v>1</v>
      </c>
      <c r="BA13" s="245"/>
      <c r="BB13" s="253" t="s">
        <v>583</v>
      </c>
      <c r="BC13" s="253">
        <v>10552368502.99</v>
      </c>
      <c r="BD13" s="253">
        <v>38753</v>
      </c>
      <c r="BE13" s="253">
        <v>6761</v>
      </c>
      <c r="BF13" s="253">
        <v>288812</v>
      </c>
      <c r="BG13" s="253">
        <v>1</v>
      </c>
      <c r="BH13" s="247" t="s">
        <v>583</v>
      </c>
      <c r="BI13" s="253">
        <v>876034585.37</v>
      </c>
      <c r="BJ13" s="253">
        <v>3420</v>
      </c>
      <c r="BK13" s="253">
        <v>449</v>
      </c>
      <c r="BL13" s="253">
        <v>13924</v>
      </c>
      <c r="BM13" s="253">
        <v>1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634</v>
      </c>
      <c r="BU13" s="265">
        <v>320</v>
      </c>
      <c r="BV13" s="265">
        <v>0</v>
      </c>
      <c r="BW13" s="265">
        <v>0</v>
      </c>
      <c r="BX13" s="265">
        <v>0</v>
      </c>
      <c r="BY13" s="265">
        <v>0</v>
      </c>
      <c r="BZ13" s="265">
        <v>320</v>
      </c>
      <c r="CA13" s="265">
        <v>258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641</v>
      </c>
      <c r="CK13" s="247">
        <v>550331952525.95093</v>
      </c>
      <c r="CL13" s="247"/>
      <c r="CM13" s="247" t="s">
        <v>641</v>
      </c>
      <c r="CN13" s="247">
        <v>1173940820539.439</v>
      </c>
      <c r="CO13" s="247"/>
      <c r="CP13" s="247" t="s">
        <v>641</v>
      </c>
      <c r="CQ13" s="247">
        <v>23344201415.709999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5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227120853137.57501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451</v>
      </c>
      <c r="T14" s="245">
        <v>1651342291.6800001</v>
      </c>
      <c r="U14" s="245">
        <v>47271</v>
      </c>
      <c r="V14" s="245">
        <v>87</v>
      </c>
      <c r="W14" s="245">
        <v>415534</v>
      </c>
      <c r="X14" s="245">
        <v>1</v>
      </c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1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1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1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1</v>
      </c>
      <c r="BA14" s="245"/>
      <c r="BB14" s="253" t="s">
        <v>584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584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38779269</v>
      </c>
      <c r="BQ14" s="263"/>
      <c r="BR14" s="263"/>
      <c r="BS14" s="245"/>
      <c r="BT14" s="265" t="s">
        <v>635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637</v>
      </c>
      <c r="CE14" s="273" t="s">
        <v>639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660</v>
      </c>
      <c r="CT14" s="275" t="s">
        <v>643</v>
      </c>
      <c r="CU14" s="275" t="s">
        <v>644</v>
      </c>
      <c r="CV14" s="275" t="s">
        <v>645</v>
      </c>
      <c r="CW14" s="275" t="s">
        <v>646</v>
      </c>
      <c r="CX14" s="275" t="s">
        <v>647</v>
      </c>
      <c r="CY14" s="275" t="s">
        <v>648</v>
      </c>
      <c r="CZ14" s="275" t="s">
        <v>649</v>
      </c>
      <c r="DA14" s="275" t="s">
        <v>650</v>
      </c>
      <c r="DB14" s="275" t="s">
        <v>651</v>
      </c>
      <c r="DC14" s="275" t="s">
        <v>652</v>
      </c>
      <c r="DD14" s="275" t="s">
        <v>653</v>
      </c>
    </row>
    <row r="15" spans="1:118" x14ac:dyDescent="0.25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251019838533.76001</v>
      </c>
      <c r="N15" s="156"/>
      <c r="O15" s="240"/>
      <c r="P15" s="240"/>
      <c r="Q15" s="240"/>
      <c r="R15" s="153" t="s">
        <v>453</v>
      </c>
      <c r="S15" s="254" t="s">
        <v>564</v>
      </c>
      <c r="T15" s="257" t="s">
        <v>565</v>
      </c>
      <c r="U15" s="257" t="s">
        <v>566</v>
      </c>
      <c r="V15" s="257" t="s">
        <v>567</v>
      </c>
      <c r="W15" s="257" t="s">
        <v>568</v>
      </c>
      <c r="X15" s="257" t="s">
        <v>569</v>
      </c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585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283024852227847.75</v>
      </c>
      <c r="CE15" s="274">
        <v>384542976978.01569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661</v>
      </c>
      <c r="CT15" s="275">
        <v>19</v>
      </c>
      <c r="CU15" s="275" t="s">
        <v>654</v>
      </c>
      <c r="CV15" s="275">
        <v>0</v>
      </c>
      <c r="CW15" s="275">
        <v>1503355997</v>
      </c>
      <c r="CX15" s="275">
        <v>399</v>
      </c>
      <c r="CY15" s="275">
        <v>0</v>
      </c>
      <c r="CZ15" s="275">
        <v>18890074146</v>
      </c>
      <c r="DA15" s="275">
        <v>188</v>
      </c>
      <c r="DB15" s="275">
        <v>0</v>
      </c>
      <c r="DC15" s="275">
        <v>17386718149</v>
      </c>
      <c r="DD15" s="275">
        <v>211</v>
      </c>
    </row>
    <row r="16" spans="1:118" x14ac:dyDescent="0.25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225900951155.405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570</v>
      </c>
      <c r="T16" s="258">
        <v>0</v>
      </c>
      <c r="U16" s="258">
        <v>0</v>
      </c>
      <c r="V16" s="258">
        <v>0</v>
      </c>
      <c r="W16" s="258">
        <v>0</v>
      </c>
      <c r="X16" s="258">
        <v>0</v>
      </c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661</v>
      </c>
      <c r="CT16" s="275">
        <v>23</v>
      </c>
      <c r="CU16" s="275" t="s">
        <v>655</v>
      </c>
      <c r="CV16" s="275">
        <v>-120735115832.23003</v>
      </c>
      <c r="CW16" s="275">
        <v>-109568036781</v>
      </c>
      <c r="CX16" s="275">
        <v>1157</v>
      </c>
      <c r="CY16" s="275">
        <v>35726950147.040016</v>
      </c>
      <c r="CZ16" s="275">
        <v>36773765090</v>
      </c>
      <c r="DA16" s="275">
        <v>543</v>
      </c>
      <c r="DB16" s="275">
        <v>156462065979.27014</v>
      </c>
      <c r="DC16" s="275">
        <v>146341801871</v>
      </c>
      <c r="DD16" s="275">
        <v>614</v>
      </c>
    </row>
    <row r="17" spans="1:108" x14ac:dyDescent="0.25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252239740515.92999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449</v>
      </c>
      <c r="T17" s="258">
        <v>1025100.433</v>
      </c>
      <c r="U17" s="258">
        <v>561</v>
      </c>
      <c r="V17" s="258">
        <v>5</v>
      </c>
      <c r="W17" s="258">
        <v>8116040</v>
      </c>
      <c r="X17" s="258">
        <v>1</v>
      </c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587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587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3206594</v>
      </c>
      <c r="BQ17" s="263"/>
      <c r="BR17" s="263"/>
      <c r="BS17" s="256" t="s">
        <v>500</v>
      </c>
      <c r="BT17" s="266" t="s">
        <v>623</v>
      </c>
      <c r="BU17" s="266" t="s">
        <v>624</v>
      </c>
      <c r="BV17" s="266" t="s">
        <v>625</v>
      </c>
      <c r="BW17" s="266" t="s">
        <v>626</v>
      </c>
      <c r="BX17" s="266" t="s">
        <v>627</v>
      </c>
      <c r="BY17" s="266" t="s">
        <v>628</v>
      </c>
      <c r="BZ17" s="266" t="s">
        <v>629</v>
      </c>
      <c r="CA17" s="266" t="s">
        <v>630</v>
      </c>
      <c r="CB17" s="266" t="s">
        <v>631</v>
      </c>
      <c r="CC17" s="358" t="s">
        <v>528</v>
      </c>
      <c r="CD17" s="357" t="s">
        <v>637</v>
      </c>
      <c r="CE17" s="357" t="s">
        <v>639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661</v>
      </c>
      <c r="CT17" s="275">
        <v>23</v>
      </c>
      <c r="CU17" s="275" t="s">
        <v>656</v>
      </c>
      <c r="CV17" s="275">
        <v>120730088780.73001</v>
      </c>
      <c r="CW17" s="275">
        <v>109548936781</v>
      </c>
      <c r="CX17" s="275">
        <v>1143</v>
      </c>
      <c r="CY17" s="275">
        <v>154847864396.92014</v>
      </c>
      <c r="CZ17" s="275">
        <v>144791401871</v>
      </c>
      <c r="DA17" s="275">
        <v>609</v>
      </c>
      <c r="DB17" s="275">
        <v>34117775616.190002</v>
      </c>
      <c r="DC17" s="275">
        <v>35242465090</v>
      </c>
      <c r="DD17" s="275">
        <v>534</v>
      </c>
    </row>
    <row r="18" spans="1:108" x14ac:dyDescent="0.25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447</v>
      </c>
      <c r="T18" s="258">
        <v>0</v>
      </c>
      <c r="U18" s="258">
        <v>0</v>
      </c>
      <c r="V18" s="258">
        <v>0</v>
      </c>
      <c r="W18" s="258">
        <v>1797298</v>
      </c>
      <c r="X18" s="258">
        <v>0</v>
      </c>
      <c r="Y18" s="245"/>
      <c r="Z18" s="253" t="s">
        <v>588</v>
      </c>
      <c r="AA18" s="253">
        <v>67705600.002000004</v>
      </c>
      <c r="AB18" s="253">
        <v>509</v>
      </c>
      <c r="AC18" s="253">
        <v>19</v>
      </c>
      <c r="AD18" s="253">
        <v>2603</v>
      </c>
      <c r="AE18" s="253">
        <v>1</v>
      </c>
      <c r="AF18" s="253"/>
      <c r="AG18" s="253" t="s">
        <v>588</v>
      </c>
      <c r="AH18" s="253">
        <v>2253360.0060000001</v>
      </c>
      <c r="AI18" s="253">
        <v>18</v>
      </c>
      <c r="AJ18" s="253">
        <v>1</v>
      </c>
      <c r="AK18" s="253">
        <v>99</v>
      </c>
      <c r="AL18" s="253">
        <v>1</v>
      </c>
      <c r="AM18" s="245"/>
      <c r="AN18" s="253" t="s">
        <v>588</v>
      </c>
      <c r="AO18" s="253">
        <v>9804030.0050000008</v>
      </c>
      <c r="AP18" s="253">
        <v>75</v>
      </c>
      <c r="AQ18" s="253">
        <v>4</v>
      </c>
      <c r="AR18" s="253">
        <v>3976</v>
      </c>
      <c r="AS18" s="253">
        <v>1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160</v>
      </c>
      <c r="AZ18" s="253">
        <v>1</v>
      </c>
      <c r="BA18" s="245"/>
      <c r="BB18" s="253" t="s">
        <v>588</v>
      </c>
      <c r="BC18" s="253">
        <v>0</v>
      </c>
      <c r="BD18" s="253">
        <v>0</v>
      </c>
      <c r="BE18" s="253">
        <v>0</v>
      </c>
      <c r="BF18" s="253">
        <v>6720</v>
      </c>
      <c r="BG18" s="253">
        <v>1</v>
      </c>
      <c r="BH18" s="247" t="s">
        <v>588</v>
      </c>
      <c r="BI18" s="253">
        <v>0</v>
      </c>
      <c r="BJ18" s="253">
        <v>0</v>
      </c>
      <c r="BK18" s="253">
        <v>0</v>
      </c>
      <c r="BL18" s="253">
        <v>320</v>
      </c>
      <c r="BM18" s="253">
        <v>1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59</v>
      </c>
      <c r="BV18" s="265">
        <v>0</v>
      </c>
      <c r="BW18" s="265">
        <v>1</v>
      </c>
      <c r="BX18" s="265">
        <v>0</v>
      </c>
      <c r="BY18" s="265">
        <v>0</v>
      </c>
      <c r="BZ18" s="265">
        <v>58</v>
      </c>
      <c r="CA18" s="265">
        <v>41</v>
      </c>
      <c r="CB18" s="265">
        <v>18</v>
      </c>
      <c r="CC18" s="355"/>
      <c r="CD18" s="359">
        <v>15262150194722.332</v>
      </c>
      <c r="CE18" s="360">
        <v>34759936180.607727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661</v>
      </c>
      <c r="CT18" s="275">
        <v>65</v>
      </c>
      <c r="CU18" s="275" t="s">
        <v>657</v>
      </c>
      <c r="CV18" s="275">
        <v>-5903735750.6100006</v>
      </c>
      <c r="CW18" s="275">
        <v>-6082244116</v>
      </c>
      <c r="CX18" s="275">
        <v>829</v>
      </c>
      <c r="CY18" s="275">
        <v>14092216881.309999</v>
      </c>
      <c r="CZ18" s="275">
        <v>13684472892</v>
      </c>
      <c r="DA18" s="275">
        <v>432</v>
      </c>
      <c r="DB18" s="275">
        <v>19995952631.920006</v>
      </c>
      <c r="DC18" s="275">
        <v>19766717008</v>
      </c>
      <c r="DD18" s="275">
        <v>397</v>
      </c>
    </row>
    <row r="19" spans="1:108" x14ac:dyDescent="0.25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451</v>
      </c>
      <c r="T19" s="258">
        <v>0</v>
      </c>
      <c r="U19" s="258">
        <v>0</v>
      </c>
      <c r="V19" s="258">
        <v>0</v>
      </c>
      <c r="W19" s="258">
        <v>213084</v>
      </c>
      <c r="X19" s="258">
        <v>0</v>
      </c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589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589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589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589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632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661</v>
      </c>
      <c r="CT19" s="275">
        <v>78</v>
      </c>
      <c r="CU19" s="275" t="s">
        <v>658</v>
      </c>
      <c r="CV19" s="275">
        <v>-470108108.89999366</v>
      </c>
      <c r="CW19" s="275">
        <v>-783296712</v>
      </c>
      <c r="CX19" s="275">
        <v>3586</v>
      </c>
      <c r="CY19" s="275">
        <v>115697542206.38991</v>
      </c>
      <c r="CZ19" s="275">
        <v>111734346554</v>
      </c>
      <c r="DA19" s="275">
        <v>1840</v>
      </c>
      <c r="DB19" s="275">
        <v>116167650315.29001</v>
      </c>
      <c r="DC19" s="275">
        <v>112517643266</v>
      </c>
      <c r="DD19" s="275">
        <v>1746</v>
      </c>
    </row>
    <row r="20" spans="1:108" x14ac:dyDescent="0.25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251825773485.005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448</v>
      </c>
      <c r="T20" s="258">
        <v>0</v>
      </c>
      <c r="U20" s="258">
        <v>0</v>
      </c>
      <c r="V20" s="258">
        <v>0</v>
      </c>
      <c r="W20" s="258">
        <v>0</v>
      </c>
      <c r="X20" s="258">
        <v>0</v>
      </c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590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590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590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281811426723.90997</v>
      </c>
      <c r="BQ20" s="263">
        <v>2517737</v>
      </c>
      <c r="BR20" s="263">
        <v>2086</v>
      </c>
      <c r="BS20" s="245"/>
      <c r="BT20" s="265" t="s">
        <v>633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637</v>
      </c>
      <c r="CE20" s="357" t="s">
        <v>639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661</v>
      </c>
      <c r="CT20" s="275">
        <v>8</v>
      </c>
      <c r="CU20" s="275" t="s">
        <v>659</v>
      </c>
      <c r="CV20" s="275">
        <v>-1144223426.3999996</v>
      </c>
      <c r="CW20" s="275">
        <v>-1025043000</v>
      </c>
      <c r="CX20" s="275">
        <v>43</v>
      </c>
      <c r="CY20" s="275">
        <v>637143783.39999998</v>
      </c>
      <c r="CZ20" s="275">
        <v>601700000</v>
      </c>
      <c r="DA20" s="275">
        <v>23</v>
      </c>
      <c r="DB20" s="275">
        <v>1781367209.8000002</v>
      </c>
      <c r="DC20" s="275">
        <v>1626743000</v>
      </c>
      <c r="DD20" s="275">
        <v>20</v>
      </c>
    </row>
    <row r="21" spans="1:108" x14ac:dyDescent="0.25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262882667315.11002</v>
      </c>
      <c r="O21" s="239"/>
      <c r="P21" s="239"/>
      <c r="Q21" s="239"/>
      <c r="S21" s="253" t="s">
        <v>446</v>
      </c>
      <c r="T21" s="258">
        <v>1976904</v>
      </c>
      <c r="U21" s="258">
        <v>1244</v>
      </c>
      <c r="V21" s="258">
        <v>27</v>
      </c>
      <c r="W21" s="258">
        <v>1000234</v>
      </c>
      <c r="X21" s="258">
        <v>0</v>
      </c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591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591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591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591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634</v>
      </c>
      <c r="BU21" s="265">
        <v>323</v>
      </c>
      <c r="BV21" s="265">
        <v>0</v>
      </c>
      <c r="BW21" s="265">
        <v>1</v>
      </c>
      <c r="BX21" s="265">
        <v>0</v>
      </c>
      <c r="BY21" s="265">
        <v>0</v>
      </c>
      <c r="BZ21" s="265">
        <v>322</v>
      </c>
      <c r="CA21" s="265">
        <v>265</v>
      </c>
      <c r="CB21" s="265">
        <v>58</v>
      </c>
      <c r="CC21" s="355"/>
      <c r="CD21" s="359">
        <v>3659071279315186.5</v>
      </c>
      <c r="CE21" s="360">
        <v>5536581141647.6621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5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273466057468.785</v>
      </c>
      <c r="O22" s="239"/>
      <c r="P22" s="239"/>
      <c r="Q22" s="239"/>
      <c r="S22" s="253" t="s">
        <v>571</v>
      </c>
      <c r="T22" s="258">
        <v>0</v>
      </c>
      <c r="U22" s="258">
        <v>0</v>
      </c>
      <c r="V22" s="258">
        <v>0</v>
      </c>
      <c r="W22" s="258">
        <v>0</v>
      </c>
      <c r="X22" s="258">
        <v>1</v>
      </c>
      <c r="Y22" s="245"/>
      <c r="Z22" s="253" t="s">
        <v>592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592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592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635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5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241242383331.32999</v>
      </c>
      <c r="N23" s="163" t="s">
        <v>445</v>
      </c>
      <c r="O23" s="242" t="s">
        <v>226</v>
      </c>
      <c r="P23" s="242" t="s">
        <v>546</v>
      </c>
      <c r="Q23" s="239"/>
      <c r="S23" s="253" t="s">
        <v>447</v>
      </c>
      <c r="T23" s="258">
        <v>179192989.5</v>
      </c>
      <c r="U23" s="258">
        <v>28709</v>
      </c>
      <c r="V23" s="258">
        <v>327</v>
      </c>
      <c r="W23" s="258">
        <v>858189</v>
      </c>
      <c r="X23" s="258">
        <v>1</v>
      </c>
      <c r="Y23" s="245"/>
      <c r="Z23" s="253" t="s">
        <v>593</v>
      </c>
      <c r="AA23" s="253">
        <v>15468385.550000001</v>
      </c>
      <c r="AB23" s="253">
        <v>1947</v>
      </c>
      <c r="AC23" s="253">
        <v>260</v>
      </c>
      <c r="AD23" s="253">
        <v>85686</v>
      </c>
      <c r="AE23" s="253">
        <v>0</v>
      </c>
      <c r="AF23" s="253"/>
      <c r="AG23" s="253" t="s">
        <v>593</v>
      </c>
      <c r="AH23" s="253">
        <v>2800</v>
      </c>
      <c r="AI23" s="253">
        <v>1</v>
      </c>
      <c r="AJ23" s="253">
        <v>1</v>
      </c>
      <c r="AK23" s="253">
        <v>4247</v>
      </c>
      <c r="AL23" s="253">
        <v>0</v>
      </c>
      <c r="AM23" s="245"/>
      <c r="AN23" s="253" t="s">
        <v>593</v>
      </c>
      <c r="AO23" s="253">
        <v>27622278.399999999</v>
      </c>
      <c r="AP23" s="253">
        <v>2694</v>
      </c>
      <c r="AQ23" s="253">
        <v>97</v>
      </c>
      <c r="AR23" s="253">
        <v>63890</v>
      </c>
      <c r="AS23" s="253">
        <v>0</v>
      </c>
      <c r="AT23" s="245"/>
      <c r="AU23" s="253" t="s">
        <v>593</v>
      </c>
      <c r="AV23" s="253">
        <v>29800</v>
      </c>
      <c r="AW23" s="253">
        <v>4</v>
      </c>
      <c r="AX23" s="253">
        <v>4</v>
      </c>
      <c r="AY23" s="253">
        <v>3289</v>
      </c>
      <c r="AZ23" s="253">
        <v>0</v>
      </c>
      <c r="BA23" s="245"/>
      <c r="BB23" s="253" t="s">
        <v>593</v>
      </c>
      <c r="BC23" s="253">
        <v>40708327.759999998</v>
      </c>
      <c r="BD23" s="253">
        <v>2524</v>
      </c>
      <c r="BE23" s="253">
        <v>172</v>
      </c>
      <c r="BF23" s="253">
        <v>44522</v>
      </c>
      <c r="BG23" s="253">
        <v>0</v>
      </c>
      <c r="BH23" s="247" t="s">
        <v>593</v>
      </c>
      <c r="BI23" s="253">
        <v>6086555.7199999997</v>
      </c>
      <c r="BJ23" s="253">
        <v>326</v>
      </c>
      <c r="BK23" s="253">
        <v>17</v>
      </c>
      <c r="BL23" s="253">
        <v>2566</v>
      </c>
      <c r="BM23" s="253">
        <v>0</v>
      </c>
      <c r="BN23" s="253"/>
      <c r="BO23" s="247"/>
      <c r="BP23" s="263">
        <v>6370872761</v>
      </c>
      <c r="BQ23" s="263">
        <v>60405</v>
      </c>
      <c r="BR23" s="263">
        <v>99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5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11654.098869040001</v>
      </c>
      <c r="I24" s="164"/>
      <c r="K24" s="231"/>
      <c r="L24" s="228"/>
      <c r="M24" s="228"/>
      <c r="O24" s="241" t="s">
        <v>271</v>
      </c>
      <c r="P24" s="241">
        <v>11380.628062850001</v>
      </c>
      <c r="Q24" s="239"/>
      <c r="S24" s="253" t="s">
        <v>182</v>
      </c>
      <c r="T24" s="258">
        <v>11819800.625</v>
      </c>
      <c r="U24" s="258">
        <v>152307</v>
      </c>
      <c r="V24" s="258">
        <v>63</v>
      </c>
      <c r="W24" s="258">
        <v>1130173</v>
      </c>
      <c r="X24" s="258">
        <v>1</v>
      </c>
      <c r="Y24" s="245"/>
      <c r="Z24" s="253" t="s">
        <v>594</v>
      </c>
      <c r="AA24" s="253">
        <v>4735883.0999999996</v>
      </c>
      <c r="AB24" s="253">
        <v>982</v>
      </c>
      <c r="AC24" s="253">
        <v>55</v>
      </c>
      <c r="AD24" s="253">
        <v>13780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667</v>
      </c>
      <c r="AL24" s="253">
        <v>0</v>
      </c>
      <c r="AM24" s="245"/>
      <c r="AN24" s="253" t="s">
        <v>594</v>
      </c>
      <c r="AO24" s="253">
        <v>4281606</v>
      </c>
      <c r="AP24" s="253">
        <v>632</v>
      </c>
      <c r="AQ24" s="253">
        <v>30</v>
      </c>
      <c r="AR24" s="253">
        <v>8316</v>
      </c>
      <c r="AS24" s="253">
        <v>0</v>
      </c>
      <c r="AT24" s="245"/>
      <c r="AU24" s="253" t="s">
        <v>594</v>
      </c>
      <c r="AV24" s="253">
        <v>0</v>
      </c>
      <c r="AW24" s="253">
        <v>0</v>
      </c>
      <c r="AX24" s="253">
        <v>0</v>
      </c>
      <c r="AY24" s="253">
        <v>571</v>
      </c>
      <c r="AZ24" s="253">
        <v>0</v>
      </c>
      <c r="BA24" s="245"/>
      <c r="BB24" s="253" t="s">
        <v>594</v>
      </c>
      <c r="BC24" s="253">
        <v>373470</v>
      </c>
      <c r="BD24" s="253">
        <v>72</v>
      </c>
      <c r="BE24" s="253">
        <v>5</v>
      </c>
      <c r="BF24" s="253">
        <v>3932</v>
      </c>
      <c r="BG24" s="253">
        <v>0</v>
      </c>
      <c r="BH24" s="247" t="s">
        <v>594</v>
      </c>
      <c r="BI24" s="253">
        <v>0</v>
      </c>
      <c r="BJ24" s="253">
        <v>0</v>
      </c>
      <c r="BK24" s="253">
        <v>0</v>
      </c>
      <c r="BL24" s="253">
        <v>196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5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11719.505352030001</v>
      </c>
      <c r="I25" s="164"/>
      <c r="K25" s="231"/>
      <c r="L25" s="228"/>
      <c r="M25" s="228"/>
      <c r="O25" s="241" t="s">
        <v>272</v>
      </c>
      <c r="P25" s="241">
        <v>11735.7209998</v>
      </c>
      <c r="Q25" s="239"/>
      <c r="S25" s="253" t="s">
        <v>570</v>
      </c>
      <c r="T25" s="258">
        <v>0</v>
      </c>
      <c r="U25" s="258">
        <v>0</v>
      </c>
      <c r="V25" s="258">
        <v>0</v>
      </c>
      <c r="W25" s="258">
        <v>0</v>
      </c>
      <c r="X25" s="258">
        <v>1</v>
      </c>
      <c r="Y25" s="245"/>
      <c r="Z25" s="253" t="s">
        <v>595</v>
      </c>
      <c r="AA25" s="253">
        <v>19487187070.319988</v>
      </c>
      <c r="AB25" s="253">
        <v>96486</v>
      </c>
      <c r="AC25" s="253">
        <v>22205</v>
      </c>
      <c r="AD25" s="253">
        <v>808367</v>
      </c>
      <c r="AE25" s="253">
        <v>1</v>
      </c>
      <c r="AF25" s="253"/>
      <c r="AG25" s="253" t="s">
        <v>595</v>
      </c>
      <c r="AH25" s="253">
        <v>834211729.44000006</v>
      </c>
      <c r="AI25" s="253">
        <v>4322</v>
      </c>
      <c r="AJ25" s="253">
        <v>855</v>
      </c>
      <c r="AK25" s="253">
        <v>36716</v>
      </c>
      <c r="AL25" s="253">
        <v>1</v>
      </c>
      <c r="AM25" s="245"/>
      <c r="AN25" s="253" t="s">
        <v>595</v>
      </c>
      <c r="AO25" s="253">
        <v>12681793753.889999</v>
      </c>
      <c r="AP25" s="253">
        <v>65887</v>
      </c>
      <c r="AQ25" s="253">
        <v>10275</v>
      </c>
      <c r="AR25" s="253">
        <v>725749</v>
      </c>
      <c r="AS25" s="253">
        <v>1</v>
      </c>
      <c r="AT25" s="245"/>
      <c r="AU25" s="253" t="s">
        <v>595</v>
      </c>
      <c r="AV25" s="253">
        <v>197062663.50999999</v>
      </c>
      <c r="AW25" s="253">
        <v>1006</v>
      </c>
      <c r="AX25" s="253">
        <v>326</v>
      </c>
      <c r="AY25" s="253">
        <v>38073</v>
      </c>
      <c r="AZ25" s="253">
        <v>1</v>
      </c>
      <c r="BA25" s="245"/>
      <c r="BB25" s="253" t="s">
        <v>595</v>
      </c>
      <c r="BC25" s="253">
        <v>20169065845.919991</v>
      </c>
      <c r="BD25" s="253">
        <v>70250</v>
      </c>
      <c r="BE25" s="253">
        <v>13753</v>
      </c>
      <c r="BF25" s="253">
        <v>385637</v>
      </c>
      <c r="BG25" s="253">
        <v>1</v>
      </c>
      <c r="BH25" s="247" t="s">
        <v>595</v>
      </c>
      <c r="BI25" s="253">
        <v>1127607108.8800001</v>
      </c>
      <c r="BJ25" s="253">
        <v>4517</v>
      </c>
      <c r="BK25" s="253">
        <v>852</v>
      </c>
      <c r="BL25" s="253">
        <v>18983</v>
      </c>
      <c r="BM25" s="253">
        <v>1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5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21900.31614223</v>
      </c>
      <c r="I26" s="164"/>
      <c r="J26" s="157"/>
      <c r="K26" s="232"/>
      <c r="L26" s="228"/>
      <c r="M26" s="228"/>
      <c r="O26" s="241" t="s">
        <v>273</v>
      </c>
      <c r="P26" s="241">
        <v>21938.58743489</v>
      </c>
      <c r="Q26" s="239"/>
      <c r="S26" s="253" t="s">
        <v>449</v>
      </c>
      <c r="T26" s="258">
        <v>0</v>
      </c>
      <c r="U26" s="258">
        <v>0</v>
      </c>
      <c r="V26" s="258">
        <v>0</v>
      </c>
      <c r="W26" s="258">
        <v>0</v>
      </c>
      <c r="X26" s="258">
        <v>0</v>
      </c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596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596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1378397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5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3090.2337542800001</v>
      </c>
      <c r="I27" s="164"/>
      <c r="J27" s="157"/>
      <c r="K27" s="231"/>
      <c r="L27" s="228"/>
      <c r="M27" s="228"/>
      <c r="O27" s="241" t="s">
        <v>274</v>
      </c>
      <c r="P27" s="241">
        <v>3002.3296499799999</v>
      </c>
      <c r="Q27" s="239"/>
      <c r="S27" s="253" t="s">
        <v>446</v>
      </c>
      <c r="T27" s="258">
        <v>13805287899.689899</v>
      </c>
      <c r="U27" s="258">
        <v>39436</v>
      </c>
      <c r="V27" s="258">
        <v>12065</v>
      </c>
      <c r="W27" s="258">
        <v>560071</v>
      </c>
      <c r="X27" s="258">
        <v>1</v>
      </c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598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598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642</v>
      </c>
      <c r="CT27" s="275" t="s">
        <v>643</v>
      </c>
      <c r="CU27" s="275" t="s">
        <v>644</v>
      </c>
      <c r="CV27" s="275" t="s">
        <v>645</v>
      </c>
      <c r="CW27" s="275" t="s">
        <v>646</v>
      </c>
      <c r="CX27" s="275" t="s">
        <v>647</v>
      </c>
      <c r="CY27" s="275" t="s">
        <v>648</v>
      </c>
      <c r="CZ27" s="275" t="s">
        <v>649</v>
      </c>
      <c r="DA27" s="275" t="s">
        <v>650</v>
      </c>
      <c r="DB27" s="275" t="s">
        <v>651</v>
      </c>
      <c r="DC27" s="275" t="s">
        <v>652</v>
      </c>
      <c r="DD27" s="275" t="s">
        <v>653</v>
      </c>
    </row>
    <row r="28" spans="1:108" ht="14.4" x14ac:dyDescent="0.3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3194.0489930899998</v>
      </c>
      <c r="I28" s="164"/>
      <c r="J28" s="157"/>
      <c r="K28" s="231"/>
      <c r="L28" s="233"/>
      <c r="M28" s="236"/>
      <c r="O28" s="241" t="s">
        <v>275</v>
      </c>
      <c r="P28" s="241">
        <v>3142.89293808</v>
      </c>
      <c r="Q28" s="239"/>
      <c r="S28" s="245" t="s">
        <v>451</v>
      </c>
      <c r="T28" s="245">
        <v>35682378.079999998</v>
      </c>
      <c r="U28" s="245">
        <v>1122</v>
      </c>
      <c r="V28" s="245">
        <v>6</v>
      </c>
      <c r="W28" s="245">
        <v>415534</v>
      </c>
      <c r="X28" s="245">
        <v>1</v>
      </c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599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599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21</v>
      </c>
      <c r="CU28" s="275" t="s">
        <v>654</v>
      </c>
      <c r="CV28" s="275">
        <v>0</v>
      </c>
      <c r="CW28" s="275">
        <v>2146076776</v>
      </c>
      <c r="CX28" s="275">
        <v>237</v>
      </c>
      <c r="CY28" s="275">
        <v>0</v>
      </c>
      <c r="CZ28" s="275">
        <v>10513790526</v>
      </c>
      <c r="DA28" s="275">
        <v>133</v>
      </c>
      <c r="DB28" s="275">
        <v>0</v>
      </c>
      <c r="DC28" s="275">
        <v>8367713750</v>
      </c>
      <c r="DD28" s="275">
        <v>104</v>
      </c>
    </row>
    <row r="29" spans="1:108" x14ac:dyDescent="0.25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3534.0939974600001</v>
      </c>
      <c r="I29" s="164"/>
      <c r="J29" s="157"/>
      <c r="K29" s="231"/>
      <c r="L29" s="228"/>
      <c r="M29" s="228"/>
      <c r="O29" s="241" t="s">
        <v>93</v>
      </c>
      <c r="P29" s="241">
        <v>3467.52145204</v>
      </c>
      <c r="Q29" s="239"/>
      <c r="S29" s="245" t="s">
        <v>450</v>
      </c>
      <c r="T29" s="245">
        <v>0</v>
      </c>
      <c r="U29" s="245">
        <v>498</v>
      </c>
      <c r="V29" s="245">
        <v>6</v>
      </c>
      <c r="W29" s="245">
        <v>7988422</v>
      </c>
      <c r="X29" s="245">
        <v>1</v>
      </c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600</v>
      </c>
      <c r="BC29" s="253">
        <v>15528900</v>
      </c>
      <c r="BD29" s="253">
        <v>49</v>
      </c>
      <c r="BE29" s="253">
        <v>23</v>
      </c>
      <c r="BF29" s="253">
        <v>233</v>
      </c>
      <c r="BG29" s="253">
        <v>1</v>
      </c>
      <c r="BH29" s="247" t="s">
        <v>600</v>
      </c>
      <c r="BI29" s="253">
        <v>0</v>
      </c>
      <c r="BJ29" s="253">
        <v>0</v>
      </c>
      <c r="BK29" s="253">
        <v>0</v>
      </c>
      <c r="BL29" s="253">
        <v>21</v>
      </c>
      <c r="BM29" s="253">
        <v>1</v>
      </c>
      <c r="BN29" s="253"/>
      <c r="BO29" s="247"/>
      <c r="BP29" s="263">
        <v>153746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1</v>
      </c>
      <c r="CU29" s="275" t="s">
        <v>662</v>
      </c>
      <c r="CV29" s="275">
        <v>124313.24</v>
      </c>
      <c r="CW29" s="275">
        <v>110000</v>
      </c>
      <c r="CX29" s="275">
        <v>1</v>
      </c>
      <c r="CY29" s="275">
        <v>124313.24</v>
      </c>
      <c r="CZ29" s="275">
        <v>110000</v>
      </c>
      <c r="DA29" s="275">
        <v>1</v>
      </c>
      <c r="DB29" s="275">
        <v>0</v>
      </c>
      <c r="DC29" s="275">
        <v>0</v>
      </c>
      <c r="DD29" s="275">
        <v>0</v>
      </c>
    </row>
    <row r="30" spans="1:108" x14ac:dyDescent="0.25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1245.08332258</v>
      </c>
      <c r="I30" s="164"/>
      <c r="J30" s="157"/>
      <c r="K30" s="231"/>
      <c r="L30" s="228"/>
      <c r="M30" s="228"/>
      <c r="O30" s="241" t="s">
        <v>63</v>
      </c>
      <c r="P30" s="241">
        <v>1303.58922938</v>
      </c>
      <c r="Q30" s="239"/>
      <c r="R30" s="153" t="s">
        <v>454</v>
      </c>
      <c r="S30" s="254" t="s">
        <v>564</v>
      </c>
      <c r="T30" s="257" t="s">
        <v>565</v>
      </c>
      <c r="U30" s="257" t="s">
        <v>566</v>
      </c>
      <c r="V30" s="257" t="s">
        <v>567</v>
      </c>
      <c r="W30" s="257" t="s">
        <v>568</v>
      </c>
      <c r="X30" s="257" t="s">
        <v>569</v>
      </c>
      <c r="Y30" s="245"/>
      <c r="Z30" s="253" t="s">
        <v>600</v>
      </c>
      <c r="AA30" s="253">
        <v>7417600</v>
      </c>
      <c r="AB30" s="253">
        <v>22</v>
      </c>
      <c r="AC30" s="253">
        <v>4</v>
      </c>
      <c r="AD30" s="253">
        <v>289</v>
      </c>
      <c r="AE30" s="253">
        <v>1</v>
      </c>
      <c r="AF30" s="253"/>
      <c r="AG30" s="253" t="s">
        <v>600</v>
      </c>
      <c r="AH30" s="253">
        <v>1490000</v>
      </c>
      <c r="AI30" s="253">
        <v>5</v>
      </c>
      <c r="AJ30" s="253">
        <v>1</v>
      </c>
      <c r="AK30" s="253">
        <v>23</v>
      </c>
      <c r="AL30" s="253">
        <v>1</v>
      </c>
      <c r="AM30" s="245"/>
      <c r="AN30" s="253" t="s">
        <v>600</v>
      </c>
      <c r="AO30" s="253">
        <v>834000</v>
      </c>
      <c r="AP30" s="253">
        <v>3</v>
      </c>
      <c r="AQ30" s="253">
        <v>1</v>
      </c>
      <c r="AR30" s="253">
        <v>175</v>
      </c>
      <c r="AS30" s="253">
        <v>1</v>
      </c>
      <c r="AT30" s="245"/>
      <c r="AU30" s="253" t="s">
        <v>600</v>
      </c>
      <c r="AV30" s="253">
        <v>0</v>
      </c>
      <c r="AW30" s="253">
        <v>0</v>
      </c>
      <c r="AX30" s="253">
        <v>0</v>
      </c>
      <c r="AY30" s="253">
        <v>9</v>
      </c>
      <c r="AZ30" s="253">
        <v>1</v>
      </c>
      <c r="BA30" s="245"/>
      <c r="BB30" s="253" t="s">
        <v>601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601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21</v>
      </c>
      <c r="CU30" s="275" t="s">
        <v>655</v>
      </c>
      <c r="CV30" s="275">
        <v>8893445755.0799961</v>
      </c>
      <c r="CW30" s="275">
        <v>8888289000</v>
      </c>
      <c r="CX30" s="275">
        <v>520</v>
      </c>
      <c r="CY30" s="275">
        <v>25193924369.619991</v>
      </c>
      <c r="CZ30" s="275">
        <v>25413300000</v>
      </c>
      <c r="DA30" s="275">
        <v>366</v>
      </c>
      <c r="DB30" s="275">
        <v>16300478614.540001</v>
      </c>
      <c r="DC30" s="275">
        <v>16525011000</v>
      </c>
      <c r="DD30" s="275">
        <v>154</v>
      </c>
    </row>
    <row r="31" spans="1:108" x14ac:dyDescent="0.25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18091.619427149999</v>
      </c>
      <c r="I31" s="164"/>
      <c r="J31" s="158"/>
      <c r="K31" s="229"/>
      <c r="L31" s="228"/>
      <c r="M31" s="228"/>
      <c r="O31" s="241" t="s">
        <v>276</v>
      </c>
      <c r="P31" s="241">
        <v>20542.856242829999</v>
      </c>
      <c r="Q31" s="239"/>
      <c r="R31" s="157"/>
      <c r="S31" s="253" t="s">
        <v>449</v>
      </c>
      <c r="T31" s="258">
        <v>4828825435.4659996</v>
      </c>
      <c r="U31" s="258">
        <v>19205089</v>
      </c>
      <c r="V31" s="258">
        <v>566</v>
      </c>
      <c r="W31" s="258">
        <v>8150872</v>
      </c>
      <c r="X31" s="258">
        <v>1</v>
      </c>
      <c r="Y31" s="245"/>
      <c r="Z31" s="253" t="s">
        <v>601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601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601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585</v>
      </c>
      <c r="BC31" s="253">
        <v>0</v>
      </c>
      <c r="BD31" s="253">
        <v>0</v>
      </c>
      <c r="BE31" s="253">
        <v>0</v>
      </c>
      <c r="BF31" s="253">
        <v>0</v>
      </c>
      <c r="BG31" s="253">
        <v>1</v>
      </c>
      <c r="BH31" s="247" t="s">
        <v>585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21</v>
      </c>
      <c r="CU31" s="275" t="s">
        <v>656</v>
      </c>
      <c r="CV31" s="275">
        <v>-10062137710.669996</v>
      </c>
      <c r="CW31" s="275">
        <v>-10017289000</v>
      </c>
      <c r="CX31" s="275">
        <v>513</v>
      </c>
      <c r="CY31" s="275">
        <v>14923470474.01</v>
      </c>
      <c r="CZ31" s="275">
        <v>15174011000</v>
      </c>
      <c r="DA31" s="275">
        <v>149</v>
      </c>
      <c r="DB31" s="275">
        <v>24985608184.679989</v>
      </c>
      <c r="DC31" s="275">
        <v>25191300000</v>
      </c>
      <c r="DD31" s="275">
        <v>364</v>
      </c>
    </row>
    <row r="32" spans="1:108" x14ac:dyDescent="0.25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20.17474983</v>
      </c>
      <c r="I32" s="164"/>
      <c r="J32" s="157"/>
      <c r="K32" s="229"/>
      <c r="L32" s="228"/>
      <c r="M32" s="228"/>
      <c r="O32" s="241" t="s">
        <v>106</v>
      </c>
      <c r="P32" s="241">
        <v>19.50898544</v>
      </c>
      <c r="Q32" s="239"/>
      <c r="R32" s="157"/>
      <c r="S32" s="253" t="s">
        <v>447</v>
      </c>
      <c r="T32" s="258">
        <v>513040767.54000002</v>
      </c>
      <c r="U32" s="258">
        <v>409037</v>
      </c>
      <c r="V32" s="258">
        <v>479</v>
      </c>
      <c r="W32" s="258">
        <v>1288741</v>
      </c>
      <c r="X32" s="258">
        <v>0</v>
      </c>
      <c r="Y32" s="245"/>
      <c r="Z32" s="253" t="s">
        <v>585</v>
      </c>
      <c r="AA32" s="253">
        <v>0</v>
      </c>
      <c r="AB32" s="253">
        <v>0</v>
      </c>
      <c r="AC32" s="253">
        <v>0</v>
      </c>
      <c r="AD32" s="253">
        <v>0</v>
      </c>
      <c r="AE32" s="253">
        <v>1</v>
      </c>
      <c r="AF32" s="253"/>
      <c r="AG32" s="253" t="s">
        <v>585</v>
      </c>
      <c r="AH32" s="253">
        <v>0</v>
      </c>
      <c r="AI32" s="253">
        <v>0</v>
      </c>
      <c r="AJ32" s="253">
        <v>0</v>
      </c>
      <c r="AK32" s="253">
        <v>0</v>
      </c>
      <c r="AL32" s="253">
        <v>1</v>
      </c>
      <c r="AM32" s="245"/>
      <c r="AN32" s="253" t="s">
        <v>585</v>
      </c>
      <c r="AO32" s="253">
        <v>0</v>
      </c>
      <c r="AP32" s="253">
        <v>0</v>
      </c>
      <c r="AQ32" s="253">
        <v>0</v>
      </c>
      <c r="AR32" s="253">
        <v>0</v>
      </c>
      <c r="AS32" s="253">
        <v>1</v>
      </c>
      <c r="AT32" s="245"/>
      <c r="AU32" s="253" t="s">
        <v>585</v>
      </c>
      <c r="AV32" s="253">
        <v>0</v>
      </c>
      <c r="AW32" s="253">
        <v>0</v>
      </c>
      <c r="AX32" s="253">
        <v>0</v>
      </c>
      <c r="AY32" s="253">
        <v>0</v>
      </c>
      <c r="AZ32" s="253">
        <v>1</v>
      </c>
      <c r="BA32" s="245"/>
      <c r="BB32" s="253" t="s">
        <v>602</v>
      </c>
      <c r="BC32" s="253">
        <v>489400</v>
      </c>
      <c r="BD32" s="253">
        <v>12</v>
      </c>
      <c r="BE32" s="253">
        <v>6</v>
      </c>
      <c r="BF32" s="253">
        <v>553</v>
      </c>
      <c r="BG32" s="253">
        <v>1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30</v>
      </c>
      <c r="BM32" s="253">
        <v>1</v>
      </c>
      <c r="BN32" s="253"/>
      <c r="BO32" s="245"/>
      <c r="BP32" s="263">
        <v>281811426723.90997</v>
      </c>
      <c r="BQ32" s="263">
        <v>2517737</v>
      </c>
      <c r="BR32" s="263">
        <v>2086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66</v>
      </c>
      <c r="CU32" s="275" t="s">
        <v>657</v>
      </c>
      <c r="CV32" s="275">
        <v>-6357691582.5499983</v>
      </c>
      <c r="CW32" s="275">
        <v>-6101753135</v>
      </c>
      <c r="CX32" s="275">
        <v>526</v>
      </c>
      <c r="CY32" s="275">
        <v>6331809280.4799976</v>
      </c>
      <c r="CZ32" s="275">
        <v>6200229125</v>
      </c>
      <c r="DA32" s="275">
        <v>282</v>
      </c>
      <c r="DB32" s="275">
        <v>12689500863.030003</v>
      </c>
      <c r="DC32" s="275">
        <v>12301982260</v>
      </c>
      <c r="DD32" s="275">
        <v>244</v>
      </c>
    </row>
    <row r="33" spans="1:108" x14ac:dyDescent="0.25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8957.0313316100001</v>
      </c>
      <c r="I33" s="164"/>
      <c r="J33" s="157"/>
      <c r="K33" s="228"/>
      <c r="L33" s="228"/>
      <c r="M33" s="228"/>
      <c r="O33" s="241" t="s">
        <v>108</v>
      </c>
      <c r="P33" s="241">
        <v>8333.4415291400001</v>
      </c>
      <c r="Q33" s="239"/>
      <c r="R33" s="157"/>
      <c r="S33" s="253" t="s">
        <v>451</v>
      </c>
      <c r="T33" s="258">
        <v>201107308.46000001</v>
      </c>
      <c r="U33" s="258">
        <v>90638</v>
      </c>
      <c r="V33" s="258">
        <v>104</v>
      </c>
      <c r="W33" s="258">
        <v>225288</v>
      </c>
      <c r="X33" s="258">
        <v>0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1</v>
      </c>
      <c r="AF33" s="253"/>
      <c r="AG33" s="253" t="s">
        <v>602</v>
      </c>
      <c r="AH33" s="253">
        <v>0</v>
      </c>
      <c r="AI33" s="253">
        <v>0</v>
      </c>
      <c r="AJ33" s="253">
        <v>0</v>
      </c>
      <c r="AK33" s="253">
        <v>0</v>
      </c>
      <c r="AL33" s="253">
        <v>1</v>
      </c>
      <c r="AM33" s="245"/>
      <c r="AN33" s="253" t="s">
        <v>602</v>
      </c>
      <c r="AO33" s="253">
        <v>184000</v>
      </c>
      <c r="AP33" s="253">
        <v>4</v>
      </c>
      <c r="AQ33" s="253">
        <v>1</v>
      </c>
      <c r="AR33" s="253">
        <v>32</v>
      </c>
      <c r="AS33" s="253">
        <v>1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1</v>
      </c>
      <c r="BA33" s="245"/>
      <c r="BB33" s="253" t="s">
        <v>603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44</v>
      </c>
      <c r="CU33" s="275" t="s">
        <v>658</v>
      </c>
      <c r="CV33" s="275">
        <v>982299268.94999707</v>
      </c>
      <c r="CW33" s="275">
        <v>762358698</v>
      </c>
      <c r="CX33" s="275">
        <v>2555</v>
      </c>
      <c r="CY33" s="275">
        <v>59000035752.599953</v>
      </c>
      <c r="CZ33" s="275">
        <v>57065183466</v>
      </c>
      <c r="DA33" s="275">
        <v>1356</v>
      </c>
      <c r="DB33" s="275">
        <v>58017736483.649956</v>
      </c>
      <c r="DC33" s="275">
        <v>56302824768</v>
      </c>
      <c r="DD33" s="275">
        <v>1199</v>
      </c>
    </row>
    <row r="34" spans="1:108" x14ac:dyDescent="0.25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56987.144378079996</v>
      </c>
      <c r="I34" s="164"/>
      <c r="J34" s="157"/>
      <c r="K34" s="228"/>
      <c r="L34" s="228"/>
      <c r="M34" s="228"/>
      <c r="O34" s="241" t="s">
        <v>279</v>
      </c>
      <c r="P34" s="241">
        <v>58032.136853459997</v>
      </c>
      <c r="Q34" s="239"/>
      <c r="R34" s="157"/>
      <c r="S34" s="253" t="s">
        <v>448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603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616</v>
      </c>
      <c r="AO34" s="253">
        <v>0</v>
      </c>
      <c r="AP34" s="253">
        <v>0</v>
      </c>
      <c r="AQ34" s="253">
        <v>0</v>
      </c>
      <c r="AR34" s="253">
        <v>0</v>
      </c>
      <c r="AS34" s="253">
        <v>1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604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16</v>
      </c>
      <c r="CU34" s="275" t="s">
        <v>659</v>
      </c>
      <c r="CV34" s="275">
        <v>-1904496373.0999985</v>
      </c>
      <c r="CW34" s="275">
        <v>-1989015000</v>
      </c>
      <c r="CX34" s="275">
        <v>221</v>
      </c>
      <c r="CY34" s="275">
        <v>9219471693.25</v>
      </c>
      <c r="CZ34" s="275">
        <v>9870000000</v>
      </c>
      <c r="DA34" s="275">
        <v>101</v>
      </c>
      <c r="DB34" s="275">
        <v>11123968066.349997</v>
      </c>
      <c r="DC34" s="275">
        <v>11859015000</v>
      </c>
      <c r="DD34" s="275">
        <v>120</v>
      </c>
    </row>
    <row r="35" spans="1:108" x14ac:dyDescent="0.25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18410.70125921</v>
      </c>
      <c r="I35" s="164"/>
      <c r="J35" s="157"/>
      <c r="K35" s="228"/>
      <c r="L35" s="228"/>
      <c r="M35" s="228"/>
      <c r="O35" s="241" t="s">
        <v>280</v>
      </c>
      <c r="P35" s="241">
        <v>19432.40641589</v>
      </c>
      <c r="Q35" s="239"/>
      <c r="R35" s="157"/>
      <c r="S35" s="253" t="s">
        <v>446</v>
      </c>
      <c r="T35" s="258">
        <v>1504619976.1600001</v>
      </c>
      <c r="U35" s="258">
        <v>325466</v>
      </c>
      <c r="V35" s="258">
        <v>490</v>
      </c>
      <c r="W35" s="258">
        <v>782813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604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603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586</v>
      </c>
      <c r="BC35" s="253">
        <v>918928.5</v>
      </c>
      <c r="BD35" s="253">
        <v>14</v>
      </c>
      <c r="BE35" s="253">
        <v>4</v>
      </c>
      <c r="BF35" s="253">
        <v>48</v>
      </c>
      <c r="BG35" s="253">
        <v>1</v>
      </c>
      <c r="BH35" s="247" t="s">
        <v>586</v>
      </c>
      <c r="BI35" s="253">
        <v>449026.2</v>
      </c>
      <c r="BJ35" s="253">
        <v>7</v>
      </c>
      <c r="BK35" s="253">
        <v>1</v>
      </c>
      <c r="BL35" s="253">
        <v>0</v>
      </c>
      <c r="BM35" s="253">
        <v>1</v>
      </c>
      <c r="BN35" s="253"/>
      <c r="BO35" s="251"/>
      <c r="BP35" s="263">
        <v>6370872761</v>
      </c>
      <c r="BQ35" s="263">
        <v>60405</v>
      </c>
      <c r="BR35" s="263">
        <v>99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5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28712.08766225</v>
      </c>
      <c r="I36" s="164"/>
      <c r="J36" s="157"/>
      <c r="K36" s="228"/>
      <c r="L36" s="228"/>
      <c r="M36" s="228"/>
      <c r="O36" s="241" t="s">
        <v>281</v>
      </c>
      <c r="P36" s="241">
        <v>27351.42398123</v>
      </c>
      <c r="Q36" s="239"/>
      <c r="R36" s="157"/>
      <c r="S36" s="253" t="s">
        <v>571</v>
      </c>
      <c r="T36" s="258">
        <v>0</v>
      </c>
      <c r="U36" s="258">
        <v>0</v>
      </c>
      <c r="V36" s="258">
        <v>0</v>
      </c>
      <c r="W36" s="258">
        <v>0</v>
      </c>
      <c r="X36" s="258">
        <v>1</v>
      </c>
      <c r="Y36" s="245"/>
      <c r="Z36" s="253" t="s">
        <v>586</v>
      </c>
      <c r="AA36" s="253">
        <v>1152900</v>
      </c>
      <c r="AB36" s="253">
        <v>15</v>
      </c>
      <c r="AC36" s="253">
        <v>3</v>
      </c>
      <c r="AD36" s="253">
        <v>470</v>
      </c>
      <c r="AE36" s="253">
        <v>1</v>
      </c>
      <c r="AF36" s="253"/>
      <c r="AG36" s="253" t="s">
        <v>586</v>
      </c>
      <c r="AH36" s="253">
        <v>0</v>
      </c>
      <c r="AI36" s="253">
        <v>0</v>
      </c>
      <c r="AJ36" s="253">
        <v>0</v>
      </c>
      <c r="AK36" s="253">
        <v>20</v>
      </c>
      <c r="AL36" s="253">
        <v>1</v>
      </c>
      <c r="AM36" s="245"/>
      <c r="AN36" s="253" t="s">
        <v>604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586</v>
      </c>
      <c r="AV36" s="253">
        <v>0</v>
      </c>
      <c r="AW36" s="253">
        <v>0</v>
      </c>
      <c r="AX36" s="253">
        <v>0</v>
      </c>
      <c r="AY36" s="253">
        <v>35</v>
      </c>
      <c r="AZ36" s="253">
        <v>1</v>
      </c>
      <c r="BA36" s="245"/>
      <c r="BB36" s="253" t="s">
        <v>594</v>
      </c>
      <c r="BC36" s="253">
        <v>4860100892.6300001</v>
      </c>
      <c r="BD36" s="253">
        <v>24190</v>
      </c>
      <c r="BE36" s="253">
        <v>2153</v>
      </c>
      <c r="BF36" s="253">
        <v>357029</v>
      </c>
      <c r="BG36" s="253">
        <v>1</v>
      </c>
      <c r="BH36" s="247" t="s">
        <v>594</v>
      </c>
      <c r="BI36" s="253">
        <v>175411240.685</v>
      </c>
      <c r="BJ36" s="253">
        <v>869</v>
      </c>
      <c r="BK36" s="253">
        <v>162</v>
      </c>
      <c r="BL36" s="253">
        <v>17496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5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52614.652741489997</v>
      </c>
      <c r="I37" s="164"/>
      <c r="J37" s="157"/>
      <c r="K37" s="228"/>
      <c r="L37" s="228"/>
      <c r="M37" s="228"/>
      <c r="O37" s="241" t="s">
        <v>56</v>
      </c>
      <c r="P37" s="241">
        <v>52533.043802139997</v>
      </c>
      <c r="Q37" s="239"/>
      <c r="R37" s="157"/>
      <c r="S37" s="253" t="s">
        <v>447</v>
      </c>
      <c r="T37" s="258">
        <v>24436112879.661999</v>
      </c>
      <c r="U37" s="258">
        <v>2488258</v>
      </c>
      <c r="V37" s="258">
        <v>7118</v>
      </c>
      <c r="W37" s="258">
        <v>862571</v>
      </c>
      <c r="X37" s="258">
        <v>1</v>
      </c>
      <c r="Y37" s="245"/>
      <c r="Z37" s="253" t="s">
        <v>594</v>
      </c>
      <c r="AA37" s="253">
        <v>4818524892.9049997</v>
      </c>
      <c r="AB37" s="253">
        <v>25683</v>
      </c>
      <c r="AC37" s="253">
        <v>3926</v>
      </c>
      <c r="AD37" s="253">
        <v>313580</v>
      </c>
      <c r="AE37" s="253">
        <v>1</v>
      </c>
      <c r="AF37" s="253"/>
      <c r="AG37" s="253" t="s">
        <v>594</v>
      </c>
      <c r="AH37" s="253">
        <v>279676107.63</v>
      </c>
      <c r="AI37" s="253">
        <v>1558</v>
      </c>
      <c r="AJ37" s="253">
        <v>124</v>
      </c>
      <c r="AK37" s="253">
        <v>15895</v>
      </c>
      <c r="AL37" s="253">
        <v>1</v>
      </c>
      <c r="AM37" s="245"/>
      <c r="AN37" s="253" t="s">
        <v>586</v>
      </c>
      <c r="AO37" s="253">
        <v>0</v>
      </c>
      <c r="AP37" s="253">
        <v>0</v>
      </c>
      <c r="AQ37" s="253">
        <v>0</v>
      </c>
      <c r="AR37" s="253">
        <v>665</v>
      </c>
      <c r="AS37" s="253">
        <v>1</v>
      </c>
      <c r="AT37" s="245"/>
      <c r="AU37" s="253" t="s">
        <v>594</v>
      </c>
      <c r="AV37" s="253">
        <v>222532314.41999999</v>
      </c>
      <c r="AW37" s="253">
        <v>1173</v>
      </c>
      <c r="AX37" s="253">
        <v>119</v>
      </c>
      <c r="AY37" s="253">
        <v>11873</v>
      </c>
      <c r="AZ37" s="253">
        <v>1</v>
      </c>
      <c r="BA37" s="245"/>
      <c r="BB37" s="253" t="s">
        <v>618</v>
      </c>
      <c r="BC37" s="253">
        <v>0</v>
      </c>
      <c r="BD37" s="253">
        <v>0</v>
      </c>
      <c r="BE37" s="253">
        <v>0</v>
      </c>
      <c r="BF37" s="253">
        <v>0</v>
      </c>
      <c r="BG37" s="253">
        <v>1</v>
      </c>
      <c r="BH37" s="247" t="s">
        <v>618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5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79794.70774862</v>
      </c>
      <c r="I38" s="164"/>
      <c r="J38" s="157"/>
      <c r="K38" s="228"/>
      <c r="L38" s="228"/>
      <c r="M38" s="228"/>
      <c r="O38" s="241" t="s">
        <v>45</v>
      </c>
      <c r="P38" s="241">
        <v>80245.092532049995</v>
      </c>
      <c r="Q38" s="239"/>
      <c r="R38" s="157"/>
      <c r="S38" s="253" t="s">
        <v>182</v>
      </c>
      <c r="T38" s="258">
        <v>355129551.21200001</v>
      </c>
      <c r="U38" s="258">
        <v>2004101</v>
      </c>
      <c r="V38" s="258">
        <v>371</v>
      </c>
      <c r="W38" s="258">
        <v>1034954</v>
      </c>
      <c r="X38" s="258">
        <v>1</v>
      </c>
      <c r="Y38" s="245"/>
      <c r="Z38" s="253" t="s">
        <v>574</v>
      </c>
      <c r="AA38" s="253">
        <v>3033244481.96</v>
      </c>
      <c r="AB38" s="253">
        <v>16879</v>
      </c>
      <c r="AC38" s="253">
        <v>947</v>
      </c>
      <c r="AD38" s="253">
        <v>377932</v>
      </c>
      <c r="AE38" s="253">
        <v>1</v>
      </c>
      <c r="AF38" s="253"/>
      <c r="AG38" s="253" t="s">
        <v>574</v>
      </c>
      <c r="AH38" s="253">
        <v>52065340.460000001</v>
      </c>
      <c r="AI38" s="253">
        <v>289</v>
      </c>
      <c r="AJ38" s="253">
        <v>40</v>
      </c>
      <c r="AK38" s="253">
        <v>15463</v>
      </c>
      <c r="AL38" s="253">
        <v>1</v>
      </c>
      <c r="AM38" s="245"/>
      <c r="AN38" s="253" t="s">
        <v>594</v>
      </c>
      <c r="AO38" s="253">
        <v>6060393237.0249996</v>
      </c>
      <c r="AP38" s="253">
        <v>30158</v>
      </c>
      <c r="AQ38" s="253">
        <v>3015</v>
      </c>
      <c r="AR38" s="253">
        <v>188547</v>
      </c>
      <c r="AS38" s="253">
        <v>1</v>
      </c>
      <c r="AT38" s="245"/>
      <c r="AU38" s="253" t="s">
        <v>574</v>
      </c>
      <c r="AV38" s="253">
        <v>18119713.32</v>
      </c>
      <c r="AW38" s="253">
        <v>101</v>
      </c>
      <c r="AX38" s="253">
        <v>24</v>
      </c>
      <c r="AY38" s="253">
        <v>18568</v>
      </c>
      <c r="AZ38" s="253">
        <v>1</v>
      </c>
      <c r="BA38" s="245"/>
      <c r="BB38" s="253" t="s">
        <v>574</v>
      </c>
      <c r="BC38" s="253">
        <v>2283016093.3899999</v>
      </c>
      <c r="BD38" s="253">
        <v>11443</v>
      </c>
      <c r="BE38" s="253">
        <v>650</v>
      </c>
      <c r="BF38" s="253">
        <v>97575</v>
      </c>
      <c r="BG38" s="253">
        <v>1</v>
      </c>
      <c r="BH38" s="247" t="s">
        <v>574</v>
      </c>
      <c r="BI38" s="253">
        <v>279672016.45999998</v>
      </c>
      <c r="BJ38" s="253">
        <v>1387</v>
      </c>
      <c r="BK38" s="253">
        <v>66</v>
      </c>
      <c r="BL38" s="253">
        <v>6402</v>
      </c>
      <c r="BM38" s="253">
        <v>1</v>
      </c>
      <c r="BN38" s="253"/>
      <c r="BO38" s="247"/>
      <c r="BP38" s="263">
        <v>229534511399.67999</v>
      </c>
      <c r="BQ38" s="263">
        <v>1968757</v>
      </c>
      <c r="BR38" s="263">
        <v>1509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5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60667.751436300001</v>
      </c>
      <c r="I39" s="164"/>
      <c r="J39" s="157"/>
      <c r="K39" s="228"/>
      <c r="L39" s="228"/>
      <c r="M39" s="228"/>
      <c r="O39" s="241" t="s">
        <v>47</v>
      </c>
      <c r="P39" s="241">
        <v>60971.275967250003</v>
      </c>
      <c r="Q39" s="239"/>
      <c r="R39" s="157"/>
      <c r="S39" s="253" t="s">
        <v>449</v>
      </c>
      <c r="T39" s="258">
        <v>0</v>
      </c>
      <c r="U39" s="258">
        <v>0</v>
      </c>
      <c r="V39" s="258">
        <v>0</v>
      </c>
      <c r="W39" s="258">
        <v>0</v>
      </c>
      <c r="X39" s="258">
        <v>0</v>
      </c>
      <c r="Y39" s="245"/>
      <c r="Z39" s="253" t="s">
        <v>605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/>
      <c r="AG39" s="253" t="s">
        <v>605</v>
      </c>
      <c r="AH39" s="253">
        <v>0</v>
      </c>
      <c r="AI39" s="253">
        <v>0</v>
      </c>
      <c r="AJ39" s="253">
        <v>0</v>
      </c>
      <c r="AK39" s="253">
        <v>0</v>
      </c>
      <c r="AL39" s="253">
        <v>0</v>
      </c>
      <c r="AM39" s="245"/>
      <c r="AN39" s="253" t="s">
        <v>574</v>
      </c>
      <c r="AO39" s="253">
        <v>1672331443.72</v>
      </c>
      <c r="AP39" s="253">
        <v>8666</v>
      </c>
      <c r="AQ39" s="253">
        <v>852</v>
      </c>
      <c r="AR39" s="253">
        <v>354477</v>
      </c>
      <c r="AS39" s="253">
        <v>1</v>
      </c>
      <c r="AT39" s="245"/>
      <c r="AU39" s="253" t="s">
        <v>605</v>
      </c>
      <c r="AV39" s="253">
        <v>0</v>
      </c>
      <c r="AW39" s="253">
        <v>0</v>
      </c>
      <c r="AX39" s="253">
        <v>0</v>
      </c>
      <c r="AY39" s="253">
        <v>0</v>
      </c>
      <c r="AZ39" s="253">
        <v>0</v>
      </c>
      <c r="BA39" s="245"/>
      <c r="BB39" s="253" t="s">
        <v>605</v>
      </c>
      <c r="BC39" s="253">
        <v>0</v>
      </c>
      <c r="BD39" s="253">
        <v>0</v>
      </c>
      <c r="BE39" s="253">
        <v>0</v>
      </c>
      <c r="BF39" s="253">
        <v>0</v>
      </c>
      <c r="BG39" s="253">
        <v>0</v>
      </c>
      <c r="BH39" s="247" t="s">
        <v>605</v>
      </c>
      <c r="BI39" s="253">
        <v>0</v>
      </c>
      <c r="BJ39" s="253">
        <v>0</v>
      </c>
      <c r="BK39" s="253">
        <v>0</v>
      </c>
      <c r="BL39" s="253">
        <v>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5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59506.123521039997</v>
      </c>
      <c r="I40" s="164"/>
      <c r="J40" s="157"/>
      <c r="K40" s="228"/>
      <c r="L40" s="228"/>
      <c r="M40" s="228"/>
      <c r="O40" s="241" t="s">
        <v>43</v>
      </c>
      <c r="P40" s="241">
        <v>59504.672636019997</v>
      </c>
      <c r="Q40" s="239"/>
      <c r="R40" s="157"/>
      <c r="S40" s="253" t="s">
        <v>446</v>
      </c>
      <c r="T40" s="258">
        <v>815300629729.32166</v>
      </c>
      <c r="U40" s="258">
        <v>2989174</v>
      </c>
      <c r="V40" s="258">
        <v>233228</v>
      </c>
      <c r="W40" s="258">
        <v>561322</v>
      </c>
      <c r="X40" s="258">
        <v>1</v>
      </c>
      <c r="Y40" s="245"/>
      <c r="Z40" s="253" t="s">
        <v>606</v>
      </c>
      <c r="AA40" s="253">
        <v>34417500</v>
      </c>
      <c r="AB40" s="253">
        <v>500</v>
      </c>
      <c r="AC40" s="253">
        <v>4</v>
      </c>
      <c r="AD40" s="253">
        <v>3625</v>
      </c>
      <c r="AE40" s="253">
        <v>1</v>
      </c>
      <c r="AF40" s="253"/>
      <c r="AG40" s="253" t="s">
        <v>606</v>
      </c>
      <c r="AH40" s="253">
        <v>8738750</v>
      </c>
      <c r="AI40" s="253">
        <v>125</v>
      </c>
      <c r="AJ40" s="253">
        <v>1</v>
      </c>
      <c r="AK40" s="253">
        <v>250</v>
      </c>
      <c r="AL40" s="253">
        <v>1</v>
      </c>
      <c r="AM40" s="245"/>
      <c r="AN40" s="253" t="s">
        <v>605</v>
      </c>
      <c r="AO40" s="253">
        <v>0</v>
      </c>
      <c r="AP40" s="253">
        <v>0</v>
      </c>
      <c r="AQ40" s="253">
        <v>0</v>
      </c>
      <c r="AR40" s="253">
        <v>0</v>
      </c>
      <c r="AS40" s="253">
        <v>0</v>
      </c>
      <c r="AT40" s="245"/>
      <c r="AU40" s="253" t="s">
        <v>606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 t="s">
        <v>606</v>
      </c>
      <c r="BC40" s="253">
        <v>0</v>
      </c>
      <c r="BD40" s="253">
        <v>0</v>
      </c>
      <c r="BE40" s="253">
        <v>0</v>
      </c>
      <c r="BF40" s="253">
        <v>0</v>
      </c>
      <c r="BG40" s="253">
        <v>1</v>
      </c>
      <c r="BH40" s="247" t="s">
        <v>606</v>
      </c>
      <c r="BI40" s="253">
        <v>0</v>
      </c>
      <c r="BJ40" s="253">
        <v>0</v>
      </c>
      <c r="BK40" s="253">
        <v>0</v>
      </c>
      <c r="BL40" s="253">
        <v>0</v>
      </c>
      <c r="BM40" s="253">
        <v>1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5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7557.7300084600001</v>
      </c>
      <c r="I41" s="164"/>
      <c r="J41" s="157"/>
      <c r="K41" s="228"/>
      <c r="L41" s="228"/>
      <c r="M41" s="228"/>
      <c r="O41" s="241" t="s">
        <v>49</v>
      </c>
      <c r="P41" s="241">
        <v>7538.6296714</v>
      </c>
      <c r="Q41" s="239"/>
      <c r="R41" s="157"/>
      <c r="S41" s="253" t="s">
        <v>451</v>
      </c>
      <c r="T41" s="258">
        <v>5327767156.5299997</v>
      </c>
      <c r="U41" s="258">
        <v>302096</v>
      </c>
      <c r="V41" s="258">
        <v>140</v>
      </c>
      <c r="W41" s="258">
        <v>412523</v>
      </c>
      <c r="X41" s="258">
        <v>1</v>
      </c>
      <c r="Y41" s="245"/>
      <c r="Z41" s="253" t="s">
        <v>607</v>
      </c>
      <c r="AA41" s="253">
        <v>5980825.3499999996</v>
      </c>
      <c r="AB41" s="253">
        <v>335</v>
      </c>
      <c r="AC41" s="253">
        <v>14</v>
      </c>
      <c r="AD41" s="253">
        <v>12095</v>
      </c>
      <c r="AE41" s="253">
        <v>1</v>
      </c>
      <c r="AF41" s="253"/>
      <c r="AG41" s="253" t="s">
        <v>607</v>
      </c>
      <c r="AH41" s="253">
        <v>90000</v>
      </c>
      <c r="AI41" s="253">
        <v>5</v>
      </c>
      <c r="AJ41" s="253">
        <v>1</v>
      </c>
      <c r="AK41" s="253">
        <v>381</v>
      </c>
      <c r="AL41" s="253">
        <v>1</v>
      </c>
      <c r="AM41" s="245"/>
      <c r="AN41" s="253" t="s">
        <v>606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607</v>
      </c>
      <c r="AV41" s="253">
        <v>0</v>
      </c>
      <c r="AW41" s="253">
        <v>0</v>
      </c>
      <c r="AX41" s="253">
        <v>0</v>
      </c>
      <c r="AY41" s="253">
        <v>610</v>
      </c>
      <c r="AZ41" s="253">
        <v>1</v>
      </c>
      <c r="BA41" s="245"/>
      <c r="BB41" s="253" t="s">
        <v>607</v>
      </c>
      <c r="BC41" s="253">
        <v>2476500</v>
      </c>
      <c r="BD41" s="253">
        <v>135</v>
      </c>
      <c r="BE41" s="253">
        <v>22</v>
      </c>
      <c r="BF41" s="253">
        <v>4939</v>
      </c>
      <c r="BG41" s="253">
        <v>1</v>
      </c>
      <c r="BH41" s="247" t="s">
        <v>607</v>
      </c>
      <c r="BI41" s="253">
        <v>0</v>
      </c>
      <c r="BJ41" s="253">
        <v>0</v>
      </c>
      <c r="BK41" s="253">
        <v>0</v>
      </c>
      <c r="BL41" s="253">
        <v>225</v>
      </c>
      <c r="BM41" s="253">
        <v>1</v>
      </c>
      <c r="BN41" s="253"/>
      <c r="BO41" s="245"/>
      <c r="BP41" s="263">
        <v>1346142561.46</v>
      </c>
      <c r="BQ41" s="263">
        <v>14483</v>
      </c>
      <c r="BR41" s="263">
        <v>29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5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547</v>
      </c>
      <c r="H42" s="223">
        <v>58381.661076980003</v>
      </c>
      <c r="I42" s="164"/>
      <c r="J42" s="157"/>
      <c r="K42" s="228"/>
      <c r="L42" s="228"/>
      <c r="M42" s="228"/>
      <c r="O42" s="241" t="s">
        <v>547</v>
      </c>
      <c r="P42" s="241">
        <v>58317.451333470002</v>
      </c>
      <c r="Q42" s="239"/>
      <c r="R42" s="157"/>
      <c r="S42" s="253" t="s">
        <v>450</v>
      </c>
      <c r="T42" s="258">
        <v>732.3</v>
      </c>
      <c r="U42" s="258">
        <v>12007640</v>
      </c>
      <c r="V42" s="258">
        <v>548</v>
      </c>
      <c r="W42" s="258">
        <v>8025162</v>
      </c>
      <c r="X42" s="258">
        <v>1</v>
      </c>
      <c r="Y42" s="245"/>
      <c r="Z42" s="253" t="s">
        <v>608</v>
      </c>
      <c r="AA42" s="253">
        <v>561512</v>
      </c>
      <c r="AB42" s="253">
        <v>35</v>
      </c>
      <c r="AC42" s="253">
        <v>3</v>
      </c>
      <c r="AD42" s="253">
        <v>445</v>
      </c>
      <c r="AE42" s="253">
        <v>1</v>
      </c>
      <c r="AF42" s="253"/>
      <c r="AG42" s="253" t="s">
        <v>608</v>
      </c>
      <c r="AH42" s="253">
        <v>0</v>
      </c>
      <c r="AI42" s="253">
        <v>0</v>
      </c>
      <c r="AJ42" s="253">
        <v>0</v>
      </c>
      <c r="AK42" s="253">
        <v>20</v>
      </c>
      <c r="AL42" s="253">
        <v>1</v>
      </c>
      <c r="AM42" s="245"/>
      <c r="AN42" s="253" t="s">
        <v>607</v>
      </c>
      <c r="AO42" s="253">
        <v>6557436.75</v>
      </c>
      <c r="AP42" s="253">
        <v>371</v>
      </c>
      <c r="AQ42" s="253">
        <v>38</v>
      </c>
      <c r="AR42" s="253">
        <v>12695</v>
      </c>
      <c r="AS42" s="253">
        <v>1</v>
      </c>
      <c r="AT42" s="245"/>
      <c r="AU42" s="253" t="s">
        <v>608</v>
      </c>
      <c r="AV42" s="253">
        <v>0</v>
      </c>
      <c r="AW42" s="253">
        <v>0</v>
      </c>
      <c r="AX42" s="253">
        <v>0</v>
      </c>
      <c r="AY42" s="253">
        <v>15</v>
      </c>
      <c r="AZ42" s="253">
        <v>1</v>
      </c>
      <c r="BA42" s="245"/>
      <c r="BB42" s="253" t="s">
        <v>608</v>
      </c>
      <c r="BC42" s="253">
        <v>0</v>
      </c>
      <c r="BD42" s="253">
        <v>0</v>
      </c>
      <c r="BE42" s="253">
        <v>0</v>
      </c>
      <c r="BF42" s="253">
        <v>0</v>
      </c>
      <c r="BG42" s="253">
        <v>1</v>
      </c>
      <c r="BH42" s="247" t="s">
        <v>608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5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57737.72340884</v>
      </c>
      <c r="I43" s="164"/>
      <c r="J43" s="157"/>
      <c r="K43" s="228"/>
      <c r="L43" s="228"/>
      <c r="M43" s="228"/>
      <c r="O43" s="241" t="s">
        <v>548</v>
      </c>
      <c r="P43" s="241">
        <v>57727.021456620001</v>
      </c>
      <c r="Q43" s="239"/>
      <c r="S43" s="245" t="s">
        <v>448</v>
      </c>
      <c r="T43" s="245">
        <v>80570249.680000007</v>
      </c>
      <c r="U43" s="245">
        <v>1876364</v>
      </c>
      <c r="V43" s="245">
        <v>6623</v>
      </c>
      <c r="W43" s="245">
        <v>595313</v>
      </c>
      <c r="X43" s="245">
        <v>1</v>
      </c>
      <c r="Y43" s="245"/>
      <c r="Z43" s="253" t="s">
        <v>579</v>
      </c>
      <c r="AA43" s="253">
        <v>49231460</v>
      </c>
      <c r="AB43" s="253">
        <v>365</v>
      </c>
      <c r="AC43" s="253">
        <v>30</v>
      </c>
      <c r="AD43" s="253">
        <v>1039</v>
      </c>
      <c r="AE43" s="253">
        <v>1</v>
      </c>
      <c r="AF43" s="253"/>
      <c r="AG43" s="253" t="s">
        <v>579</v>
      </c>
      <c r="AH43" s="253">
        <v>0</v>
      </c>
      <c r="AI43" s="253">
        <v>0</v>
      </c>
      <c r="AJ43" s="253">
        <v>0</v>
      </c>
      <c r="AK43" s="253">
        <v>45</v>
      </c>
      <c r="AL43" s="253">
        <v>1</v>
      </c>
      <c r="AM43" s="245"/>
      <c r="AN43" s="253" t="s">
        <v>608</v>
      </c>
      <c r="AO43" s="253">
        <v>1045352</v>
      </c>
      <c r="AP43" s="253">
        <v>65</v>
      </c>
      <c r="AQ43" s="253">
        <v>8</v>
      </c>
      <c r="AR43" s="253">
        <v>495</v>
      </c>
      <c r="AS43" s="253">
        <v>1</v>
      </c>
      <c r="AT43" s="245"/>
      <c r="AU43" s="253" t="s">
        <v>579</v>
      </c>
      <c r="AV43" s="253">
        <v>0</v>
      </c>
      <c r="AW43" s="253">
        <v>0</v>
      </c>
      <c r="AX43" s="253">
        <v>0</v>
      </c>
      <c r="AY43" s="253">
        <v>80</v>
      </c>
      <c r="AZ43" s="253">
        <v>1</v>
      </c>
      <c r="BA43" s="245"/>
      <c r="BB43" s="253" t="s">
        <v>579</v>
      </c>
      <c r="BC43" s="253">
        <v>3663719.95</v>
      </c>
      <c r="BD43" s="253">
        <v>31</v>
      </c>
      <c r="BE43" s="253">
        <v>8</v>
      </c>
      <c r="BF43" s="253">
        <v>1858</v>
      </c>
      <c r="BG43" s="253">
        <v>1</v>
      </c>
      <c r="BH43" s="247" t="s">
        <v>579</v>
      </c>
      <c r="BI43" s="253">
        <v>0</v>
      </c>
      <c r="BJ43" s="253">
        <v>0</v>
      </c>
      <c r="BK43" s="253">
        <v>0</v>
      </c>
      <c r="BL43" s="253">
        <v>92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5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4763.2356332099998</v>
      </c>
      <c r="I44" s="164"/>
      <c r="J44" s="157"/>
      <c r="K44" s="228"/>
      <c r="L44" s="228"/>
      <c r="M44" s="228"/>
      <c r="O44" s="241" t="s">
        <v>282</v>
      </c>
      <c r="P44" s="241">
        <v>4561.3687061000001</v>
      </c>
      <c r="Q44" s="239"/>
      <c r="S44" s="245"/>
      <c r="T44" s="245"/>
      <c r="U44" s="245"/>
      <c r="V44" s="245"/>
      <c r="W44" s="245"/>
      <c r="X44" s="245"/>
      <c r="Y44" s="245"/>
      <c r="Z44" s="253" t="s">
        <v>580</v>
      </c>
      <c r="AA44" s="253">
        <v>0</v>
      </c>
      <c r="AB44" s="253">
        <v>0</v>
      </c>
      <c r="AC44" s="253">
        <v>0</v>
      </c>
      <c r="AD44" s="253">
        <v>0</v>
      </c>
      <c r="AE44" s="253">
        <v>0</v>
      </c>
      <c r="AF44" s="253"/>
      <c r="AG44" s="253" t="s">
        <v>580</v>
      </c>
      <c r="AH44" s="253">
        <v>0</v>
      </c>
      <c r="AI44" s="253">
        <v>0</v>
      </c>
      <c r="AJ44" s="253">
        <v>0</v>
      </c>
      <c r="AK44" s="253">
        <v>0</v>
      </c>
      <c r="AL44" s="253">
        <v>0</v>
      </c>
      <c r="AM44" s="245"/>
      <c r="AN44" s="253" t="s">
        <v>579</v>
      </c>
      <c r="AO44" s="253">
        <v>3179379.99</v>
      </c>
      <c r="AP44" s="253">
        <v>25</v>
      </c>
      <c r="AQ44" s="253">
        <v>15</v>
      </c>
      <c r="AR44" s="253">
        <v>1557</v>
      </c>
      <c r="AS44" s="253">
        <v>1</v>
      </c>
      <c r="AT44" s="245"/>
      <c r="AU44" s="253" t="s">
        <v>580</v>
      </c>
      <c r="AV44" s="253">
        <v>0</v>
      </c>
      <c r="AW44" s="253">
        <v>0</v>
      </c>
      <c r="AX44" s="253">
        <v>0</v>
      </c>
      <c r="AY44" s="253">
        <v>0</v>
      </c>
      <c r="AZ44" s="253">
        <v>0</v>
      </c>
      <c r="BA44" s="245"/>
      <c r="BB44" s="253" t="s">
        <v>580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580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1141073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5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37586.082474299998</v>
      </c>
      <c r="I45" s="164"/>
      <c r="J45" s="157"/>
      <c r="K45" s="228"/>
      <c r="L45" s="228"/>
      <c r="M45" s="228"/>
      <c r="O45" s="241" t="s">
        <v>61</v>
      </c>
      <c r="P45" s="241">
        <v>36293.05476159</v>
      </c>
      <c r="Q45" s="239"/>
      <c r="R45" s="153" t="s">
        <v>455</v>
      </c>
      <c r="S45" s="254" t="s">
        <v>564</v>
      </c>
      <c r="T45" s="257" t="s">
        <v>565</v>
      </c>
      <c r="U45" s="257" t="s">
        <v>566</v>
      </c>
      <c r="V45" s="257" t="s">
        <v>567</v>
      </c>
      <c r="W45" s="257" t="s">
        <v>568</v>
      </c>
      <c r="X45" s="257" t="s">
        <v>569</v>
      </c>
      <c r="Y45" s="245"/>
      <c r="Z45" s="253" t="s">
        <v>581</v>
      </c>
      <c r="AA45" s="253">
        <v>0</v>
      </c>
      <c r="AB45" s="253">
        <v>0</v>
      </c>
      <c r="AC45" s="253">
        <v>0</v>
      </c>
      <c r="AD45" s="253">
        <v>0</v>
      </c>
      <c r="AE45" s="253">
        <v>0</v>
      </c>
      <c r="AF45" s="253"/>
      <c r="AG45" s="253" t="s">
        <v>581</v>
      </c>
      <c r="AH45" s="253">
        <v>0</v>
      </c>
      <c r="AI45" s="253">
        <v>0</v>
      </c>
      <c r="AJ45" s="253">
        <v>0</v>
      </c>
      <c r="AK45" s="253">
        <v>0</v>
      </c>
      <c r="AL45" s="253">
        <v>0</v>
      </c>
      <c r="AM45" s="245"/>
      <c r="AN45" s="253" t="s">
        <v>580</v>
      </c>
      <c r="AO45" s="253">
        <v>0</v>
      </c>
      <c r="AP45" s="253">
        <v>0</v>
      </c>
      <c r="AQ45" s="253">
        <v>0</v>
      </c>
      <c r="AR45" s="253">
        <v>0</v>
      </c>
      <c r="AS45" s="253">
        <v>0</v>
      </c>
      <c r="AT45" s="245"/>
      <c r="AU45" s="253" t="s">
        <v>581</v>
      </c>
      <c r="AV45" s="253">
        <v>0</v>
      </c>
      <c r="AW45" s="253">
        <v>0</v>
      </c>
      <c r="AX45" s="253">
        <v>0</v>
      </c>
      <c r="AY45" s="253">
        <v>0</v>
      </c>
      <c r="AZ45" s="253">
        <v>0</v>
      </c>
      <c r="BA45" s="245"/>
      <c r="BB45" s="253" t="s">
        <v>581</v>
      </c>
      <c r="BC45" s="253">
        <v>0</v>
      </c>
      <c r="BD45" s="253">
        <v>0</v>
      </c>
      <c r="BE45" s="253">
        <v>0</v>
      </c>
      <c r="BF45" s="253">
        <v>0</v>
      </c>
      <c r="BG45" s="253">
        <v>0</v>
      </c>
      <c r="BH45" s="247" t="s">
        <v>581</v>
      </c>
      <c r="BI45" s="253">
        <v>0</v>
      </c>
      <c r="BJ45" s="253">
        <v>0</v>
      </c>
      <c r="BK45" s="253">
        <v>0</v>
      </c>
      <c r="BL45" s="253">
        <v>0</v>
      </c>
      <c r="BM45" s="253">
        <v>0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5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79169.695995720002</v>
      </c>
      <c r="I46" s="164"/>
      <c r="J46" s="157"/>
      <c r="K46" s="228"/>
      <c r="L46" s="228"/>
      <c r="M46" s="228"/>
      <c r="O46" s="241" t="s">
        <v>65</v>
      </c>
      <c r="P46" s="241">
        <v>79085.484523709994</v>
      </c>
      <c r="Q46" s="239"/>
      <c r="S46" s="253" t="s">
        <v>449</v>
      </c>
      <c r="T46" s="258">
        <v>0</v>
      </c>
      <c r="U46" s="258">
        <v>0</v>
      </c>
      <c r="V46" s="258">
        <v>0</v>
      </c>
      <c r="W46" s="258">
        <v>8150872</v>
      </c>
      <c r="X46" s="258">
        <v>1</v>
      </c>
      <c r="Y46" s="245"/>
      <c r="Z46" s="253" t="s">
        <v>582</v>
      </c>
      <c r="AA46" s="253">
        <v>30500424.395</v>
      </c>
      <c r="AB46" s="253">
        <v>312</v>
      </c>
      <c r="AC46" s="253">
        <v>19</v>
      </c>
      <c r="AD46" s="253">
        <v>1712</v>
      </c>
      <c r="AE46" s="253">
        <v>1</v>
      </c>
      <c r="AF46" s="253"/>
      <c r="AG46" s="253" t="s">
        <v>582</v>
      </c>
      <c r="AH46" s="253">
        <v>1432629.97</v>
      </c>
      <c r="AI46" s="253">
        <v>14</v>
      </c>
      <c r="AJ46" s="253">
        <v>2</v>
      </c>
      <c r="AK46" s="253">
        <v>30</v>
      </c>
      <c r="AL46" s="253">
        <v>1</v>
      </c>
      <c r="AM46" s="245"/>
      <c r="AN46" s="253" t="s">
        <v>581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582</v>
      </c>
      <c r="AV46" s="253">
        <v>97250</v>
      </c>
      <c r="AW46" s="253">
        <v>1</v>
      </c>
      <c r="AX46" s="253">
        <v>1</v>
      </c>
      <c r="AY46" s="253">
        <v>187</v>
      </c>
      <c r="AZ46" s="253">
        <v>1</v>
      </c>
      <c r="BA46" s="245"/>
      <c r="BB46" s="253" t="s">
        <v>582</v>
      </c>
      <c r="BC46" s="253">
        <v>9051650</v>
      </c>
      <c r="BD46" s="253">
        <v>82</v>
      </c>
      <c r="BE46" s="253">
        <v>3</v>
      </c>
      <c r="BF46" s="253">
        <v>76</v>
      </c>
      <c r="BG46" s="253">
        <v>1</v>
      </c>
      <c r="BH46" s="247" t="s">
        <v>582</v>
      </c>
      <c r="BI46" s="253">
        <v>0</v>
      </c>
      <c r="BJ46" s="253">
        <v>0</v>
      </c>
      <c r="BK46" s="253">
        <v>0</v>
      </c>
      <c r="BL46" s="253">
        <v>1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5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17460.233719349999</v>
      </c>
      <c r="I47" s="164"/>
      <c r="J47" s="159"/>
      <c r="K47" s="228"/>
      <c r="L47" s="228"/>
      <c r="M47" s="228"/>
      <c r="O47" s="241" t="s">
        <v>67</v>
      </c>
      <c r="P47" s="241">
        <v>17873.23643637</v>
      </c>
      <c r="Q47" s="239"/>
      <c r="S47" s="253" t="s">
        <v>447</v>
      </c>
      <c r="T47" s="258">
        <v>0</v>
      </c>
      <c r="U47" s="258">
        <v>0</v>
      </c>
      <c r="V47" s="258">
        <v>0</v>
      </c>
      <c r="W47" s="258">
        <v>1288741</v>
      </c>
      <c r="X47" s="258">
        <v>0</v>
      </c>
      <c r="Y47" s="245"/>
      <c r="Z47" s="253" t="s">
        <v>584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584</v>
      </c>
      <c r="AH47" s="253">
        <v>0</v>
      </c>
      <c r="AI47" s="253">
        <v>0</v>
      </c>
      <c r="AJ47" s="253">
        <v>0</v>
      </c>
      <c r="AK47" s="253">
        <v>0</v>
      </c>
      <c r="AL47" s="253">
        <v>0</v>
      </c>
      <c r="AM47" s="245"/>
      <c r="AN47" s="253" t="s">
        <v>582</v>
      </c>
      <c r="AO47" s="253">
        <v>17583325.015000001</v>
      </c>
      <c r="AP47" s="253">
        <v>169</v>
      </c>
      <c r="AQ47" s="253">
        <v>10</v>
      </c>
      <c r="AR47" s="253">
        <v>3657</v>
      </c>
      <c r="AS47" s="253">
        <v>1</v>
      </c>
      <c r="AT47" s="245"/>
      <c r="AU47" s="253" t="s">
        <v>584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 t="s">
        <v>584</v>
      </c>
      <c r="BC47" s="253">
        <v>0</v>
      </c>
      <c r="BD47" s="253">
        <v>0</v>
      </c>
      <c r="BE47" s="253">
        <v>0</v>
      </c>
      <c r="BF47" s="253">
        <v>0</v>
      </c>
      <c r="BG47" s="253">
        <v>0</v>
      </c>
      <c r="BH47" s="247" t="s">
        <v>584</v>
      </c>
      <c r="BI47" s="253">
        <v>0</v>
      </c>
      <c r="BJ47" s="253">
        <v>0</v>
      </c>
      <c r="BK47" s="253">
        <v>0</v>
      </c>
      <c r="BL47" s="253">
        <v>0</v>
      </c>
      <c r="BM47" s="253">
        <v>0</v>
      </c>
      <c r="BN47" s="253"/>
      <c r="BO47" s="247"/>
      <c r="BP47" s="263">
        <v>47845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5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83267.56205085</v>
      </c>
      <c r="I48" s="164"/>
      <c r="J48" s="159"/>
      <c r="K48" s="228"/>
      <c r="L48" s="228"/>
      <c r="M48" s="228"/>
      <c r="O48" s="241" t="s">
        <v>69</v>
      </c>
      <c r="P48" s="241">
        <v>83814.641573700006</v>
      </c>
      <c r="Q48" s="239"/>
      <c r="S48" s="253" t="s">
        <v>451</v>
      </c>
      <c r="T48" s="258">
        <v>0</v>
      </c>
      <c r="U48" s="258">
        <v>0</v>
      </c>
      <c r="V48" s="258">
        <v>0</v>
      </c>
      <c r="W48" s="258">
        <v>225288</v>
      </c>
      <c r="X48" s="258">
        <v>0</v>
      </c>
      <c r="Y48" s="245"/>
      <c r="Z48" s="253" t="s">
        <v>583</v>
      </c>
      <c r="AA48" s="253">
        <v>68752486.269999996</v>
      </c>
      <c r="AB48" s="253">
        <v>8534</v>
      </c>
      <c r="AC48" s="253">
        <v>497</v>
      </c>
      <c r="AD48" s="253">
        <v>246941</v>
      </c>
      <c r="AE48" s="253">
        <v>0</v>
      </c>
      <c r="AF48" s="253"/>
      <c r="AG48" s="253" t="s">
        <v>583</v>
      </c>
      <c r="AH48" s="253">
        <v>2537145</v>
      </c>
      <c r="AI48" s="253">
        <v>408</v>
      </c>
      <c r="AJ48" s="253">
        <v>33</v>
      </c>
      <c r="AK48" s="253">
        <v>13118</v>
      </c>
      <c r="AL48" s="253">
        <v>0</v>
      </c>
      <c r="AM48" s="245"/>
      <c r="AN48" s="253" t="s">
        <v>584</v>
      </c>
      <c r="AO48" s="253">
        <v>0</v>
      </c>
      <c r="AP48" s="253">
        <v>0</v>
      </c>
      <c r="AQ48" s="253">
        <v>0</v>
      </c>
      <c r="AR48" s="253">
        <v>0</v>
      </c>
      <c r="AS48" s="253">
        <v>0</v>
      </c>
      <c r="AT48" s="245"/>
      <c r="AU48" s="253" t="s">
        <v>583</v>
      </c>
      <c r="AV48" s="253">
        <v>2941917.5</v>
      </c>
      <c r="AW48" s="253">
        <v>346</v>
      </c>
      <c r="AX48" s="253">
        <v>13</v>
      </c>
      <c r="AY48" s="253">
        <v>9595</v>
      </c>
      <c r="AZ48" s="253">
        <v>0</v>
      </c>
      <c r="BA48" s="245"/>
      <c r="BB48" s="253" t="s">
        <v>583</v>
      </c>
      <c r="BC48" s="253">
        <v>50046963.920000002</v>
      </c>
      <c r="BD48" s="253">
        <v>3960</v>
      </c>
      <c r="BE48" s="253">
        <v>516</v>
      </c>
      <c r="BF48" s="253">
        <v>168331</v>
      </c>
      <c r="BG48" s="253">
        <v>0</v>
      </c>
      <c r="BH48" s="247" t="s">
        <v>583</v>
      </c>
      <c r="BI48" s="253">
        <v>3921148.2</v>
      </c>
      <c r="BJ48" s="253">
        <v>505</v>
      </c>
      <c r="BK48" s="253">
        <v>99</v>
      </c>
      <c r="BL48" s="253">
        <v>8571</v>
      </c>
      <c r="BM48" s="253">
        <v>0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5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1154.51579477</v>
      </c>
      <c r="I49" s="164"/>
      <c r="J49" s="159"/>
      <c r="K49" s="228"/>
      <c r="L49" s="228"/>
      <c r="M49" s="228"/>
      <c r="O49" s="241" t="s">
        <v>115</v>
      </c>
      <c r="P49" s="241">
        <v>1168.83831444</v>
      </c>
      <c r="Q49" s="239"/>
      <c r="S49" s="253" t="s">
        <v>448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45"/>
      <c r="Z49" s="253" t="s">
        <v>605</v>
      </c>
      <c r="AA49" s="253">
        <v>136050</v>
      </c>
      <c r="AB49" s="253">
        <v>2</v>
      </c>
      <c r="AC49" s="253">
        <v>2</v>
      </c>
      <c r="AD49" s="253">
        <v>3</v>
      </c>
      <c r="AE49" s="253">
        <v>1</v>
      </c>
      <c r="AF49" s="253"/>
      <c r="AG49" s="253" t="s">
        <v>605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583</v>
      </c>
      <c r="AO49" s="253">
        <v>28075343.300000001</v>
      </c>
      <c r="AP49" s="253">
        <v>3150</v>
      </c>
      <c r="AQ49" s="253">
        <v>240</v>
      </c>
      <c r="AR49" s="253">
        <v>177044</v>
      </c>
      <c r="AS49" s="253">
        <v>0</v>
      </c>
      <c r="AT49" s="245"/>
      <c r="AU49" s="253" t="s">
        <v>605</v>
      </c>
      <c r="AV49" s="253">
        <v>0</v>
      </c>
      <c r="AW49" s="253">
        <v>0</v>
      </c>
      <c r="AX49" s="253">
        <v>0</v>
      </c>
      <c r="AY49" s="253">
        <v>0</v>
      </c>
      <c r="AZ49" s="253">
        <v>1</v>
      </c>
      <c r="BA49" s="245"/>
      <c r="BB49" s="253" t="s">
        <v>605</v>
      </c>
      <c r="BC49" s="253">
        <v>6725400</v>
      </c>
      <c r="BD49" s="253">
        <v>118</v>
      </c>
      <c r="BE49" s="253">
        <v>21</v>
      </c>
      <c r="BF49" s="253">
        <v>3508</v>
      </c>
      <c r="BG49" s="253">
        <v>1</v>
      </c>
      <c r="BH49" s="247" t="s">
        <v>605</v>
      </c>
      <c r="BI49" s="253">
        <v>823500</v>
      </c>
      <c r="BJ49" s="253">
        <v>15</v>
      </c>
      <c r="BK49" s="253">
        <v>1</v>
      </c>
      <c r="BL49" s="253">
        <v>147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5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353.46358068000001</v>
      </c>
      <c r="I50" s="164"/>
      <c r="J50" s="159"/>
      <c r="K50" s="228"/>
      <c r="L50" s="228"/>
      <c r="M50" s="228"/>
      <c r="O50" s="241" t="s">
        <v>283</v>
      </c>
      <c r="P50" s="241">
        <v>359.94709165</v>
      </c>
      <c r="Q50" s="239"/>
      <c r="S50" s="253" t="s">
        <v>446</v>
      </c>
      <c r="T50" s="258">
        <v>328692</v>
      </c>
      <c r="U50" s="258">
        <v>39</v>
      </c>
      <c r="V50" s="258">
        <v>1</v>
      </c>
      <c r="W50" s="258">
        <v>782813</v>
      </c>
      <c r="X50" s="258">
        <v>0</v>
      </c>
      <c r="Y50" s="245"/>
      <c r="Z50" s="253" t="s">
        <v>609</v>
      </c>
      <c r="AA50" s="253">
        <v>21000</v>
      </c>
      <c r="AB50" s="253">
        <v>4</v>
      </c>
      <c r="AC50" s="253">
        <v>1</v>
      </c>
      <c r="AD50" s="253">
        <v>8</v>
      </c>
      <c r="AE50" s="253">
        <v>1</v>
      </c>
      <c r="AF50" s="253"/>
      <c r="AG50" s="253" t="s">
        <v>609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605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609</v>
      </c>
      <c r="AV50" s="253">
        <v>0</v>
      </c>
      <c r="AW50" s="253">
        <v>0</v>
      </c>
      <c r="AX50" s="253">
        <v>0</v>
      </c>
      <c r="AY50" s="253">
        <v>4</v>
      </c>
      <c r="AZ50" s="253">
        <v>1</v>
      </c>
      <c r="BA50" s="245"/>
      <c r="BB50" s="253" t="s">
        <v>609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609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29325309096.400002</v>
      </c>
      <c r="BQ50" s="263">
        <v>2323459</v>
      </c>
      <c r="BR50" s="263">
        <v>3300</v>
      </c>
    </row>
    <row r="51" spans="1:70" x14ac:dyDescent="0.25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24.176655879999998</v>
      </c>
      <c r="I51" s="164"/>
      <c r="J51" s="157"/>
      <c r="K51" s="228"/>
      <c r="L51" s="228"/>
      <c r="M51" s="228"/>
      <c r="O51" s="241" t="s">
        <v>284</v>
      </c>
      <c r="P51" s="241">
        <v>22.23977313</v>
      </c>
      <c r="Q51" s="239"/>
      <c r="S51" s="253" t="s">
        <v>571</v>
      </c>
      <c r="T51" s="258">
        <v>0</v>
      </c>
      <c r="U51" s="258">
        <v>0</v>
      </c>
      <c r="V51" s="258">
        <v>0</v>
      </c>
      <c r="W51" s="258">
        <v>0</v>
      </c>
      <c r="X51" s="258">
        <v>1</v>
      </c>
      <c r="Y51" s="245"/>
      <c r="Z51" s="253" t="s">
        <v>589</v>
      </c>
      <c r="AA51" s="253">
        <v>2472112.5</v>
      </c>
      <c r="AB51" s="253">
        <v>51</v>
      </c>
      <c r="AC51" s="253">
        <v>7</v>
      </c>
      <c r="AD51" s="253">
        <v>759</v>
      </c>
      <c r="AE51" s="253">
        <v>1</v>
      </c>
      <c r="AF51" s="253"/>
      <c r="AG51" s="253" t="s">
        <v>589</v>
      </c>
      <c r="AH51" s="253">
        <v>0</v>
      </c>
      <c r="AI51" s="253">
        <v>0</v>
      </c>
      <c r="AJ51" s="253">
        <v>0</v>
      </c>
      <c r="AK51" s="253">
        <v>29</v>
      </c>
      <c r="AL51" s="253">
        <v>1</v>
      </c>
      <c r="AM51" s="245"/>
      <c r="AN51" s="253" t="s">
        <v>609</v>
      </c>
      <c r="AO51" s="253">
        <v>0</v>
      </c>
      <c r="AP51" s="253">
        <v>0</v>
      </c>
      <c r="AQ51" s="253">
        <v>0</v>
      </c>
      <c r="AR51" s="253">
        <v>76</v>
      </c>
      <c r="AS51" s="253">
        <v>1</v>
      </c>
      <c r="AT51" s="245"/>
      <c r="AU51" s="253" t="s">
        <v>589</v>
      </c>
      <c r="AV51" s="253">
        <v>0</v>
      </c>
      <c r="AW51" s="253">
        <v>0</v>
      </c>
      <c r="AX51" s="253">
        <v>0</v>
      </c>
      <c r="AY51" s="253">
        <v>56</v>
      </c>
      <c r="AZ51" s="253">
        <v>1</v>
      </c>
      <c r="BA51" s="245"/>
      <c r="BB51" s="253" t="s">
        <v>589</v>
      </c>
      <c r="BC51" s="253">
        <v>1342500</v>
      </c>
      <c r="BD51" s="253">
        <v>24</v>
      </c>
      <c r="BE51" s="253">
        <v>7</v>
      </c>
      <c r="BF51" s="253">
        <v>376</v>
      </c>
      <c r="BG51" s="253">
        <v>1</v>
      </c>
      <c r="BH51" s="247" t="s">
        <v>589</v>
      </c>
      <c r="BI51" s="253">
        <v>0</v>
      </c>
      <c r="BJ51" s="253">
        <v>0</v>
      </c>
      <c r="BK51" s="253">
        <v>0</v>
      </c>
      <c r="BL51" s="253">
        <v>22</v>
      </c>
      <c r="BM51" s="253">
        <v>1</v>
      </c>
      <c r="BN51" s="253"/>
      <c r="BO51" s="247"/>
      <c r="BP51" s="247"/>
      <c r="BQ51" s="247"/>
      <c r="BR51" s="247"/>
    </row>
    <row r="52" spans="1:70" x14ac:dyDescent="0.25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334.60391476000001</v>
      </c>
      <c r="I52" s="164"/>
      <c r="J52" s="157"/>
      <c r="K52" s="228"/>
      <c r="L52" s="228"/>
      <c r="M52" s="228"/>
      <c r="O52" s="241" t="s">
        <v>285</v>
      </c>
      <c r="P52" s="241">
        <v>331.66608417999998</v>
      </c>
      <c r="Q52" s="239"/>
      <c r="S52" s="253" t="s">
        <v>447</v>
      </c>
      <c r="T52" s="258">
        <v>44571452.299999997</v>
      </c>
      <c r="U52" s="258">
        <v>12083</v>
      </c>
      <c r="V52" s="258">
        <v>43</v>
      </c>
      <c r="W52" s="258">
        <v>862571</v>
      </c>
      <c r="X52" s="258">
        <v>1</v>
      </c>
      <c r="Y52" s="245"/>
      <c r="Z52" s="253" t="s">
        <v>590</v>
      </c>
      <c r="AA52" s="253">
        <v>876000</v>
      </c>
      <c r="AB52" s="253">
        <v>30</v>
      </c>
      <c r="AC52" s="253">
        <v>1</v>
      </c>
      <c r="AD52" s="253">
        <v>390</v>
      </c>
      <c r="AE52" s="253">
        <v>1</v>
      </c>
      <c r="AF52" s="253"/>
      <c r="AG52" s="253" t="s">
        <v>590</v>
      </c>
      <c r="AH52" s="253">
        <v>0</v>
      </c>
      <c r="AI52" s="253">
        <v>0</v>
      </c>
      <c r="AJ52" s="253">
        <v>0</v>
      </c>
      <c r="AK52" s="253">
        <v>0</v>
      </c>
      <c r="AL52" s="253">
        <v>1</v>
      </c>
      <c r="AM52" s="245"/>
      <c r="AN52" s="253" t="s">
        <v>589</v>
      </c>
      <c r="AO52" s="253">
        <v>1482337.5</v>
      </c>
      <c r="AP52" s="253">
        <v>31</v>
      </c>
      <c r="AQ52" s="253">
        <v>11</v>
      </c>
      <c r="AR52" s="253">
        <v>858</v>
      </c>
      <c r="AS52" s="253">
        <v>1</v>
      </c>
      <c r="AT52" s="245"/>
      <c r="AU52" s="253" t="s">
        <v>590</v>
      </c>
      <c r="AV52" s="253">
        <v>0</v>
      </c>
      <c r="AW52" s="253">
        <v>0</v>
      </c>
      <c r="AX52" s="253">
        <v>0</v>
      </c>
      <c r="AY52" s="253">
        <v>30</v>
      </c>
      <c r="AZ52" s="253">
        <v>1</v>
      </c>
      <c r="BA52" s="245"/>
      <c r="BB52" s="253" t="s">
        <v>590</v>
      </c>
      <c r="BC52" s="253">
        <v>201750</v>
      </c>
      <c r="BD52" s="253">
        <v>6</v>
      </c>
      <c r="BE52" s="253">
        <v>2</v>
      </c>
      <c r="BF52" s="253">
        <v>15</v>
      </c>
      <c r="BG52" s="253">
        <v>1</v>
      </c>
      <c r="BH52" s="247" t="s">
        <v>590</v>
      </c>
      <c r="BI52" s="253">
        <v>98550</v>
      </c>
      <c r="BJ52" s="253">
        <v>3</v>
      </c>
      <c r="BK52" s="253">
        <v>1</v>
      </c>
      <c r="BL52" s="253">
        <v>0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5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248.29172323</v>
      </c>
      <c r="I53" s="164"/>
      <c r="J53" s="157"/>
      <c r="K53" s="228"/>
      <c r="L53" s="228"/>
      <c r="M53" s="228"/>
      <c r="O53" s="241" t="s">
        <v>286</v>
      </c>
      <c r="P53" s="241">
        <v>249.26105376000001</v>
      </c>
      <c r="Q53" s="239"/>
      <c r="S53" s="253" t="s">
        <v>182</v>
      </c>
      <c r="T53" s="258">
        <v>0</v>
      </c>
      <c r="U53" s="258">
        <v>0</v>
      </c>
      <c r="V53" s="258">
        <v>0</v>
      </c>
      <c r="W53" s="258">
        <v>1034954</v>
      </c>
      <c r="X53" s="258">
        <v>1</v>
      </c>
      <c r="Y53" s="245"/>
      <c r="Z53" s="253" t="s">
        <v>610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610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590</v>
      </c>
      <c r="AO53" s="253">
        <v>0</v>
      </c>
      <c r="AP53" s="253">
        <v>0</v>
      </c>
      <c r="AQ53" s="253">
        <v>0</v>
      </c>
      <c r="AR53" s="253">
        <v>570</v>
      </c>
      <c r="AS53" s="253">
        <v>1</v>
      </c>
      <c r="AT53" s="245"/>
      <c r="AU53" s="253" t="s">
        <v>610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592</v>
      </c>
      <c r="BC53" s="253">
        <v>0</v>
      </c>
      <c r="BD53" s="253">
        <v>0</v>
      </c>
      <c r="BE53" s="253">
        <v>0</v>
      </c>
      <c r="BF53" s="253">
        <v>84</v>
      </c>
      <c r="BG53" s="253">
        <v>1</v>
      </c>
      <c r="BH53" s="247" t="s">
        <v>592</v>
      </c>
      <c r="BI53" s="253">
        <v>0</v>
      </c>
      <c r="BJ53" s="253">
        <v>0</v>
      </c>
      <c r="BK53" s="253">
        <v>0</v>
      </c>
      <c r="BL53" s="253">
        <v>4</v>
      </c>
      <c r="BM53" s="253">
        <v>1</v>
      </c>
      <c r="BN53" s="253"/>
      <c r="BO53" s="251"/>
      <c r="BP53" s="263">
        <v>29114850223</v>
      </c>
      <c r="BQ53" s="263">
        <v>2233443</v>
      </c>
      <c r="BR53" s="263">
        <v>243</v>
      </c>
    </row>
    <row r="54" spans="1:70" x14ac:dyDescent="0.25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196.74760431999999</v>
      </c>
      <c r="I54" s="164"/>
      <c r="J54" s="157"/>
      <c r="K54" s="228"/>
      <c r="L54" s="228"/>
      <c r="M54" s="228"/>
      <c r="O54" s="241" t="s">
        <v>287</v>
      </c>
      <c r="P54" s="241">
        <v>194.25750683999999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592</v>
      </c>
      <c r="AA54" s="253">
        <v>31997900.050000001</v>
      </c>
      <c r="AB54" s="253">
        <v>71</v>
      </c>
      <c r="AC54" s="253">
        <v>18</v>
      </c>
      <c r="AD54" s="253">
        <v>779</v>
      </c>
      <c r="AE54" s="253">
        <v>1</v>
      </c>
      <c r="AF54" s="253"/>
      <c r="AG54" s="253" t="s">
        <v>592</v>
      </c>
      <c r="AH54" s="253">
        <v>4523000</v>
      </c>
      <c r="AI54" s="253">
        <v>10</v>
      </c>
      <c r="AJ54" s="253">
        <v>1</v>
      </c>
      <c r="AK54" s="253">
        <v>67</v>
      </c>
      <c r="AL54" s="253">
        <v>1</v>
      </c>
      <c r="AM54" s="245"/>
      <c r="AN54" s="253" t="s">
        <v>610</v>
      </c>
      <c r="AO54" s="253">
        <v>0</v>
      </c>
      <c r="AP54" s="253">
        <v>0</v>
      </c>
      <c r="AQ54" s="253">
        <v>0</v>
      </c>
      <c r="AR54" s="253">
        <v>0</v>
      </c>
      <c r="AS54" s="253">
        <v>1</v>
      </c>
      <c r="AT54" s="245"/>
      <c r="AU54" s="253" t="s">
        <v>592</v>
      </c>
      <c r="AV54" s="253">
        <v>0</v>
      </c>
      <c r="AW54" s="253">
        <v>0</v>
      </c>
      <c r="AX54" s="253">
        <v>0</v>
      </c>
      <c r="AY54" s="253">
        <v>27</v>
      </c>
      <c r="AZ54" s="253">
        <v>1</v>
      </c>
      <c r="BA54" s="245"/>
      <c r="BB54" s="253" t="s">
        <v>591</v>
      </c>
      <c r="BC54" s="253">
        <v>5900230</v>
      </c>
      <c r="BD54" s="253">
        <v>36</v>
      </c>
      <c r="BE54" s="253">
        <v>21</v>
      </c>
      <c r="BF54" s="253">
        <v>756</v>
      </c>
      <c r="BG54" s="253">
        <v>1</v>
      </c>
      <c r="BH54" s="247" t="s">
        <v>591</v>
      </c>
      <c r="BI54" s="253">
        <v>0</v>
      </c>
      <c r="BJ54" s="253">
        <v>0</v>
      </c>
      <c r="BK54" s="253">
        <v>0</v>
      </c>
      <c r="BL54" s="253">
        <v>55</v>
      </c>
      <c r="BM54" s="253">
        <v>1</v>
      </c>
      <c r="BN54" s="253"/>
      <c r="BO54" s="251"/>
      <c r="BP54" s="263"/>
      <c r="BQ54" s="263"/>
      <c r="BR54" s="263"/>
    </row>
    <row r="55" spans="1:70" x14ac:dyDescent="0.25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429.40319242999999</v>
      </c>
      <c r="I55" s="164"/>
      <c r="J55" s="157"/>
      <c r="K55" s="228"/>
      <c r="L55" s="228"/>
      <c r="M55" s="228"/>
      <c r="O55" s="241" t="s">
        <v>288</v>
      </c>
      <c r="P55" s="241">
        <v>425.34684085999999</v>
      </c>
      <c r="Q55" s="239"/>
      <c r="S55" s="253" t="s">
        <v>446</v>
      </c>
      <c r="T55" s="258">
        <v>4493252761.9020004</v>
      </c>
      <c r="U55" s="258">
        <v>11499</v>
      </c>
      <c r="V55" s="258">
        <v>2836</v>
      </c>
      <c r="W55" s="258">
        <v>561322</v>
      </c>
      <c r="X55" s="258">
        <v>1</v>
      </c>
      <c r="Y55" s="245"/>
      <c r="Z55" s="253" t="s">
        <v>591</v>
      </c>
      <c r="AA55" s="253">
        <v>1300160</v>
      </c>
      <c r="AB55" s="253">
        <v>8</v>
      </c>
      <c r="AC55" s="253">
        <v>2</v>
      </c>
      <c r="AD55" s="253">
        <v>624</v>
      </c>
      <c r="AE55" s="253">
        <v>1</v>
      </c>
      <c r="AF55" s="253"/>
      <c r="AG55" s="253" t="s">
        <v>591</v>
      </c>
      <c r="AH55" s="253">
        <v>0</v>
      </c>
      <c r="AI55" s="253">
        <v>0</v>
      </c>
      <c r="AJ55" s="253">
        <v>0</v>
      </c>
      <c r="AK55" s="253">
        <v>22</v>
      </c>
      <c r="AL55" s="253">
        <v>1</v>
      </c>
      <c r="AM55" s="245"/>
      <c r="AN55" s="253" t="s">
        <v>592</v>
      </c>
      <c r="AO55" s="253">
        <v>24113145</v>
      </c>
      <c r="AP55" s="253">
        <v>49</v>
      </c>
      <c r="AQ55" s="253">
        <v>2</v>
      </c>
      <c r="AR55" s="253">
        <v>513</v>
      </c>
      <c r="AS55" s="253">
        <v>1</v>
      </c>
      <c r="AT55" s="245"/>
      <c r="AU55" s="253" t="s">
        <v>591</v>
      </c>
      <c r="AV55" s="253">
        <v>0</v>
      </c>
      <c r="AW55" s="253">
        <v>0</v>
      </c>
      <c r="AX55" s="253">
        <v>0</v>
      </c>
      <c r="AY55" s="253">
        <v>30</v>
      </c>
      <c r="AZ55" s="253">
        <v>1</v>
      </c>
      <c r="BA55" s="245"/>
      <c r="BB55" s="253" t="s">
        <v>587</v>
      </c>
      <c r="BC55" s="253">
        <v>0</v>
      </c>
      <c r="BD55" s="253">
        <v>0</v>
      </c>
      <c r="BE55" s="253">
        <v>0</v>
      </c>
      <c r="BF55" s="253">
        <v>945</v>
      </c>
      <c r="BG55" s="253">
        <v>1</v>
      </c>
      <c r="BH55" s="247" t="s">
        <v>587</v>
      </c>
      <c r="BI55" s="253">
        <v>0</v>
      </c>
      <c r="BJ55" s="253">
        <v>0</v>
      </c>
      <c r="BK55" s="253">
        <v>0</v>
      </c>
      <c r="BL55" s="253">
        <v>45</v>
      </c>
      <c r="BM55" s="253">
        <v>1</v>
      </c>
      <c r="BN55" s="253"/>
      <c r="BO55" s="256" t="s">
        <v>493</v>
      </c>
      <c r="BP55" s="264" t="s">
        <v>620</v>
      </c>
      <c r="BQ55" s="264" t="s">
        <v>568</v>
      </c>
      <c r="BR55" s="263"/>
    </row>
    <row r="56" spans="1:70" x14ac:dyDescent="0.25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8666.6297290399998</v>
      </c>
      <c r="I56" s="164"/>
      <c r="J56" s="157"/>
      <c r="K56" s="228"/>
      <c r="L56" s="228"/>
      <c r="M56" s="228"/>
      <c r="O56" s="241" t="s">
        <v>289</v>
      </c>
      <c r="P56" s="241">
        <v>8736.8048151999992</v>
      </c>
      <c r="Q56" s="239"/>
      <c r="S56" s="253" t="s">
        <v>451</v>
      </c>
      <c r="T56" s="258">
        <v>0</v>
      </c>
      <c r="U56" s="258">
        <v>0</v>
      </c>
      <c r="V56" s="258">
        <v>0</v>
      </c>
      <c r="W56" s="258">
        <v>412523</v>
      </c>
      <c r="X56" s="258">
        <v>1</v>
      </c>
      <c r="Y56" s="245"/>
      <c r="Z56" s="253" t="s">
        <v>587</v>
      </c>
      <c r="AA56" s="253">
        <v>872250</v>
      </c>
      <c r="AB56" s="253">
        <v>10</v>
      </c>
      <c r="AC56" s="253">
        <v>3</v>
      </c>
      <c r="AD56" s="253">
        <v>728</v>
      </c>
      <c r="AE56" s="253">
        <v>1</v>
      </c>
      <c r="AF56" s="253"/>
      <c r="AG56" s="253" t="s">
        <v>587</v>
      </c>
      <c r="AH56" s="253">
        <v>0</v>
      </c>
      <c r="AI56" s="253">
        <v>0</v>
      </c>
      <c r="AJ56" s="253">
        <v>0</v>
      </c>
      <c r="AK56" s="253">
        <v>31</v>
      </c>
      <c r="AL56" s="253">
        <v>1</v>
      </c>
      <c r="AM56" s="245"/>
      <c r="AN56" s="253" t="s">
        <v>591</v>
      </c>
      <c r="AO56" s="253">
        <v>226217509.80899999</v>
      </c>
      <c r="AP56" s="253">
        <v>1311</v>
      </c>
      <c r="AQ56" s="253">
        <v>21</v>
      </c>
      <c r="AR56" s="253">
        <v>9929</v>
      </c>
      <c r="AS56" s="253">
        <v>1</v>
      </c>
      <c r="AT56" s="245"/>
      <c r="AU56" s="253" t="s">
        <v>587</v>
      </c>
      <c r="AV56" s="253">
        <v>0</v>
      </c>
      <c r="AW56" s="253">
        <v>0</v>
      </c>
      <c r="AX56" s="253">
        <v>0</v>
      </c>
      <c r="AY56" s="253">
        <v>31</v>
      </c>
      <c r="AZ56" s="253">
        <v>1</v>
      </c>
      <c r="BA56" s="245"/>
      <c r="BB56" s="253" t="s">
        <v>611</v>
      </c>
      <c r="BC56" s="253">
        <v>19900920</v>
      </c>
      <c r="BD56" s="253">
        <v>202</v>
      </c>
      <c r="BE56" s="253">
        <v>71</v>
      </c>
      <c r="BF56" s="253">
        <v>1290</v>
      </c>
      <c r="BG56" s="253">
        <v>1</v>
      </c>
      <c r="BH56" s="247" t="s">
        <v>611</v>
      </c>
      <c r="BI56" s="253">
        <v>498500</v>
      </c>
      <c r="BJ56" s="253">
        <v>5</v>
      </c>
      <c r="BK56" s="253">
        <v>1</v>
      </c>
      <c r="BL56" s="253">
        <v>71</v>
      </c>
      <c r="BM56" s="253">
        <v>1</v>
      </c>
      <c r="BN56" s="253"/>
      <c r="BO56" s="247"/>
      <c r="BP56" s="263" t="s">
        <v>621</v>
      </c>
      <c r="BQ56" s="263">
        <v>3608052</v>
      </c>
      <c r="BR56" s="263"/>
    </row>
    <row r="57" spans="1:70" x14ac:dyDescent="0.25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800.19972911000002</v>
      </c>
      <c r="I57" s="164"/>
      <c r="J57" s="157"/>
      <c r="K57" s="228"/>
      <c r="L57" s="228"/>
      <c r="M57" s="228"/>
      <c r="O57" s="241" t="s">
        <v>290</v>
      </c>
      <c r="P57" s="241">
        <v>805.51450195999996</v>
      </c>
      <c r="Q57" s="239"/>
      <c r="S57" s="253" t="s">
        <v>450</v>
      </c>
      <c r="T57" s="258">
        <v>0</v>
      </c>
      <c r="U57" s="258">
        <v>0</v>
      </c>
      <c r="V57" s="258">
        <v>0</v>
      </c>
      <c r="W57" s="258">
        <v>8025162</v>
      </c>
      <c r="X57" s="258">
        <v>1</v>
      </c>
      <c r="Y57" s="245"/>
      <c r="Z57" s="253" t="s">
        <v>611</v>
      </c>
      <c r="AA57" s="253">
        <v>12590750.07</v>
      </c>
      <c r="AB57" s="253">
        <v>127</v>
      </c>
      <c r="AC57" s="253">
        <v>43</v>
      </c>
      <c r="AD57" s="253">
        <v>1418</v>
      </c>
      <c r="AE57" s="253">
        <v>1</v>
      </c>
      <c r="AF57" s="253"/>
      <c r="AG57" s="253" t="s">
        <v>611</v>
      </c>
      <c r="AH57" s="253">
        <v>0</v>
      </c>
      <c r="AI57" s="253">
        <v>0</v>
      </c>
      <c r="AJ57" s="253">
        <v>0</v>
      </c>
      <c r="AK57" s="253">
        <v>47</v>
      </c>
      <c r="AL57" s="253">
        <v>1</v>
      </c>
      <c r="AM57" s="245"/>
      <c r="AN57" s="253" t="s">
        <v>587</v>
      </c>
      <c r="AO57" s="253">
        <v>0</v>
      </c>
      <c r="AP57" s="253">
        <v>0</v>
      </c>
      <c r="AQ57" s="253">
        <v>0</v>
      </c>
      <c r="AR57" s="253">
        <v>589</v>
      </c>
      <c r="AS57" s="253">
        <v>1</v>
      </c>
      <c r="AT57" s="245"/>
      <c r="AU57" s="253" t="s">
        <v>611</v>
      </c>
      <c r="AV57" s="253">
        <v>0</v>
      </c>
      <c r="AW57" s="253">
        <v>0</v>
      </c>
      <c r="AX57" s="253">
        <v>0</v>
      </c>
      <c r="AY57" s="253">
        <v>32</v>
      </c>
      <c r="AZ57" s="253">
        <v>1</v>
      </c>
      <c r="BA57" s="245"/>
      <c r="BB57" s="253" t="s">
        <v>596</v>
      </c>
      <c r="BC57" s="253">
        <v>0</v>
      </c>
      <c r="BD57" s="253">
        <v>0</v>
      </c>
      <c r="BE57" s="253">
        <v>0</v>
      </c>
      <c r="BF57" s="253">
        <v>84</v>
      </c>
      <c r="BG57" s="253">
        <v>1</v>
      </c>
      <c r="BH57" s="247" t="s">
        <v>596</v>
      </c>
      <c r="BI57" s="253">
        <v>0</v>
      </c>
      <c r="BJ57" s="253">
        <v>0</v>
      </c>
      <c r="BK57" s="253">
        <v>0</v>
      </c>
      <c r="BL57" s="253">
        <v>4</v>
      </c>
      <c r="BM57" s="253">
        <v>1</v>
      </c>
      <c r="BN57" s="253"/>
      <c r="BO57" s="247"/>
      <c r="BP57" s="263" t="s">
        <v>622</v>
      </c>
      <c r="BQ57" s="263">
        <v>1567597</v>
      </c>
      <c r="BR57" s="263"/>
    </row>
    <row r="58" spans="1:70" x14ac:dyDescent="0.25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625.85621914000001</v>
      </c>
      <c r="I58" s="164"/>
      <c r="J58" s="157"/>
      <c r="K58" s="228"/>
      <c r="L58" s="228"/>
      <c r="M58" s="228"/>
      <c r="O58" s="241" t="s">
        <v>95</v>
      </c>
      <c r="P58" s="241">
        <v>694.66658584000004</v>
      </c>
      <c r="Q58" s="239"/>
      <c r="S58" s="245" t="s">
        <v>448</v>
      </c>
      <c r="T58" s="245">
        <v>0</v>
      </c>
      <c r="U58" s="245">
        <v>11878</v>
      </c>
      <c r="V58" s="245">
        <v>41</v>
      </c>
      <c r="W58" s="245">
        <v>595313</v>
      </c>
      <c r="X58" s="245">
        <v>1</v>
      </c>
      <c r="Y58" s="245"/>
      <c r="Z58" s="253" t="s">
        <v>596</v>
      </c>
      <c r="AA58" s="253">
        <v>21619250</v>
      </c>
      <c r="AB58" s="253">
        <v>97</v>
      </c>
      <c r="AC58" s="253">
        <v>9</v>
      </c>
      <c r="AD58" s="253">
        <v>612</v>
      </c>
      <c r="AE58" s="253">
        <v>1</v>
      </c>
      <c r="AF58" s="253"/>
      <c r="AG58" s="253" t="s">
        <v>596</v>
      </c>
      <c r="AH58" s="253">
        <v>0</v>
      </c>
      <c r="AI58" s="253">
        <v>0</v>
      </c>
      <c r="AJ58" s="253">
        <v>0</v>
      </c>
      <c r="AK58" s="253">
        <v>63</v>
      </c>
      <c r="AL58" s="253">
        <v>1</v>
      </c>
      <c r="AM58" s="245"/>
      <c r="AN58" s="253" t="s">
        <v>611</v>
      </c>
      <c r="AO58" s="253">
        <v>5767380.1500000004</v>
      </c>
      <c r="AP58" s="253">
        <v>63</v>
      </c>
      <c r="AQ58" s="253">
        <v>23</v>
      </c>
      <c r="AR58" s="253">
        <v>705</v>
      </c>
      <c r="AS58" s="253">
        <v>1</v>
      </c>
      <c r="AT58" s="245"/>
      <c r="AU58" s="253" t="s">
        <v>596</v>
      </c>
      <c r="AV58" s="253">
        <v>0</v>
      </c>
      <c r="AW58" s="253">
        <v>0</v>
      </c>
      <c r="AX58" s="253">
        <v>0</v>
      </c>
      <c r="AY58" s="253">
        <v>25</v>
      </c>
      <c r="AZ58" s="253">
        <v>1</v>
      </c>
      <c r="BA58" s="245"/>
      <c r="BB58" s="253" t="s">
        <v>598</v>
      </c>
      <c r="BC58" s="253">
        <v>777038</v>
      </c>
      <c r="BD58" s="253">
        <v>15</v>
      </c>
      <c r="BE58" s="253">
        <v>6</v>
      </c>
      <c r="BF58" s="253">
        <v>174</v>
      </c>
      <c r="BG58" s="253">
        <v>1</v>
      </c>
      <c r="BH58" s="247" t="s">
        <v>598</v>
      </c>
      <c r="BI58" s="253">
        <v>0</v>
      </c>
      <c r="BJ58" s="253">
        <v>0</v>
      </c>
      <c r="BK58" s="253">
        <v>0</v>
      </c>
      <c r="BL58" s="253">
        <v>15</v>
      </c>
      <c r="BM58" s="253">
        <v>1</v>
      </c>
      <c r="BN58" s="253"/>
      <c r="BO58" s="247"/>
      <c r="BP58" s="263"/>
      <c r="BQ58" s="263"/>
      <c r="BR58" s="263"/>
    </row>
    <row r="59" spans="1:70" x14ac:dyDescent="0.25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503.82706374000003</v>
      </c>
      <c r="I59" s="164"/>
      <c r="J59" s="157"/>
      <c r="K59" s="228"/>
      <c r="L59" s="228"/>
      <c r="M59" s="228"/>
      <c r="O59" s="241" t="s">
        <v>97</v>
      </c>
      <c r="P59" s="241">
        <v>560.01382573000001</v>
      </c>
      <c r="Q59" s="239"/>
      <c r="S59" s="245"/>
      <c r="T59" s="245"/>
      <c r="U59" s="245"/>
      <c r="V59" s="245"/>
      <c r="W59" s="245"/>
      <c r="X59" s="245"/>
      <c r="Y59" s="245"/>
      <c r="Z59" s="253" t="s">
        <v>598</v>
      </c>
      <c r="AA59" s="253">
        <v>9692815</v>
      </c>
      <c r="AB59" s="253">
        <v>200</v>
      </c>
      <c r="AC59" s="253">
        <v>3</v>
      </c>
      <c r="AD59" s="253">
        <v>1280</v>
      </c>
      <c r="AE59" s="253">
        <v>1</v>
      </c>
      <c r="AF59" s="253"/>
      <c r="AG59" s="253" t="s">
        <v>598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596</v>
      </c>
      <c r="AO59" s="253">
        <v>8723031.5</v>
      </c>
      <c r="AP59" s="253">
        <v>34</v>
      </c>
      <c r="AQ59" s="253">
        <v>1</v>
      </c>
      <c r="AR59" s="253">
        <v>475</v>
      </c>
      <c r="AS59" s="253">
        <v>1</v>
      </c>
      <c r="AT59" s="245"/>
      <c r="AU59" s="253" t="s">
        <v>598</v>
      </c>
      <c r="AV59" s="253">
        <v>0</v>
      </c>
      <c r="AW59" s="253">
        <v>0</v>
      </c>
      <c r="AX59" s="253">
        <v>0</v>
      </c>
      <c r="AY59" s="253">
        <v>60</v>
      </c>
      <c r="AZ59" s="253">
        <v>1</v>
      </c>
      <c r="BA59" s="245"/>
      <c r="BB59" s="253" t="s">
        <v>573</v>
      </c>
      <c r="BC59" s="253">
        <v>270575</v>
      </c>
      <c r="BD59" s="253">
        <v>4</v>
      </c>
      <c r="BE59" s="253">
        <v>1</v>
      </c>
      <c r="BF59" s="253">
        <v>20</v>
      </c>
      <c r="BG59" s="253">
        <v>1</v>
      </c>
      <c r="BH59" s="247" t="s">
        <v>573</v>
      </c>
      <c r="BI59" s="253">
        <v>0</v>
      </c>
      <c r="BJ59" s="253">
        <v>0</v>
      </c>
      <c r="BK59" s="253">
        <v>0</v>
      </c>
      <c r="BL59" s="253">
        <v>4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5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87323.414891990004</v>
      </c>
      <c r="I60" s="164"/>
      <c r="J60" s="157"/>
      <c r="K60" s="228"/>
      <c r="L60" s="228"/>
      <c r="M60" s="228"/>
      <c r="O60" s="241" t="s">
        <v>293</v>
      </c>
      <c r="P60" s="241">
        <v>87079.818360780002</v>
      </c>
      <c r="Q60" s="239"/>
      <c r="R60" s="153" t="s">
        <v>456</v>
      </c>
      <c r="S60" s="254" t="s">
        <v>564</v>
      </c>
      <c r="T60" s="257" t="s">
        <v>565</v>
      </c>
      <c r="U60" s="257" t="s">
        <v>566</v>
      </c>
      <c r="V60" s="257" t="s">
        <v>567</v>
      </c>
      <c r="W60" s="257" t="s">
        <v>568</v>
      </c>
      <c r="X60" s="257" t="s">
        <v>569</v>
      </c>
      <c r="Y60" s="245"/>
      <c r="Z60" s="253" t="s">
        <v>573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573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598</v>
      </c>
      <c r="AO60" s="253">
        <v>2986500</v>
      </c>
      <c r="AP60" s="253">
        <v>60</v>
      </c>
      <c r="AQ60" s="253">
        <v>1</v>
      </c>
      <c r="AR60" s="253">
        <v>720</v>
      </c>
      <c r="AS60" s="253">
        <v>1</v>
      </c>
      <c r="AT60" s="245"/>
      <c r="AU60" s="253" t="s">
        <v>573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588</v>
      </c>
      <c r="BC60" s="253">
        <v>0</v>
      </c>
      <c r="BD60" s="253">
        <v>0</v>
      </c>
      <c r="BE60" s="253">
        <v>0</v>
      </c>
      <c r="BF60" s="253">
        <v>0</v>
      </c>
      <c r="BG60" s="253">
        <v>0</v>
      </c>
      <c r="BH60" s="247" t="s">
        <v>588</v>
      </c>
      <c r="BI60" s="253">
        <v>0</v>
      </c>
      <c r="BJ60" s="253">
        <v>0</v>
      </c>
      <c r="BK60" s="253">
        <v>0</v>
      </c>
      <c r="BL60" s="253">
        <v>0</v>
      </c>
      <c r="BM60" s="253">
        <v>0</v>
      </c>
      <c r="BN60" s="253"/>
      <c r="BO60" s="247"/>
      <c r="BP60" s="263">
        <v>29325309096.400002</v>
      </c>
      <c r="BQ60" s="263">
        <v>2323459</v>
      </c>
      <c r="BR60" s="263">
        <v>3300</v>
      </c>
    </row>
    <row r="61" spans="1:70" x14ac:dyDescent="0.25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21334.190257580001</v>
      </c>
      <c r="I61" s="164"/>
      <c r="J61" s="157"/>
      <c r="K61" s="228"/>
      <c r="L61" s="228"/>
      <c r="M61" s="228"/>
      <c r="O61" s="241" t="s">
        <v>99</v>
      </c>
      <c r="P61" s="241">
        <v>20693.167546780001</v>
      </c>
      <c r="Q61" s="239"/>
      <c r="R61" s="157"/>
      <c r="S61" s="253" t="s">
        <v>449</v>
      </c>
      <c r="T61" s="258">
        <v>464552257.76749998</v>
      </c>
      <c r="U61" s="258">
        <v>1275107</v>
      </c>
      <c r="V61" s="258">
        <v>122</v>
      </c>
      <c r="W61" s="258">
        <v>17490822</v>
      </c>
      <c r="X61" s="258">
        <v>1</v>
      </c>
      <c r="Y61" s="245"/>
      <c r="Z61" s="253" t="s">
        <v>588</v>
      </c>
      <c r="AA61" s="253">
        <v>0</v>
      </c>
      <c r="AB61" s="253">
        <v>0</v>
      </c>
      <c r="AC61" s="253">
        <v>0</v>
      </c>
      <c r="AD61" s="253">
        <v>0</v>
      </c>
      <c r="AE61" s="253">
        <v>0</v>
      </c>
      <c r="AF61" s="253"/>
      <c r="AG61" s="253" t="s">
        <v>588</v>
      </c>
      <c r="AH61" s="253">
        <v>0</v>
      </c>
      <c r="AI61" s="253">
        <v>0</v>
      </c>
      <c r="AJ61" s="253">
        <v>0</v>
      </c>
      <c r="AK61" s="253">
        <v>0</v>
      </c>
      <c r="AL61" s="253">
        <v>0</v>
      </c>
      <c r="AM61" s="245"/>
      <c r="AN61" s="253" t="s">
        <v>573</v>
      </c>
      <c r="AO61" s="253">
        <v>0</v>
      </c>
      <c r="AP61" s="253">
        <v>0</v>
      </c>
      <c r="AQ61" s="253">
        <v>0</v>
      </c>
      <c r="AR61" s="253">
        <v>0</v>
      </c>
      <c r="AS61" s="253">
        <v>1</v>
      </c>
      <c r="AT61" s="245"/>
      <c r="AU61" s="253" t="s">
        <v>588</v>
      </c>
      <c r="AV61" s="253">
        <v>0</v>
      </c>
      <c r="AW61" s="253">
        <v>0</v>
      </c>
      <c r="AX61" s="253">
        <v>0</v>
      </c>
      <c r="AY61" s="253">
        <v>0</v>
      </c>
      <c r="AZ61" s="253">
        <v>0</v>
      </c>
      <c r="BA61" s="245"/>
      <c r="BB61" s="253" t="s">
        <v>576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576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5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260.86565820999999</v>
      </c>
      <c r="I62" s="164"/>
      <c r="J62" s="157"/>
      <c r="K62" s="228"/>
      <c r="L62" s="228"/>
      <c r="M62" s="228"/>
      <c r="O62" s="241" t="s">
        <v>294</v>
      </c>
      <c r="P62" s="241">
        <v>257.47941708000002</v>
      </c>
      <c r="Q62" s="239"/>
      <c r="R62" s="157"/>
      <c r="S62" s="253" t="s">
        <v>447</v>
      </c>
      <c r="T62" s="258">
        <v>391491483.31999999</v>
      </c>
      <c r="U62" s="258">
        <v>674757</v>
      </c>
      <c r="V62" s="258">
        <v>462</v>
      </c>
      <c r="W62" s="258">
        <v>1470740</v>
      </c>
      <c r="X62" s="258">
        <v>0</v>
      </c>
      <c r="Y62" s="245"/>
      <c r="Z62" s="253" t="s">
        <v>576</v>
      </c>
      <c r="AA62" s="253">
        <v>0</v>
      </c>
      <c r="AB62" s="253">
        <v>0</v>
      </c>
      <c r="AC62" s="253">
        <v>0</v>
      </c>
      <c r="AD62" s="253">
        <v>0</v>
      </c>
      <c r="AE62" s="253">
        <v>0</v>
      </c>
      <c r="AF62" s="253"/>
      <c r="AG62" s="253" t="s">
        <v>576</v>
      </c>
      <c r="AH62" s="253">
        <v>0</v>
      </c>
      <c r="AI62" s="253">
        <v>0</v>
      </c>
      <c r="AJ62" s="253">
        <v>0</v>
      </c>
      <c r="AK62" s="253">
        <v>0</v>
      </c>
      <c r="AL62" s="253">
        <v>0</v>
      </c>
      <c r="AM62" s="245"/>
      <c r="AN62" s="253" t="s">
        <v>588</v>
      </c>
      <c r="AO62" s="253">
        <v>0</v>
      </c>
      <c r="AP62" s="253">
        <v>0</v>
      </c>
      <c r="AQ62" s="253">
        <v>0</v>
      </c>
      <c r="AR62" s="253">
        <v>0</v>
      </c>
      <c r="AS62" s="253">
        <v>0</v>
      </c>
      <c r="AT62" s="245"/>
      <c r="AU62" s="253" t="s">
        <v>576</v>
      </c>
      <c r="AV62" s="253">
        <v>0</v>
      </c>
      <c r="AW62" s="253">
        <v>0</v>
      </c>
      <c r="AX62" s="253">
        <v>0</v>
      </c>
      <c r="AY62" s="253">
        <v>0</v>
      </c>
      <c r="AZ62" s="253">
        <v>0</v>
      </c>
      <c r="BA62" s="245"/>
      <c r="BB62" s="253" t="s">
        <v>612</v>
      </c>
      <c r="BC62" s="253">
        <v>0</v>
      </c>
      <c r="BD62" s="253">
        <v>0</v>
      </c>
      <c r="BE62" s="253">
        <v>0</v>
      </c>
      <c r="BF62" s="253">
        <v>420</v>
      </c>
      <c r="BG62" s="253">
        <v>0</v>
      </c>
      <c r="BH62" s="247" t="s">
        <v>612</v>
      </c>
      <c r="BI62" s="253">
        <v>0</v>
      </c>
      <c r="BJ62" s="253">
        <v>0</v>
      </c>
      <c r="BK62" s="253">
        <v>0</v>
      </c>
      <c r="BL62" s="253">
        <v>20</v>
      </c>
      <c r="BM62" s="253">
        <v>0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5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11291.73965596</v>
      </c>
      <c r="I63" s="164"/>
      <c r="J63" s="157"/>
      <c r="K63" s="228"/>
      <c r="L63" s="228"/>
      <c r="M63" s="228"/>
      <c r="O63" s="241" t="s">
        <v>295</v>
      </c>
      <c r="P63" s="241">
        <v>11049.5907322</v>
      </c>
      <c r="Q63" s="239"/>
      <c r="R63" s="157"/>
      <c r="S63" s="253" t="s">
        <v>451</v>
      </c>
      <c r="T63" s="258">
        <v>93239367.129999995</v>
      </c>
      <c r="U63" s="258">
        <v>697921</v>
      </c>
      <c r="V63" s="258">
        <v>77</v>
      </c>
      <c r="W63" s="258">
        <v>811963</v>
      </c>
      <c r="X63" s="258">
        <v>0</v>
      </c>
      <c r="Y63" s="245"/>
      <c r="Z63" s="253" t="s">
        <v>612</v>
      </c>
      <c r="AA63" s="253">
        <v>0</v>
      </c>
      <c r="AB63" s="253">
        <v>0</v>
      </c>
      <c r="AC63" s="253">
        <v>0</v>
      </c>
      <c r="AD63" s="253">
        <v>1100</v>
      </c>
      <c r="AE63" s="253">
        <v>0</v>
      </c>
      <c r="AF63" s="253"/>
      <c r="AG63" s="253" t="s">
        <v>612</v>
      </c>
      <c r="AH63" s="253">
        <v>0</v>
      </c>
      <c r="AI63" s="253">
        <v>0</v>
      </c>
      <c r="AJ63" s="253">
        <v>0</v>
      </c>
      <c r="AK63" s="253">
        <v>50</v>
      </c>
      <c r="AL63" s="253">
        <v>0</v>
      </c>
      <c r="AM63" s="245"/>
      <c r="AN63" s="253" t="s">
        <v>576</v>
      </c>
      <c r="AO63" s="253">
        <v>0</v>
      </c>
      <c r="AP63" s="253">
        <v>0</v>
      </c>
      <c r="AQ63" s="253">
        <v>0</v>
      </c>
      <c r="AR63" s="253">
        <v>0</v>
      </c>
      <c r="AS63" s="253">
        <v>0</v>
      </c>
      <c r="AT63" s="245"/>
      <c r="AU63" s="253" t="s">
        <v>612</v>
      </c>
      <c r="AV63" s="253">
        <v>0</v>
      </c>
      <c r="AW63" s="253">
        <v>0</v>
      </c>
      <c r="AX63" s="253">
        <v>0</v>
      </c>
      <c r="AY63" s="253">
        <v>50</v>
      </c>
      <c r="AZ63" s="253">
        <v>0</v>
      </c>
      <c r="BA63" s="245"/>
      <c r="BB63" s="253" t="s">
        <v>613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613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29114850223</v>
      </c>
      <c r="BQ63" s="263">
        <v>2233443</v>
      </c>
      <c r="BR63" s="263">
        <v>243</v>
      </c>
    </row>
    <row r="64" spans="1:70" x14ac:dyDescent="0.25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10619.49084846</v>
      </c>
      <c r="I64" s="164"/>
      <c r="J64" s="3"/>
      <c r="K64" s="228"/>
      <c r="L64" s="228"/>
      <c r="M64" s="228"/>
      <c r="O64" s="241" t="s">
        <v>296</v>
      </c>
      <c r="P64" s="241">
        <v>10452.06814646</v>
      </c>
      <c r="Q64" s="239"/>
      <c r="R64" s="157"/>
      <c r="S64" s="253" t="s">
        <v>446</v>
      </c>
      <c r="T64" s="258">
        <v>4001667468.8299999</v>
      </c>
      <c r="U64" s="258">
        <v>395562</v>
      </c>
      <c r="V64" s="258">
        <v>1555</v>
      </c>
      <c r="W64" s="258">
        <v>923891</v>
      </c>
      <c r="X64" s="258">
        <v>0</v>
      </c>
      <c r="Y64" s="245"/>
      <c r="Z64" s="253" t="s">
        <v>613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/>
      <c r="AG64" s="253" t="s">
        <v>613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612</v>
      </c>
      <c r="AO64" s="253">
        <v>444798</v>
      </c>
      <c r="AP64" s="253">
        <v>50</v>
      </c>
      <c r="AQ64" s="253">
        <v>4</v>
      </c>
      <c r="AR64" s="253">
        <v>1030</v>
      </c>
      <c r="AS64" s="253">
        <v>0</v>
      </c>
      <c r="AT64" s="245"/>
      <c r="AU64" s="253" t="s">
        <v>613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577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577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5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213.53014454000001</v>
      </c>
      <c r="I65" s="164"/>
      <c r="J65" s="3"/>
      <c r="K65" s="228"/>
      <c r="L65" s="228"/>
      <c r="M65" s="228"/>
      <c r="O65" s="241" t="s">
        <v>297</v>
      </c>
      <c r="P65" s="241">
        <v>203.09384489999999</v>
      </c>
      <c r="Q65" s="239"/>
      <c r="R65" s="157"/>
      <c r="S65" s="253" t="s">
        <v>571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577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577</v>
      </c>
      <c r="AH65" s="253">
        <v>0</v>
      </c>
      <c r="AI65" s="253">
        <v>0</v>
      </c>
      <c r="AJ65" s="253">
        <v>0</v>
      </c>
      <c r="AK65" s="253">
        <v>0</v>
      </c>
      <c r="AL65" s="253">
        <v>0</v>
      </c>
      <c r="AM65" s="245"/>
      <c r="AN65" s="253" t="s">
        <v>613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577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614</v>
      </c>
      <c r="BC65" s="253">
        <v>0</v>
      </c>
      <c r="BD65" s="253">
        <v>0</v>
      </c>
      <c r="BE65" s="253">
        <v>0</v>
      </c>
      <c r="BF65" s="253">
        <v>0</v>
      </c>
      <c r="BG65" s="253">
        <v>0</v>
      </c>
      <c r="BH65" s="247" t="s">
        <v>614</v>
      </c>
      <c r="BI65" s="253">
        <v>0</v>
      </c>
      <c r="BJ65" s="253">
        <v>0</v>
      </c>
      <c r="BK65" s="253">
        <v>0</v>
      </c>
      <c r="BL65" s="253">
        <v>0</v>
      </c>
      <c r="BM65" s="253">
        <v>0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5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298</v>
      </c>
      <c r="H66" s="223">
        <v>12582.07070002</v>
      </c>
      <c r="I66" s="164"/>
      <c r="J66" s="3"/>
      <c r="K66" s="228"/>
      <c r="L66" s="228"/>
      <c r="M66" s="228"/>
      <c r="O66" s="241" t="s">
        <v>298</v>
      </c>
      <c r="P66" s="241">
        <v>12186.31177298</v>
      </c>
      <c r="Q66" s="239"/>
      <c r="R66" s="157"/>
      <c r="S66" s="253" t="s">
        <v>447</v>
      </c>
      <c r="T66" s="258">
        <v>8758303895.7280006</v>
      </c>
      <c r="U66" s="258">
        <v>484725</v>
      </c>
      <c r="V66" s="258">
        <v>4466</v>
      </c>
      <c r="W66" s="258">
        <v>896235</v>
      </c>
      <c r="X66" s="258">
        <v>1</v>
      </c>
      <c r="Y66" s="245"/>
      <c r="Z66" s="253" t="s">
        <v>614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614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577</v>
      </c>
      <c r="AO66" s="253">
        <v>0</v>
      </c>
      <c r="AP66" s="253">
        <v>0</v>
      </c>
      <c r="AQ66" s="253">
        <v>0</v>
      </c>
      <c r="AR66" s="253">
        <v>0</v>
      </c>
      <c r="AS66" s="253">
        <v>0</v>
      </c>
      <c r="AT66" s="245"/>
      <c r="AU66" s="253" t="s">
        <v>614</v>
      </c>
      <c r="AV66" s="253">
        <v>0</v>
      </c>
      <c r="AW66" s="253">
        <v>0</v>
      </c>
      <c r="AX66" s="253">
        <v>0</v>
      </c>
      <c r="AY66" s="253">
        <v>0</v>
      </c>
      <c r="AZ66" s="253">
        <v>0</v>
      </c>
      <c r="BA66" s="245"/>
      <c r="BB66" s="253" t="s">
        <v>578</v>
      </c>
      <c r="BC66" s="253">
        <v>0</v>
      </c>
      <c r="BD66" s="253">
        <v>0</v>
      </c>
      <c r="BE66" s="253">
        <v>0</v>
      </c>
      <c r="BF66" s="253">
        <v>0</v>
      </c>
      <c r="BG66" s="253">
        <v>0</v>
      </c>
      <c r="BH66" s="247" t="s">
        <v>578</v>
      </c>
      <c r="BI66" s="253">
        <v>0</v>
      </c>
      <c r="BJ66" s="253">
        <v>0</v>
      </c>
      <c r="BK66" s="253">
        <v>0</v>
      </c>
      <c r="BL66" s="253">
        <v>0</v>
      </c>
      <c r="BM66" s="253">
        <v>0</v>
      </c>
      <c r="BN66" s="253"/>
      <c r="BO66" s="247"/>
      <c r="BP66" s="263">
        <v>15591437735.4</v>
      </c>
      <c r="BQ66" s="263">
        <v>1159008</v>
      </c>
      <c r="BR66" s="263">
        <v>3787</v>
      </c>
    </row>
    <row r="67" spans="1:70" x14ac:dyDescent="0.25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299</v>
      </c>
      <c r="H67" s="223">
        <v>6814.5139850899996</v>
      </c>
      <c r="I67" s="164"/>
      <c r="J67" s="3"/>
      <c r="K67" s="228"/>
      <c r="L67" s="228"/>
      <c r="M67" s="228"/>
      <c r="O67" s="241" t="s">
        <v>299</v>
      </c>
      <c r="P67" s="241">
        <v>6168.1017542400004</v>
      </c>
      <c r="Q67" s="239"/>
      <c r="R67" s="157"/>
      <c r="S67" s="253" t="s">
        <v>182</v>
      </c>
      <c r="T67" s="258">
        <v>37640903.865999997</v>
      </c>
      <c r="U67" s="258">
        <v>723314</v>
      </c>
      <c r="V67" s="258">
        <v>242</v>
      </c>
      <c r="W67" s="258">
        <v>1596582</v>
      </c>
      <c r="X67" s="258">
        <v>1</v>
      </c>
      <c r="Y67" s="245"/>
      <c r="Z67" s="253" t="s">
        <v>578</v>
      </c>
      <c r="AA67" s="253">
        <v>0</v>
      </c>
      <c r="AB67" s="253">
        <v>0</v>
      </c>
      <c r="AC67" s="253">
        <v>0</v>
      </c>
      <c r="AD67" s="253">
        <v>0</v>
      </c>
      <c r="AE67" s="253">
        <v>0</v>
      </c>
      <c r="AF67" s="253"/>
      <c r="AG67" s="253" t="s">
        <v>578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614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578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 t="s">
        <v>613</v>
      </c>
      <c r="BC67" s="253">
        <v>348775</v>
      </c>
      <c r="BD67" s="253">
        <v>3</v>
      </c>
      <c r="BE67" s="253">
        <v>3</v>
      </c>
      <c r="BF67" s="253">
        <v>415</v>
      </c>
      <c r="BG67" s="253">
        <v>1</v>
      </c>
      <c r="BH67" s="247" t="s">
        <v>613</v>
      </c>
      <c r="BI67" s="253">
        <v>0</v>
      </c>
      <c r="BJ67" s="253">
        <v>0</v>
      </c>
      <c r="BK67" s="253">
        <v>0</v>
      </c>
      <c r="BL67" s="253">
        <v>20</v>
      </c>
      <c r="BM67" s="253">
        <v>1</v>
      </c>
      <c r="BN67" s="253"/>
      <c r="BO67" s="247"/>
      <c r="BP67" s="247"/>
      <c r="BQ67" s="247"/>
      <c r="BR67" s="247"/>
    </row>
    <row r="68" spans="1:70" x14ac:dyDescent="0.25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227.82227137999999</v>
      </c>
      <c r="I68" s="164"/>
      <c r="J68" s="3"/>
      <c r="K68" s="228"/>
      <c r="L68" s="228"/>
      <c r="M68" s="228"/>
      <c r="O68" s="241" t="s">
        <v>300</v>
      </c>
      <c r="P68" s="241">
        <v>214.04053665999999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615</v>
      </c>
      <c r="AA68" s="253">
        <v>0</v>
      </c>
      <c r="AB68" s="253">
        <v>0</v>
      </c>
      <c r="AC68" s="253">
        <v>0</v>
      </c>
      <c r="AD68" s="253">
        <v>0</v>
      </c>
      <c r="AE68" s="253">
        <v>1</v>
      </c>
      <c r="AF68" s="253"/>
      <c r="AG68" s="253" t="s">
        <v>615</v>
      </c>
      <c r="AH68" s="253">
        <v>0</v>
      </c>
      <c r="AI68" s="253">
        <v>0</v>
      </c>
      <c r="AJ68" s="253">
        <v>0</v>
      </c>
      <c r="AK68" s="253">
        <v>0</v>
      </c>
      <c r="AL68" s="253">
        <v>1</v>
      </c>
      <c r="AM68" s="245"/>
      <c r="AN68" s="253" t="s">
        <v>578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45"/>
      <c r="AU68" s="253" t="s">
        <v>615</v>
      </c>
      <c r="AV68" s="253">
        <v>0</v>
      </c>
      <c r="AW68" s="253">
        <v>0</v>
      </c>
      <c r="AX68" s="253">
        <v>0</v>
      </c>
      <c r="AY68" s="253">
        <v>0</v>
      </c>
      <c r="AZ68" s="253">
        <v>1</v>
      </c>
      <c r="BA68" s="245"/>
      <c r="BB68" s="253" t="s">
        <v>612</v>
      </c>
      <c r="BC68" s="253">
        <v>26919545.201000001</v>
      </c>
      <c r="BD68" s="253">
        <v>198</v>
      </c>
      <c r="BE68" s="253">
        <v>24</v>
      </c>
      <c r="BF68" s="253">
        <v>2594</v>
      </c>
      <c r="BG68" s="253">
        <v>1</v>
      </c>
      <c r="BH68" s="247" t="s">
        <v>612</v>
      </c>
      <c r="BI68" s="253">
        <v>135700</v>
      </c>
      <c r="BJ68" s="253">
        <v>1</v>
      </c>
      <c r="BK68" s="253">
        <v>1</v>
      </c>
      <c r="BL68" s="253">
        <v>184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5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2057.8589999400001</v>
      </c>
      <c r="I69" s="164"/>
      <c r="J69" s="3"/>
      <c r="K69" s="228"/>
      <c r="L69" s="228"/>
      <c r="M69" s="228"/>
      <c r="O69" s="241" t="s">
        <v>301</v>
      </c>
      <c r="P69" s="241">
        <v>2112.4339910499998</v>
      </c>
      <c r="Q69" s="239"/>
      <c r="R69" s="157"/>
      <c r="S69" s="253" t="s">
        <v>446</v>
      </c>
      <c r="T69" s="258">
        <v>338105930881.16339</v>
      </c>
      <c r="U69" s="258">
        <v>1171482</v>
      </c>
      <c r="V69" s="258">
        <v>246027</v>
      </c>
      <c r="W69" s="258">
        <v>855599</v>
      </c>
      <c r="X69" s="258">
        <v>1</v>
      </c>
      <c r="Y69" s="245"/>
      <c r="Z69" s="253" t="s">
        <v>613</v>
      </c>
      <c r="AA69" s="253">
        <v>519600</v>
      </c>
      <c r="AB69" s="253">
        <v>5</v>
      </c>
      <c r="AC69" s="253">
        <v>4</v>
      </c>
      <c r="AD69" s="253">
        <v>438</v>
      </c>
      <c r="AE69" s="253">
        <v>1</v>
      </c>
      <c r="AF69" s="253"/>
      <c r="AG69" s="253" t="s">
        <v>613</v>
      </c>
      <c r="AH69" s="253">
        <v>310225</v>
      </c>
      <c r="AI69" s="253">
        <v>3</v>
      </c>
      <c r="AJ69" s="253">
        <v>2</v>
      </c>
      <c r="AK69" s="253">
        <v>24</v>
      </c>
      <c r="AL69" s="253">
        <v>1</v>
      </c>
      <c r="AM69" s="245"/>
      <c r="AN69" s="253" t="s">
        <v>615</v>
      </c>
      <c r="AO69" s="253">
        <v>0</v>
      </c>
      <c r="AP69" s="253">
        <v>0</v>
      </c>
      <c r="AQ69" s="253">
        <v>0</v>
      </c>
      <c r="AR69" s="253">
        <v>0</v>
      </c>
      <c r="AS69" s="253">
        <v>1</v>
      </c>
      <c r="AT69" s="245"/>
      <c r="AU69" s="253" t="s">
        <v>613</v>
      </c>
      <c r="AV69" s="253">
        <v>0</v>
      </c>
      <c r="AW69" s="253">
        <v>0</v>
      </c>
      <c r="AX69" s="253">
        <v>0</v>
      </c>
      <c r="AY69" s="253">
        <v>19</v>
      </c>
      <c r="AZ69" s="253">
        <v>1</v>
      </c>
      <c r="BA69" s="245"/>
      <c r="BB69" s="253" t="s">
        <v>607</v>
      </c>
      <c r="BC69" s="253">
        <v>0</v>
      </c>
      <c r="BD69" s="253">
        <v>0</v>
      </c>
      <c r="BE69" s="253">
        <v>0</v>
      </c>
      <c r="BF69" s="253">
        <v>0</v>
      </c>
      <c r="BG69" s="253">
        <v>0</v>
      </c>
      <c r="BH69" s="247" t="s">
        <v>607</v>
      </c>
      <c r="BI69" s="253">
        <v>0</v>
      </c>
      <c r="BJ69" s="253">
        <v>0</v>
      </c>
      <c r="BK69" s="253">
        <v>0</v>
      </c>
      <c r="BL69" s="253">
        <v>0</v>
      </c>
      <c r="BM69" s="253">
        <v>0</v>
      </c>
      <c r="BN69" s="253"/>
      <c r="BO69" s="247"/>
      <c r="BP69" s="263">
        <v>9714054707.2999992</v>
      </c>
      <c r="BQ69" s="263">
        <v>714637</v>
      </c>
      <c r="BR69" s="263">
        <v>165</v>
      </c>
    </row>
    <row r="70" spans="1:70" x14ac:dyDescent="0.25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11087.53410271</v>
      </c>
      <c r="I70" s="164"/>
      <c r="J70" s="3"/>
      <c r="K70" s="228"/>
      <c r="L70" s="228"/>
      <c r="M70" s="228"/>
      <c r="O70" s="241" t="s">
        <v>302</v>
      </c>
      <c r="P70" s="241">
        <v>10924.20535493</v>
      </c>
      <c r="Q70" s="239"/>
      <c r="R70" s="157"/>
      <c r="S70" s="253" t="s">
        <v>451</v>
      </c>
      <c r="T70" s="258">
        <v>2020273887.076</v>
      </c>
      <c r="U70" s="258">
        <v>36577</v>
      </c>
      <c r="V70" s="258">
        <v>181</v>
      </c>
      <c r="W70" s="258">
        <v>164939</v>
      </c>
      <c r="X70" s="258">
        <v>1</v>
      </c>
      <c r="Y70" s="245"/>
      <c r="Z70" s="253" t="s">
        <v>612</v>
      </c>
      <c r="AA70" s="253">
        <v>23153930.052999999</v>
      </c>
      <c r="AB70" s="253">
        <v>183</v>
      </c>
      <c r="AC70" s="253">
        <v>14</v>
      </c>
      <c r="AD70" s="253">
        <v>2783</v>
      </c>
      <c r="AE70" s="253">
        <v>1</v>
      </c>
      <c r="AF70" s="253"/>
      <c r="AG70" s="253" t="s">
        <v>612</v>
      </c>
      <c r="AH70" s="253">
        <v>0</v>
      </c>
      <c r="AI70" s="253">
        <v>0</v>
      </c>
      <c r="AJ70" s="253">
        <v>0</v>
      </c>
      <c r="AK70" s="253">
        <v>207</v>
      </c>
      <c r="AL70" s="253">
        <v>1</v>
      </c>
      <c r="AM70" s="245"/>
      <c r="AN70" s="253" t="s">
        <v>613</v>
      </c>
      <c r="AO70" s="253">
        <v>77628229.849999994</v>
      </c>
      <c r="AP70" s="253">
        <v>704</v>
      </c>
      <c r="AQ70" s="253">
        <v>17</v>
      </c>
      <c r="AR70" s="253">
        <v>3036</v>
      </c>
      <c r="AS70" s="253">
        <v>1</v>
      </c>
      <c r="AT70" s="245"/>
      <c r="AU70" s="253" t="s">
        <v>612</v>
      </c>
      <c r="AV70" s="253">
        <v>0</v>
      </c>
      <c r="AW70" s="253">
        <v>0</v>
      </c>
      <c r="AX70" s="253">
        <v>0</v>
      </c>
      <c r="AY70" s="253">
        <v>45</v>
      </c>
      <c r="AZ70" s="253">
        <v>1</v>
      </c>
      <c r="BA70" s="245"/>
      <c r="BB70" s="253" t="s">
        <v>606</v>
      </c>
      <c r="BC70" s="253">
        <v>0</v>
      </c>
      <c r="BD70" s="253">
        <v>0</v>
      </c>
      <c r="BE70" s="253">
        <v>0</v>
      </c>
      <c r="BF70" s="253">
        <v>16800</v>
      </c>
      <c r="BG70" s="253">
        <v>0</v>
      </c>
      <c r="BH70" s="247" t="s">
        <v>606</v>
      </c>
      <c r="BI70" s="253">
        <v>0</v>
      </c>
      <c r="BJ70" s="253">
        <v>0</v>
      </c>
      <c r="BK70" s="253">
        <v>0</v>
      </c>
      <c r="BL70" s="253">
        <v>800</v>
      </c>
      <c r="BM70" s="253">
        <v>0</v>
      </c>
      <c r="BN70" s="253"/>
      <c r="BO70" s="245"/>
      <c r="BP70" s="245"/>
      <c r="BQ70" s="245"/>
      <c r="BR70" s="245"/>
    </row>
    <row r="71" spans="1:70" x14ac:dyDescent="0.25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12309.673199999999</v>
      </c>
      <c r="I71" s="164"/>
      <c r="J71" s="3"/>
      <c r="K71" s="228"/>
      <c r="L71" s="228"/>
      <c r="M71" s="228"/>
      <c r="O71" s="241" t="s">
        <v>303</v>
      </c>
      <c r="P71" s="241">
        <v>12284.8652</v>
      </c>
      <c r="Q71" s="239"/>
      <c r="R71" s="157"/>
      <c r="S71" s="253" t="s">
        <v>450</v>
      </c>
      <c r="T71" s="258">
        <v>2572.9899999999998</v>
      </c>
      <c r="U71" s="258">
        <v>1209166</v>
      </c>
      <c r="V71" s="258">
        <v>114</v>
      </c>
      <c r="W71" s="258">
        <v>17040934</v>
      </c>
      <c r="X71" s="258">
        <v>1</v>
      </c>
      <c r="Y71" s="245"/>
      <c r="Z71" s="253" t="s">
        <v>607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607</v>
      </c>
      <c r="AH71" s="253">
        <v>0</v>
      </c>
      <c r="AI71" s="253">
        <v>0</v>
      </c>
      <c r="AJ71" s="253">
        <v>0</v>
      </c>
      <c r="AK71" s="253">
        <v>0</v>
      </c>
      <c r="AL71" s="253">
        <v>0</v>
      </c>
      <c r="AM71" s="245"/>
      <c r="AN71" s="253" t="s">
        <v>612</v>
      </c>
      <c r="AO71" s="253">
        <v>71782731.864999995</v>
      </c>
      <c r="AP71" s="253">
        <v>590</v>
      </c>
      <c r="AQ71" s="253">
        <v>25</v>
      </c>
      <c r="AR71" s="253">
        <v>4445</v>
      </c>
      <c r="AS71" s="253">
        <v>1</v>
      </c>
      <c r="AT71" s="245"/>
      <c r="AU71" s="253" t="s">
        <v>607</v>
      </c>
      <c r="AV71" s="253">
        <v>0</v>
      </c>
      <c r="AW71" s="253">
        <v>0</v>
      </c>
      <c r="AX71" s="253">
        <v>0</v>
      </c>
      <c r="AY71" s="253">
        <v>0</v>
      </c>
      <c r="AZ71" s="253">
        <v>0</v>
      </c>
      <c r="BA71" s="245"/>
      <c r="BB71" s="253" t="s">
        <v>608</v>
      </c>
      <c r="BC71" s="253">
        <v>0</v>
      </c>
      <c r="BD71" s="253">
        <v>0</v>
      </c>
      <c r="BE71" s="253">
        <v>0</v>
      </c>
      <c r="BF71" s="253">
        <v>0</v>
      </c>
      <c r="BG71" s="253">
        <v>0</v>
      </c>
      <c r="BH71" s="247" t="s">
        <v>608</v>
      </c>
      <c r="BI71" s="253">
        <v>0</v>
      </c>
      <c r="BJ71" s="253">
        <v>0</v>
      </c>
      <c r="BK71" s="253">
        <v>0</v>
      </c>
      <c r="BL71" s="253">
        <v>0</v>
      </c>
      <c r="BM71" s="253">
        <v>0</v>
      </c>
      <c r="BN71" s="253"/>
      <c r="BO71" s="256" t="s">
        <v>494</v>
      </c>
      <c r="BP71" s="264" t="s">
        <v>620</v>
      </c>
      <c r="BQ71" s="264" t="s">
        <v>568</v>
      </c>
      <c r="BR71" s="247"/>
    </row>
    <row r="72" spans="1:70" x14ac:dyDescent="0.25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25477.622085120001</v>
      </c>
      <c r="I72" s="164"/>
      <c r="J72" s="3"/>
      <c r="K72" s="228"/>
      <c r="L72" s="228"/>
      <c r="M72" s="228"/>
      <c r="O72" s="241" t="s">
        <v>304</v>
      </c>
      <c r="P72" s="241">
        <v>25703.473414069998</v>
      </c>
      <c r="Q72" s="239"/>
      <c r="R72" s="157"/>
      <c r="S72" s="253" t="s">
        <v>448</v>
      </c>
      <c r="T72" s="258">
        <v>820860</v>
      </c>
      <c r="U72" s="258">
        <v>234167</v>
      </c>
      <c r="V72" s="258">
        <v>4318</v>
      </c>
      <c r="W72" s="258">
        <v>734158</v>
      </c>
      <c r="X72" s="258">
        <v>1</v>
      </c>
      <c r="Y72" s="245"/>
      <c r="Z72" s="253" t="s">
        <v>606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/>
      <c r="AG72" s="253" t="s">
        <v>606</v>
      </c>
      <c r="AH72" s="253">
        <v>0</v>
      </c>
      <c r="AI72" s="253">
        <v>0</v>
      </c>
      <c r="AJ72" s="253">
        <v>0</v>
      </c>
      <c r="AK72" s="253">
        <v>0</v>
      </c>
      <c r="AL72" s="253">
        <v>0</v>
      </c>
      <c r="AM72" s="245"/>
      <c r="AN72" s="253" t="s">
        <v>607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45"/>
      <c r="AU72" s="253" t="s">
        <v>606</v>
      </c>
      <c r="AV72" s="253">
        <v>0</v>
      </c>
      <c r="AW72" s="253">
        <v>0</v>
      </c>
      <c r="AX72" s="253">
        <v>0</v>
      </c>
      <c r="AY72" s="253">
        <v>0</v>
      </c>
      <c r="AZ72" s="253">
        <v>0</v>
      </c>
      <c r="BA72" s="245"/>
      <c r="BB72" s="253" t="s">
        <v>593</v>
      </c>
      <c r="BC72" s="253">
        <v>2733639768.2600002</v>
      </c>
      <c r="BD72" s="253">
        <v>9987</v>
      </c>
      <c r="BE72" s="253">
        <v>1343</v>
      </c>
      <c r="BF72" s="253">
        <v>107499</v>
      </c>
      <c r="BG72" s="253">
        <v>1</v>
      </c>
      <c r="BH72" s="247" t="s">
        <v>593</v>
      </c>
      <c r="BI72" s="253">
        <v>152049733.435</v>
      </c>
      <c r="BJ72" s="253">
        <v>573</v>
      </c>
      <c r="BK72" s="253">
        <v>88</v>
      </c>
      <c r="BL72" s="253">
        <v>5166</v>
      </c>
      <c r="BM72" s="253">
        <v>1</v>
      </c>
      <c r="BN72" s="253"/>
      <c r="BO72" s="247"/>
      <c r="BP72" s="263" t="s">
        <v>621</v>
      </c>
      <c r="BQ72" s="263">
        <v>1627995</v>
      </c>
      <c r="BR72" s="247"/>
    </row>
    <row r="73" spans="1:70" x14ac:dyDescent="0.25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27276.629072349999</v>
      </c>
      <c r="I73" s="164"/>
      <c r="J73" s="3"/>
      <c r="K73" s="228"/>
      <c r="L73" s="228"/>
      <c r="M73" s="228"/>
      <c r="O73" s="241" t="s">
        <v>58</v>
      </c>
      <c r="P73" s="241">
        <v>27139.530510299999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608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/>
      <c r="AG73" s="253" t="s">
        <v>608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606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608</v>
      </c>
      <c r="AV73" s="253">
        <v>0</v>
      </c>
      <c r="AW73" s="253">
        <v>0</v>
      </c>
      <c r="AX73" s="253">
        <v>0</v>
      </c>
      <c r="AY73" s="253">
        <v>0</v>
      </c>
      <c r="AZ73" s="253">
        <v>0</v>
      </c>
      <c r="BA73" s="245"/>
      <c r="BB73" s="253" t="s">
        <v>614</v>
      </c>
      <c r="BC73" s="253">
        <v>84557913.400000006</v>
      </c>
      <c r="BD73" s="253">
        <v>1131</v>
      </c>
      <c r="BE73" s="253">
        <v>19</v>
      </c>
      <c r="BF73" s="253">
        <v>7467</v>
      </c>
      <c r="BG73" s="253">
        <v>1</v>
      </c>
      <c r="BH73" s="247" t="s">
        <v>614</v>
      </c>
      <c r="BI73" s="253">
        <v>0</v>
      </c>
      <c r="BJ73" s="253">
        <v>0</v>
      </c>
      <c r="BK73" s="253">
        <v>0</v>
      </c>
      <c r="BL73" s="253">
        <v>50</v>
      </c>
      <c r="BM73" s="253">
        <v>1</v>
      </c>
      <c r="BN73" s="253"/>
      <c r="BO73" s="247"/>
      <c r="BP73" s="263" t="s">
        <v>622</v>
      </c>
      <c r="BQ73" s="263">
        <v>986271</v>
      </c>
      <c r="BR73" s="247"/>
    </row>
    <row r="74" spans="1:70" x14ac:dyDescent="0.25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29829.961820230001</v>
      </c>
      <c r="I74" s="164"/>
      <c r="J74" s="3"/>
      <c r="K74" s="228"/>
      <c r="L74" s="228"/>
      <c r="M74" s="228"/>
      <c r="O74" s="241" t="s">
        <v>51</v>
      </c>
      <c r="P74" s="241">
        <v>29754.469475559999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593</v>
      </c>
      <c r="AA74" s="253">
        <v>4466843927.1300001</v>
      </c>
      <c r="AB74" s="253">
        <v>18822</v>
      </c>
      <c r="AC74" s="253">
        <v>2959</v>
      </c>
      <c r="AD74" s="253">
        <v>169303</v>
      </c>
      <c r="AE74" s="253">
        <v>1</v>
      </c>
      <c r="AF74" s="253"/>
      <c r="AG74" s="253" t="s">
        <v>593</v>
      </c>
      <c r="AH74" s="253">
        <v>183069139.31999999</v>
      </c>
      <c r="AI74" s="253">
        <v>766</v>
      </c>
      <c r="AJ74" s="253">
        <v>156</v>
      </c>
      <c r="AK74" s="253">
        <v>7522</v>
      </c>
      <c r="AL74" s="253">
        <v>1</v>
      </c>
      <c r="AM74" s="245"/>
      <c r="AN74" s="253" t="s">
        <v>608</v>
      </c>
      <c r="AO74" s="253">
        <v>0</v>
      </c>
      <c r="AP74" s="253">
        <v>0</v>
      </c>
      <c r="AQ74" s="253">
        <v>0</v>
      </c>
      <c r="AR74" s="253">
        <v>0</v>
      </c>
      <c r="AS74" s="253">
        <v>0</v>
      </c>
      <c r="AT74" s="245"/>
      <c r="AU74" s="253" t="s">
        <v>593</v>
      </c>
      <c r="AV74" s="253">
        <v>17941550.050000001</v>
      </c>
      <c r="AW74" s="253">
        <v>81</v>
      </c>
      <c r="AX74" s="253">
        <v>23</v>
      </c>
      <c r="AY74" s="253">
        <v>7653</v>
      </c>
      <c r="AZ74" s="253">
        <v>1</v>
      </c>
      <c r="BA74" s="245"/>
      <c r="BB74" s="253" t="s">
        <v>599</v>
      </c>
      <c r="BC74" s="253">
        <v>0</v>
      </c>
      <c r="BD74" s="253">
        <v>0</v>
      </c>
      <c r="BE74" s="253">
        <v>0</v>
      </c>
      <c r="BF74" s="253">
        <v>0</v>
      </c>
      <c r="BG74" s="253">
        <v>1</v>
      </c>
      <c r="BH74" s="247" t="s">
        <v>599</v>
      </c>
      <c r="BI74" s="253">
        <v>0</v>
      </c>
      <c r="BJ74" s="253">
        <v>0</v>
      </c>
      <c r="BK74" s="253">
        <v>0</v>
      </c>
      <c r="BL74" s="253">
        <v>0</v>
      </c>
      <c r="BM74" s="253">
        <v>1</v>
      </c>
      <c r="BN74" s="253"/>
      <c r="BO74" s="247"/>
      <c r="BP74" s="263"/>
      <c r="BQ74" s="247"/>
      <c r="BR74" s="247"/>
    </row>
    <row r="75" spans="1:70" x14ac:dyDescent="0.25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13806.8</v>
      </c>
      <c r="I75" s="164"/>
      <c r="J75" s="3"/>
      <c r="K75" s="228"/>
      <c r="L75" s="228"/>
      <c r="M75" s="228"/>
      <c r="O75" s="241" t="s">
        <v>305</v>
      </c>
      <c r="P75" s="241">
        <v>13360.19</v>
      </c>
      <c r="Q75" s="239"/>
      <c r="R75" s="153" t="s">
        <v>457</v>
      </c>
      <c r="S75" s="254" t="s">
        <v>564</v>
      </c>
      <c r="T75" s="257" t="s">
        <v>565</v>
      </c>
      <c r="U75" s="257" t="s">
        <v>566</v>
      </c>
      <c r="V75" s="257" t="s">
        <v>567</v>
      </c>
      <c r="W75" s="257" t="s">
        <v>568</v>
      </c>
      <c r="X75" s="257" t="s">
        <v>569</v>
      </c>
      <c r="Y75" s="245"/>
      <c r="Z75" s="253" t="s">
        <v>614</v>
      </c>
      <c r="AA75" s="253">
        <v>0</v>
      </c>
      <c r="AB75" s="253">
        <v>0</v>
      </c>
      <c r="AC75" s="253">
        <v>0</v>
      </c>
      <c r="AD75" s="253">
        <v>132</v>
      </c>
      <c r="AE75" s="253">
        <v>1</v>
      </c>
      <c r="AF75" s="253"/>
      <c r="AG75" s="253" t="s">
        <v>614</v>
      </c>
      <c r="AH75" s="253">
        <v>0</v>
      </c>
      <c r="AI75" s="253">
        <v>0</v>
      </c>
      <c r="AJ75" s="253">
        <v>0</v>
      </c>
      <c r="AK75" s="253">
        <v>6</v>
      </c>
      <c r="AL75" s="253">
        <v>1</v>
      </c>
      <c r="AM75" s="245"/>
      <c r="AN75" s="253" t="s">
        <v>593</v>
      </c>
      <c r="AO75" s="253">
        <v>2868339215.5799999</v>
      </c>
      <c r="AP75" s="253">
        <v>12701</v>
      </c>
      <c r="AQ75" s="253">
        <v>1822</v>
      </c>
      <c r="AR75" s="253">
        <v>147174</v>
      </c>
      <c r="AS75" s="253">
        <v>1</v>
      </c>
      <c r="AT75" s="245"/>
      <c r="AU75" s="253" t="s">
        <v>614</v>
      </c>
      <c r="AV75" s="253">
        <v>0</v>
      </c>
      <c r="AW75" s="253">
        <v>0</v>
      </c>
      <c r="AX75" s="253">
        <v>0</v>
      </c>
      <c r="AY75" s="253">
        <v>6</v>
      </c>
      <c r="AZ75" s="253">
        <v>1</v>
      </c>
      <c r="BA75" s="245"/>
      <c r="BB75" s="253" t="s">
        <v>595</v>
      </c>
      <c r="BC75" s="253">
        <v>548268070.01999998</v>
      </c>
      <c r="BD75" s="253">
        <v>22056</v>
      </c>
      <c r="BE75" s="253">
        <v>2988</v>
      </c>
      <c r="BF75" s="253">
        <v>587244</v>
      </c>
      <c r="BG75" s="253">
        <v>0</v>
      </c>
      <c r="BH75" s="247" t="s">
        <v>595</v>
      </c>
      <c r="BI75" s="253">
        <v>54362769.549999997</v>
      </c>
      <c r="BJ75" s="253">
        <v>1110</v>
      </c>
      <c r="BK75" s="253">
        <v>208</v>
      </c>
      <c r="BL75" s="253">
        <v>30474</v>
      </c>
      <c r="BM75" s="253">
        <v>0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5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549</v>
      </c>
      <c r="H76" s="223">
        <v>78203.488572600007</v>
      </c>
      <c r="I76" s="164"/>
      <c r="J76" s="3"/>
      <c r="K76" s="228"/>
      <c r="L76" s="228"/>
      <c r="M76" s="228"/>
      <c r="O76" s="241" t="s">
        <v>549</v>
      </c>
      <c r="P76" s="241">
        <v>77813.141124260001</v>
      </c>
      <c r="Q76" s="239"/>
      <c r="R76" s="157"/>
      <c r="S76" s="253" t="s">
        <v>449</v>
      </c>
      <c r="T76" s="258">
        <v>3728001.84</v>
      </c>
      <c r="U76" s="258">
        <v>15490</v>
      </c>
      <c r="V76" s="258">
        <v>2</v>
      </c>
      <c r="W76" s="258">
        <v>17490822</v>
      </c>
      <c r="X76" s="258">
        <v>1</v>
      </c>
      <c r="Y76" s="245"/>
      <c r="Z76" s="253" t="s">
        <v>599</v>
      </c>
      <c r="AA76" s="253">
        <v>653700</v>
      </c>
      <c r="AB76" s="253">
        <v>6</v>
      </c>
      <c r="AC76" s="253">
        <v>2</v>
      </c>
      <c r="AD76" s="253">
        <v>39</v>
      </c>
      <c r="AE76" s="253">
        <v>1</v>
      </c>
      <c r="AF76" s="253"/>
      <c r="AG76" s="253" t="s">
        <v>599</v>
      </c>
      <c r="AH76" s="253">
        <v>0</v>
      </c>
      <c r="AI76" s="253">
        <v>0</v>
      </c>
      <c r="AJ76" s="253">
        <v>0</v>
      </c>
      <c r="AK76" s="253">
        <v>0</v>
      </c>
      <c r="AL76" s="253">
        <v>1</v>
      </c>
      <c r="AM76" s="245"/>
      <c r="AN76" s="253" t="s">
        <v>614</v>
      </c>
      <c r="AO76" s="253">
        <v>1405530</v>
      </c>
      <c r="AP76" s="253">
        <v>18</v>
      </c>
      <c r="AQ76" s="253">
        <v>8</v>
      </c>
      <c r="AR76" s="253">
        <v>114</v>
      </c>
      <c r="AS76" s="253">
        <v>1</v>
      </c>
      <c r="AT76" s="245"/>
      <c r="AU76" s="253" t="s">
        <v>599</v>
      </c>
      <c r="AV76" s="253">
        <v>0</v>
      </c>
      <c r="AW76" s="253">
        <v>0</v>
      </c>
      <c r="AX76" s="253">
        <v>0</v>
      </c>
      <c r="AY76" s="253">
        <v>0</v>
      </c>
      <c r="AZ76" s="253">
        <v>1</v>
      </c>
      <c r="BA76" s="245"/>
      <c r="BB76" s="253" t="s">
        <v>600</v>
      </c>
      <c r="BC76" s="253">
        <v>0</v>
      </c>
      <c r="BD76" s="253">
        <v>0</v>
      </c>
      <c r="BE76" s="253">
        <v>0</v>
      </c>
      <c r="BF76" s="253">
        <v>0</v>
      </c>
      <c r="BG76" s="253">
        <v>0</v>
      </c>
      <c r="BH76" s="245" t="s">
        <v>600</v>
      </c>
      <c r="BI76" s="253">
        <v>0</v>
      </c>
      <c r="BJ76" s="253">
        <v>0</v>
      </c>
      <c r="BK76" s="253">
        <v>0</v>
      </c>
      <c r="BL76" s="253">
        <v>0</v>
      </c>
      <c r="BM76" s="253">
        <v>0</v>
      </c>
      <c r="BN76" s="253"/>
      <c r="BO76" s="247"/>
      <c r="BP76" s="263">
        <v>46759607667.574989</v>
      </c>
      <c r="BQ76" s="263">
        <v>229895</v>
      </c>
      <c r="BR76" s="263">
        <v>39102</v>
      </c>
    </row>
    <row r="77" spans="1:70" x14ac:dyDescent="0.25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389.09384507999999</v>
      </c>
      <c r="I77" s="164"/>
      <c r="J77" s="3"/>
      <c r="K77" s="228"/>
      <c r="L77" s="228"/>
      <c r="M77" s="228"/>
      <c r="O77" s="241" t="s">
        <v>101</v>
      </c>
      <c r="P77" s="241">
        <v>387.77312139999998</v>
      </c>
      <c r="Q77" s="239"/>
      <c r="R77" s="157"/>
      <c r="S77" s="253" t="s">
        <v>447</v>
      </c>
      <c r="T77" s="258">
        <v>1824456.24</v>
      </c>
      <c r="U77" s="258">
        <v>14761</v>
      </c>
      <c r="V77" s="258">
        <v>11</v>
      </c>
      <c r="W77" s="258">
        <v>1470740</v>
      </c>
      <c r="X77" s="258">
        <v>0</v>
      </c>
      <c r="Y77" s="245"/>
      <c r="Z77" s="253" t="s">
        <v>595</v>
      </c>
      <c r="AA77" s="253">
        <v>188864105.15000001</v>
      </c>
      <c r="AB77" s="253">
        <v>22044</v>
      </c>
      <c r="AC77" s="253">
        <v>2795</v>
      </c>
      <c r="AD77" s="253">
        <v>804513</v>
      </c>
      <c r="AE77" s="253">
        <v>0</v>
      </c>
      <c r="AF77" s="253"/>
      <c r="AG77" s="253" t="s">
        <v>595</v>
      </c>
      <c r="AH77" s="253">
        <v>5565378.3600000003</v>
      </c>
      <c r="AI77" s="253">
        <v>741</v>
      </c>
      <c r="AJ77" s="253">
        <v>124</v>
      </c>
      <c r="AK77" s="253">
        <v>40098</v>
      </c>
      <c r="AL77" s="253">
        <v>0</v>
      </c>
      <c r="AM77" s="245"/>
      <c r="AN77" s="253" t="s">
        <v>599</v>
      </c>
      <c r="AO77" s="253">
        <v>0</v>
      </c>
      <c r="AP77" s="253">
        <v>0</v>
      </c>
      <c r="AQ77" s="253">
        <v>0</v>
      </c>
      <c r="AR77" s="253">
        <v>0</v>
      </c>
      <c r="AS77" s="253">
        <v>1</v>
      </c>
      <c r="AT77" s="245"/>
      <c r="AU77" s="253" t="s">
        <v>595</v>
      </c>
      <c r="AV77" s="253">
        <v>3927348.1</v>
      </c>
      <c r="AW77" s="253">
        <v>525</v>
      </c>
      <c r="AX77" s="253">
        <v>43</v>
      </c>
      <c r="AY77" s="253">
        <v>33494</v>
      </c>
      <c r="AZ77" s="253">
        <v>0</v>
      </c>
      <c r="BA77" s="245"/>
      <c r="BB77" s="253" t="s">
        <v>619</v>
      </c>
      <c r="BC77" s="253">
        <v>0</v>
      </c>
      <c r="BD77" s="253">
        <v>0</v>
      </c>
      <c r="BE77" s="253">
        <v>0</v>
      </c>
      <c r="BF77" s="253">
        <v>0</v>
      </c>
      <c r="BG77" s="253">
        <v>1</v>
      </c>
      <c r="BH77" s="245" t="s">
        <v>619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5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103</v>
      </c>
      <c r="H78" s="223">
        <v>701.52163184999995</v>
      </c>
      <c r="I78" s="164"/>
      <c r="J78" s="63"/>
      <c r="K78" s="228"/>
      <c r="L78" s="228"/>
      <c r="M78" s="228"/>
      <c r="O78" s="241" t="s">
        <v>103</v>
      </c>
      <c r="P78" s="241">
        <v>702.59789928999999</v>
      </c>
      <c r="Q78" s="239"/>
      <c r="R78" s="157"/>
      <c r="S78" s="253" t="s">
        <v>451</v>
      </c>
      <c r="T78" s="258">
        <v>4362440</v>
      </c>
      <c r="U78" s="258">
        <v>400430</v>
      </c>
      <c r="V78" s="258">
        <v>19</v>
      </c>
      <c r="W78" s="258">
        <v>811963</v>
      </c>
      <c r="X78" s="258">
        <v>0</v>
      </c>
      <c r="Y78" s="245"/>
      <c r="Z78" s="253" t="s">
        <v>572</v>
      </c>
      <c r="AA78" s="253">
        <v>0</v>
      </c>
      <c r="AB78" s="253">
        <v>0</v>
      </c>
      <c r="AC78" s="253">
        <v>0</v>
      </c>
      <c r="AD78" s="253">
        <v>0</v>
      </c>
      <c r="AE78" s="253">
        <v>0</v>
      </c>
      <c r="AF78" s="253"/>
      <c r="AG78" s="253" t="s">
        <v>572</v>
      </c>
      <c r="AH78" s="253">
        <v>0</v>
      </c>
      <c r="AI78" s="253">
        <v>0</v>
      </c>
      <c r="AJ78" s="253">
        <v>0</v>
      </c>
      <c r="AK78" s="253">
        <v>0</v>
      </c>
      <c r="AL78" s="253">
        <v>0</v>
      </c>
      <c r="AM78" s="245"/>
      <c r="AN78" s="253" t="s">
        <v>595</v>
      </c>
      <c r="AO78" s="253">
        <v>127273517.75</v>
      </c>
      <c r="AP78" s="253">
        <v>9938</v>
      </c>
      <c r="AQ78" s="253">
        <v>1339</v>
      </c>
      <c r="AR78" s="253">
        <v>619504</v>
      </c>
      <c r="AS78" s="253">
        <v>0</v>
      </c>
      <c r="AT78" s="245"/>
      <c r="AU78" s="253" t="s">
        <v>572</v>
      </c>
      <c r="AV78" s="253">
        <v>0</v>
      </c>
      <c r="AW78" s="253">
        <v>0</v>
      </c>
      <c r="AX78" s="253">
        <v>0</v>
      </c>
      <c r="AY78" s="253">
        <v>0</v>
      </c>
      <c r="AZ78" s="253">
        <v>0</v>
      </c>
      <c r="BA78" s="245"/>
      <c r="BB78" s="253" t="s">
        <v>575</v>
      </c>
      <c r="BC78" s="253">
        <v>2634666365.7649999</v>
      </c>
      <c r="BD78" s="253">
        <v>8592</v>
      </c>
      <c r="BE78" s="253">
        <v>1229</v>
      </c>
      <c r="BF78" s="253">
        <v>88349</v>
      </c>
      <c r="BG78" s="253">
        <v>1</v>
      </c>
      <c r="BH78" s="245" t="s">
        <v>575</v>
      </c>
      <c r="BI78" s="253">
        <v>168634549.97499999</v>
      </c>
      <c r="BJ78" s="253">
        <v>558</v>
      </c>
      <c r="BK78" s="253">
        <v>77</v>
      </c>
      <c r="BL78" s="253">
        <v>5069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5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4816.5032766699997</v>
      </c>
      <c r="I79" s="164"/>
      <c r="J79" s="63"/>
      <c r="K79" s="228"/>
      <c r="L79" s="228"/>
      <c r="M79" s="228"/>
      <c r="O79" s="241" t="s">
        <v>306</v>
      </c>
      <c r="P79" s="241">
        <v>4868.5858226800001</v>
      </c>
      <c r="Q79" s="239"/>
      <c r="R79" s="157"/>
      <c r="S79" s="253" t="s">
        <v>446</v>
      </c>
      <c r="T79" s="258">
        <v>24684339.300000001</v>
      </c>
      <c r="U79" s="258">
        <v>8515</v>
      </c>
      <c r="V79" s="258">
        <v>5</v>
      </c>
      <c r="W79" s="258">
        <v>923891</v>
      </c>
      <c r="X79" s="258">
        <v>0</v>
      </c>
      <c r="Y79" s="245"/>
      <c r="Z79" s="253" t="s">
        <v>597</v>
      </c>
      <c r="AA79" s="253">
        <v>0</v>
      </c>
      <c r="AB79" s="253">
        <v>0</v>
      </c>
      <c r="AC79" s="253">
        <v>0</v>
      </c>
      <c r="AD79" s="253">
        <v>0</v>
      </c>
      <c r="AE79" s="253">
        <v>1</v>
      </c>
      <c r="AF79" s="253"/>
      <c r="AG79" s="253" t="s">
        <v>597</v>
      </c>
      <c r="AH79" s="253">
        <v>0</v>
      </c>
      <c r="AI79" s="253">
        <v>0</v>
      </c>
      <c r="AJ79" s="253">
        <v>0</v>
      </c>
      <c r="AK79" s="253">
        <v>0</v>
      </c>
      <c r="AL79" s="253">
        <v>1</v>
      </c>
      <c r="AM79" s="245"/>
      <c r="AN79" s="253" t="s">
        <v>572</v>
      </c>
      <c r="AO79" s="253">
        <v>0</v>
      </c>
      <c r="AP79" s="253">
        <v>0</v>
      </c>
      <c r="AQ79" s="253">
        <v>0</v>
      </c>
      <c r="AR79" s="253">
        <v>0</v>
      </c>
      <c r="AS79" s="253">
        <v>0</v>
      </c>
      <c r="AT79" s="245"/>
      <c r="AU79" s="253" t="s">
        <v>597</v>
      </c>
      <c r="AV79" s="253">
        <v>0</v>
      </c>
      <c r="AW79" s="253">
        <v>0</v>
      </c>
      <c r="AX79" s="253">
        <v>0</v>
      </c>
      <c r="AY79" s="253">
        <v>0</v>
      </c>
      <c r="AZ79" s="253">
        <v>1</v>
      </c>
      <c r="BA79" s="245"/>
      <c r="BB79" s="253" t="s">
        <v>601</v>
      </c>
      <c r="BC79" s="253">
        <v>0</v>
      </c>
      <c r="BD79" s="253">
        <v>0</v>
      </c>
      <c r="BE79" s="253">
        <v>0</v>
      </c>
      <c r="BF79" s="253">
        <v>0</v>
      </c>
      <c r="BG79" s="253">
        <v>1</v>
      </c>
      <c r="BH79" s="245" t="s">
        <v>601</v>
      </c>
      <c r="BI79" s="253">
        <v>0</v>
      </c>
      <c r="BJ79" s="253">
        <v>0</v>
      </c>
      <c r="BK79" s="253">
        <v>0</v>
      </c>
      <c r="BL79" s="253">
        <v>0</v>
      </c>
      <c r="BM79" s="253">
        <v>1</v>
      </c>
      <c r="BN79" s="253"/>
      <c r="BO79" s="251"/>
      <c r="BP79" s="263">
        <v>298000410.51999998</v>
      </c>
      <c r="BQ79" s="263">
        <v>35602</v>
      </c>
      <c r="BR79" s="263">
        <v>3749</v>
      </c>
    </row>
    <row r="80" spans="1:70" x14ac:dyDescent="0.25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226.81892070000001</v>
      </c>
      <c r="I80" s="164"/>
      <c r="J80" s="3"/>
      <c r="K80" s="228"/>
      <c r="L80" s="228"/>
      <c r="M80" s="228"/>
      <c r="O80" s="241" t="s">
        <v>307</v>
      </c>
      <c r="P80" s="241">
        <v>231.24992497</v>
      </c>
      <c r="Q80" s="239"/>
      <c r="R80" s="157"/>
      <c r="S80" s="253" t="s">
        <v>571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600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/>
      <c r="AG80" s="245" t="s">
        <v>600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/>
      <c r="AN80" s="245" t="s">
        <v>597</v>
      </c>
      <c r="AO80" s="245">
        <v>0</v>
      </c>
      <c r="AP80" s="245">
        <v>0</v>
      </c>
      <c r="AQ80" s="245">
        <v>0</v>
      </c>
      <c r="AR80" s="245">
        <v>0</v>
      </c>
      <c r="AS80" s="245">
        <v>1</v>
      </c>
      <c r="AT80" s="245"/>
      <c r="AU80" s="245" t="s">
        <v>600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/>
      <c r="BB80" s="245" t="s">
        <v>604</v>
      </c>
      <c r="BC80" s="245">
        <v>0</v>
      </c>
      <c r="BD80" s="245">
        <v>0</v>
      </c>
      <c r="BE80" s="245">
        <v>0</v>
      </c>
      <c r="BF80" s="245">
        <v>0</v>
      </c>
      <c r="BG80" s="245">
        <v>1</v>
      </c>
      <c r="BH80" s="245" t="s">
        <v>604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5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308</v>
      </c>
      <c r="H81" s="223">
        <v>10653.06022503</v>
      </c>
      <c r="I81" s="164"/>
      <c r="J81" s="3"/>
      <c r="K81" s="228"/>
      <c r="L81" s="228"/>
      <c r="M81" s="228"/>
      <c r="O81" s="241" t="s">
        <v>308</v>
      </c>
      <c r="P81" s="241">
        <v>10806.70175717</v>
      </c>
      <c r="Q81" s="239"/>
      <c r="R81" s="157"/>
      <c r="S81" s="253" t="s">
        <v>447</v>
      </c>
      <c r="T81" s="258">
        <v>351142809</v>
      </c>
      <c r="U81" s="258">
        <v>29148</v>
      </c>
      <c r="V81" s="258">
        <v>171</v>
      </c>
      <c r="W81" s="258">
        <v>896235</v>
      </c>
      <c r="X81" s="258">
        <v>1</v>
      </c>
      <c r="Y81" s="245"/>
      <c r="Z81" s="245" t="s">
        <v>575</v>
      </c>
      <c r="AA81" s="245">
        <v>6583007581.5799999</v>
      </c>
      <c r="AB81" s="245">
        <v>28296</v>
      </c>
      <c r="AC81" s="245">
        <v>1967</v>
      </c>
      <c r="AD81" s="245">
        <v>313675</v>
      </c>
      <c r="AE81" s="245">
        <v>1</v>
      </c>
      <c r="AF81" s="245"/>
      <c r="AG81" s="245" t="s">
        <v>575</v>
      </c>
      <c r="AH81" s="245">
        <v>277435142.36500001</v>
      </c>
      <c r="AI81" s="245">
        <v>1208</v>
      </c>
      <c r="AJ81" s="245">
        <v>83</v>
      </c>
      <c r="AK81" s="245">
        <v>14079</v>
      </c>
      <c r="AL81" s="245">
        <v>1</v>
      </c>
      <c r="AM81" s="245"/>
      <c r="AN81" s="245" t="s">
        <v>600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/>
      <c r="AU81" s="245" t="s">
        <v>575</v>
      </c>
      <c r="AV81" s="245">
        <v>49507719.984999999</v>
      </c>
      <c r="AW81" s="245">
        <v>214</v>
      </c>
      <c r="AX81" s="245">
        <v>33</v>
      </c>
      <c r="AY81" s="245">
        <v>14239</v>
      </c>
      <c r="AZ81" s="245">
        <v>1</v>
      </c>
      <c r="BA81" s="245"/>
      <c r="BB81" s="245" t="s">
        <v>603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603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5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46.941483769999998</v>
      </c>
      <c r="I82" s="164"/>
      <c r="J82" s="157"/>
      <c r="K82" s="228"/>
      <c r="L82" s="228"/>
      <c r="M82" s="228"/>
      <c r="O82" s="241" t="s">
        <v>309</v>
      </c>
      <c r="P82" s="241">
        <v>31.91197361</v>
      </c>
      <c r="Q82" s="239"/>
      <c r="R82" s="157"/>
      <c r="S82" s="253" t="s">
        <v>182</v>
      </c>
      <c r="T82" s="258">
        <v>80158</v>
      </c>
      <c r="U82" s="258">
        <v>200</v>
      </c>
      <c r="V82" s="258">
        <v>1</v>
      </c>
      <c r="W82" s="258">
        <v>1596582</v>
      </c>
      <c r="X82" s="258">
        <v>1</v>
      </c>
      <c r="Y82" s="245"/>
      <c r="Z82" s="245" t="s">
        <v>601</v>
      </c>
      <c r="AA82" s="245">
        <v>0</v>
      </c>
      <c r="AB82" s="245">
        <v>0</v>
      </c>
      <c r="AC82" s="245">
        <v>0</v>
      </c>
      <c r="AD82" s="245">
        <v>0</v>
      </c>
      <c r="AE82" s="245">
        <v>1</v>
      </c>
      <c r="AF82" s="245"/>
      <c r="AG82" s="245" t="s">
        <v>601</v>
      </c>
      <c r="AH82" s="245">
        <v>0</v>
      </c>
      <c r="AI82" s="245">
        <v>0</v>
      </c>
      <c r="AJ82" s="245">
        <v>0</v>
      </c>
      <c r="AK82" s="245">
        <v>0</v>
      </c>
      <c r="AL82" s="245">
        <v>1</v>
      </c>
      <c r="AM82" s="245"/>
      <c r="AN82" s="245" t="s">
        <v>575</v>
      </c>
      <c r="AO82" s="245">
        <v>3299621543.0599999</v>
      </c>
      <c r="AP82" s="245">
        <v>13532</v>
      </c>
      <c r="AQ82" s="245">
        <v>1504</v>
      </c>
      <c r="AR82" s="245">
        <v>280786</v>
      </c>
      <c r="AS82" s="245">
        <v>1</v>
      </c>
      <c r="AT82" s="245"/>
      <c r="AU82" s="245" t="s">
        <v>601</v>
      </c>
      <c r="AV82" s="245">
        <v>0</v>
      </c>
      <c r="AW82" s="245">
        <v>0</v>
      </c>
      <c r="AX82" s="245">
        <v>0</v>
      </c>
      <c r="AY82" s="245">
        <v>0</v>
      </c>
      <c r="AZ82" s="245">
        <v>1</v>
      </c>
      <c r="BA82" s="245"/>
      <c r="BB82" s="245" t="s">
        <v>611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 t="s">
        <v>611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/>
      <c r="BO82" s="247"/>
      <c r="BP82" s="263">
        <v>43976047236.175987</v>
      </c>
      <c r="BQ82" s="263">
        <v>173740</v>
      </c>
      <c r="BR82" s="263">
        <v>26318</v>
      </c>
    </row>
    <row r="83" spans="1:70" x14ac:dyDescent="0.25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1145.88089109</v>
      </c>
      <c r="I83" s="164"/>
      <c r="J83" s="157"/>
      <c r="K83" s="228"/>
      <c r="L83" s="228"/>
      <c r="M83" s="228"/>
      <c r="O83" s="241" t="s">
        <v>311</v>
      </c>
      <c r="P83" s="241">
        <v>1116.1177510699999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604</v>
      </c>
      <c r="AA83" s="245">
        <v>0</v>
      </c>
      <c r="AB83" s="245">
        <v>0</v>
      </c>
      <c r="AC83" s="245">
        <v>0</v>
      </c>
      <c r="AD83" s="245">
        <v>0</v>
      </c>
      <c r="AE83" s="245">
        <v>1</v>
      </c>
      <c r="AF83" s="245"/>
      <c r="AG83" s="245" t="s">
        <v>604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 t="s">
        <v>601</v>
      </c>
      <c r="AO83" s="245">
        <v>0</v>
      </c>
      <c r="AP83" s="245">
        <v>0</v>
      </c>
      <c r="AQ83" s="245">
        <v>0</v>
      </c>
      <c r="AR83" s="245">
        <v>0</v>
      </c>
      <c r="AS83" s="245">
        <v>1</v>
      </c>
      <c r="AT83" s="245"/>
      <c r="AU83" s="245" t="s">
        <v>604</v>
      </c>
      <c r="AV83" s="245">
        <v>0</v>
      </c>
      <c r="AW83" s="245">
        <v>0</v>
      </c>
      <c r="AX83" s="245">
        <v>0</v>
      </c>
      <c r="AY83" s="245">
        <v>0</v>
      </c>
      <c r="AZ83" s="245">
        <v>1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5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312</v>
      </c>
      <c r="H84" s="223">
        <v>10401.490313419999</v>
      </c>
      <c r="I84" s="164"/>
      <c r="J84" s="157"/>
      <c r="K84" s="228"/>
      <c r="L84" s="228"/>
      <c r="M84" s="228"/>
      <c r="O84" s="241" t="s">
        <v>312</v>
      </c>
      <c r="P84" s="241">
        <v>10599.553089659999</v>
      </c>
      <c r="Q84" s="239"/>
      <c r="R84" s="157"/>
      <c r="S84" s="253" t="s">
        <v>446</v>
      </c>
      <c r="T84" s="258">
        <v>13207586287.004999</v>
      </c>
      <c r="U84" s="258">
        <v>46394</v>
      </c>
      <c r="V84" s="258">
        <v>13714</v>
      </c>
      <c r="W84" s="258">
        <v>855599</v>
      </c>
      <c r="X84" s="258">
        <v>1</v>
      </c>
      <c r="Y84" s="245"/>
      <c r="Z84" s="245" t="s">
        <v>603</v>
      </c>
      <c r="AA84" s="245">
        <v>0</v>
      </c>
      <c r="AB84" s="245">
        <v>0</v>
      </c>
      <c r="AC84" s="245">
        <v>0</v>
      </c>
      <c r="AD84" s="245">
        <v>1144</v>
      </c>
      <c r="AE84" s="245">
        <v>1</v>
      </c>
      <c r="AF84" s="245"/>
      <c r="AG84" s="245" t="s">
        <v>603</v>
      </c>
      <c r="AH84" s="245">
        <v>0</v>
      </c>
      <c r="AI84" s="245">
        <v>0</v>
      </c>
      <c r="AJ84" s="245">
        <v>0</v>
      </c>
      <c r="AK84" s="245">
        <v>52</v>
      </c>
      <c r="AL84" s="245">
        <v>1</v>
      </c>
      <c r="AM84" s="245"/>
      <c r="AN84" s="245" t="s">
        <v>604</v>
      </c>
      <c r="AO84" s="245">
        <v>0</v>
      </c>
      <c r="AP84" s="245">
        <v>0</v>
      </c>
      <c r="AQ84" s="245">
        <v>0</v>
      </c>
      <c r="AR84" s="245">
        <v>0</v>
      </c>
      <c r="AS84" s="245">
        <v>1</v>
      </c>
      <c r="AT84" s="245"/>
      <c r="AU84" s="245" t="s">
        <v>603</v>
      </c>
      <c r="AV84" s="245">
        <v>0</v>
      </c>
      <c r="AW84" s="245">
        <v>0</v>
      </c>
      <c r="AX84" s="245">
        <v>0</v>
      </c>
      <c r="AY84" s="245">
        <v>52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5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313</v>
      </c>
      <c r="H85" s="223">
        <v>1114.4327061199999</v>
      </c>
      <c r="I85" s="164"/>
      <c r="J85" s="157"/>
      <c r="K85" s="228"/>
      <c r="L85" s="228"/>
      <c r="M85" s="228"/>
      <c r="O85" s="241" t="s">
        <v>313</v>
      </c>
      <c r="P85" s="241">
        <v>1123.16547307</v>
      </c>
      <c r="Q85" s="239"/>
      <c r="R85" s="157"/>
      <c r="S85" s="253" t="s">
        <v>451</v>
      </c>
      <c r="T85" s="258">
        <v>18349204.600000001</v>
      </c>
      <c r="U85" s="258">
        <v>137</v>
      </c>
      <c r="V85" s="258">
        <v>1</v>
      </c>
      <c r="W85" s="258">
        <v>164939</v>
      </c>
      <c r="X85" s="258">
        <v>1</v>
      </c>
      <c r="Y85" s="245"/>
      <c r="Z85" s="245" t="s">
        <v>611</v>
      </c>
      <c r="AA85" s="245">
        <v>0</v>
      </c>
      <c r="AB85" s="245">
        <v>0</v>
      </c>
      <c r="AC85" s="245">
        <v>0</v>
      </c>
      <c r="AD85" s="245">
        <v>0</v>
      </c>
      <c r="AE85" s="245">
        <v>0</v>
      </c>
      <c r="AF85" s="245"/>
      <c r="AG85" s="245" t="s">
        <v>611</v>
      </c>
      <c r="AH85" s="245">
        <v>0</v>
      </c>
      <c r="AI85" s="245">
        <v>0</v>
      </c>
      <c r="AJ85" s="245">
        <v>0</v>
      </c>
      <c r="AK85" s="245">
        <v>0</v>
      </c>
      <c r="AL85" s="245">
        <v>0</v>
      </c>
      <c r="AM85" s="245"/>
      <c r="AN85" s="245" t="s">
        <v>603</v>
      </c>
      <c r="AO85" s="245">
        <v>0</v>
      </c>
      <c r="AP85" s="245">
        <v>0</v>
      </c>
      <c r="AQ85" s="245">
        <v>0</v>
      </c>
      <c r="AR85" s="245">
        <v>988</v>
      </c>
      <c r="AS85" s="245">
        <v>1</v>
      </c>
      <c r="AT85" s="245"/>
      <c r="AU85" s="245" t="s">
        <v>611</v>
      </c>
      <c r="AV85" s="245">
        <v>0</v>
      </c>
      <c r="AW85" s="245">
        <v>0</v>
      </c>
      <c r="AX85" s="245">
        <v>0</v>
      </c>
      <c r="AY85" s="245">
        <v>0</v>
      </c>
      <c r="AZ85" s="245">
        <v>0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641702941.60000002</v>
      </c>
      <c r="BQ85" s="263">
        <v>28908</v>
      </c>
      <c r="BR85" s="263">
        <v>3779</v>
      </c>
    </row>
    <row r="86" spans="1:70" x14ac:dyDescent="0.25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60</v>
      </c>
      <c r="H86" s="223">
        <v>11885.389932780001</v>
      </c>
      <c r="I86" s="164"/>
      <c r="J86" s="157"/>
      <c r="K86" s="228"/>
      <c r="L86" s="228"/>
      <c r="M86" s="228"/>
      <c r="O86" s="241" t="s">
        <v>60</v>
      </c>
      <c r="P86" s="241">
        <v>11972.54819471</v>
      </c>
      <c r="Q86" s="239"/>
      <c r="R86" s="157"/>
      <c r="S86" s="253" t="s">
        <v>450</v>
      </c>
      <c r="T86" s="258">
        <v>0</v>
      </c>
      <c r="U86" s="258">
        <v>13167</v>
      </c>
      <c r="V86" s="258">
        <v>2</v>
      </c>
      <c r="W86" s="258">
        <v>17040934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 t="s">
        <v>611</v>
      </c>
      <c r="AO86" s="245">
        <v>0</v>
      </c>
      <c r="AP86" s="245">
        <v>0</v>
      </c>
      <c r="AQ86" s="245">
        <v>0</v>
      </c>
      <c r="AR86" s="245">
        <v>0</v>
      </c>
      <c r="AS86" s="245">
        <v>0</v>
      </c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5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53</v>
      </c>
      <c r="H87" s="223">
        <v>13185.96484565</v>
      </c>
      <c r="I87" s="164"/>
      <c r="J87" s="157"/>
      <c r="K87" s="228"/>
      <c r="L87" s="228"/>
      <c r="M87" s="228"/>
      <c r="O87" s="241" t="s">
        <v>53</v>
      </c>
      <c r="P87" s="241">
        <v>13292.255385869999</v>
      </c>
      <c r="Q87" s="239"/>
      <c r="R87" s="157"/>
      <c r="S87" s="253" t="s">
        <v>448</v>
      </c>
      <c r="T87" s="258">
        <v>0</v>
      </c>
      <c r="U87" s="258">
        <v>25509</v>
      </c>
      <c r="V87" s="258">
        <v>168</v>
      </c>
      <c r="W87" s="258">
        <v>734158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5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550</v>
      </c>
      <c r="H88" s="223">
        <v>18743.908195889999</v>
      </c>
      <c r="I88" s="164"/>
      <c r="J88" s="157"/>
      <c r="K88" s="228"/>
      <c r="L88" s="228"/>
      <c r="M88" s="228"/>
      <c r="O88" s="241" t="s">
        <v>550</v>
      </c>
      <c r="P88" s="241">
        <v>18813.590798739999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70290</v>
      </c>
      <c r="BQ88" s="245"/>
      <c r="BR88" s="245"/>
    </row>
    <row r="89" spans="1:70" x14ac:dyDescent="0.25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551</v>
      </c>
      <c r="H89" s="223">
        <v>19534.1265656</v>
      </c>
      <c r="I89" s="164"/>
      <c r="J89" s="157"/>
      <c r="K89" s="228"/>
      <c r="L89" s="228"/>
      <c r="M89" s="228"/>
      <c r="O89" s="241" t="s">
        <v>551</v>
      </c>
      <c r="P89" s="241">
        <v>19648.075502740001</v>
      </c>
      <c r="Q89" s="239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5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314</v>
      </c>
      <c r="H90" s="223">
        <v>7554.1934099500004</v>
      </c>
      <c r="I90" s="164"/>
      <c r="J90" s="157"/>
      <c r="K90" s="228"/>
      <c r="L90" s="228"/>
      <c r="M90" s="228"/>
      <c r="O90" s="241" t="s">
        <v>314</v>
      </c>
      <c r="P90" s="241">
        <v>7679.9875866599996</v>
      </c>
      <c r="Q90" s="239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5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315</v>
      </c>
      <c r="H91" s="223">
        <v>26934.89186543</v>
      </c>
      <c r="I91" s="164"/>
      <c r="J91" s="157"/>
      <c r="K91" s="228"/>
      <c r="L91" s="228"/>
      <c r="M91" s="228"/>
      <c r="O91" s="241" t="s">
        <v>315</v>
      </c>
      <c r="P91" s="241">
        <v>27812.249778130001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44374</v>
      </c>
      <c r="BQ91" s="245"/>
      <c r="BR91" s="245"/>
    </row>
    <row r="92" spans="1:70" x14ac:dyDescent="0.25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316</v>
      </c>
      <c r="H92" s="223">
        <v>5660.0177552300001</v>
      </c>
      <c r="I92" s="164"/>
      <c r="J92" s="157"/>
      <c r="K92" s="228"/>
      <c r="L92" s="228"/>
      <c r="M92" s="228"/>
      <c r="O92" s="241" t="s">
        <v>316</v>
      </c>
      <c r="P92" s="241">
        <v>5948.5039158099999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5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74</v>
      </c>
      <c r="H93" s="223">
        <v>26737.98110927</v>
      </c>
      <c r="I93" s="164"/>
      <c r="J93" s="157"/>
      <c r="K93" s="228"/>
      <c r="L93" s="228"/>
      <c r="M93" s="228"/>
      <c r="O93" s="241" t="s">
        <v>74</v>
      </c>
      <c r="P93" s="241">
        <v>25934.5921395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5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76</v>
      </c>
      <c r="H94" s="223">
        <v>56940.766648949997</v>
      </c>
      <c r="I94" s="164"/>
      <c r="J94" s="157"/>
      <c r="K94" s="228"/>
      <c r="L94" s="228"/>
      <c r="M94" s="228"/>
      <c r="O94" s="241" t="s">
        <v>76</v>
      </c>
      <c r="P94" s="241">
        <v>54006.281591309998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5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78</v>
      </c>
      <c r="H95" s="223">
        <v>68641.785407520001</v>
      </c>
      <c r="I95" s="164"/>
      <c r="J95" s="157"/>
      <c r="K95" s="228"/>
      <c r="L95" s="228"/>
      <c r="M95" s="228"/>
      <c r="O95" s="241" t="s">
        <v>78</v>
      </c>
      <c r="P95" s="241">
        <v>67639.34576733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5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317</v>
      </c>
      <c r="H96" s="223">
        <v>12220.18179997</v>
      </c>
      <c r="I96" s="164"/>
      <c r="J96" s="157"/>
      <c r="K96" s="228"/>
      <c r="L96" s="228"/>
      <c r="M96" s="228"/>
      <c r="O96" s="241" t="s">
        <v>317</v>
      </c>
      <c r="P96" s="241">
        <v>12342.92406944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5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318</v>
      </c>
      <c r="H97" s="223">
        <v>8360.6622158400005</v>
      </c>
      <c r="I97" s="164"/>
      <c r="K97" s="228"/>
      <c r="L97" s="228"/>
      <c r="M97" s="228"/>
      <c r="O97" s="241" t="s">
        <v>318</v>
      </c>
      <c r="P97" s="241">
        <v>8017.3095657900003</v>
      </c>
    </row>
    <row r="98" spans="1:16" x14ac:dyDescent="0.25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88</v>
      </c>
      <c r="H98" s="223">
        <v>7047.5919699200003</v>
      </c>
      <c r="I98" s="164"/>
      <c r="K98" s="228"/>
      <c r="L98" s="228"/>
      <c r="M98" s="228"/>
      <c r="O98" s="241" t="s">
        <v>88</v>
      </c>
      <c r="P98" s="241">
        <v>7217.8523546400002</v>
      </c>
    </row>
    <row r="99" spans="1:16" x14ac:dyDescent="0.25">
      <c r="A99" s="149"/>
      <c r="B99" s="190" t="s">
        <v>67</v>
      </c>
      <c r="C99" s="193">
        <v>43125</v>
      </c>
      <c r="D99" s="190">
        <v>18404.477409030002</v>
      </c>
      <c r="E99" s="223">
        <v>1</v>
      </c>
      <c r="F99" s="213"/>
      <c r="G99" s="223" t="s">
        <v>80</v>
      </c>
      <c r="H99" s="223">
        <v>25253.892299200001</v>
      </c>
      <c r="I99" s="164"/>
      <c r="K99" s="228"/>
      <c r="L99" s="228"/>
      <c r="M99" s="228"/>
      <c r="O99" s="241" t="s">
        <v>80</v>
      </c>
      <c r="P99" s="241">
        <v>25487.959485489999</v>
      </c>
    </row>
    <row r="100" spans="1:16" x14ac:dyDescent="0.25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319</v>
      </c>
      <c r="H100" s="223">
        <v>735.57548334000001</v>
      </c>
      <c r="I100" s="164"/>
      <c r="K100" s="228"/>
      <c r="L100" s="228"/>
      <c r="M100" s="228"/>
      <c r="O100" s="241" t="s">
        <v>319</v>
      </c>
      <c r="P100" s="241">
        <v>750.48899052000002</v>
      </c>
    </row>
    <row r="101" spans="1:16" x14ac:dyDescent="0.25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86</v>
      </c>
      <c r="H101" s="223">
        <v>7193.6163041600003</v>
      </c>
      <c r="I101" s="164"/>
      <c r="K101" s="228"/>
      <c r="L101" s="228"/>
      <c r="M101" s="228"/>
      <c r="O101" s="241" t="s">
        <v>86</v>
      </c>
      <c r="P101" s="241">
        <v>7158.0133258599999</v>
      </c>
    </row>
    <row r="102" spans="1:16" x14ac:dyDescent="0.25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320</v>
      </c>
      <c r="H102" s="223">
        <v>5270.4065513400001</v>
      </c>
      <c r="I102" s="164"/>
      <c r="K102" s="228"/>
      <c r="L102" s="228"/>
      <c r="M102" s="228"/>
      <c r="O102" s="241" t="s">
        <v>320</v>
      </c>
      <c r="P102" s="241">
        <v>4975.3910052700003</v>
      </c>
    </row>
    <row r="103" spans="1:16" x14ac:dyDescent="0.25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82</v>
      </c>
      <c r="H103" s="223">
        <v>46031.843077040001</v>
      </c>
      <c r="I103" s="164"/>
      <c r="K103" s="228"/>
      <c r="L103" s="228"/>
      <c r="M103" s="228"/>
      <c r="O103" s="241" t="s">
        <v>82</v>
      </c>
      <c r="P103" s="241">
        <v>47449.520032920002</v>
      </c>
    </row>
    <row r="104" spans="1:16" x14ac:dyDescent="0.25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84</v>
      </c>
      <c r="H104" s="223">
        <v>36888.86895579</v>
      </c>
      <c r="I104" s="164"/>
      <c r="K104" s="228"/>
      <c r="L104" s="228"/>
      <c r="M104" s="228"/>
      <c r="O104" s="241" t="s">
        <v>84</v>
      </c>
      <c r="P104" s="241">
        <v>38964.151842979998</v>
      </c>
    </row>
    <row r="105" spans="1:16" x14ac:dyDescent="0.25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321</v>
      </c>
      <c r="H105" s="223">
        <v>9648.5153351400004</v>
      </c>
      <c r="I105" s="164"/>
      <c r="K105" s="228"/>
      <c r="L105" s="228"/>
      <c r="M105" s="228"/>
      <c r="O105" s="241" t="s">
        <v>321</v>
      </c>
      <c r="P105" s="241">
        <v>9402.8668135600001</v>
      </c>
    </row>
    <row r="106" spans="1:16" x14ac:dyDescent="0.25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322</v>
      </c>
      <c r="H106" s="223">
        <v>1654.66965953</v>
      </c>
      <c r="I106" s="164"/>
      <c r="K106" s="228"/>
      <c r="L106" s="228"/>
      <c r="M106" s="228"/>
      <c r="O106" s="241" t="s">
        <v>322</v>
      </c>
      <c r="P106" s="241">
        <v>1544.5723378600001</v>
      </c>
    </row>
    <row r="107" spans="1:16" x14ac:dyDescent="0.25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323</v>
      </c>
      <c r="H107" s="223">
        <v>238.2084859</v>
      </c>
      <c r="I107" s="164"/>
      <c r="K107" s="228"/>
      <c r="L107" s="228"/>
      <c r="M107" s="228"/>
      <c r="O107" s="241" t="s">
        <v>323</v>
      </c>
      <c r="P107" s="241">
        <v>237.70911394000001</v>
      </c>
    </row>
    <row r="108" spans="1:16" x14ac:dyDescent="0.25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552</v>
      </c>
      <c r="H108" s="223">
        <v>16778.42656511</v>
      </c>
      <c r="I108" s="164"/>
      <c r="K108" s="228"/>
      <c r="L108" s="228"/>
      <c r="M108" s="228"/>
      <c r="O108" s="241" t="s">
        <v>552</v>
      </c>
      <c r="P108" s="241">
        <v>18734.874924619999</v>
      </c>
    </row>
    <row r="109" spans="1:16" x14ac:dyDescent="0.25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553</v>
      </c>
      <c r="H109" s="223">
        <v>16046.94648264</v>
      </c>
      <c r="I109" s="164"/>
      <c r="K109" s="228"/>
      <c r="L109" s="228"/>
      <c r="M109" s="228"/>
      <c r="O109" s="241" t="s">
        <v>553</v>
      </c>
      <c r="P109" s="241">
        <v>17730.244342030001</v>
      </c>
    </row>
    <row r="110" spans="1:16" x14ac:dyDescent="0.25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554</v>
      </c>
      <c r="H110" s="223">
        <v>12693.631510310001</v>
      </c>
      <c r="I110" s="164"/>
      <c r="K110" s="228"/>
      <c r="L110" s="228"/>
      <c r="M110" s="228"/>
      <c r="O110" s="241" t="s">
        <v>554</v>
      </c>
      <c r="P110" s="241">
        <v>13459.480063319999</v>
      </c>
    </row>
    <row r="111" spans="1:16" x14ac:dyDescent="0.25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324</v>
      </c>
      <c r="H111" s="223">
        <v>9469.3692165499997</v>
      </c>
      <c r="I111" s="164"/>
      <c r="K111" s="228"/>
      <c r="L111" s="228"/>
      <c r="M111" s="228"/>
      <c r="O111" s="241" t="s">
        <v>324</v>
      </c>
      <c r="P111" s="241">
        <v>9618.6708048100008</v>
      </c>
    </row>
    <row r="112" spans="1:16" x14ac:dyDescent="0.25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325</v>
      </c>
      <c r="H112" s="223">
        <v>79115.31955031</v>
      </c>
      <c r="I112" s="164"/>
      <c r="K112" s="228"/>
      <c r="L112" s="228"/>
      <c r="M112" s="228"/>
      <c r="O112" s="241" t="s">
        <v>325</v>
      </c>
      <c r="P112" s="241">
        <v>70583.171631410005</v>
      </c>
    </row>
    <row r="113" spans="2:16" x14ac:dyDescent="0.25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326</v>
      </c>
      <c r="H113" s="223">
        <v>44582.43820846</v>
      </c>
      <c r="I113" s="164"/>
      <c r="K113" s="228"/>
      <c r="L113" s="228"/>
      <c r="M113" s="228"/>
      <c r="O113" s="241" t="s">
        <v>326</v>
      </c>
      <c r="P113" s="241">
        <v>43991.699200759998</v>
      </c>
    </row>
    <row r="114" spans="2:16" x14ac:dyDescent="0.25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327</v>
      </c>
      <c r="H114" s="223">
        <v>1373.84979058</v>
      </c>
      <c r="I114" s="164"/>
      <c r="K114" s="228"/>
      <c r="L114" s="228"/>
      <c r="M114" s="228"/>
      <c r="O114" s="241" t="s">
        <v>327</v>
      </c>
      <c r="P114" s="241">
        <v>1675.8017021600001</v>
      </c>
    </row>
    <row r="115" spans="2:16" x14ac:dyDescent="0.25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190</v>
      </c>
      <c r="H115" s="223">
        <v>876.14721712000005</v>
      </c>
      <c r="I115" s="164"/>
      <c r="K115" s="228"/>
      <c r="L115" s="228"/>
      <c r="M115" s="228"/>
      <c r="O115" s="241" t="s">
        <v>190</v>
      </c>
      <c r="P115" s="241">
        <v>935.51464923000003</v>
      </c>
    </row>
    <row r="116" spans="2:16" x14ac:dyDescent="0.25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329</v>
      </c>
      <c r="H116" s="223">
        <v>3802.96398202</v>
      </c>
      <c r="I116" s="164"/>
      <c r="K116" s="228"/>
      <c r="L116" s="228"/>
      <c r="M116" s="228"/>
      <c r="O116" s="241" t="s">
        <v>329</v>
      </c>
      <c r="P116" s="241">
        <v>3826.15399845</v>
      </c>
    </row>
    <row r="117" spans="2:16" x14ac:dyDescent="0.25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330</v>
      </c>
      <c r="H117" s="223">
        <v>4257.9710651400001</v>
      </c>
      <c r="I117" s="164"/>
      <c r="K117" s="228"/>
      <c r="L117" s="228"/>
      <c r="M117" s="228"/>
      <c r="O117" s="241" t="s">
        <v>330</v>
      </c>
      <c r="P117" s="241">
        <v>4542.05177473</v>
      </c>
    </row>
    <row r="118" spans="2:16" x14ac:dyDescent="0.25">
      <c r="B118" s="190" t="s">
        <v>294</v>
      </c>
      <c r="C118" s="193">
        <v>43125</v>
      </c>
      <c r="D118" s="190">
        <v>267.88058246000003</v>
      </c>
      <c r="E118" s="223">
        <v>1</v>
      </c>
      <c r="F118" s="209"/>
      <c r="G118" s="223" t="s">
        <v>331</v>
      </c>
      <c r="H118" s="223">
        <v>790.83047567000006</v>
      </c>
      <c r="I118" s="164"/>
      <c r="K118" s="228"/>
      <c r="L118" s="228"/>
      <c r="M118" s="228"/>
      <c r="O118" s="241" t="s">
        <v>331</v>
      </c>
      <c r="P118" s="241">
        <v>835.32077855</v>
      </c>
    </row>
    <row r="119" spans="2:16" x14ac:dyDescent="0.25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333</v>
      </c>
      <c r="H119" s="223">
        <v>81.043492470000004</v>
      </c>
      <c r="I119" s="164"/>
      <c r="K119" s="228"/>
      <c r="L119" s="228"/>
      <c r="M119" s="228"/>
      <c r="O119" s="241" t="s">
        <v>337</v>
      </c>
      <c r="P119" s="241">
        <v>52533.043802139997</v>
      </c>
    </row>
    <row r="120" spans="2:16" x14ac:dyDescent="0.25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334</v>
      </c>
      <c r="H120" s="223">
        <v>124.66786483999999</v>
      </c>
      <c r="I120" s="164"/>
      <c r="K120" s="228"/>
      <c r="L120" s="228"/>
      <c r="M120" s="228"/>
      <c r="O120" s="241" t="s">
        <v>338</v>
      </c>
      <c r="P120" s="241">
        <v>4561.3687061000001</v>
      </c>
    </row>
    <row r="121" spans="2:16" x14ac:dyDescent="0.25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335</v>
      </c>
      <c r="H121" s="223">
        <v>58.290041819999999</v>
      </c>
      <c r="I121" s="164"/>
      <c r="K121" s="228"/>
      <c r="L121" s="228"/>
      <c r="M121" s="228"/>
      <c r="O121" s="241" t="s">
        <v>339</v>
      </c>
      <c r="P121" s="241">
        <v>59504.672636019997</v>
      </c>
    </row>
    <row r="122" spans="2:16" x14ac:dyDescent="0.25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336</v>
      </c>
      <c r="H122" s="223">
        <v>85.931111810000004</v>
      </c>
      <c r="I122" s="164"/>
      <c r="K122" s="228"/>
      <c r="L122" s="228"/>
      <c r="M122" s="228"/>
      <c r="O122" s="241" t="s">
        <v>340</v>
      </c>
      <c r="P122" s="241">
        <v>13292.255385869999</v>
      </c>
    </row>
    <row r="123" spans="2:16" x14ac:dyDescent="0.25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337</v>
      </c>
      <c r="H123" s="223">
        <v>52614.652741489997</v>
      </c>
      <c r="I123" s="164"/>
      <c r="K123" s="228"/>
      <c r="L123" s="228"/>
      <c r="M123" s="228"/>
      <c r="O123" s="241" t="s">
        <v>341</v>
      </c>
      <c r="P123" s="241">
        <v>805.51450195999996</v>
      </c>
    </row>
    <row r="124" spans="2:16" x14ac:dyDescent="0.25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338</v>
      </c>
      <c r="H124" s="223">
        <v>4763.2356332099998</v>
      </c>
      <c r="I124" s="164"/>
      <c r="K124" s="228"/>
      <c r="L124" s="228"/>
      <c r="M124" s="228"/>
      <c r="O124" s="241" t="s">
        <v>342</v>
      </c>
      <c r="P124" s="241">
        <v>11049.5907322</v>
      </c>
    </row>
    <row r="125" spans="2:16" x14ac:dyDescent="0.25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339</v>
      </c>
      <c r="H125" s="223">
        <v>59506.123521039997</v>
      </c>
      <c r="I125" s="164"/>
      <c r="K125" s="228"/>
      <c r="L125" s="228"/>
      <c r="M125" s="228"/>
      <c r="O125" s="241" t="s">
        <v>343</v>
      </c>
      <c r="P125" s="241">
        <v>3002.3296499799999</v>
      </c>
    </row>
    <row r="126" spans="2:16" x14ac:dyDescent="0.25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340</v>
      </c>
      <c r="H126" s="223">
        <v>13185.96484565</v>
      </c>
      <c r="I126" s="164"/>
      <c r="K126" s="228"/>
      <c r="L126" s="228"/>
      <c r="M126" s="228"/>
      <c r="O126" s="241" t="s">
        <v>344</v>
      </c>
      <c r="P126" s="241">
        <v>11972.54819471</v>
      </c>
    </row>
    <row r="127" spans="2:16" x14ac:dyDescent="0.25">
      <c r="B127" s="190" t="s">
        <v>303</v>
      </c>
      <c r="C127" s="193">
        <v>43110</v>
      </c>
      <c r="D127" s="190">
        <v>12309.673199999999</v>
      </c>
      <c r="E127" s="223">
        <v>1</v>
      </c>
      <c r="F127" s="209"/>
      <c r="G127" s="223" t="s">
        <v>341</v>
      </c>
      <c r="H127" s="223">
        <v>800.19972911000002</v>
      </c>
      <c r="I127" s="164"/>
      <c r="K127" s="228"/>
      <c r="L127" s="228"/>
      <c r="M127" s="228"/>
      <c r="O127" s="241" t="s">
        <v>346</v>
      </c>
      <c r="P127" s="241">
        <v>8430.35</v>
      </c>
    </row>
    <row r="128" spans="2:16" x14ac:dyDescent="0.25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342</v>
      </c>
      <c r="H128" s="223">
        <v>11291.73965596</v>
      </c>
      <c r="I128" s="164"/>
      <c r="K128" s="228"/>
      <c r="L128" s="228"/>
      <c r="M128" s="228"/>
      <c r="O128" s="241" t="s">
        <v>347</v>
      </c>
      <c r="P128" s="241">
        <v>14895.71</v>
      </c>
    </row>
    <row r="129" spans="2:16" x14ac:dyDescent="0.25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343</v>
      </c>
      <c r="H129" s="223">
        <v>3090.2337542800001</v>
      </c>
      <c r="I129" s="164"/>
      <c r="K129" s="228"/>
      <c r="L129" s="228"/>
      <c r="M129" s="228"/>
      <c r="O129" s="241" t="s">
        <v>348</v>
      </c>
      <c r="P129" s="241">
        <v>5379.44</v>
      </c>
    </row>
    <row r="130" spans="2:16" x14ac:dyDescent="0.25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344</v>
      </c>
      <c r="H130" s="223">
        <v>11885.389932780001</v>
      </c>
      <c r="I130" s="164"/>
      <c r="K130" s="228"/>
      <c r="L130" s="228"/>
      <c r="M130" s="228"/>
      <c r="O130" s="241" t="s">
        <v>349</v>
      </c>
      <c r="P130" s="241">
        <v>4449.4799999999996</v>
      </c>
    </row>
    <row r="131" spans="2:16" x14ac:dyDescent="0.25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346</v>
      </c>
      <c r="H131" s="223">
        <v>8415.18</v>
      </c>
      <c r="I131" s="164"/>
      <c r="K131" s="228"/>
      <c r="L131" s="228"/>
      <c r="M131" s="228"/>
      <c r="O131" s="241" t="s">
        <v>350</v>
      </c>
      <c r="P131" s="241">
        <v>3023.15</v>
      </c>
    </row>
    <row r="132" spans="2:16" x14ac:dyDescent="0.25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347</v>
      </c>
      <c r="H132" s="223">
        <v>14519.53</v>
      </c>
      <c r="I132" s="164"/>
      <c r="K132" s="228"/>
      <c r="L132" s="228"/>
      <c r="M132" s="228"/>
      <c r="O132" s="241" t="s">
        <v>351</v>
      </c>
      <c r="P132" s="241">
        <v>23643.51</v>
      </c>
    </row>
    <row r="133" spans="2:16" x14ac:dyDescent="0.25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348</v>
      </c>
      <c r="H133" s="223">
        <v>5096.6000000000004</v>
      </c>
      <c r="I133" s="164"/>
      <c r="K133" s="228"/>
      <c r="L133" s="228"/>
      <c r="M133" s="228"/>
      <c r="O133" s="241" t="s">
        <v>352</v>
      </c>
      <c r="P133" s="241">
        <v>2636.21</v>
      </c>
    </row>
    <row r="134" spans="2:16" x14ac:dyDescent="0.25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349</v>
      </c>
      <c r="H134" s="223">
        <v>4602.58</v>
      </c>
      <c r="I134" s="164"/>
      <c r="K134" s="228"/>
      <c r="L134" s="228"/>
      <c r="M134" s="228"/>
      <c r="O134" s="241" t="s">
        <v>353</v>
      </c>
      <c r="P134" s="241">
        <v>8868.8700000000008</v>
      </c>
    </row>
    <row r="135" spans="2:16" x14ac:dyDescent="0.25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350</v>
      </c>
      <c r="H135" s="223">
        <v>3286.44</v>
      </c>
      <c r="I135" s="164"/>
      <c r="K135" s="228"/>
      <c r="L135" s="228"/>
      <c r="M135" s="228"/>
      <c r="O135" s="241" t="s">
        <v>354</v>
      </c>
      <c r="P135" s="241">
        <v>7710.77</v>
      </c>
    </row>
    <row r="136" spans="2:16" x14ac:dyDescent="0.25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351</v>
      </c>
      <c r="H136" s="223">
        <v>24858.47</v>
      </c>
      <c r="I136" s="164"/>
      <c r="K136" s="228"/>
      <c r="L136" s="228"/>
      <c r="M136" s="228"/>
      <c r="O136" s="241" t="s">
        <v>355</v>
      </c>
      <c r="P136" s="241">
        <v>5699.12</v>
      </c>
    </row>
    <row r="137" spans="2:16" x14ac:dyDescent="0.25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352</v>
      </c>
      <c r="H137" s="223">
        <v>2721.83</v>
      </c>
      <c r="I137" s="164"/>
      <c r="K137" s="228"/>
      <c r="L137" s="228"/>
      <c r="M137" s="228"/>
      <c r="O137" s="241" t="s">
        <v>356</v>
      </c>
      <c r="P137" s="241">
        <v>8645.4699999999993</v>
      </c>
    </row>
    <row r="138" spans="2:16" x14ac:dyDescent="0.25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353</v>
      </c>
      <c r="H138" s="223">
        <v>9798.32</v>
      </c>
      <c r="I138" s="164"/>
      <c r="K138" s="228"/>
      <c r="L138" s="228"/>
      <c r="M138" s="228"/>
      <c r="O138" s="241" t="s">
        <v>357</v>
      </c>
      <c r="P138" s="241">
        <v>22109.65</v>
      </c>
    </row>
    <row r="139" spans="2:16" x14ac:dyDescent="0.25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354</v>
      </c>
      <c r="H139" s="223">
        <v>8207.27</v>
      </c>
      <c r="I139" s="164"/>
      <c r="K139" s="228"/>
      <c r="L139" s="228"/>
      <c r="M139" s="228"/>
      <c r="O139" s="241" t="s">
        <v>358</v>
      </c>
      <c r="P139" s="241">
        <v>16236.64</v>
      </c>
    </row>
    <row r="140" spans="2:16" x14ac:dyDescent="0.25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355</v>
      </c>
      <c r="H140" s="223">
        <v>5551.88</v>
      </c>
      <c r="I140" s="164"/>
      <c r="K140" s="228"/>
      <c r="L140" s="228"/>
      <c r="M140" s="228"/>
      <c r="O140" s="241" t="s">
        <v>359</v>
      </c>
      <c r="P140" s="241">
        <v>1233.1199999999999</v>
      </c>
    </row>
    <row r="141" spans="2:16" x14ac:dyDescent="0.25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356</v>
      </c>
      <c r="H141" s="223">
        <v>8552.98</v>
      </c>
      <c r="I141" s="164"/>
      <c r="K141" s="228"/>
      <c r="L141" s="228"/>
      <c r="M141" s="228"/>
      <c r="O141" s="241" t="s">
        <v>360</v>
      </c>
      <c r="P141" s="241">
        <v>43128.160000000003</v>
      </c>
    </row>
    <row r="142" spans="2:16" x14ac:dyDescent="0.25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357</v>
      </c>
      <c r="H142" s="223">
        <v>21686</v>
      </c>
      <c r="I142" s="164"/>
      <c r="K142" s="228"/>
      <c r="L142" s="228"/>
      <c r="M142" s="228"/>
      <c r="O142" s="241" t="s">
        <v>361</v>
      </c>
      <c r="P142" s="241">
        <v>10407.39</v>
      </c>
    </row>
    <row r="143" spans="2:16" x14ac:dyDescent="0.25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358</v>
      </c>
      <c r="H143" s="223">
        <v>16005.8</v>
      </c>
      <c r="I143" s="164"/>
      <c r="K143" s="228"/>
      <c r="L143" s="228"/>
      <c r="M143" s="228"/>
      <c r="O143" s="241" t="s">
        <v>362</v>
      </c>
      <c r="P143" s="241">
        <v>16299.16</v>
      </c>
    </row>
    <row r="144" spans="2:16" x14ac:dyDescent="0.25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359</v>
      </c>
      <c r="H144" s="223">
        <v>1813.88</v>
      </c>
      <c r="I144" s="164"/>
      <c r="K144" s="228"/>
      <c r="L144" s="228"/>
      <c r="M144" s="228"/>
      <c r="O144" s="241" t="s">
        <v>363</v>
      </c>
      <c r="P144" s="241">
        <v>23917.83</v>
      </c>
    </row>
    <row r="145" spans="2:16" x14ac:dyDescent="0.25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360</v>
      </c>
      <c r="H145" s="223">
        <v>44278.239999999998</v>
      </c>
      <c r="I145" s="164"/>
      <c r="K145" s="228"/>
      <c r="L145" s="228"/>
      <c r="M145" s="228"/>
      <c r="O145" s="241" t="s">
        <v>364</v>
      </c>
      <c r="P145" s="241">
        <v>32097.56</v>
      </c>
    </row>
    <row r="146" spans="2:16" x14ac:dyDescent="0.25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361</v>
      </c>
      <c r="H146" s="223">
        <v>10212.92</v>
      </c>
      <c r="I146" s="164"/>
      <c r="K146" s="228"/>
      <c r="L146" s="228"/>
      <c r="M146" s="228"/>
      <c r="O146" s="241" t="s">
        <v>365</v>
      </c>
      <c r="P146" s="241">
        <v>13706.4</v>
      </c>
    </row>
    <row r="147" spans="2:16" x14ac:dyDescent="0.25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362</v>
      </c>
      <c r="H147" s="223">
        <v>16032.19</v>
      </c>
      <c r="I147" s="164"/>
      <c r="K147" s="228"/>
      <c r="L147" s="228"/>
      <c r="M147" s="228"/>
      <c r="O147" s="241" t="s">
        <v>366</v>
      </c>
      <c r="P147" s="241">
        <v>103275.19</v>
      </c>
    </row>
    <row r="148" spans="2:16" x14ac:dyDescent="0.25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363</v>
      </c>
      <c r="H148" s="223">
        <v>23163.33</v>
      </c>
      <c r="I148" s="164"/>
      <c r="K148" s="228"/>
      <c r="L148" s="228"/>
      <c r="M148" s="228"/>
      <c r="O148" s="241" t="s">
        <v>367</v>
      </c>
      <c r="P148" s="241">
        <v>6641.36</v>
      </c>
    </row>
    <row r="149" spans="2:16" x14ac:dyDescent="0.25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364</v>
      </c>
      <c r="H149" s="223">
        <v>31778.33</v>
      </c>
      <c r="I149" s="164"/>
      <c r="K149" s="228"/>
      <c r="L149" s="228"/>
      <c r="M149" s="228"/>
      <c r="O149" s="241" t="s">
        <v>368</v>
      </c>
      <c r="P149" s="241">
        <v>4522.84</v>
      </c>
    </row>
    <row r="150" spans="2:16" x14ac:dyDescent="0.25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365</v>
      </c>
      <c r="H150" s="223">
        <v>14293.4</v>
      </c>
      <c r="I150" s="164"/>
      <c r="K150" s="228"/>
      <c r="L150" s="228"/>
      <c r="M150" s="228"/>
      <c r="O150" s="241" t="s">
        <v>369</v>
      </c>
      <c r="P150" s="241">
        <v>9185.3700000000008</v>
      </c>
    </row>
    <row r="151" spans="2:16" x14ac:dyDescent="0.25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366</v>
      </c>
      <c r="H151" s="223">
        <v>101223</v>
      </c>
      <c r="I151" s="164"/>
      <c r="K151" s="228"/>
      <c r="L151" s="228"/>
      <c r="M151" s="228"/>
      <c r="O151" s="241" t="s">
        <v>370</v>
      </c>
      <c r="P151" s="241">
        <v>12999.6</v>
      </c>
    </row>
    <row r="152" spans="2:16" x14ac:dyDescent="0.25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367</v>
      </c>
      <c r="H152" s="223">
        <v>7035.16</v>
      </c>
      <c r="I152" s="164"/>
      <c r="K152" s="228"/>
      <c r="L152" s="228"/>
      <c r="M152" s="228"/>
      <c r="O152" s="241" t="s">
        <v>371</v>
      </c>
      <c r="P152" s="241">
        <v>16676.98</v>
      </c>
    </row>
    <row r="153" spans="2:16" x14ac:dyDescent="0.25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368</v>
      </c>
      <c r="H153" s="223">
        <v>4845.2299999999996</v>
      </c>
      <c r="I153" s="164"/>
      <c r="K153" s="228"/>
      <c r="L153" s="228"/>
      <c r="M153" s="228"/>
      <c r="O153" s="241" t="s">
        <v>372</v>
      </c>
      <c r="P153" s="241">
        <v>14062.29</v>
      </c>
    </row>
    <row r="154" spans="2:16" x14ac:dyDescent="0.25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369</v>
      </c>
      <c r="H154" s="223">
        <v>9204.67</v>
      </c>
      <c r="I154" s="164"/>
      <c r="K154" s="228"/>
      <c r="L154" s="228"/>
      <c r="M154" s="228"/>
      <c r="O154" s="241" t="s">
        <v>373</v>
      </c>
      <c r="P154" s="241">
        <v>12577.99</v>
      </c>
    </row>
    <row r="155" spans="2:16" x14ac:dyDescent="0.25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370</v>
      </c>
      <c r="H155" s="223">
        <v>12797.82</v>
      </c>
      <c r="I155" s="164"/>
      <c r="K155" s="228"/>
      <c r="L155" s="228"/>
      <c r="M155" s="228"/>
      <c r="O155" s="241" t="s">
        <v>374</v>
      </c>
      <c r="P155" s="241">
        <v>7422.69</v>
      </c>
    </row>
    <row r="156" spans="2:16" x14ac:dyDescent="0.25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371</v>
      </c>
      <c r="H156" s="223">
        <v>18692.91</v>
      </c>
      <c r="I156" s="164"/>
      <c r="K156" s="228"/>
      <c r="L156" s="228"/>
      <c r="M156" s="228"/>
      <c r="O156" s="241" t="s">
        <v>375</v>
      </c>
      <c r="P156" s="241">
        <v>8582.23</v>
      </c>
    </row>
    <row r="157" spans="2:16" x14ac:dyDescent="0.25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372</v>
      </c>
      <c r="H157" s="223">
        <v>14180.62</v>
      </c>
      <c r="I157" s="164"/>
      <c r="K157" s="228"/>
      <c r="L157" s="228"/>
      <c r="M157" s="228"/>
      <c r="O157" s="241" t="s">
        <v>376</v>
      </c>
      <c r="P157" s="241">
        <v>10308.92</v>
      </c>
    </row>
    <row r="158" spans="2:16" x14ac:dyDescent="0.25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373</v>
      </c>
      <c r="H158" s="223">
        <v>10310.709999999999</v>
      </c>
      <c r="I158" s="164"/>
      <c r="K158" s="228"/>
      <c r="L158" s="228"/>
      <c r="M158" s="228"/>
      <c r="O158" s="241" t="s">
        <v>377</v>
      </c>
      <c r="P158" s="241">
        <v>15393.03</v>
      </c>
    </row>
    <row r="159" spans="2:16" x14ac:dyDescent="0.25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374</v>
      </c>
      <c r="H159" s="223">
        <v>6964.58</v>
      </c>
      <c r="I159" s="164"/>
      <c r="K159" s="228"/>
      <c r="L159" s="228"/>
      <c r="M159" s="228"/>
      <c r="O159" s="241" t="s">
        <v>380</v>
      </c>
      <c r="P159" s="241">
        <v>5267.52</v>
      </c>
    </row>
    <row r="160" spans="2:16" x14ac:dyDescent="0.25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375</v>
      </c>
      <c r="H160" s="223">
        <v>8475.91</v>
      </c>
      <c r="I160" s="164"/>
      <c r="K160" s="228"/>
      <c r="L160" s="228"/>
      <c r="M160" s="228"/>
      <c r="O160" s="241" t="s">
        <v>381</v>
      </c>
      <c r="P160" s="241">
        <v>12064.41</v>
      </c>
    </row>
    <row r="161" spans="2:16" x14ac:dyDescent="0.25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376</v>
      </c>
      <c r="H161" s="223">
        <v>9664.16</v>
      </c>
      <c r="I161" s="164"/>
      <c r="K161" s="228"/>
      <c r="L161" s="228"/>
      <c r="M161" s="228"/>
      <c r="O161" s="241" t="s">
        <v>382</v>
      </c>
      <c r="P161" s="241">
        <v>18014.13</v>
      </c>
    </row>
    <row r="162" spans="2:16" x14ac:dyDescent="0.25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377</v>
      </c>
      <c r="H162" s="223">
        <v>14573.18</v>
      </c>
      <c r="I162" s="164"/>
      <c r="K162" s="228"/>
      <c r="L162" s="228"/>
      <c r="M162" s="228"/>
      <c r="O162" s="241" t="s">
        <v>383</v>
      </c>
      <c r="P162" s="241">
        <v>19927.22</v>
      </c>
    </row>
    <row r="163" spans="2:16" x14ac:dyDescent="0.25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5341.96</v>
      </c>
      <c r="I163" s="164"/>
      <c r="K163" s="228"/>
      <c r="L163" s="228"/>
      <c r="M163" s="228"/>
      <c r="O163" s="241" t="s">
        <v>384</v>
      </c>
      <c r="P163" s="241">
        <v>43024.26</v>
      </c>
    </row>
    <row r="164" spans="2:16" x14ac:dyDescent="0.25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12719.94</v>
      </c>
      <c r="I164" s="164"/>
      <c r="K164" s="228"/>
      <c r="L164" s="228"/>
      <c r="M164" s="228"/>
      <c r="O164" s="241" t="s">
        <v>385</v>
      </c>
      <c r="P164" s="241">
        <v>8233.42</v>
      </c>
    </row>
    <row r="165" spans="2:16" x14ac:dyDescent="0.25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18077.04</v>
      </c>
      <c r="I165" s="164"/>
      <c r="K165" s="228"/>
      <c r="L165" s="228"/>
      <c r="M165" s="228"/>
      <c r="O165" s="241" t="s">
        <v>386</v>
      </c>
      <c r="P165" s="241">
        <v>11505.95</v>
      </c>
    </row>
    <row r="166" spans="2:16" x14ac:dyDescent="0.25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19457.16</v>
      </c>
      <c r="I166" s="164"/>
      <c r="K166" s="228"/>
      <c r="L166" s="228"/>
      <c r="M166" s="228"/>
      <c r="O166" s="241" t="s">
        <v>387</v>
      </c>
      <c r="P166" s="241">
        <v>14315.18</v>
      </c>
    </row>
    <row r="167" spans="2:16" x14ac:dyDescent="0.25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42629.18</v>
      </c>
      <c r="I167" s="164"/>
      <c r="K167" s="228"/>
      <c r="L167" s="228"/>
      <c r="M167" s="228"/>
      <c r="O167" s="241" t="s">
        <v>388</v>
      </c>
      <c r="P167" s="241">
        <v>3751.16</v>
      </c>
    </row>
    <row r="168" spans="2:16" x14ac:dyDescent="0.25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8274.3700000000008</v>
      </c>
      <c r="I168" s="164"/>
      <c r="K168" s="228"/>
      <c r="L168" s="228"/>
      <c r="M168" s="228"/>
      <c r="O168" s="241" t="s">
        <v>389</v>
      </c>
      <c r="P168" s="241">
        <v>21715.78</v>
      </c>
    </row>
    <row r="169" spans="2:16" x14ac:dyDescent="0.25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11127.8</v>
      </c>
      <c r="I169" s="164"/>
      <c r="K169" s="228"/>
      <c r="L169" s="228"/>
      <c r="M169" s="228"/>
      <c r="O169" s="241" t="s">
        <v>390</v>
      </c>
      <c r="P169" s="241">
        <v>14991.76</v>
      </c>
    </row>
    <row r="170" spans="2:16" x14ac:dyDescent="0.25">
      <c r="B170" s="190" t="s">
        <v>325</v>
      </c>
      <c r="C170" s="193">
        <v>43131</v>
      </c>
      <c r="D170" s="190">
        <v>79115.31955031</v>
      </c>
      <c r="E170" s="223">
        <v>1</v>
      </c>
      <c r="F170" s="209"/>
      <c r="G170" s="223" t="s">
        <v>387</v>
      </c>
      <c r="H170" s="223">
        <v>13552.74</v>
      </c>
      <c r="I170" s="164"/>
      <c r="K170" s="228"/>
      <c r="L170" s="228"/>
      <c r="M170" s="228"/>
      <c r="O170" s="241" t="s">
        <v>391</v>
      </c>
      <c r="P170" s="241">
        <v>19598.740000000002</v>
      </c>
    </row>
    <row r="171" spans="2:16" x14ac:dyDescent="0.25">
      <c r="B171" s="190" t="s">
        <v>326</v>
      </c>
      <c r="C171" s="193">
        <v>43125</v>
      </c>
      <c r="D171" s="190">
        <v>46483.322545509996</v>
      </c>
      <c r="E171" s="223">
        <v>1</v>
      </c>
      <c r="F171" s="209"/>
      <c r="G171" s="223" t="s">
        <v>388</v>
      </c>
      <c r="H171" s="223">
        <v>3818.88</v>
      </c>
      <c r="I171" s="164"/>
      <c r="K171" s="228"/>
      <c r="L171" s="228"/>
      <c r="M171" s="228"/>
      <c r="O171" s="241" t="s">
        <v>392</v>
      </c>
      <c r="P171" s="241">
        <v>4165.66</v>
      </c>
    </row>
    <row r="172" spans="2:16" x14ac:dyDescent="0.25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21656.22</v>
      </c>
      <c r="I172" s="164"/>
      <c r="K172" s="228"/>
      <c r="L172" s="228"/>
      <c r="M172" s="228"/>
      <c r="O172" s="241" t="s">
        <v>393</v>
      </c>
      <c r="P172" s="241">
        <v>19731.25</v>
      </c>
    </row>
    <row r="173" spans="2:16" x14ac:dyDescent="0.25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14579.99</v>
      </c>
      <c r="I173" s="164"/>
      <c r="K173" s="228"/>
      <c r="L173" s="228"/>
      <c r="M173" s="228"/>
      <c r="O173" s="241" t="s">
        <v>394</v>
      </c>
      <c r="P173" s="241">
        <v>15042.61</v>
      </c>
    </row>
    <row r="174" spans="2:16" x14ac:dyDescent="0.25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19377.22</v>
      </c>
      <c r="I174" s="164"/>
      <c r="K174" s="228"/>
      <c r="L174" s="228"/>
      <c r="M174" s="228"/>
      <c r="O174" s="241" t="s">
        <v>395</v>
      </c>
      <c r="P174" s="241">
        <v>18092.93</v>
      </c>
    </row>
    <row r="175" spans="2:16" x14ac:dyDescent="0.25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4224.53</v>
      </c>
      <c r="I175" s="164"/>
      <c r="K175" s="228"/>
      <c r="L175" s="228"/>
      <c r="M175" s="228"/>
      <c r="O175" s="241" t="s">
        <v>396</v>
      </c>
      <c r="P175" s="241">
        <v>47488.563220340002</v>
      </c>
    </row>
    <row r="176" spans="2:16" x14ac:dyDescent="0.25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19723.36</v>
      </c>
      <c r="I176" s="164"/>
      <c r="K176" s="228"/>
      <c r="L176" s="228"/>
      <c r="M176" s="228"/>
      <c r="O176" s="241"/>
      <c r="P176" s="241"/>
    </row>
    <row r="177" spans="2:16" x14ac:dyDescent="0.25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14548.23</v>
      </c>
      <c r="I177" s="164"/>
      <c r="K177" s="228"/>
      <c r="L177" s="228"/>
      <c r="M177" s="228"/>
      <c r="O177" s="241"/>
      <c r="P177" s="241"/>
    </row>
    <row r="178" spans="2:16" x14ac:dyDescent="0.25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17882.59</v>
      </c>
      <c r="I178" s="164"/>
      <c r="K178" s="228"/>
      <c r="L178" s="228"/>
      <c r="M178" s="228"/>
      <c r="O178" s="241"/>
      <c r="P178" s="241"/>
    </row>
    <row r="179" spans="2:16" x14ac:dyDescent="0.25">
      <c r="B179" s="190" t="s">
        <v>333</v>
      </c>
      <c r="C179" s="193">
        <v>43129</v>
      </c>
      <c r="D179" s="190">
        <v>82.007560010000006</v>
      </c>
      <c r="E179" s="223">
        <v>1</v>
      </c>
      <c r="F179" s="209"/>
      <c r="G179" s="223" t="s">
        <v>396</v>
      </c>
      <c r="H179" s="223">
        <v>52239.630489039999</v>
      </c>
      <c r="I179" s="164"/>
      <c r="K179" s="228"/>
      <c r="L179" s="228"/>
      <c r="M179" s="228"/>
      <c r="O179" s="241"/>
      <c r="P179" s="241"/>
    </row>
    <row r="180" spans="2:16" x14ac:dyDescent="0.25">
      <c r="B180" s="190" t="s">
        <v>334</v>
      </c>
      <c r="C180" s="193">
        <v>43129</v>
      </c>
      <c r="D180" s="190">
        <v>127.27971118000001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5">
      <c r="B181" s="190" t="s">
        <v>335</v>
      </c>
      <c r="C181" s="193">
        <v>43130</v>
      </c>
      <c r="D181" s="190">
        <v>58.615388420000002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5">
      <c r="B182" s="190" t="s">
        <v>336</v>
      </c>
      <c r="C182" s="193">
        <v>43129</v>
      </c>
      <c r="D182" s="190">
        <v>87.017294190000001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5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5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5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5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5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5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5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5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5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5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5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5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5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5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5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5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5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5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5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5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5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5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5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5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5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5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5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5">
      <c r="B210" s="190" t="s">
        <v>364</v>
      </c>
      <c r="C210" s="193">
        <v>43125</v>
      </c>
      <c r="D210" s="190">
        <v>32873.379999999997</v>
      </c>
      <c r="E210" s="223">
        <v>1</v>
      </c>
    </row>
    <row r="211" spans="2:5" x14ac:dyDescent="0.25">
      <c r="B211" s="190" t="s">
        <v>365</v>
      </c>
      <c r="C211" s="193">
        <v>42104</v>
      </c>
      <c r="D211" s="190">
        <v>15204.51</v>
      </c>
      <c r="E211" s="223">
        <v>1</v>
      </c>
    </row>
    <row r="212" spans="2:5" x14ac:dyDescent="0.25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5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5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5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5">
      <c r="B216" s="190" t="s">
        <v>370</v>
      </c>
      <c r="C216" s="193">
        <v>43125</v>
      </c>
      <c r="D216" s="190">
        <v>13654.14</v>
      </c>
      <c r="E216" s="223">
        <v>1</v>
      </c>
    </row>
    <row r="217" spans="2:5" x14ac:dyDescent="0.25">
      <c r="B217" s="190" t="s">
        <v>371</v>
      </c>
      <c r="C217" s="193">
        <v>43131</v>
      </c>
      <c r="D217" s="190">
        <v>18692.91</v>
      </c>
      <c r="E217" s="223">
        <v>1</v>
      </c>
    </row>
    <row r="218" spans="2:5" x14ac:dyDescent="0.25">
      <c r="B218" s="190" t="s">
        <v>372</v>
      </c>
      <c r="C218" s="193">
        <v>43125</v>
      </c>
      <c r="D218" s="190">
        <v>14817.48</v>
      </c>
      <c r="E218" s="223">
        <v>1</v>
      </c>
    </row>
    <row r="219" spans="2:5" x14ac:dyDescent="0.25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5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5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5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5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5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5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5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5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5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5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5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5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5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5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5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5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5">
      <c r="B236" s="190" t="s">
        <v>390</v>
      </c>
      <c r="C236" s="193">
        <v>43125</v>
      </c>
      <c r="D236" s="190">
        <v>15399.08</v>
      </c>
      <c r="E236" s="223">
        <v>1</v>
      </c>
    </row>
    <row r="237" spans="2:5" x14ac:dyDescent="0.25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5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5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5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5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5">
      <c r="B242" s="190" t="s">
        <v>396</v>
      </c>
      <c r="C242" s="193">
        <v>43126</v>
      </c>
      <c r="D242" s="190">
        <v>52919.703019150002</v>
      </c>
      <c r="E242" s="223">
        <v>1</v>
      </c>
    </row>
    <row r="243" spans="2:5" x14ac:dyDescent="0.25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5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5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5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5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5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5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5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5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5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5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5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5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5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5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5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5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5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5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5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5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5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5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5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5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5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5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5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5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5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5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5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5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5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5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5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5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5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5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5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5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5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5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5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5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5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5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09375" defaultRowHeight="13.2" x14ac:dyDescent="0.25"/>
  <cols>
    <col min="1" max="1" width="39.88671875" style="10" customWidth="1"/>
    <col min="2" max="2" width="17.88671875" style="10" bestFit="1" customWidth="1"/>
    <col min="3" max="3" width="15" style="10" bestFit="1" customWidth="1"/>
    <col min="4" max="4" width="11.44140625" style="10" bestFit="1" customWidth="1"/>
    <col min="5" max="5" width="10.5546875" style="10" bestFit="1" customWidth="1"/>
    <col min="6" max="6" width="13.44140625" style="10" bestFit="1" customWidth="1"/>
    <col min="7" max="7" width="11.109375" style="10" bestFit="1" customWidth="1"/>
    <col min="8" max="9" width="11.33203125" style="10" bestFit="1" customWidth="1"/>
    <col min="10" max="10" width="10.33203125" style="10" bestFit="1" customWidth="1"/>
    <col min="11" max="16384" width="9.109375" style="10"/>
  </cols>
  <sheetData>
    <row r="1" spans="1:13" s="35" customFormat="1" x14ac:dyDescent="0.25">
      <c r="A1" s="61"/>
    </row>
    <row r="2" spans="1:13" s="56" customFormat="1" x14ac:dyDescent="0.25">
      <c r="F2" s="405"/>
      <c r="G2" s="405"/>
      <c r="H2" s="405"/>
      <c r="I2" s="405"/>
    </row>
    <row r="3" spans="1:13" s="56" customFormat="1" x14ac:dyDescent="0.25">
      <c r="B3" s="11"/>
      <c r="C3" s="24"/>
      <c r="D3" s="11"/>
      <c r="E3" s="24"/>
      <c r="G3" s="24"/>
      <c r="I3" s="24"/>
      <c r="K3" s="10"/>
    </row>
    <row r="4" spans="1:13" x14ac:dyDescent="0.25">
      <c r="B4" s="27"/>
      <c r="C4" s="48"/>
      <c r="D4" s="27"/>
      <c r="E4" s="48"/>
      <c r="G4" s="48"/>
      <c r="I4" s="48"/>
      <c r="J4" s="44"/>
    </row>
    <row r="5" spans="1:13" x14ac:dyDescent="0.25">
      <c r="B5" s="27"/>
      <c r="C5" s="48"/>
      <c r="D5" s="27"/>
      <c r="E5" s="48"/>
      <c r="G5" s="48"/>
      <c r="I5" s="48"/>
      <c r="J5" s="44"/>
    </row>
    <row r="6" spans="1:13" x14ac:dyDescent="0.25">
      <c r="B6" s="57"/>
      <c r="C6" s="48"/>
      <c r="D6" s="57"/>
      <c r="E6" s="48"/>
      <c r="G6" s="48"/>
      <c r="I6" s="48"/>
      <c r="J6" s="44"/>
    </row>
    <row r="7" spans="1:13" x14ac:dyDescent="0.25">
      <c r="B7" s="57"/>
      <c r="C7" s="48"/>
      <c r="D7" s="57"/>
      <c r="E7" s="48"/>
      <c r="G7" s="48"/>
      <c r="I7" s="48"/>
    </row>
    <row r="8" spans="1:13" x14ac:dyDescent="0.25">
      <c r="A8" s="18"/>
      <c r="B8" s="18"/>
      <c r="D8" s="27"/>
      <c r="E8" s="49"/>
    </row>
    <row r="9" spans="1:13" x14ac:dyDescent="0.25">
      <c r="A9" s="18"/>
      <c r="B9" s="36"/>
      <c r="J9" s="27"/>
    </row>
    <row r="10" spans="1:13" x14ac:dyDescent="0.25">
      <c r="J10" s="27"/>
    </row>
    <row r="11" spans="1:13" x14ac:dyDescent="0.25">
      <c r="A11" s="35"/>
      <c r="J11" s="27"/>
      <c r="K11" s="27"/>
    </row>
    <row r="12" spans="1:13" s="56" customFormat="1" x14ac:dyDescent="0.25">
      <c r="J12" s="33"/>
      <c r="K12" s="33"/>
    </row>
    <row r="13" spans="1:13" s="56" customFormat="1" x14ac:dyDescent="0.25">
      <c r="B13" s="24"/>
      <c r="C13" s="24"/>
      <c r="D13" s="24"/>
      <c r="E13" s="24"/>
      <c r="F13" s="16"/>
    </row>
    <row r="14" spans="1:13" s="56" customFormat="1" x14ac:dyDescent="0.25">
      <c r="B14" s="24"/>
      <c r="C14" s="24"/>
      <c r="D14" s="24"/>
      <c r="E14" s="24"/>
      <c r="F14" s="16"/>
    </row>
    <row r="15" spans="1:13" s="56" customFormat="1" x14ac:dyDescent="0.25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4.4" x14ac:dyDescent="0.3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4.4" x14ac:dyDescent="0.3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5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4.4" x14ac:dyDescent="0.3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4.4" x14ac:dyDescent="0.3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5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5">
      <c r="A22" s="18"/>
      <c r="B22" s="27"/>
      <c r="D22" s="28"/>
      <c r="E22" s="28"/>
      <c r="F22" s="28"/>
    </row>
    <row r="24" spans="1:12" x14ac:dyDescent="0.25">
      <c r="A24" s="35"/>
    </row>
    <row r="25" spans="1:12" s="56" customFormat="1" x14ac:dyDescent="0.25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5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5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5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5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5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5">
      <c r="A32" s="35"/>
      <c r="F32" s="84"/>
      <c r="G32" s="65"/>
      <c r="H32" s="65"/>
      <c r="I32" s="65"/>
      <c r="J32" s="65"/>
    </row>
    <row r="33" spans="1:11" s="56" customFormat="1" x14ac:dyDescent="0.25">
      <c r="F33" s="84"/>
      <c r="G33" s="65"/>
      <c r="H33" s="65"/>
      <c r="I33" s="65"/>
      <c r="J33" s="65"/>
    </row>
    <row r="34" spans="1:11" s="56" customFormat="1" x14ac:dyDescent="0.25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5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5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5">
      <c r="A37" s="35"/>
      <c r="E37" s="28"/>
      <c r="F37" s="28"/>
      <c r="G37" s="28"/>
      <c r="H37" s="28"/>
      <c r="I37" s="28"/>
      <c r="J37" s="28"/>
    </row>
    <row r="38" spans="1:11" x14ac:dyDescent="0.25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5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5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3.8" x14ac:dyDescent="0.25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5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5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5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5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3.8" x14ac:dyDescent="0.25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5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5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5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5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5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5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5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5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5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5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5">
      <c r="B57" s="37"/>
      <c r="C57" s="37"/>
      <c r="D57" s="37"/>
      <c r="E57" s="37"/>
      <c r="F57" s="27"/>
      <c r="G57" s="37"/>
      <c r="H57" s="37"/>
      <c r="I57" s="37"/>
    </row>
    <row r="58" spans="1:11" ht="13.8" x14ac:dyDescent="0.3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5">
      <c r="A59" s="18"/>
    </row>
    <row r="60" spans="1:11" x14ac:dyDescent="0.25">
      <c r="A60" s="18"/>
      <c r="B60" s="37"/>
    </row>
    <row r="61" spans="1:11" x14ac:dyDescent="0.25">
      <c r="A61" s="18"/>
    </row>
    <row r="62" spans="1:11" x14ac:dyDescent="0.25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3.2" x14ac:dyDescent="0.25"/>
  <cols>
    <col min="1" max="1" width="31" customWidth="1"/>
    <col min="2" max="2" width="11.44140625" bestFit="1" customWidth="1"/>
    <col min="3" max="3" width="12.5546875" style="43" customWidth="1"/>
    <col min="4" max="4" width="11.109375" style="2" customWidth="1"/>
    <col min="5" max="5" width="21" style="2" customWidth="1"/>
    <col min="6" max="6" width="15.33203125" style="6" customWidth="1"/>
  </cols>
  <sheetData>
    <row r="3" spans="1:6" x14ac:dyDescent="0.25">
      <c r="D3" s="5"/>
      <c r="E3" s="5"/>
    </row>
    <row r="6" spans="1:6" s="1" customFormat="1" x14ac:dyDescent="0.25">
      <c r="C6" s="64"/>
      <c r="D6" s="5"/>
      <c r="E6" s="5"/>
      <c r="F6" s="7"/>
    </row>
    <row r="7" spans="1:6" s="1" customFormat="1" x14ac:dyDescent="0.25">
      <c r="A7" s="17"/>
      <c r="B7" s="17"/>
      <c r="C7" s="64"/>
      <c r="D7" s="5"/>
      <c r="E7" s="5"/>
      <c r="F7" s="7"/>
    </row>
    <row r="8" spans="1:6" s="1" customFormat="1" x14ac:dyDescent="0.25">
      <c r="A8" s="17"/>
      <c r="B8" s="17"/>
      <c r="C8" s="64"/>
      <c r="D8" s="5"/>
      <c r="E8" s="5"/>
      <c r="F8" s="7"/>
    </row>
    <row r="9" spans="1:6" s="1" customFormat="1" x14ac:dyDescent="0.25">
      <c r="A9" s="17"/>
      <c r="B9" s="17"/>
      <c r="C9" s="64"/>
      <c r="D9" s="5"/>
      <c r="E9" s="5"/>
      <c r="F9" s="7"/>
    </row>
    <row r="10" spans="1:6" s="1" customFormat="1" x14ac:dyDescent="0.25">
      <c r="A10" s="85"/>
      <c r="B10" s="85"/>
      <c r="C10" s="85"/>
      <c r="D10" s="86"/>
      <c r="E10" s="86"/>
      <c r="F10" s="87"/>
    </row>
    <row r="11" spans="1:6" x14ac:dyDescent="0.25">
      <c r="A11" s="10"/>
      <c r="B11" s="10"/>
      <c r="C11" s="2"/>
      <c r="F11" s="12"/>
    </row>
    <row r="12" spans="1:6" x14ac:dyDescent="0.25">
      <c r="A12" s="10"/>
      <c r="B12" s="10"/>
      <c r="C12" s="2"/>
      <c r="F12" s="12"/>
    </row>
    <row r="13" spans="1:6" x14ac:dyDescent="0.25">
      <c r="A13" s="10"/>
      <c r="B13" s="10"/>
      <c r="C13" s="2"/>
      <c r="F13" s="12"/>
    </row>
    <row r="14" spans="1:6" x14ac:dyDescent="0.25">
      <c r="A14" s="10"/>
      <c r="B14" s="10"/>
      <c r="C14" s="2"/>
      <c r="F14" s="12"/>
    </row>
    <row r="15" spans="1:6" x14ac:dyDescent="0.25">
      <c r="A15" s="10"/>
      <c r="B15" s="10"/>
      <c r="C15" s="2"/>
      <c r="F15" s="12"/>
    </row>
    <row r="16" spans="1:6" x14ac:dyDescent="0.25">
      <c r="A16" s="10"/>
      <c r="B16" s="10"/>
      <c r="C16" s="2"/>
      <c r="F16" s="12"/>
    </row>
    <row r="17" spans="1:6" x14ac:dyDescent="0.25">
      <c r="A17" s="10"/>
      <c r="B17" s="10"/>
      <c r="C17" s="2"/>
      <c r="F17" s="12"/>
    </row>
    <row r="18" spans="1:6" s="1" customFormat="1" x14ac:dyDescent="0.25">
      <c r="A18" s="26"/>
      <c r="B18" s="26"/>
      <c r="C18" s="2"/>
      <c r="D18" s="2"/>
      <c r="E18" s="2"/>
      <c r="F18" s="7"/>
    </row>
    <row r="19" spans="1:6" x14ac:dyDescent="0.25">
      <c r="A19" s="10"/>
      <c r="B19" s="10"/>
      <c r="C19" s="2"/>
      <c r="F19" s="12"/>
    </row>
    <row r="20" spans="1:6" x14ac:dyDescent="0.25">
      <c r="A20" s="10"/>
      <c r="B20" s="10"/>
      <c r="C20" s="2"/>
      <c r="F20" s="12"/>
    </row>
    <row r="21" spans="1:6" x14ac:dyDescent="0.25">
      <c r="A21" s="10"/>
      <c r="B21" s="10"/>
      <c r="C21" s="2"/>
      <c r="F21" s="12"/>
    </row>
    <row r="22" spans="1:6" x14ac:dyDescent="0.25">
      <c r="A22" s="10"/>
      <c r="B22" s="10"/>
      <c r="C22" s="2"/>
      <c r="F22" s="12"/>
    </row>
    <row r="23" spans="1:6" x14ac:dyDescent="0.25">
      <c r="A23" s="10"/>
      <c r="B23" s="10"/>
      <c r="C23" s="2"/>
      <c r="F23" s="12"/>
    </row>
    <row r="24" spans="1:6" x14ac:dyDescent="0.25">
      <c r="A24" s="10"/>
      <c r="B24" s="10"/>
      <c r="C24" s="2"/>
      <c r="F24" s="12"/>
    </row>
    <row r="25" spans="1:6" x14ac:dyDescent="0.25">
      <c r="A25" s="10"/>
      <c r="B25" s="10"/>
      <c r="C25" s="2"/>
      <c r="F25" s="12"/>
    </row>
    <row r="26" spans="1:6" x14ac:dyDescent="0.25">
      <c r="A26" s="10"/>
      <c r="B26" s="10"/>
      <c r="C26" s="2"/>
      <c r="F26" s="12"/>
    </row>
    <row r="27" spans="1:6" x14ac:dyDescent="0.25">
      <c r="A27" s="10"/>
      <c r="B27" s="10"/>
      <c r="C27" s="2"/>
      <c r="F27" s="12"/>
    </row>
    <row r="28" spans="1:6" s="1" customFormat="1" x14ac:dyDescent="0.25">
      <c r="A28" s="26"/>
      <c r="B28" s="26"/>
      <c r="C28" s="2"/>
      <c r="D28" s="2"/>
      <c r="E28" s="2"/>
      <c r="F28" s="7"/>
    </row>
    <row r="29" spans="1:6" x14ac:dyDescent="0.25">
      <c r="A29" s="10"/>
      <c r="B29" s="10"/>
      <c r="C29" s="2"/>
      <c r="F29" s="12"/>
    </row>
    <row r="30" spans="1:6" x14ac:dyDescent="0.25">
      <c r="A30" s="10"/>
      <c r="B30" s="10"/>
      <c r="C30" s="2"/>
      <c r="F30" s="12"/>
    </row>
    <row r="31" spans="1:6" x14ac:dyDescent="0.25">
      <c r="A31" s="10"/>
      <c r="B31" s="10"/>
      <c r="C31" s="2"/>
      <c r="F31" s="12"/>
    </row>
    <row r="32" spans="1:6" x14ac:dyDescent="0.25">
      <c r="A32" s="10"/>
      <c r="B32" s="10"/>
      <c r="C32" s="2"/>
      <c r="F32" s="12"/>
    </row>
    <row r="33" spans="1:6" x14ac:dyDescent="0.25">
      <c r="A33" s="10"/>
      <c r="B33" s="10"/>
      <c r="C33" s="2"/>
      <c r="F33" s="12"/>
    </row>
    <row r="34" spans="1:6" x14ac:dyDescent="0.25">
      <c r="A34" s="10"/>
      <c r="B34" s="10"/>
      <c r="C34" s="2"/>
      <c r="F34" s="12"/>
    </row>
    <row r="35" spans="1:6" x14ac:dyDescent="0.25">
      <c r="A35" s="10"/>
      <c r="B35" s="10"/>
      <c r="C35" s="2"/>
      <c r="F35" s="12"/>
    </row>
    <row r="36" spans="1:6" x14ac:dyDescent="0.25">
      <c r="A36" s="10"/>
      <c r="B36" s="10"/>
      <c r="C36" s="2"/>
      <c r="F36" s="12"/>
    </row>
    <row r="37" spans="1:6" x14ac:dyDescent="0.25">
      <c r="A37" s="10"/>
      <c r="B37" s="10"/>
      <c r="C37" s="2"/>
      <c r="F37" s="12"/>
    </row>
    <row r="38" spans="1:6" x14ac:dyDescent="0.25">
      <c r="A38" s="10"/>
      <c r="B38" s="10"/>
      <c r="C38" s="2"/>
      <c r="F38" s="12"/>
    </row>
    <row r="39" spans="1:6" s="1" customFormat="1" x14ac:dyDescent="0.25">
      <c r="A39" s="26"/>
      <c r="B39" s="26"/>
      <c r="C39" s="2"/>
      <c r="D39" s="2"/>
      <c r="E39" s="2"/>
      <c r="F39" s="7"/>
    </row>
    <row r="40" spans="1:6" x14ac:dyDescent="0.25">
      <c r="A40" s="10"/>
      <c r="B40" s="10"/>
      <c r="C40" s="2"/>
      <c r="F40" s="12"/>
    </row>
    <row r="41" spans="1:6" x14ac:dyDescent="0.25">
      <c r="A41" s="10"/>
      <c r="B41" s="10"/>
      <c r="C41" s="2"/>
      <c r="F41" s="12"/>
    </row>
    <row r="42" spans="1:6" x14ac:dyDescent="0.25">
      <c r="A42" s="10"/>
      <c r="B42" s="10"/>
      <c r="C42" s="2"/>
      <c r="F42" s="12"/>
    </row>
    <row r="43" spans="1:6" x14ac:dyDescent="0.25">
      <c r="A43" s="10"/>
      <c r="B43" s="10"/>
      <c r="C43" s="2"/>
      <c r="F43" s="12"/>
    </row>
    <row r="44" spans="1:6" x14ac:dyDescent="0.25">
      <c r="A44" s="10"/>
      <c r="B44" s="10"/>
      <c r="C44" s="2"/>
      <c r="F44" s="12"/>
    </row>
    <row r="45" spans="1:6" x14ac:dyDescent="0.25">
      <c r="A45" s="10"/>
      <c r="B45" s="10"/>
      <c r="C45" s="2"/>
      <c r="F45" s="12"/>
    </row>
    <row r="46" spans="1:6" x14ac:dyDescent="0.25">
      <c r="A46" s="10"/>
      <c r="B46" s="10"/>
      <c r="C46" s="2"/>
      <c r="F46" s="12"/>
    </row>
    <row r="47" spans="1:6" x14ac:dyDescent="0.25">
      <c r="A47" s="10"/>
      <c r="B47" s="10"/>
      <c r="C47" s="2"/>
      <c r="F47" s="12"/>
    </row>
    <row r="48" spans="1:6" x14ac:dyDescent="0.25">
      <c r="A48" s="10"/>
      <c r="B48" s="10"/>
      <c r="C48" s="2"/>
      <c r="F48" s="12"/>
    </row>
    <row r="49" spans="1:6" s="74" customFormat="1" x14ac:dyDescent="0.25">
      <c r="C49" s="5"/>
      <c r="D49" s="5"/>
      <c r="E49" s="5"/>
      <c r="F49" s="7"/>
    </row>
    <row r="50" spans="1:6" s="1" customFormat="1" x14ac:dyDescent="0.25">
      <c r="A50" s="10"/>
      <c r="B50" s="10"/>
      <c r="C50" s="2"/>
      <c r="D50" s="2"/>
      <c r="E50" s="2"/>
      <c r="F50" s="12"/>
    </row>
    <row r="51" spans="1:6" x14ac:dyDescent="0.25">
      <c r="A51" s="10"/>
      <c r="B51" s="10"/>
      <c r="C51" s="2"/>
      <c r="F51" s="12"/>
    </row>
    <row r="52" spans="1:6" x14ac:dyDescent="0.25">
      <c r="A52" s="10"/>
      <c r="B52" s="10"/>
      <c r="C52" s="2"/>
      <c r="F52" s="12"/>
    </row>
    <row r="53" spans="1:6" s="74" customFormat="1" x14ac:dyDescent="0.25">
      <c r="C53" s="5"/>
      <c r="D53" s="5"/>
      <c r="E53" s="5"/>
      <c r="F53" s="7"/>
    </row>
    <row r="54" spans="1:6" s="1" customFormat="1" x14ac:dyDescent="0.25">
      <c r="A54" s="10"/>
      <c r="B54" s="10"/>
      <c r="C54" s="2"/>
      <c r="D54" s="2"/>
      <c r="E54" s="2"/>
      <c r="F54" s="12"/>
    </row>
    <row r="55" spans="1:6" x14ac:dyDescent="0.25">
      <c r="A55" s="10"/>
      <c r="B55" s="10"/>
      <c r="C55" s="2"/>
      <c r="F55" s="12"/>
    </row>
    <row r="56" spans="1:6" x14ac:dyDescent="0.25">
      <c r="A56" s="10"/>
      <c r="B56" s="10"/>
      <c r="C56" s="2"/>
      <c r="F56" s="12"/>
    </row>
    <row r="57" spans="1:6" x14ac:dyDescent="0.25">
      <c r="A57" s="10"/>
      <c r="B57" s="10"/>
      <c r="C57" s="2"/>
      <c r="F57" s="12"/>
    </row>
    <row r="58" spans="1:6" x14ac:dyDescent="0.25">
      <c r="A58" s="10"/>
      <c r="B58" s="10"/>
      <c r="C58" s="10"/>
      <c r="F58" s="12"/>
    </row>
    <row r="59" spans="1:6" x14ac:dyDescent="0.25">
      <c r="A59" s="18"/>
      <c r="B59" s="10"/>
      <c r="C59" s="10"/>
      <c r="F59" s="12"/>
    </row>
    <row r="60" spans="1:6" x14ac:dyDescent="0.25">
      <c r="A60" s="18"/>
      <c r="B60" s="10"/>
      <c r="C60" s="10"/>
      <c r="F60" s="12"/>
    </row>
    <row r="61" spans="1:6" x14ac:dyDescent="0.25">
      <c r="A61" s="10"/>
      <c r="B61" s="10"/>
      <c r="C61" s="10"/>
      <c r="F61" s="12"/>
    </row>
    <row r="62" spans="1:6" x14ac:dyDescent="0.25">
      <c r="A62" s="10"/>
      <c r="B62" s="10"/>
      <c r="C62" s="10"/>
      <c r="F62" s="12"/>
    </row>
    <row r="63" spans="1:6" x14ac:dyDescent="0.25">
      <c r="A63" s="10"/>
      <c r="B63" s="10"/>
      <c r="C63" s="10"/>
      <c r="F63" s="12"/>
    </row>
    <row r="64" spans="1:6" x14ac:dyDescent="0.25">
      <c r="A64" s="10"/>
      <c r="B64" s="10"/>
      <c r="C64" s="10"/>
      <c r="F64" s="12"/>
    </row>
    <row r="65" spans="1:6" x14ac:dyDescent="0.25">
      <c r="A65" s="10"/>
      <c r="B65" s="10"/>
      <c r="C65" s="10"/>
      <c r="F65" s="12"/>
    </row>
    <row r="66" spans="1:6" x14ac:dyDescent="0.25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09375" defaultRowHeight="13.2" x14ac:dyDescent="0.25"/>
  <cols>
    <col min="1" max="1" width="28.6640625" style="43" bestFit="1" customWidth="1"/>
    <col min="2" max="2" width="18.6640625" style="27" bestFit="1" customWidth="1"/>
    <col min="3" max="3" width="16" style="43" bestFit="1" customWidth="1"/>
    <col min="4" max="4" width="12.88671875" style="28" bestFit="1" customWidth="1"/>
    <col min="5" max="5" width="12.88671875" style="43" bestFit="1" customWidth="1"/>
    <col min="6" max="6" width="12.88671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4140625" style="43" bestFit="1" customWidth="1"/>
    <col min="12" max="12" width="18.44140625" style="43" customWidth="1"/>
    <col min="13" max="13" width="12.88671875" style="43" bestFit="1" customWidth="1"/>
    <col min="14" max="16384" width="9.109375" style="43"/>
  </cols>
  <sheetData>
    <row r="1" spans="1:16" ht="12.75" customHeight="1" x14ac:dyDescent="0.25"/>
    <row r="2" spans="1:16" ht="12.75" customHeight="1" x14ac:dyDescent="0.25"/>
    <row r="3" spans="1:16" s="65" customFormat="1" ht="12.75" customHeight="1" x14ac:dyDescent="0.25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5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5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5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5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5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5">
      <c r="A9" s="10"/>
      <c r="C9" s="27"/>
      <c r="E9" s="27"/>
      <c r="G9" s="62"/>
      <c r="H9" s="62"/>
      <c r="I9" s="62"/>
      <c r="J9" s="62"/>
    </row>
    <row r="10" spans="1:16" ht="12.75" customHeight="1" x14ac:dyDescent="0.25">
      <c r="A10" s="10"/>
      <c r="C10" s="27"/>
      <c r="E10" s="27"/>
      <c r="G10" s="62"/>
      <c r="H10" s="62"/>
      <c r="I10" s="62"/>
      <c r="J10" s="62"/>
    </row>
    <row r="11" spans="1:16" ht="12.75" customHeight="1" x14ac:dyDescent="0.25">
      <c r="A11" s="10"/>
      <c r="C11" s="27"/>
      <c r="E11" s="27"/>
      <c r="G11" s="62"/>
      <c r="H11" s="62"/>
      <c r="I11" s="62"/>
      <c r="J11" s="62"/>
    </row>
    <row r="12" spans="1:16" ht="12.75" customHeight="1" x14ac:dyDescent="0.25">
      <c r="A12" s="10"/>
      <c r="C12" s="27"/>
      <c r="E12" s="27"/>
      <c r="G12" s="62"/>
      <c r="H12" s="62"/>
      <c r="I12" s="62"/>
      <c r="J12" s="62"/>
    </row>
    <row r="13" spans="1:16" ht="12.75" customHeight="1" x14ac:dyDescent="0.25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5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5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5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3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3">
      <c r="A18" s="10"/>
      <c r="B18" s="78"/>
      <c r="C18" s="80"/>
      <c r="E18" s="27"/>
      <c r="G18" s="67"/>
      <c r="H18" s="54"/>
      <c r="I18" s="67"/>
    </row>
    <row r="19" spans="1:15" ht="12.75" customHeight="1" x14ac:dyDescent="0.3">
      <c r="A19" s="10"/>
      <c r="B19" s="78"/>
      <c r="C19" s="80"/>
      <c r="E19" s="27"/>
      <c r="G19" s="67"/>
      <c r="H19" s="55"/>
      <c r="I19" s="67"/>
    </row>
    <row r="20" spans="1:15" ht="12.75" customHeight="1" x14ac:dyDescent="0.3">
      <c r="A20" s="10"/>
      <c r="B20" s="78"/>
      <c r="C20" s="80"/>
      <c r="E20" s="27"/>
      <c r="G20" s="67"/>
      <c r="H20" s="55"/>
      <c r="I20" s="67"/>
    </row>
    <row r="21" spans="1:15" ht="12.75" customHeight="1" x14ac:dyDescent="0.3">
      <c r="C21" s="27"/>
      <c r="E21" s="27"/>
      <c r="G21" s="67"/>
      <c r="H21" s="55"/>
      <c r="I21" s="67"/>
    </row>
    <row r="22" spans="1:15" s="65" customFormat="1" ht="12.75" customHeight="1" x14ac:dyDescent="0.3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5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5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5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3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3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3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3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3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3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3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3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3">
      <c r="A34" s="10"/>
      <c r="C34" s="27"/>
      <c r="E34" s="27"/>
      <c r="G34" s="67"/>
      <c r="H34" s="27"/>
      <c r="I34" s="70"/>
    </row>
    <row r="35" spans="1:15" s="65" customFormat="1" ht="12.75" customHeight="1" x14ac:dyDescent="0.3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3">
      <c r="A36" s="10"/>
      <c r="B36" s="79"/>
      <c r="C36" s="80"/>
      <c r="E36" s="27"/>
      <c r="G36" s="67"/>
      <c r="H36" s="55"/>
      <c r="I36" s="67"/>
    </row>
    <row r="37" spans="1:15" ht="12.75" customHeight="1" x14ac:dyDescent="0.3">
      <c r="A37" s="10"/>
      <c r="B37" s="79"/>
      <c r="C37" s="80"/>
      <c r="E37" s="27"/>
      <c r="G37" s="67"/>
      <c r="H37" s="55"/>
      <c r="I37" s="67"/>
    </row>
    <row r="38" spans="1:15" ht="12.75" customHeight="1" x14ac:dyDescent="0.3">
      <c r="A38" s="10"/>
      <c r="B38" s="79"/>
      <c r="C38" s="80"/>
      <c r="E38" s="27"/>
      <c r="G38" s="67"/>
      <c r="H38" s="55"/>
      <c r="I38" s="67"/>
    </row>
    <row r="39" spans="1:15" ht="12.75" customHeight="1" x14ac:dyDescent="0.3">
      <c r="C39" s="27"/>
      <c r="E39" s="27"/>
      <c r="G39" s="67"/>
      <c r="H39" s="54"/>
      <c r="I39" s="67"/>
    </row>
    <row r="40" spans="1:15" s="65" customFormat="1" ht="12.75" customHeight="1" x14ac:dyDescent="0.3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5">
      <c r="A41" s="10"/>
      <c r="C41" s="27"/>
      <c r="E41" s="27"/>
      <c r="G41" s="52"/>
      <c r="H41" s="54"/>
      <c r="I41" s="55"/>
    </row>
    <row r="42" spans="1:15" s="65" customFormat="1" ht="12.75" customHeight="1" x14ac:dyDescent="0.3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3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3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3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3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3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3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3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3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3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3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3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3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3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3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3">
      <c r="C57" s="27"/>
      <c r="E57" s="27"/>
      <c r="G57" s="67"/>
      <c r="H57" s="27"/>
      <c r="I57" s="67"/>
      <c r="J57" s="20"/>
    </row>
    <row r="58" spans="1:12" s="65" customFormat="1" ht="12.75" customHeight="1" x14ac:dyDescent="0.3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5">
      <c r="A59" s="10"/>
      <c r="C59" s="27"/>
      <c r="E59" s="27"/>
      <c r="H59" s="27"/>
      <c r="I59" s="27"/>
    </row>
    <row r="60" spans="1:12" s="65" customFormat="1" ht="12.75" customHeight="1" x14ac:dyDescent="0.3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3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3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3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3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3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3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3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3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3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3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3">
      <c r="A71" s="10"/>
      <c r="B71" s="77"/>
      <c r="C71" s="77"/>
      <c r="E71" s="27"/>
      <c r="G71" s="67"/>
      <c r="H71" s="27"/>
      <c r="I71" s="67"/>
    </row>
    <row r="72" spans="1:10" ht="12.75" customHeight="1" x14ac:dyDescent="0.3">
      <c r="A72" s="10"/>
      <c r="B72" s="77"/>
      <c r="C72" s="77"/>
      <c r="E72" s="27"/>
      <c r="G72" s="67"/>
      <c r="H72" s="41"/>
      <c r="I72" s="67"/>
    </row>
    <row r="73" spans="1:10" ht="12.75" customHeight="1" x14ac:dyDescent="0.3">
      <c r="A73" s="10"/>
      <c r="B73" s="77"/>
      <c r="C73" s="77"/>
      <c r="E73" s="27"/>
      <c r="G73" s="67"/>
      <c r="I73" s="67"/>
    </row>
    <row r="74" spans="1:10" ht="14.4" x14ac:dyDescent="0.3">
      <c r="A74" s="21"/>
      <c r="C74" s="40"/>
      <c r="D74" s="42"/>
      <c r="E74" s="40"/>
      <c r="F74" s="42"/>
      <c r="G74" s="67"/>
      <c r="I74" s="67"/>
    </row>
    <row r="75" spans="1:10" ht="14.4" x14ac:dyDescent="0.3">
      <c r="C75" s="27"/>
      <c r="E75" s="27"/>
      <c r="G75" s="67"/>
      <c r="I75" s="67"/>
    </row>
    <row r="76" spans="1:10" x14ac:dyDescent="0.25">
      <c r="C76" s="27"/>
      <c r="E76" s="27"/>
    </row>
    <row r="77" spans="1:10" x14ac:dyDescent="0.25">
      <c r="C77" s="27"/>
      <c r="E77" s="27"/>
      <c r="G77" s="65"/>
      <c r="I77" s="33"/>
    </row>
    <row r="78" spans="1:10" x14ac:dyDescent="0.25">
      <c r="C78" s="27"/>
      <c r="E78" s="27"/>
      <c r="G78" s="65"/>
    </row>
    <row r="79" spans="1:10" x14ac:dyDescent="0.25">
      <c r="C79" s="27"/>
      <c r="E79" s="27"/>
      <c r="I79" s="27"/>
    </row>
    <row r="80" spans="1:10" x14ac:dyDescent="0.25">
      <c r="C80" s="27"/>
      <c r="E80" s="27"/>
      <c r="I80" s="27"/>
    </row>
    <row r="81" spans="2:9" x14ac:dyDescent="0.25">
      <c r="B81" s="43"/>
      <c r="C81" s="27"/>
      <c r="E81" s="27"/>
      <c r="I81" s="27"/>
    </row>
    <row r="82" spans="2:9" x14ac:dyDescent="0.25">
      <c r="B82" s="43"/>
      <c r="C82" s="27"/>
      <c r="E82" s="27"/>
      <c r="I82" s="27"/>
    </row>
    <row r="83" spans="2:9" x14ac:dyDescent="0.25">
      <c r="B83" s="43"/>
      <c r="C83" s="27"/>
      <c r="E83" s="27"/>
      <c r="I83" s="27"/>
    </row>
    <row r="84" spans="2:9" x14ac:dyDescent="0.25">
      <c r="B84" s="43"/>
      <c r="C84" s="27"/>
      <c r="E84" s="27"/>
      <c r="I84" s="27"/>
    </row>
    <row r="85" spans="2:9" x14ac:dyDescent="0.25">
      <c r="B85" s="43"/>
      <c r="C85" s="27"/>
      <c r="E85" s="27"/>
      <c r="I85" s="27"/>
    </row>
    <row r="86" spans="2:9" x14ac:dyDescent="0.25">
      <c r="B86" s="43"/>
      <c r="C86" s="27"/>
      <c r="E86" s="27"/>
      <c r="I86" s="27"/>
    </row>
    <row r="87" spans="2:9" x14ac:dyDescent="0.25">
      <c r="B87" s="43"/>
      <c r="C87" s="27"/>
      <c r="E87" s="27"/>
      <c r="I87" s="27"/>
    </row>
    <row r="88" spans="2:9" x14ac:dyDescent="0.25">
      <c r="B88" s="43"/>
      <c r="C88" s="27"/>
      <c r="E88" s="27"/>
    </row>
    <row r="89" spans="2:9" x14ac:dyDescent="0.25">
      <c r="B89" s="43"/>
      <c r="G89" s="65"/>
      <c r="I89" s="33"/>
    </row>
    <row r="90" spans="2:9" x14ac:dyDescent="0.25">
      <c r="B90" s="43"/>
      <c r="I90" s="27"/>
    </row>
    <row r="91" spans="2:9" x14ac:dyDescent="0.25">
      <c r="B91" s="43"/>
      <c r="I91" s="27"/>
    </row>
    <row r="92" spans="2:9" x14ac:dyDescent="0.25">
      <c r="B92" s="43"/>
      <c r="I92" s="27"/>
    </row>
    <row r="93" spans="2:9" x14ac:dyDescent="0.25">
      <c r="B93" s="43"/>
      <c r="I93" s="27"/>
    </row>
    <row r="94" spans="2:9" x14ac:dyDescent="0.25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09375" defaultRowHeight="13.2" x14ac:dyDescent="0.25"/>
  <cols>
    <col min="1" max="1" width="47.33203125" style="43" bestFit="1" customWidth="1"/>
    <col min="2" max="3" width="16.88671875" style="43" bestFit="1" customWidth="1"/>
    <col min="4" max="4" width="10" style="43" customWidth="1"/>
    <col min="5" max="5" width="16.88671875" style="43" bestFit="1" customWidth="1"/>
    <col min="6" max="6" width="14.6640625" style="43" bestFit="1" customWidth="1"/>
    <col min="7" max="7" width="9.109375" style="43"/>
    <col min="8" max="8" width="10.5546875" style="43" bestFit="1" customWidth="1"/>
    <col min="9" max="16384" width="9.109375" style="43"/>
  </cols>
  <sheetData>
    <row r="1" spans="1:8" s="99" customFormat="1" ht="43.2" x14ac:dyDescent="0.3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4.4" x14ac:dyDescent="0.3">
      <c r="A2" s="100" t="s">
        <v>117</v>
      </c>
      <c r="B2" s="101"/>
      <c r="C2" s="101"/>
      <c r="D2" s="101"/>
      <c r="E2" s="101"/>
      <c r="F2" s="101"/>
    </row>
    <row r="3" spans="1:8" ht="14.4" x14ac:dyDescent="0.3">
      <c r="A3" s="89" t="s">
        <v>14</v>
      </c>
      <c r="D3" s="90"/>
      <c r="F3" s="90"/>
    </row>
    <row r="4" spans="1:8" x14ac:dyDescent="0.25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5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5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5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5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5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5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5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4.4" x14ac:dyDescent="0.3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4.4" x14ac:dyDescent="0.3">
      <c r="A13" s="89" t="s">
        <v>15</v>
      </c>
      <c r="D13" s="90"/>
      <c r="F13" s="90" t="s">
        <v>191</v>
      </c>
    </row>
    <row r="14" spans="1:8" x14ac:dyDescent="0.25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5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5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5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5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5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5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5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4.4" x14ac:dyDescent="0.3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4.4" x14ac:dyDescent="0.3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4.4" x14ac:dyDescent="0.3">
      <c r="A24" s="89" t="s">
        <v>14</v>
      </c>
      <c r="D24" s="90"/>
      <c r="F24" s="90"/>
    </row>
    <row r="25" spans="1:6" x14ac:dyDescent="0.25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5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5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5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5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5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5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5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4.4" x14ac:dyDescent="0.3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4.4" x14ac:dyDescent="0.3">
      <c r="A34" s="89" t="s">
        <v>15</v>
      </c>
      <c r="D34" s="90"/>
      <c r="F34" s="90"/>
    </row>
    <row r="35" spans="1:6" x14ac:dyDescent="0.25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5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5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5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5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5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5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5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4.4" x14ac:dyDescent="0.3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4.4" x14ac:dyDescent="0.3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4.4" x14ac:dyDescent="0.3">
      <c r="A45" s="89" t="s">
        <v>14</v>
      </c>
      <c r="D45" s="90"/>
      <c r="F45" s="90"/>
    </row>
    <row r="46" spans="1:6" x14ac:dyDescent="0.25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5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5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5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5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5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5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5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4.4" x14ac:dyDescent="0.3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4.4" x14ac:dyDescent="0.3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5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5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5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5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5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5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5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5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4.4" x14ac:dyDescent="0.3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4.4" x14ac:dyDescent="0.3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4.4" x14ac:dyDescent="0.3">
      <c r="A66" s="89" t="s">
        <v>14</v>
      </c>
    </row>
    <row r="67" spans="1:7" x14ac:dyDescent="0.25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5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5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5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5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5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5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5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4.4" x14ac:dyDescent="0.3">
      <c r="A75" s="89" t="s">
        <v>15</v>
      </c>
      <c r="B75" s="3"/>
      <c r="C75" s="3"/>
      <c r="E75" s="3"/>
      <c r="F75" s="90"/>
    </row>
    <row r="76" spans="1:7" x14ac:dyDescent="0.25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5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5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5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5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5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5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5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4.4" x14ac:dyDescent="0.3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3.2" x14ac:dyDescent="0.25"/>
  <sheetData>
    <row r="1" spans="1:9" x14ac:dyDescent="0.25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5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5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5">
      <c r="A4" s="56"/>
      <c r="B4" s="25"/>
      <c r="C4" s="25"/>
      <c r="D4" s="25"/>
      <c r="E4" s="24"/>
      <c r="F4" s="24"/>
      <c r="G4" s="65"/>
      <c r="H4" s="65"/>
      <c r="I4" s="65"/>
    </row>
    <row r="5" spans="1:9" ht="14.4" x14ac:dyDescent="0.3">
      <c r="A5" s="43"/>
      <c r="B5" s="3"/>
      <c r="C5" s="75"/>
      <c r="D5" s="27"/>
      <c r="E5" s="28"/>
      <c r="F5" s="27"/>
      <c r="G5" s="27"/>
      <c r="H5" s="27"/>
      <c r="I5" s="27"/>
    </row>
    <row r="6" spans="1:9" ht="14.4" x14ac:dyDescent="0.3">
      <c r="A6" s="43"/>
      <c r="B6" s="3"/>
      <c r="C6" s="75"/>
      <c r="D6" s="27"/>
      <c r="E6" s="28"/>
      <c r="F6" s="27"/>
      <c r="G6" s="27"/>
      <c r="H6" s="27"/>
      <c r="I6" s="27"/>
    </row>
    <row r="7" spans="1:9" ht="14.4" x14ac:dyDescent="0.3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5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5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5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5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43"/>
      <c r="B13" s="3"/>
      <c r="C13" s="3"/>
      <c r="D13" s="3"/>
      <c r="E13" s="3"/>
      <c r="F13" s="3"/>
      <c r="G13" s="3"/>
      <c r="H13" s="3"/>
      <c r="I13" s="3"/>
    </row>
    <row r="14" spans="1:9" ht="13.8" thickBot="1" x14ac:dyDescent="0.3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8" thickTop="1" x14ac:dyDescent="0.25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5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3.2" x14ac:dyDescent="0.25"/>
  <cols>
    <col min="1" max="1" width="9.6640625" bestFit="1" customWidth="1"/>
    <col min="2" max="2" width="11.6640625" bestFit="1" customWidth="1"/>
    <col min="3" max="3" width="12" bestFit="1" customWidth="1"/>
    <col min="4" max="4" width="2.5546875" bestFit="1" customWidth="1"/>
    <col min="9" max="9" width="9.6640625" style="155" bestFit="1" customWidth="1"/>
  </cols>
  <sheetData>
    <row r="1" spans="1:4" x14ac:dyDescent="0.25">
      <c r="A1" t="s">
        <v>226</v>
      </c>
      <c r="B1" t="s">
        <v>227</v>
      </c>
      <c r="C1" t="s">
        <v>228</v>
      </c>
      <c r="D1" t="s">
        <v>229</v>
      </c>
    </row>
    <row r="2" spans="1:4" x14ac:dyDescent="0.25">
      <c r="A2" t="s">
        <v>230</v>
      </c>
      <c r="B2" s="154">
        <v>38713</v>
      </c>
      <c r="C2">
        <v>17296.830000000002</v>
      </c>
      <c r="D2">
        <v>1</v>
      </c>
    </row>
    <row r="3" spans="1:4" x14ac:dyDescent="0.25">
      <c r="A3" t="s">
        <v>231</v>
      </c>
      <c r="B3" s="154">
        <v>38713</v>
      </c>
      <c r="C3">
        <v>20229.37</v>
      </c>
      <c r="D3">
        <v>1</v>
      </c>
    </row>
    <row r="4" spans="1:4" x14ac:dyDescent="0.25">
      <c r="A4" t="s">
        <v>232</v>
      </c>
      <c r="B4" s="154">
        <v>38628</v>
      </c>
      <c r="C4">
        <v>10207.67</v>
      </c>
      <c r="D4">
        <v>1</v>
      </c>
    </row>
    <row r="5" spans="1:4" x14ac:dyDescent="0.25">
      <c r="A5" t="s">
        <v>233</v>
      </c>
      <c r="B5" s="154">
        <v>38713</v>
      </c>
      <c r="C5">
        <v>17257.37</v>
      </c>
      <c r="D5">
        <v>1</v>
      </c>
    </row>
    <row r="6" spans="1:4" x14ac:dyDescent="0.25">
      <c r="A6" t="s">
        <v>234</v>
      </c>
      <c r="B6" s="154">
        <v>38716</v>
      </c>
      <c r="C6">
        <v>10070.700000000001</v>
      </c>
      <c r="D6">
        <v>1</v>
      </c>
    </row>
    <row r="7" spans="1:4" x14ac:dyDescent="0.25">
      <c r="A7" t="s">
        <v>235</v>
      </c>
      <c r="B7" s="154">
        <v>38677</v>
      </c>
      <c r="C7">
        <v>28766.959999999999</v>
      </c>
      <c r="D7">
        <v>1</v>
      </c>
    </row>
    <row r="8" spans="1:4" x14ac:dyDescent="0.25">
      <c r="A8" t="s">
        <v>236</v>
      </c>
      <c r="B8" s="154">
        <v>37432</v>
      </c>
      <c r="C8">
        <v>30613.119999999999</v>
      </c>
      <c r="D8">
        <v>1</v>
      </c>
    </row>
    <row r="9" spans="1:4" x14ac:dyDescent="0.25">
      <c r="A9" t="s">
        <v>237</v>
      </c>
      <c r="B9" s="154">
        <v>38425</v>
      </c>
      <c r="C9">
        <v>14581.36</v>
      </c>
      <c r="D9">
        <v>1</v>
      </c>
    </row>
    <row r="10" spans="1:4" x14ac:dyDescent="0.25">
      <c r="A10" t="s">
        <v>238</v>
      </c>
      <c r="B10" s="154">
        <v>38715</v>
      </c>
      <c r="C10">
        <v>17673.63</v>
      </c>
      <c r="D10">
        <v>1</v>
      </c>
    </row>
    <row r="11" spans="1:4" x14ac:dyDescent="0.25">
      <c r="A11" t="s">
        <v>239</v>
      </c>
      <c r="B11" s="154">
        <v>38715</v>
      </c>
      <c r="C11">
        <v>34075.21</v>
      </c>
      <c r="D11">
        <v>1</v>
      </c>
    </row>
    <row r="12" spans="1:4" x14ac:dyDescent="0.25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5">
      <c r="A13" t="s">
        <v>241</v>
      </c>
      <c r="B13" s="154">
        <v>38604</v>
      </c>
      <c r="C13">
        <v>28742.13</v>
      </c>
      <c r="D13">
        <v>1</v>
      </c>
    </row>
    <row r="14" spans="1:4" x14ac:dyDescent="0.25">
      <c r="A14" t="s">
        <v>242</v>
      </c>
      <c r="B14" s="154">
        <v>38709</v>
      </c>
      <c r="C14">
        <v>10955.45</v>
      </c>
      <c r="D14">
        <v>1</v>
      </c>
    </row>
    <row r="15" spans="1:4" x14ac:dyDescent="0.25">
      <c r="A15" t="s">
        <v>243</v>
      </c>
      <c r="B15" s="154">
        <v>38580</v>
      </c>
      <c r="C15">
        <v>2321.6</v>
      </c>
      <c r="D15">
        <v>1</v>
      </c>
    </row>
    <row r="16" spans="1:4" x14ac:dyDescent="0.25">
      <c r="A16" t="s">
        <v>244</v>
      </c>
      <c r="B16" s="154">
        <v>38709</v>
      </c>
      <c r="C16">
        <v>2183.41</v>
      </c>
      <c r="D16">
        <v>1</v>
      </c>
    </row>
    <row r="17" spans="1:4" x14ac:dyDescent="0.25">
      <c r="A17" t="s">
        <v>245</v>
      </c>
      <c r="B17" s="154">
        <v>38663</v>
      </c>
      <c r="C17">
        <v>14154.09</v>
      </c>
      <c r="D17">
        <v>1</v>
      </c>
    </row>
    <row r="18" spans="1:4" x14ac:dyDescent="0.25">
      <c r="A18" t="s">
        <v>246</v>
      </c>
      <c r="B18" s="154">
        <v>38663</v>
      </c>
      <c r="C18">
        <v>43569.17</v>
      </c>
      <c r="D18">
        <v>1</v>
      </c>
    </row>
    <row r="19" spans="1:4" x14ac:dyDescent="0.25">
      <c r="A19" t="s">
        <v>247</v>
      </c>
      <c r="B19" s="154">
        <v>38715</v>
      </c>
      <c r="C19">
        <v>25723.24</v>
      </c>
      <c r="D19">
        <v>1</v>
      </c>
    </row>
    <row r="20" spans="1:4" x14ac:dyDescent="0.25">
      <c r="A20" t="s">
        <v>248</v>
      </c>
      <c r="B20" s="154">
        <v>38716</v>
      </c>
      <c r="C20">
        <v>18207.32</v>
      </c>
      <c r="D20">
        <v>1</v>
      </c>
    </row>
    <row r="21" spans="1:4" x14ac:dyDescent="0.25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5">
      <c r="A22" t="s">
        <v>250</v>
      </c>
      <c r="B22" s="154">
        <v>38716</v>
      </c>
      <c r="C22">
        <v>23744.76</v>
      </c>
      <c r="D22">
        <v>1</v>
      </c>
    </row>
    <row r="23" spans="1:4" x14ac:dyDescent="0.25">
      <c r="A23" t="s">
        <v>251</v>
      </c>
      <c r="B23" s="154">
        <v>38715</v>
      </c>
      <c r="C23">
        <v>24993.42</v>
      </c>
      <c r="D23">
        <v>1</v>
      </c>
    </row>
    <row r="24" spans="1:4" x14ac:dyDescent="0.25">
      <c r="A24" t="s">
        <v>252</v>
      </c>
      <c r="B24" s="154">
        <v>38716</v>
      </c>
      <c r="C24">
        <v>2895.12</v>
      </c>
      <c r="D24">
        <v>1</v>
      </c>
    </row>
    <row r="25" spans="1:4" x14ac:dyDescent="0.25">
      <c r="A25" t="s">
        <v>253</v>
      </c>
      <c r="B25" s="154">
        <v>38699</v>
      </c>
      <c r="C25">
        <v>28328.49</v>
      </c>
      <c r="D25">
        <v>1</v>
      </c>
    </row>
    <row r="26" spans="1:4" x14ac:dyDescent="0.25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5">
      <c r="A27" t="s">
        <v>255</v>
      </c>
      <c r="B27" s="154">
        <v>38709</v>
      </c>
      <c r="C27">
        <v>1445.21</v>
      </c>
      <c r="D27">
        <v>1</v>
      </c>
    </row>
    <row r="28" spans="1:4" x14ac:dyDescent="0.25">
      <c r="A28" t="s">
        <v>256</v>
      </c>
      <c r="B28" s="154">
        <v>38673</v>
      </c>
      <c r="C28">
        <v>110.01</v>
      </c>
      <c r="D28">
        <v>1</v>
      </c>
    </row>
    <row r="29" spans="1:4" x14ac:dyDescent="0.25">
      <c r="A29" t="s">
        <v>257</v>
      </c>
      <c r="B29" s="154">
        <v>38709</v>
      </c>
      <c r="C29">
        <v>34691.21</v>
      </c>
      <c r="D29">
        <v>1</v>
      </c>
    </row>
    <row r="30" spans="1:4" x14ac:dyDescent="0.25">
      <c r="A30" t="s">
        <v>258</v>
      </c>
      <c r="B30" s="154">
        <v>38716</v>
      </c>
      <c r="C30">
        <v>14859.1</v>
      </c>
      <c r="D30">
        <v>1</v>
      </c>
    </row>
    <row r="31" spans="1:4" x14ac:dyDescent="0.25">
      <c r="A31" t="s">
        <v>259</v>
      </c>
      <c r="B31" s="154">
        <v>38708</v>
      </c>
      <c r="C31">
        <v>1357.01</v>
      </c>
      <c r="D31">
        <v>1</v>
      </c>
    </row>
    <row r="32" spans="1:4" x14ac:dyDescent="0.25">
      <c r="A32" t="s">
        <v>260</v>
      </c>
      <c r="B32" s="154">
        <v>38713</v>
      </c>
      <c r="C32">
        <v>17869.22</v>
      </c>
      <c r="D32">
        <v>1</v>
      </c>
    </row>
    <row r="33" spans="1:4" x14ac:dyDescent="0.25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5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5">
      <c r="A35" t="s">
        <v>263</v>
      </c>
      <c r="B35" s="154">
        <v>38713</v>
      </c>
      <c r="C35">
        <v>14630.23</v>
      </c>
      <c r="D35">
        <v>1</v>
      </c>
    </row>
    <row r="36" spans="1:4" x14ac:dyDescent="0.25">
      <c r="A36" t="s">
        <v>264</v>
      </c>
      <c r="B36" s="154">
        <v>38713</v>
      </c>
      <c r="C36">
        <v>1547.81</v>
      </c>
      <c r="D36">
        <v>1</v>
      </c>
    </row>
    <row r="37" spans="1:4" x14ac:dyDescent="0.25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5">
      <c r="A38" t="s">
        <v>266</v>
      </c>
      <c r="B38" s="154">
        <v>38713</v>
      </c>
      <c r="C38">
        <v>1846.94</v>
      </c>
      <c r="D38">
        <v>1</v>
      </c>
    </row>
    <row r="39" spans="1:4" x14ac:dyDescent="0.25">
      <c r="A39" t="s">
        <v>267</v>
      </c>
      <c r="B39" s="154">
        <v>38709</v>
      </c>
      <c r="C39">
        <v>9758.19</v>
      </c>
      <c r="D39">
        <v>1</v>
      </c>
    </row>
    <row r="40" spans="1:4" x14ac:dyDescent="0.25">
      <c r="A40" t="s">
        <v>268</v>
      </c>
      <c r="B40" s="154">
        <v>38580</v>
      </c>
      <c r="C40">
        <v>673.25</v>
      </c>
      <c r="D40">
        <v>1</v>
      </c>
    </row>
    <row r="41" spans="1:4" x14ac:dyDescent="0.25">
      <c r="A41" t="s">
        <v>269</v>
      </c>
      <c r="B41" s="154">
        <v>38709</v>
      </c>
      <c r="C41">
        <v>196.52</v>
      </c>
      <c r="D41">
        <v>1</v>
      </c>
    </row>
    <row r="42" spans="1:4" x14ac:dyDescent="0.25">
      <c r="A42" t="s">
        <v>91</v>
      </c>
      <c r="B42" s="154">
        <v>41849</v>
      </c>
      <c r="C42">
        <v>22461.45680964</v>
      </c>
      <c r="D42">
        <v>1</v>
      </c>
    </row>
    <row r="43" spans="1:4" x14ac:dyDescent="0.25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5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5">
      <c r="A45" t="s">
        <v>272</v>
      </c>
      <c r="B45" s="154">
        <v>42524</v>
      </c>
      <c r="C45">
        <v>10562.33998273</v>
      </c>
      <c r="D45">
        <v>1</v>
      </c>
    </row>
    <row r="46" spans="1:4" x14ac:dyDescent="0.25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5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5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5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5">
      <c r="A50" t="s">
        <v>63</v>
      </c>
      <c r="B50" s="154">
        <v>37515</v>
      </c>
      <c r="C50">
        <v>3456.48</v>
      </c>
      <c r="D50">
        <v>1</v>
      </c>
    </row>
    <row r="51" spans="1:4" x14ac:dyDescent="0.25">
      <c r="A51" t="s">
        <v>276</v>
      </c>
      <c r="B51" s="154">
        <v>39629</v>
      </c>
      <c r="C51">
        <v>51541.23</v>
      </c>
      <c r="D51">
        <v>1</v>
      </c>
    </row>
    <row r="52" spans="1:4" x14ac:dyDescent="0.25">
      <c r="A52" t="s">
        <v>277</v>
      </c>
      <c r="B52" s="154">
        <v>37970</v>
      </c>
      <c r="C52">
        <v>1201.19</v>
      </c>
      <c r="D52">
        <v>1</v>
      </c>
    </row>
    <row r="53" spans="1:4" x14ac:dyDescent="0.25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5">
      <c r="A54" t="s">
        <v>108</v>
      </c>
      <c r="B54" s="154">
        <v>39590</v>
      </c>
      <c r="C54">
        <v>12608.67</v>
      </c>
      <c r="D54">
        <v>1</v>
      </c>
    </row>
    <row r="55" spans="1:4" x14ac:dyDescent="0.25">
      <c r="A55" t="s">
        <v>278</v>
      </c>
      <c r="B55" s="154">
        <v>38009</v>
      </c>
      <c r="C55">
        <v>999.63</v>
      </c>
      <c r="D55">
        <v>1</v>
      </c>
    </row>
    <row r="56" spans="1:4" x14ac:dyDescent="0.25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5">
      <c r="A57" t="s">
        <v>280</v>
      </c>
      <c r="B57" s="154">
        <v>39604</v>
      </c>
      <c r="C57">
        <v>61121.71</v>
      </c>
      <c r="D57">
        <v>1</v>
      </c>
    </row>
    <row r="58" spans="1:4" x14ac:dyDescent="0.25">
      <c r="A58" t="s">
        <v>281</v>
      </c>
      <c r="B58" s="154">
        <v>39590</v>
      </c>
      <c r="C58">
        <v>50553.22</v>
      </c>
      <c r="D58">
        <v>1</v>
      </c>
    </row>
    <row r="59" spans="1:4" x14ac:dyDescent="0.25">
      <c r="A59" t="s">
        <v>56</v>
      </c>
      <c r="B59" s="154">
        <v>42312</v>
      </c>
      <c r="C59">
        <v>49081.0138716</v>
      </c>
      <c r="D59">
        <v>1</v>
      </c>
    </row>
    <row r="60" spans="1:4" x14ac:dyDescent="0.25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5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5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5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5">
      <c r="A64" t="s">
        <v>282</v>
      </c>
      <c r="B64" s="154">
        <v>40662</v>
      </c>
      <c r="C64">
        <v>4825.42</v>
      </c>
      <c r="D64">
        <v>1</v>
      </c>
    </row>
    <row r="65" spans="1:4" x14ac:dyDescent="0.25">
      <c r="A65" t="s">
        <v>61</v>
      </c>
      <c r="B65" s="154">
        <v>39590</v>
      </c>
      <c r="C65">
        <v>77308.45</v>
      </c>
      <c r="D65">
        <v>1</v>
      </c>
    </row>
    <row r="66" spans="1:4" x14ac:dyDescent="0.25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5">
      <c r="A67" t="s">
        <v>67</v>
      </c>
      <c r="B67" s="154">
        <v>42118</v>
      </c>
      <c r="C67">
        <v>17911.36431723</v>
      </c>
      <c r="D67">
        <v>1</v>
      </c>
    </row>
    <row r="68" spans="1:4" x14ac:dyDescent="0.25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5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5">
      <c r="A70" t="s">
        <v>113</v>
      </c>
      <c r="B70" s="154">
        <v>38723</v>
      </c>
      <c r="C70">
        <v>641.64</v>
      </c>
      <c r="D70">
        <v>1</v>
      </c>
    </row>
    <row r="71" spans="1:4" x14ac:dyDescent="0.25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5">
      <c r="A72" t="s">
        <v>283</v>
      </c>
      <c r="B72" s="154">
        <v>39400</v>
      </c>
      <c r="C72">
        <v>2186.16</v>
      </c>
      <c r="D72">
        <v>1</v>
      </c>
    </row>
    <row r="73" spans="1:4" x14ac:dyDescent="0.25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5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5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5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5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5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5">
      <c r="A79" t="s">
        <v>290</v>
      </c>
      <c r="B79" s="154">
        <v>40926</v>
      </c>
      <c r="C79">
        <v>1131.78</v>
      </c>
      <c r="D79">
        <v>1</v>
      </c>
    </row>
    <row r="80" spans="1:4" x14ac:dyDescent="0.25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5">
      <c r="A81" t="s">
        <v>97</v>
      </c>
      <c r="B81" s="154">
        <v>42305</v>
      </c>
      <c r="C81">
        <v>597.8558587</v>
      </c>
      <c r="D81">
        <v>1</v>
      </c>
    </row>
    <row r="82" spans="1:4" x14ac:dyDescent="0.25">
      <c r="A82" t="s">
        <v>291</v>
      </c>
      <c r="B82" s="154">
        <v>42032</v>
      </c>
      <c r="C82">
        <v>695.5143372</v>
      </c>
      <c r="D82">
        <v>1</v>
      </c>
    </row>
    <row r="83" spans="1:4" x14ac:dyDescent="0.25">
      <c r="A83" t="s">
        <v>292</v>
      </c>
      <c r="B83" s="154">
        <v>41411</v>
      </c>
      <c r="C83">
        <v>2240.63</v>
      </c>
      <c r="D83">
        <v>1</v>
      </c>
    </row>
    <row r="84" spans="1:4" x14ac:dyDescent="0.25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5">
      <c r="A85" t="s">
        <v>99</v>
      </c>
      <c r="B85" s="154">
        <v>39590</v>
      </c>
      <c r="C85">
        <v>42495.61</v>
      </c>
      <c r="D85">
        <v>1</v>
      </c>
    </row>
    <row r="86" spans="1:4" x14ac:dyDescent="0.25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5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5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5">
      <c r="A89" t="s">
        <v>297</v>
      </c>
      <c r="B89" s="154">
        <v>42544</v>
      </c>
      <c r="C89">
        <v>177.14090324</v>
      </c>
      <c r="D89">
        <v>1</v>
      </c>
    </row>
    <row r="90" spans="1:4" x14ac:dyDescent="0.25">
      <c r="A90" t="s">
        <v>298</v>
      </c>
      <c r="B90" s="154">
        <v>39226</v>
      </c>
      <c r="C90">
        <v>30904.43</v>
      </c>
      <c r="D90">
        <v>1</v>
      </c>
    </row>
    <row r="91" spans="1:4" x14ac:dyDescent="0.25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5">
      <c r="A92" t="s">
        <v>300</v>
      </c>
      <c r="B92" s="154">
        <v>41800</v>
      </c>
      <c r="C92">
        <v>210.35973263</v>
      </c>
      <c r="D92">
        <v>1</v>
      </c>
    </row>
    <row r="93" spans="1:4" x14ac:dyDescent="0.25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5">
      <c r="A94" t="s">
        <v>302</v>
      </c>
      <c r="B94" s="154">
        <v>42122</v>
      </c>
      <c r="C94">
        <v>10348.20134439</v>
      </c>
      <c r="D94">
        <v>1</v>
      </c>
    </row>
    <row r="95" spans="1:4" x14ac:dyDescent="0.25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5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5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5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5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5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5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5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5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5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5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5">
      <c r="A106" t="s">
        <v>310</v>
      </c>
      <c r="B106" s="154">
        <v>38840</v>
      </c>
      <c r="C106">
        <v>2905.13</v>
      </c>
      <c r="D106">
        <v>1</v>
      </c>
    </row>
    <row r="107" spans="1:4" x14ac:dyDescent="0.25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5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5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5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5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5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5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5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5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5">
      <c r="A116" t="s">
        <v>74</v>
      </c>
      <c r="B116" s="154">
        <v>39590</v>
      </c>
      <c r="C116">
        <v>42763.39</v>
      </c>
      <c r="D116">
        <v>1</v>
      </c>
    </row>
    <row r="117" spans="1:4" x14ac:dyDescent="0.25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5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5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5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5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5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5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5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5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5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5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5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5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5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5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5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5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5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5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5">
      <c r="A136" t="s">
        <v>328</v>
      </c>
      <c r="B136" s="154">
        <v>39209</v>
      </c>
      <c r="C136">
        <v>910.48</v>
      </c>
      <c r="D136">
        <v>1</v>
      </c>
    </row>
    <row r="137" spans="1:4" x14ac:dyDescent="0.25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5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5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5">
      <c r="A140" t="s">
        <v>332</v>
      </c>
      <c r="B140" s="154">
        <v>41492</v>
      </c>
      <c r="C140">
        <v>4293.55</v>
      </c>
      <c r="D140">
        <v>1</v>
      </c>
    </row>
    <row r="141" spans="1:4" x14ac:dyDescent="0.25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5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5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5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5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5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5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5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5">
      <c r="A149" t="s">
        <v>341</v>
      </c>
      <c r="B149" s="154">
        <v>41065</v>
      </c>
      <c r="C149">
        <v>1120.92</v>
      </c>
      <c r="D149">
        <v>1</v>
      </c>
    </row>
    <row r="150" spans="1:4" x14ac:dyDescent="0.25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5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5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5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5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5">
      <c r="A155" t="s">
        <v>347</v>
      </c>
      <c r="B155" s="154">
        <v>42520</v>
      </c>
      <c r="C155">
        <v>13679.58</v>
      </c>
      <c r="D155">
        <v>1</v>
      </c>
    </row>
    <row r="156" spans="1:4" x14ac:dyDescent="0.25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5">
      <c r="A157" t="s">
        <v>349</v>
      </c>
      <c r="B157" s="154">
        <v>41904</v>
      </c>
      <c r="C157">
        <v>4959.92</v>
      </c>
      <c r="D157">
        <v>1</v>
      </c>
    </row>
    <row r="158" spans="1:4" x14ac:dyDescent="0.25">
      <c r="A158" t="s">
        <v>350</v>
      </c>
      <c r="B158" s="154">
        <v>41904</v>
      </c>
      <c r="C158">
        <v>5684.71</v>
      </c>
      <c r="D158">
        <v>1</v>
      </c>
    </row>
    <row r="159" spans="1:4" x14ac:dyDescent="0.25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5">
      <c r="A160" t="s">
        <v>352</v>
      </c>
      <c r="B160" s="154">
        <v>41904</v>
      </c>
      <c r="C160">
        <v>4598.12</v>
      </c>
      <c r="D160">
        <v>1</v>
      </c>
    </row>
    <row r="161" spans="1:4" x14ac:dyDescent="0.25">
      <c r="A161" t="s">
        <v>353</v>
      </c>
      <c r="B161" s="154">
        <v>42146</v>
      </c>
      <c r="C161">
        <v>12996.36</v>
      </c>
      <c r="D161">
        <v>1</v>
      </c>
    </row>
    <row r="162" spans="1:4" x14ac:dyDescent="0.25">
      <c r="A162" t="s">
        <v>354</v>
      </c>
      <c r="B162" s="154">
        <v>41964</v>
      </c>
      <c r="C162">
        <v>7319.54</v>
      </c>
      <c r="D162">
        <v>1</v>
      </c>
    </row>
    <row r="163" spans="1:4" x14ac:dyDescent="0.25">
      <c r="A163" t="s">
        <v>355</v>
      </c>
      <c r="B163" s="154">
        <v>42193</v>
      </c>
      <c r="C163">
        <v>9363.98</v>
      </c>
      <c r="D163">
        <v>1</v>
      </c>
    </row>
    <row r="164" spans="1:4" x14ac:dyDescent="0.25">
      <c r="A164" t="s">
        <v>356</v>
      </c>
      <c r="B164" s="154">
        <v>41948</v>
      </c>
      <c r="C164">
        <v>15682.48</v>
      </c>
      <c r="D164">
        <v>1</v>
      </c>
    </row>
    <row r="165" spans="1:4" x14ac:dyDescent="0.25">
      <c r="A165" t="s">
        <v>357</v>
      </c>
      <c r="B165" s="154">
        <v>42520</v>
      </c>
      <c r="C165">
        <v>31469.57</v>
      </c>
      <c r="D165">
        <v>1</v>
      </c>
    </row>
    <row r="166" spans="1:4" x14ac:dyDescent="0.25">
      <c r="A166" t="s">
        <v>358</v>
      </c>
      <c r="B166" s="154">
        <v>42038</v>
      </c>
      <c r="C166">
        <v>14969.07</v>
      </c>
      <c r="D166">
        <v>1</v>
      </c>
    </row>
    <row r="167" spans="1:4" x14ac:dyDescent="0.25">
      <c r="A167" t="s">
        <v>359</v>
      </c>
      <c r="B167" s="154">
        <v>42460</v>
      </c>
      <c r="C167">
        <v>25683.33</v>
      </c>
      <c r="D167">
        <v>1</v>
      </c>
    </row>
    <row r="168" spans="1:4" x14ac:dyDescent="0.25">
      <c r="A168" t="s">
        <v>360</v>
      </c>
      <c r="B168" s="154">
        <v>42312</v>
      </c>
      <c r="C168">
        <v>46535.96</v>
      </c>
      <c r="D168">
        <v>1</v>
      </c>
    </row>
    <row r="169" spans="1:4" x14ac:dyDescent="0.25">
      <c r="A169" t="s">
        <v>361</v>
      </c>
      <c r="B169" s="154">
        <v>42521</v>
      </c>
      <c r="C169">
        <v>12168.93</v>
      </c>
      <c r="D169">
        <v>1</v>
      </c>
    </row>
    <row r="170" spans="1:4" x14ac:dyDescent="0.25">
      <c r="A170" t="s">
        <v>362</v>
      </c>
      <c r="B170" s="154">
        <v>42117</v>
      </c>
      <c r="C170">
        <v>27409.74</v>
      </c>
      <c r="D170">
        <v>1</v>
      </c>
    </row>
    <row r="171" spans="1:4" x14ac:dyDescent="0.25">
      <c r="A171" t="s">
        <v>363</v>
      </c>
      <c r="B171" s="154">
        <v>42030</v>
      </c>
      <c r="C171">
        <v>36618.99</v>
      </c>
      <c r="D171">
        <v>1</v>
      </c>
    </row>
    <row r="172" spans="1:4" x14ac:dyDescent="0.25">
      <c r="A172" t="s">
        <v>364</v>
      </c>
      <c r="B172" s="154">
        <v>42464</v>
      </c>
      <c r="C172">
        <v>28528.71</v>
      </c>
      <c r="D172">
        <v>1</v>
      </c>
    </row>
    <row r="173" spans="1:4" x14ac:dyDescent="0.25">
      <c r="A173" t="s">
        <v>365</v>
      </c>
      <c r="B173" s="154">
        <v>42104</v>
      </c>
      <c r="C173">
        <v>15204.51</v>
      </c>
      <c r="D173">
        <v>1</v>
      </c>
    </row>
    <row r="174" spans="1:4" x14ac:dyDescent="0.25">
      <c r="A174" t="s">
        <v>366</v>
      </c>
      <c r="B174" s="154">
        <v>42521</v>
      </c>
      <c r="C174">
        <v>69210.02</v>
      </c>
      <c r="D174">
        <v>1</v>
      </c>
    </row>
    <row r="175" spans="1:4" x14ac:dyDescent="0.25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5">
      <c r="A176" t="s">
        <v>368</v>
      </c>
      <c r="B176" s="154">
        <v>42066</v>
      </c>
      <c r="C176">
        <v>7949.83</v>
      </c>
      <c r="D176">
        <v>1</v>
      </c>
    </row>
    <row r="177" spans="1:4" x14ac:dyDescent="0.25">
      <c r="A177" t="s">
        <v>369</v>
      </c>
      <c r="B177" s="154">
        <v>42122</v>
      </c>
      <c r="C177">
        <v>15553.66</v>
      </c>
      <c r="D177">
        <v>1</v>
      </c>
    </row>
    <row r="178" spans="1:4" x14ac:dyDescent="0.25">
      <c r="A178" t="s">
        <v>370</v>
      </c>
      <c r="B178" s="154">
        <v>42117</v>
      </c>
      <c r="C178">
        <v>11507.83</v>
      </c>
      <c r="D178">
        <v>1</v>
      </c>
    </row>
    <row r="179" spans="1:4" x14ac:dyDescent="0.25">
      <c r="A179" t="s">
        <v>371</v>
      </c>
      <c r="B179" s="154">
        <v>42479</v>
      </c>
      <c r="C179">
        <v>14993.59</v>
      </c>
      <c r="D179">
        <v>1</v>
      </c>
    </row>
    <row r="180" spans="1:4" x14ac:dyDescent="0.25">
      <c r="A180" t="s">
        <v>372</v>
      </c>
      <c r="B180" s="154">
        <v>42104</v>
      </c>
      <c r="C180">
        <v>14152.32</v>
      </c>
      <c r="D180">
        <v>1</v>
      </c>
    </row>
    <row r="181" spans="1:4" x14ac:dyDescent="0.25">
      <c r="A181" t="s">
        <v>373</v>
      </c>
      <c r="B181" s="154">
        <v>42374</v>
      </c>
      <c r="C181">
        <v>13453.03</v>
      </c>
      <c r="D181">
        <v>1</v>
      </c>
    </row>
    <row r="182" spans="1:4" x14ac:dyDescent="0.25">
      <c r="A182" t="s">
        <v>374</v>
      </c>
      <c r="B182" s="154">
        <v>42303</v>
      </c>
      <c r="C182">
        <v>7915.02</v>
      </c>
      <c r="D182">
        <v>1</v>
      </c>
    </row>
    <row r="183" spans="1:4" x14ac:dyDescent="0.25">
      <c r="A183" t="s">
        <v>375</v>
      </c>
      <c r="B183" s="154">
        <v>42310</v>
      </c>
      <c r="C183">
        <v>11222.21</v>
      </c>
      <c r="D183">
        <v>1</v>
      </c>
    </row>
    <row r="184" spans="1:4" x14ac:dyDescent="0.25">
      <c r="A184" t="s">
        <v>376</v>
      </c>
      <c r="B184" s="154">
        <v>42520</v>
      </c>
      <c r="C184">
        <v>11861.15</v>
      </c>
      <c r="D184">
        <v>1</v>
      </c>
    </row>
    <row r="185" spans="1:4" x14ac:dyDescent="0.25">
      <c r="A185" t="s">
        <v>377</v>
      </c>
      <c r="B185" s="154">
        <v>42222</v>
      </c>
      <c r="C185">
        <v>28083.96</v>
      </c>
      <c r="D185">
        <v>1</v>
      </c>
    </row>
    <row r="186" spans="1:4" x14ac:dyDescent="0.25">
      <c r="A186" t="s">
        <v>378</v>
      </c>
      <c r="B186" s="154">
        <v>41947</v>
      </c>
      <c r="C186">
        <v>7127.6</v>
      </c>
      <c r="D186">
        <v>1</v>
      </c>
    </row>
    <row r="187" spans="1:4" x14ac:dyDescent="0.25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5">
      <c r="A188" t="s">
        <v>380</v>
      </c>
      <c r="B188" s="154">
        <v>41904</v>
      </c>
      <c r="C188">
        <v>5480.24</v>
      </c>
      <c r="D188">
        <v>1</v>
      </c>
    </row>
    <row r="189" spans="1:4" x14ac:dyDescent="0.25">
      <c r="A189" t="s">
        <v>381</v>
      </c>
      <c r="B189" s="154">
        <v>42054</v>
      </c>
      <c r="C189">
        <v>10874.67</v>
      </c>
      <c r="D189">
        <v>1</v>
      </c>
    </row>
    <row r="190" spans="1:4" x14ac:dyDescent="0.25">
      <c r="A190" t="s">
        <v>382</v>
      </c>
      <c r="B190" s="154">
        <v>42520</v>
      </c>
      <c r="C190">
        <v>26408.99</v>
      </c>
      <c r="D190">
        <v>1</v>
      </c>
    </row>
    <row r="191" spans="1:4" x14ac:dyDescent="0.25">
      <c r="A191" t="s">
        <v>383</v>
      </c>
      <c r="B191" s="154">
        <v>42069</v>
      </c>
      <c r="C191">
        <v>31823.85</v>
      </c>
      <c r="D191">
        <v>1</v>
      </c>
    </row>
    <row r="192" spans="1:4" x14ac:dyDescent="0.25">
      <c r="A192" t="s">
        <v>384</v>
      </c>
      <c r="B192" s="154">
        <v>42528</v>
      </c>
      <c r="C192">
        <v>32092.58</v>
      </c>
      <c r="D192">
        <v>1</v>
      </c>
    </row>
    <row r="193" spans="1:4" x14ac:dyDescent="0.25">
      <c r="A193" t="s">
        <v>385</v>
      </c>
      <c r="B193" s="154">
        <v>42122</v>
      </c>
      <c r="C193">
        <v>13908.83</v>
      </c>
      <c r="D193">
        <v>1</v>
      </c>
    </row>
    <row r="194" spans="1:4" x14ac:dyDescent="0.25">
      <c r="A194" t="s">
        <v>386</v>
      </c>
      <c r="B194" s="154">
        <v>42117</v>
      </c>
      <c r="C194">
        <v>11227.41</v>
      </c>
      <c r="D194">
        <v>1</v>
      </c>
    </row>
    <row r="195" spans="1:4" x14ac:dyDescent="0.25">
      <c r="A195" t="s">
        <v>387</v>
      </c>
      <c r="B195" s="154">
        <v>42222</v>
      </c>
      <c r="C195">
        <v>26117.47</v>
      </c>
      <c r="D195">
        <v>1</v>
      </c>
    </row>
    <row r="196" spans="1:4" x14ac:dyDescent="0.25">
      <c r="A196" t="s">
        <v>388</v>
      </c>
      <c r="B196" s="154">
        <v>41904</v>
      </c>
      <c r="C196">
        <v>6904.09</v>
      </c>
      <c r="D196">
        <v>1</v>
      </c>
    </row>
    <row r="197" spans="1:4" x14ac:dyDescent="0.25">
      <c r="A197" t="s">
        <v>389</v>
      </c>
      <c r="B197" s="154">
        <v>42528</v>
      </c>
      <c r="C197">
        <v>20097.04</v>
      </c>
      <c r="D197">
        <v>1</v>
      </c>
    </row>
    <row r="198" spans="1:4" x14ac:dyDescent="0.25">
      <c r="A198" t="s">
        <v>390</v>
      </c>
      <c r="B198" s="154">
        <v>42118</v>
      </c>
      <c r="C198">
        <v>14632.12</v>
      </c>
      <c r="D198">
        <v>1</v>
      </c>
    </row>
    <row r="199" spans="1:4" x14ac:dyDescent="0.25">
      <c r="A199" t="s">
        <v>391</v>
      </c>
      <c r="B199" s="154">
        <v>42118</v>
      </c>
      <c r="C199">
        <v>17815.8</v>
      </c>
      <c r="D199">
        <v>1</v>
      </c>
    </row>
    <row r="200" spans="1:4" x14ac:dyDescent="0.25">
      <c r="A200" t="s">
        <v>392</v>
      </c>
      <c r="B200" s="154">
        <v>41904</v>
      </c>
      <c r="C200">
        <v>6817.36</v>
      </c>
      <c r="D200">
        <v>1</v>
      </c>
    </row>
    <row r="201" spans="1:4" x14ac:dyDescent="0.25">
      <c r="A201" t="s">
        <v>393</v>
      </c>
      <c r="B201" s="154">
        <v>42528</v>
      </c>
      <c r="C201">
        <v>18335.7</v>
      </c>
      <c r="D201">
        <v>1</v>
      </c>
    </row>
    <row r="202" spans="1:4" x14ac:dyDescent="0.25">
      <c r="A202" t="s">
        <v>394</v>
      </c>
      <c r="B202" s="154">
        <v>42117</v>
      </c>
      <c r="C202">
        <v>14678.45</v>
      </c>
      <c r="D202">
        <v>1</v>
      </c>
    </row>
    <row r="203" spans="1:4" x14ac:dyDescent="0.25">
      <c r="A203" t="s">
        <v>395</v>
      </c>
      <c r="B203" s="154">
        <v>42118</v>
      </c>
      <c r="C203">
        <v>16848.27</v>
      </c>
      <c r="D203">
        <v>1</v>
      </c>
    </row>
    <row r="204" spans="1:4" x14ac:dyDescent="0.25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5">
      <c r="A205" t="s">
        <v>397</v>
      </c>
      <c r="B205" s="154">
        <v>37469</v>
      </c>
      <c r="C205">
        <v>394.88</v>
      </c>
      <c r="D205">
        <v>1</v>
      </c>
    </row>
    <row r="206" spans="1:4" x14ac:dyDescent="0.25">
      <c r="A206" t="s">
        <v>398</v>
      </c>
      <c r="B206" s="154">
        <v>37469</v>
      </c>
      <c r="C206">
        <v>394.88</v>
      </c>
      <c r="D206">
        <v>1</v>
      </c>
    </row>
    <row r="207" spans="1:4" x14ac:dyDescent="0.25">
      <c r="A207" t="s">
        <v>399</v>
      </c>
      <c r="B207" s="154">
        <v>38665</v>
      </c>
      <c r="C207">
        <v>225.62</v>
      </c>
      <c r="D207">
        <v>1</v>
      </c>
    </row>
    <row r="208" spans="1:4" x14ac:dyDescent="0.25">
      <c r="A208" t="s">
        <v>400</v>
      </c>
      <c r="B208" s="154">
        <v>38665</v>
      </c>
      <c r="C208">
        <v>225.62</v>
      </c>
      <c r="D208">
        <v>1</v>
      </c>
    </row>
    <row r="209" spans="1:4" x14ac:dyDescent="0.25">
      <c r="A209" t="s">
        <v>401</v>
      </c>
      <c r="B209" s="154">
        <v>38624</v>
      </c>
      <c r="C209">
        <v>173.45</v>
      </c>
      <c r="D209">
        <v>1</v>
      </c>
    </row>
    <row r="210" spans="1:4" x14ac:dyDescent="0.25">
      <c r="A210" t="s">
        <v>402</v>
      </c>
      <c r="B210" s="154">
        <v>38624</v>
      </c>
      <c r="C210">
        <v>173.45</v>
      </c>
      <c r="D210">
        <v>1</v>
      </c>
    </row>
    <row r="211" spans="1:4" x14ac:dyDescent="0.25">
      <c r="A211" t="s">
        <v>403</v>
      </c>
      <c r="B211" s="154">
        <v>38027</v>
      </c>
      <c r="C211">
        <v>108.65</v>
      </c>
      <c r="D211">
        <v>1</v>
      </c>
    </row>
    <row r="212" spans="1:4" x14ac:dyDescent="0.25">
      <c r="A212" t="s">
        <v>404</v>
      </c>
      <c r="B212" s="154">
        <v>37757</v>
      </c>
      <c r="C212">
        <v>125</v>
      </c>
      <c r="D212">
        <v>1</v>
      </c>
    </row>
    <row r="213" spans="1:4" x14ac:dyDescent="0.25">
      <c r="A213" t="s">
        <v>405</v>
      </c>
      <c r="B213" s="154">
        <v>38006</v>
      </c>
      <c r="C213">
        <v>106.83</v>
      </c>
      <c r="D213">
        <v>1</v>
      </c>
    </row>
    <row r="214" spans="1:4" x14ac:dyDescent="0.25">
      <c r="A214" t="s">
        <v>406</v>
      </c>
      <c r="B214" s="154">
        <v>38715</v>
      </c>
      <c r="C214">
        <v>508.88</v>
      </c>
      <c r="D214">
        <v>1</v>
      </c>
    </row>
    <row r="215" spans="1:4" x14ac:dyDescent="0.25">
      <c r="A215" t="s">
        <v>407</v>
      </c>
      <c r="B215" s="154">
        <v>38715</v>
      </c>
      <c r="C215">
        <v>510.55</v>
      </c>
      <c r="D215">
        <v>1</v>
      </c>
    </row>
    <row r="216" spans="1:4" x14ac:dyDescent="0.25">
      <c r="A216" t="s">
        <v>408</v>
      </c>
      <c r="B216" s="154">
        <v>38260</v>
      </c>
      <c r="C216">
        <v>730.16</v>
      </c>
      <c r="D216">
        <v>1</v>
      </c>
    </row>
    <row r="217" spans="1:4" x14ac:dyDescent="0.25">
      <c r="A217" t="s">
        <v>409</v>
      </c>
      <c r="B217" s="154">
        <v>38716</v>
      </c>
      <c r="C217">
        <v>250.34</v>
      </c>
      <c r="D217">
        <v>1</v>
      </c>
    </row>
    <row r="218" spans="1:4" x14ac:dyDescent="0.25">
      <c r="A218" t="s">
        <v>410</v>
      </c>
      <c r="B218" s="154">
        <v>38716</v>
      </c>
      <c r="C218">
        <v>250.34</v>
      </c>
      <c r="D218">
        <v>1</v>
      </c>
    </row>
    <row r="219" spans="1:4" x14ac:dyDescent="0.25">
      <c r="A219" t="s">
        <v>411</v>
      </c>
      <c r="B219" s="154">
        <v>38713</v>
      </c>
      <c r="C219">
        <v>185.77</v>
      </c>
      <c r="D219">
        <v>1</v>
      </c>
    </row>
    <row r="220" spans="1:4" x14ac:dyDescent="0.25">
      <c r="A220" t="s">
        <v>412</v>
      </c>
      <c r="B220" s="154">
        <v>38713</v>
      </c>
      <c r="C220">
        <v>232.72</v>
      </c>
      <c r="D220">
        <v>1</v>
      </c>
    </row>
    <row r="221" spans="1:4" x14ac:dyDescent="0.25">
      <c r="A221" t="s">
        <v>413</v>
      </c>
      <c r="B221" s="154">
        <v>38713</v>
      </c>
      <c r="C221">
        <v>137.76</v>
      </c>
      <c r="D221">
        <v>1</v>
      </c>
    </row>
    <row r="222" spans="1:4" x14ac:dyDescent="0.25">
      <c r="A222" t="s">
        <v>414</v>
      </c>
      <c r="B222" s="154">
        <v>38713</v>
      </c>
      <c r="C222">
        <v>141.75</v>
      </c>
      <c r="D222">
        <v>1</v>
      </c>
    </row>
    <row r="223" spans="1:4" x14ac:dyDescent="0.25">
      <c r="A223" t="s">
        <v>415</v>
      </c>
      <c r="B223" s="154">
        <v>38370</v>
      </c>
      <c r="C223">
        <v>242.71</v>
      </c>
      <c r="D223">
        <v>1</v>
      </c>
    </row>
    <row r="224" spans="1:4" x14ac:dyDescent="0.25">
      <c r="A224" t="s">
        <v>416</v>
      </c>
      <c r="B224" s="154">
        <v>38706</v>
      </c>
      <c r="C224">
        <v>128.63</v>
      </c>
      <c r="D224">
        <v>1</v>
      </c>
    </row>
    <row r="225" spans="1:4" x14ac:dyDescent="0.25">
      <c r="A225" t="s">
        <v>417</v>
      </c>
      <c r="B225" s="154">
        <v>38705</v>
      </c>
      <c r="C225">
        <v>217.85</v>
      </c>
      <c r="D225">
        <v>1</v>
      </c>
    </row>
    <row r="226" spans="1:4" x14ac:dyDescent="0.25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5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5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5">
      <c r="A229" t="s">
        <v>421</v>
      </c>
      <c r="B229" s="154">
        <v>40577</v>
      </c>
      <c r="C229">
        <v>493.46</v>
      </c>
      <c r="D229">
        <v>1</v>
      </c>
    </row>
    <row r="230" spans="1:4" x14ac:dyDescent="0.25">
      <c r="A230" t="s">
        <v>422</v>
      </c>
      <c r="B230" s="154">
        <v>39618</v>
      </c>
      <c r="C230">
        <v>303</v>
      </c>
      <c r="D230">
        <v>1</v>
      </c>
    </row>
    <row r="231" spans="1:4" x14ac:dyDescent="0.25">
      <c r="A231" t="s">
        <v>423</v>
      </c>
      <c r="B231" s="154">
        <v>39394</v>
      </c>
      <c r="C231">
        <v>363.69</v>
      </c>
      <c r="D231">
        <v>1</v>
      </c>
    </row>
    <row r="232" spans="1:4" x14ac:dyDescent="0.25">
      <c r="A232" t="s">
        <v>424</v>
      </c>
      <c r="B232" s="154">
        <v>40478</v>
      </c>
      <c r="C232">
        <v>148.34</v>
      </c>
      <c r="D232">
        <v>1</v>
      </c>
    </row>
    <row r="233" spans="1:4" x14ac:dyDescent="0.25">
      <c r="A233" t="s">
        <v>425</v>
      </c>
      <c r="B233" s="154">
        <v>42541</v>
      </c>
      <c r="C233">
        <v>1042.5</v>
      </c>
      <c r="D233">
        <v>1</v>
      </c>
    </row>
    <row r="234" spans="1:4" x14ac:dyDescent="0.25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5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5">
      <c r="A236" t="s">
        <v>428</v>
      </c>
      <c r="B236" s="154">
        <v>39618</v>
      </c>
      <c r="C236">
        <v>562.29</v>
      </c>
      <c r="D236">
        <v>1</v>
      </c>
    </row>
    <row r="237" spans="1:4" x14ac:dyDescent="0.25">
      <c r="A237" t="s">
        <v>429</v>
      </c>
      <c r="B237" s="154">
        <v>39394</v>
      </c>
      <c r="C237">
        <v>363.69</v>
      </c>
      <c r="D237">
        <v>1</v>
      </c>
    </row>
    <row r="238" spans="1:4" x14ac:dyDescent="0.25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5">
      <c r="A239" t="s">
        <v>431</v>
      </c>
      <c r="B239" s="154">
        <v>41277</v>
      </c>
      <c r="C239">
        <v>2807.39</v>
      </c>
      <c r="D239">
        <v>1</v>
      </c>
    </row>
    <row r="240" spans="1:4" x14ac:dyDescent="0.25">
      <c r="A240" t="s">
        <v>432</v>
      </c>
      <c r="B240" s="154">
        <v>41283</v>
      </c>
      <c r="C240">
        <v>2316.58</v>
      </c>
      <c r="D240">
        <v>1</v>
      </c>
    </row>
    <row r="241" spans="1:4" x14ac:dyDescent="0.25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5">
      <c r="A242" t="s">
        <v>434</v>
      </c>
      <c r="B242" s="154">
        <v>41281</v>
      </c>
      <c r="C242">
        <v>3365.22</v>
      </c>
      <c r="D242">
        <v>1</v>
      </c>
    </row>
    <row r="243" spans="1:4" x14ac:dyDescent="0.25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5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5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5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5">
      <c r="A247" t="s">
        <v>439</v>
      </c>
      <c r="B247" s="154">
        <v>41444</v>
      </c>
      <c r="C247">
        <v>1386.8</v>
      </c>
      <c r="D247">
        <v>1</v>
      </c>
    </row>
    <row r="248" spans="1:4" x14ac:dyDescent="0.25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5">
      <c r="A249" t="s">
        <v>441</v>
      </c>
      <c r="B249" s="154">
        <v>39604</v>
      </c>
      <c r="C249">
        <v>233.37</v>
      </c>
      <c r="D249">
        <v>1</v>
      </c>
    </row>
    <row r="250" spans="1:4" x14ac:dyDescent="0.25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5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2018-02-20T07:00:00+00:00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4819BFCF-63D3-4C76-9946-BC32A8CD996D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20180131</dc:title>
  <dc:creator>rapelangm</dc:creator>
  <cp:lastModifiedBy>Buhle Luthuli</cp:lastModifiedBy>
  <cp:lastPrinted>2018-02-08T05:41:20Z</cp:lastPrinted>
  <dcterms:created xsi:type="dcterms:W3CDTF">2009-10-22T12:59:48Z</dcterms:created>
  <dcterms:modified xsi:type="dcterms:W3CDTF">2018-02-20T11:02:18Z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