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 iterateDelta="1" calcOnSave="0"/>
</workbook>
</file>

<file path=xl/calcChain.xml><?xml version="1.0" encoding="utf-8"?>
<calcChain xmlns="http://schemas.openxmlformats.org/spreadsheetml/2006/main"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4" i="1"/>
  <c r="C373" i="1"/>
  <c r="C372" i="1"/>
  <c r="C379" i="1" s="1"/>
  <c r="G367" i="1"/>
  <c r="G366" i="1"/>
  <c r="G365" i="1"/>
  <c r="G364" i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G368" i="1" l="1"/>
  <c r="F139" i="1"/>
  <c r="F68" i="1"/>
  <c r="D68" i="1" l="1"/>
  <c r="C68" i="1"/>
  <c r="F211" i="1" l="1"/>
  <c r="F210" i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E201" i="1" l="1"/>
  <c r="E198" i="1"/>
  <c r="D202" i="1"/>
  <c r="E200" i="1"/>
  <c r="C202" i="1"/>
  <c r="E197" i="1"/>
  <c r="B202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<sst xmlns="http://schemas.openxmlformats.org/spreadsheetml/2006/main" count="2493" uniqueCount="672">
  <si>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</si>
  <si>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</si>
  <si>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</si>
  <si>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</si>
  <si>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</si>
  <si>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</si>
  <si>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</si>
  <si>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</si>
  <si>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</si>
  <si>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</si>
  <si>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</si>
  <si>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</si>
  <si>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</si>
  <si>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</si>
  <si>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</si>
  <si>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</si>
  <si>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</si>
  <si>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</si>
  <si>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</si>
  <si>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</si>
  <si>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</si>
  <si>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</si>
  <si>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</si>
  <si>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</si>
  <si>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</si>
  <si>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</si>
  <si>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</si>
  <si>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</si>
  <si>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</si>
  <si>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</si>
  <si>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</si>
  <si>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</si>
  <si>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</si>
  <si>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</si>
  <si>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</si>
  <si>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</si>
  <si>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</si>
  <si>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</si>
  <si>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</si>
  <si>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</si>
  <si>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</si>
  <si>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</si>
  <si>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</si>
  <si>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</si>
  <si>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</si>
  <si>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</si>
  <si>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</si>
  <si>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</si>
  <si>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</si>
  <si>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</si>
  <si>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</si>
  <si>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</si>
  <si>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</si>
  <si>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</si>
  <si>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</si>
  <si>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</si>
  <si>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</si>
  <si>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</si>
  <si>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</si>
  <si>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</si>
  <si>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</si>
  <si>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</si>
  <si>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</si>
  <si>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</si>
  <si>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</si>
  <si>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</si>
  <si>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</si>
  <si>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</si>
  <si>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</si>
  <si>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</si>
  <si>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</si>
  <si>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</si>
  <si>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</si>
  <si>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</si>
  <si>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</si>
  <si>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</si>
  <si>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</si>
  <si>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</si>
  <si>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</si>
  <si>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</si>
  <si>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</si>
  <si>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</si>
  <si>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</si>
  <si>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</si>
  <si>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</si>
  <si>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</si>
  <si>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</si>
  <si>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</si>
  <si>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</si>
  <si>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</si>
  <si>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</si>
  <si>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</si>
  <si>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</si>
  <si>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</si>
  <si>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</si>
  <si>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</si>
  <si>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</si>
  <si>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</si>
  <si>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</si>
  <si>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</si>
  <si>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</si>
  <si>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</si>
  <si>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</si>
  <si>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</si>
  <si>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</si>
  <si>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</si>
  <si>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</si>
  <si>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</si>
  <si>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</si>
  <si>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</si>
  <si>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</si>
  <si>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</si>
  <si>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</si>
  <si>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</si>
  <si>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</si>
  <si>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</si>
  <si>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</si>
  <si>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</si>
  <si>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</si>
  <si>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</si>
  <si>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</si>
  <si>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</si>
  <si>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</si>
  <si>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</si>
  <si>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</si>
  <si>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</si>
  <si>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</si>
  <si>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</si>
  <si>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</si>
  <si>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</si>
  <si>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</si>
  <si>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</si>
  <si>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</si>
  <si>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</si>
  <si>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</si>
  <si>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</si>
  <si>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</si>
  <si>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</si>
  <si>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</si>
  <si>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</si>
  <si>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</si>
  <si>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</si>
  <si>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</si>
  <si>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</si>
  <si>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</si>
  <si>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</si>
  <si>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</si>
  <si>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</si>
  <si>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</si>
  <si>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</si>
  <si>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</si>
  <si>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</si>
  <si>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</si>
  <si>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</si>
  <si>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</si>
  <si>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</si>
  <si>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</si>
  <si>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</si>
  <si>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</si>
  <si>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</si>
  <si>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</si>
  <si>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</si>
  <si>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</si>
  <si>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</si>
  <si>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</si>
  <si>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</si>
  <si>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</si>
  <si>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</si>
  <si>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</si>
  <si>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</si>
  <si>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</si>
  <si>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</si>
  <si>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</si>
  <si>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</si>
  <si>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</si>
  <si>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</si>
  <si>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</si>
  <si>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</si>
  <si>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</si>
  <si>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</si>
  <si>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</si>
  <si>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</si>
  <si>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</si>
  <si>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</si>
  <si>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</si>
  <si>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</si>
  <si>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</si>
  <si>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</si>
  <si>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</si>
  <si>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</si>
  <si>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</si>
  <si>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</si>
  <si>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</si>
  <si>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</si>
  <si>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</si>
  <si>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</si>
  <si>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</si>
  <si>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</si>
  <si>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</si>
  <si>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</si>
  <si>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</si>
  <si>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</si>
  <si>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</si>
  <si>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</si>
  <si>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</si>
  <si>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</si>
  <si>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</si>
  <si>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</si>
  <si>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</si>
  <si>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</si>
  <si>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</si>
  <si>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</si>
  <si>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</si>
  <si>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</si>
  <si>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</si>
  <si>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</si>
  <si>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</si>
  <si>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</si>
  <si>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</si>
  <si>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</si>
  <si>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</si>
  <si>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</si>
  <si>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</si>
  <si>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</si>
  <si>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</si>
  <si>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</si>
  <si>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</si>
  <si>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</si>
  <si>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</si>
  <si>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</si>
  <si>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</si>
  <si>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</si>
  <si>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</si>
  <si>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</si>
  <si>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</si>
  <si>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</si>
  <si>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</si>
  <si>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</si>
  <si>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</si>
  <si>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</si>
  <si>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</si>
  <si>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</si>
  <si>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</si>
  <si>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</si>
  <si>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</si>
  <si>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</si>
  <si>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</si>
  <si>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</si>
  <si>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</si>
  <si>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</si>
  <si>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</si>
  <si>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</si>
  <si>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</si>
  <si>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</si>
  <si>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</si>
  <si>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</si>
  <si>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</si>
  <si>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</si>
  <si>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</si>
  <si>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</si>
  <si>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</si>
  <si>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</si>
  <si>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</si>
  <si>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</si>
  <si>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</si>
  <si>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</si>
  <si>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</si>
  <si>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</si>
  <si>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</si>
  <si>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</si>
  <si>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</si>
  <si>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</si>
  <si>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</si>
  <si>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</si>
  <si>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</si>
  <si>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</si>
  <si>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</si>
  <si>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</si>
  <si>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</si>
  <si>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</si>
  <si>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</si>
  <si>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</si>
  <si>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</si>
  <si>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</si>
  <si>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</si>
  <si>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</si>
  <si>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</si>
  <si>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</si>
  <si>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</si>
  <si>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</si>
  <si>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</si>
  <si>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</si>
  <si>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</si>
  <si>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</si>
  <si>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</si>
  <si>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</si>
  <si>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</si>
  <si>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</si>
  <si>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</si>
  <si>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</si>
  <si>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</si>
  <si>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</si>
  <si>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</si>
  <si>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</si>
  <si>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</si>
  <si>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</si>
  <si>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</si>
  <si>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</si>
  <si>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</si>
  <si>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</si>
  <si>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</si>
  <si>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</si>
  <si>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</si>
  <si>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</si>
  <si>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</si>
  <si>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</si>
  <si>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</si>
  <si>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</si>
  <si>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</si>
  <si>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</si>
  <si>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</si>
  <si>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</si>
  <si>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</si>
  <si>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</si>
  <si>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</si>
  <si>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</si>
  <si>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</si>
  <si>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</si>
  <si>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</si>
  <si>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</si>
  <si>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</si>
  <si>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</si>
  <si>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</si>
  <si>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</si>
  <si>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</si>
  <si>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</si>
  <si>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</si>
  <si>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</si>
  <si>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</si>
  <si>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</si>
  <si>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</si>
  <si>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</si>
  <si>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</si>
  <si>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</si>
  <si>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</si>
  <si>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</si>
  <si>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</si>
  <si>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</si>
  <si>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</si>
  <si>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</si>
  <si>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</si>
  <si>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</si>
  <si>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</si>
  <si>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</si>
  <si>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</si>
  <si>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</si>
  <si>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</si>
  <si>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</si>
  <si>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</si>
  <si>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</si>
  <si>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</si>
  <si>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</si>
  <si>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</si>
  <si>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</si>
  <si>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</si>
  <si>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</si>
  <si>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</si>
  <si>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</si>
  <si>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</si>
  <si>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</si>
  <si>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</si>
  <si>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</si>
  <si>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</si>
  <si>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</si>
  <si>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</si>
  <si>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</si>
  <si>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</si>
  <si>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</si>
  <si>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</si>
  <si>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</si>
  <si>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</si>
  <si>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</si>
  <si>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</si>
  <si>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</si>
  <si>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</si>
  <si>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</si>
  <si>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</si>
  <si>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</si>
  <si>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</si>
  <si>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</si>
  <si>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</si>
  <si>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</si>
  <si>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</si>
  <si>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</si>
  <si>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</si>
  <si>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</si>
  <si>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</si>
  <si>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</si>
  <si>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</si>
  <si>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</si>
  <si>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</si>
  <si>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</si>
  <si>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</si>
  <si>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</si>
  <si>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</si>
  <si>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</si>
  <si>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</si>
  <si>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</si>
  <si>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</si>
  <si>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</si>
  <si>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</si>
  <si>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</si>
  <si>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</si>
  <si>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</si>
  <si>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</si>
  <si>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</si>
  <si>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</si>
  <si>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</si>
  <si>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</si>
  <si>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</si>
  <si>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</si>
  <si>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</si>
  <si>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</si>
  <si>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</si>
  <si>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</si>
  <si>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</si>
  <si>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</si>
  <si>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</si>
  <si>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</si>
  <si>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</si>
  <si>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</si>
  <si>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</si>
  <si>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</si>
  <si>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</si>
  <si>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</si>
  <si>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</si>
  <si>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</si>
  <si>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</si>
  <si>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</si>
  <si>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</si>
  <si>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</si>
  <si>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</si>
  <si>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</si>
  <si>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</si>
  <si>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</si>
  <si>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</si>
  <si>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</si>
  <si>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</si>
  <si>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</si>
  <si>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</si>
  <si>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</si>
  <si>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</si>
  <si>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</si>
  <si>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</si>
  <si>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</si>
  <si>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</si>
  <si>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</si>
  <si>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</si>
  <si>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</si>
  <si>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</si>
  <si>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</si>
  <si>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</si>
  <si>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</si>
  <si>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</si>
  <si>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</si>
  <si>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</si>
  <si>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</si>
  <si>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</si>
  <si>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</si>
  <si>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</si>
  <si>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</si>
  <si>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</si>
  <si>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</si>
  <si>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</si>
  <si>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</si>
  <si>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</si>
  <si>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</si>
  <si>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</si>
  <si>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</si>
  <si>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</si>
  <si>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</si>
  <si>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</si>
  <si>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</si>
  <si>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</si>
  <si>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</si>
  <si>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</si>
  <si>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</si>
  <si>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</si>
  <si>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</si>
  <si>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</si>
  <si>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</si>
  <si>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</si>
  <si>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</si>
  <si>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</si>
  <si>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</si>
  <si>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</si>
  <si>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</si>
  <si>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</si>
  <si>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</si>
  <si>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</si>
  <si>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</si>
  <si>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</si>
  <si>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</si>
  <si>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</si>
  <si>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</si>
  <si>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</si>
  <si>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</si>
  <si>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</si>
  <si>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</si>
  <si>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</si>
  <si>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</si>
  <si>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</si>
  <si>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</si>
  <si>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</si>
  <si>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</si>
  <si>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</si>
  <si>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</si>
  <si>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</si>
  <si>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</si>
  <si>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</si>
  <si>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</si>
  <si>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</si>
  <si>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</si>
  <si>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</si>
  <si>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</si>
  <si>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</si>
  <si>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</si>
  <si>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</si>
  <si>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</si>
  <si>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</si>
  <si>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</si>
  <si>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</si>
  <si>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 xml:space="preserve">Note: The monthly "local liquidity"  using the value traded and Strate market capitalisation is 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</si>
  <si>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</si>
  <si>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</si>
  <si>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</si>
  <si>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</si>
  <si>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</si>
  <si>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</si>
  <si>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</si>
  <si>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</si>
  <si>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</si>
  <si>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</si>
  <si>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</si>
  <si>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</si>
  <si>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</si>
  <si>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</si>
  <si>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</si>
  <si>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</si>
  <si>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</si>
  <si>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</si>
  <si>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</si>
  <si>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</si>
  <si>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</si>
  <si>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</si>
  <si>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</si>
  <si>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</si>
  <si>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</si>
  <si>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</si>
  <si>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</si>
  <si>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</si>
  <si>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</si>
  <si>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</si>
  <si>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</si>
  <si>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</si>
  <si>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</si>
  <si>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</si>
  <si>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</si>
  <si>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</si>
  <si>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</si>
  <si>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</si>
  <si>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</si>
  <si>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</si>
  <si>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COMMODITY CAN-DO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</si>
  <si>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</si>
  <si>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</si>
  <si>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</si>
  <si>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</si>
  <si>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</si>
  <si>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</si>
  <si>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</si>
  <si>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</si>
  <si>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</si>
  <si>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</si>
  <si>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</si>
  <si>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</si>
  <si>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</si>
  <si>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</si>
  <si>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</si>
  <si>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</si>
  <si>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NATURAL GAS QUANTO</t>
  </si>
  <si>
    <t>PALLADIUM</t>
  </si>
  <si>
    <t>PALLADIUM QUANTO</t>
  </si>
  <si>
    <t>PLATINUM</t>
  </si>
  <si>
    <t xml:space="preserve">PLATINUM QUANTO 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</si>
  <si>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</si>
  <si>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</si>
  <si>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</si>
  <si>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</si>
  <si>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</si>
  <si>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</si>
  <si>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</si>
  <si>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</si>
  <si>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</si>
  <si>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</si>
  <si>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</si>
  <si>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</si>
  <si>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</si>
  <si>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</si>
  <si>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</si>
  <si>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</si>
  <si>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</si>
  <si>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</si>
  <si>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EURONEXT MILLING WHEAT CONTRACT</t>
  </si>
  <si>
    <t>QUANTO SOYBEAN COMMODITY CANDO</t>
  </si>
  <si>
    <t>QUANTO WHITE MAIZE</t>
  </si>
  <si>
    <t>YELLOW MAIZE COMMODITY CANDO</t>
  </si>
  <si>
    <t>ZAMBIAN BREAD MILLING WHEAT FUTURE</t>
  </si>
  <si>
    <t>ZAMBIAN SOYA BEANS FUTURE</t>
  </si>
  <si>
    <t>ZAMBIAN WHITE MAIZE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</si>
  <si>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</si>
  <si>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</si>
  <si>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</si>
  <si>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</si>
  <si>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</si>
  <si>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</si>
  <si>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</si>
  <si>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</si>
  <si>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</si>
  <si>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</si>
  <si>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</si>
  <si>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</si>
  <si>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</si>
  <si>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</si>
  <si>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</si>
  <si>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</si>
  <si>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</si>
  <si>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</si>
  <si>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</si>
  <si>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</si>
  <si>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</si>
  <si>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</si>
  <si>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</si>
  <si>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</si>
  <si>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</si>
  <si>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</si>
  <si>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</si>
  <si>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</si>
  <si>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</si>
  <si>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</si>
  <si>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</si>
  <si>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</si>
  <si>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</si>
  <si>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</si>
  <si>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</si>
  <si>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</si>
  <si>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</si>
  <si>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</si>
  <si>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</si>
  <si>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</si>
  <si>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</si>
  <si>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2018/07</t>
  </si>
  <si>
    <t>Other Trade - I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</si>
  <si>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</si>
  <si>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</si>
  <si>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</si>
  <si>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</si>
  <si>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</si>
  <si>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</si>
  <si>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</si>
  <si>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</si>
  <si>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Position in the world league in June 2018 (based on the WFE statistics)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</si>
</sst>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2147">
    <xf numFmtId="0" fontId="0" fillId="0" borderId="0"/>
    <xf numFmtId="165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0" fillId="32" borderId="0" applyNumberFormat="0" applyBorder="0" applyAlignment="0" applyProtection="0"/>
    <xf numFmtId="9" fontId="19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4">
    <xf numFmtId="0" fontId="0" fillId="0" borderId="0" xfId="0"/>
    <xf numFmtId="0" fontId="20" fillId="0" borderId="0" xfId="0" applyFont="1"/>
    <xf numFmtId="165" fontId="0" fillId="0" borderId="0" xfId="1" applyFont="1"/>
    <xf numFmtId="166" fontId="0" fillId="0" borderId="0" xfId="1" applyNumberFormat="1" applyFont="1"/>
    <xf numFmtId="166" fontId="20" fillId="0" borderId="0" xfId="1" applyNumberFormat="1" applyFont="1"/>
    <xf numFmtId="165" fontId="20" fillId="0" borderId="0" xfId="1" applyFont="1"/>
    <xf numFmtId="14" fontId="0" fillId="0" borderId="0" xfId="0" applyNumberFormat="1" applyAlignment="1">
      <alignment horizontal="right"/>
    </xf>
    <xf numFmtId="14" fontId="20" fillId="0" borderId="0" xfId="0" applyNumberFormat="1" applyFont="1" applyAlignment="1">
      <alignment horizontal="right"/>
    </xf>
    <xf numFmtId="0" fontId="22" fillId="0" borderId="0" xfId="0" applyFont="1" applyFill="1"/>
    <xf numFmtId="0" fontId="24" fillId="0" borderId="0" xfId="0" applyFont="1" applyFill="1"/>
    <xf numFmtId="0" fontId="0" fillId="0" borderId="0" xfId="0" applyFont="1"/>
    <xf numFmtId="17" fontId="2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3" fillId="0" borderId="0" xfId="0" applyNumberFormat="1" applyFont="1"/>
    <xf numFmtId="0" fontId="21" fillId="0" borderId="0" xfId="0" applyFont="1"/>
    <xf numFmtId="166" fontId="0" fillId="0" borderId="0" xfId="0" applyNumberFormat="1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3" fontId="0" fillId="0" borderId="0" xfId="0" applyNumberFormat="1" applyFont="1"/>
    <xf numFmtId="165" fontId="0" fillId="0" borderId="0" xfId="0" applyNumberFormat="1"/>
    <xf numFmtId="0" fontId="25" fillId="0" borderId="0" xfId="0" applyFont="1"/>
    <xf numFmtId="168" fontId="17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/>
    <xf numFmtId="166" fontId="0" fillId="0" borderId="0" xfId="0" applyNumberFormat="1" applyFont="1"/>
    <xf numFmtId="0" fontId="0" fillId="0" borderId="0" xfId="0" applyFont="1"/>
    <xf numFmtId="166" fontId="16" fillId="0" borderId="0" xfId="0" applyNumberFormat="1" applyFont="1" applyFill="1"/>
    <xf numFmtId="3" fontId="17" fillId="0" borderId="0" xfId="0" applyNumberFormat="1" applyFont="1"/>
    <xf numFmtId="166" fontId="21" fillId="0" borderId="0" xfId="0" applyNumberFormat="1" applyFont="1" applyFill="1"/>
    <xf numFmtId="166" fontId="0" fillId="0" borderId="0" xfId="0" applyNumberFormat="1" applyFont="1" applyFill="1"/>
    <xf numFmtId="166" fontId="20" fillId="0" borderId="0" xfId="0" applyNumberFormat="1" applyFont="1"/>
    <xf numFmtId="0" fontId="20" fillId="0" borderId="0" xfId="0" applyFont="1"/>
    <xf numFmtId="0" fontId="23" fillId="0" borderId="0" xfId="0" applyFont="1"/>
    <xf numFmtId="166" fontId="17" fillId="0" borderId="0" xfId="0" applyNumberFormat="1" applyFont="1"/>
    <xf numFmtId="167" fontId="0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right"/>
    </xf>
    <xf numFmtId="166" fontId="25" fillId="0" borderId="0" xfId="0" applyNumberFormat="1" applyFont="1"/>
    <xf numFmtId="0" fontId="0" fillId="0" borderId="0" xfId="0"/>
    <xf numFmtId="0" fontId="25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3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6" fillId="0" borderId="0" xfId="0" applyNumberFormat="1" applyFont="1"/>
    <xf numFmtId="166" fontId="21" fillId="0" borderId="0" xfId="0" applyNumberFormat="1" applyFont="1"/>
    <xf numFmtId="167" fontId="21" fillId="0" borderId="0" xfId="0" applyNumberFormat="1" applyFont="1"/>
    <xf numFmtId="0" fontId="45" fillId="0" borderId="0" xfId="0" applyFont="1"/>
    <xf numFmtId="167" fontId="0" fillId="0" borderId="0" xfId="0" applyNumberFormat="1" applyFont="1" applyAlignment="1">
      <alignment horizontal="right"/>
    </xf>
    <xf numFmtId="166" fontId="45" fillId="0" borderId="0" xfId="0" applyNumberFormat="1" applyFont="1"/>
    <xf numFmtId="166" fontId="44" fillId="0" borderId="0" xfId="0" applyNumberFormat="1" applyFont="1"/>
    <xf numFmtId="0" fontId="20" fillId="0" borderId="0" xfId="0" applyFont="1"/>
    <xf numFmtId="167" fontId="0" fillId="0" borderId="0" xfId="1" applyNumberFormat="1" applyFont="1"/>
    <xf numFmtId="0" fontId="20" fillId="0" borderId="0" xfId="0" applyFont="1"/>
    <xf numFmtId="0" fontId="22" fillId="0" borderId="0" xfId="0" applyFont="1"/>
    <xf numFmtId="0" fontId="20" fillId="0" borderId="0" xfId="0" applyFont="1"/>
    <xf numFmtId="0" fontId="20" fillId="0" borderId="0" xfId="0" applyFont="1"/>
    <xf numFmtId="166" fontId="0" fillId="0" borderId="0" xfId="0" applyNumberFormat="1" applyFont="1"/>
    <xf numFmtId="166" fontId="16" fillId="0" borderId="0" xfId="1" applyNumberFormat="1" applyFont="1"/>
    <xf numFmtId="0" fontId="20" fillId="0" borderId="0" xfId="0" applyFont="1"/>
    <xf numFmtId="0" fontId="20" fillId="0" borderId="0" xfId="0" applyFont="1"/>
    <xf numFmtId="166" fontId="23" fillId="0" borderId="0" xfId="0" quotePrefix="1" applyNumberFormat="1" applyFont="1" applyAlignment="1">
      <alignment horizontal="right"/>
    </xf>
    <xf numFmtId="166" fontId="15" fillId="0" borderId="0" xfId="0" applyNumberFormat="1" applyFont="1"/>
    <xf numFmtId="166" fontId="19" fillId="0" borderId="0" xfId="0" applyNumberFormat="1" applyFont="1"/>
    <xf numFmtId="0" fontId="44" fillId="0" borderId="0" xfId="0" applyFont="1"/>
    <xf numFmtId="166" fontId="15" fillId="0" borderId="0" xfId="0" applyNumberFormat="1" applyFont="1"/>
    <xf numFmtId="0" fontId="15" fillId="0" borderId="0" xfId="0" applyFont="1"/>
    <xf numFmtId="166" fontId="14" fillId="0" borderId="0" xfId="0" applyNumberFormat="1" applyFont="1"/>
    <xf numFmtId="166" fontId="0" fillId="0" borderId="0" xfId="0" applyNumberFormat="1"/>
    <xf numFmtId="0" fontId="20" fillId="0" borderId="0" xfId="0" applyFont="1"/>
    <xf numFmtId="166" fontId="13" fillId="0" borderId="0" xfId="0" applyNumberFormat="1" applyFont="1"/>
    <xf numFmtId="166" fontId="12" fillId="0" borderId="0" xfId="0" applyNumberFormat="1" applyFont="1"/>
    <xf numFmtId="166" fontId="12" fillId="0" borderId="0" xfId="1" applyNumberFormat="1" applyFont="1"/>
    <xf numFmtId="166" fontId="12" fillId="0" borderId="0" xfId="0" applyNumberFormat="1" applyFont="1"/>
    <xf numFmtId="166" fontId="12" fillId="0" borderId="0" xfId="0" applyNumberFormat="1" applyFont="1"/>
    <xf numFmtId="166" fontId="12" fillId="0" borderId="0" xfId="0" applyNumberFormat="1" applyFont="1"/>
    <xf numFmtId="169" fontId="42" fillId="0" borderId="0" xfId="0" applyNumberFormat="1" applyFont="1" applyFill="1" applyBorder="1" applyAlignment="1">
      <alignment horizontal="right"/>
    </xf>
    <xf numFmtId="169" fontId="42" fillId="0" borderId="0" xfId="0" applyNumberFormat="1" applyFont="1" applyFill="1" applyBorder="1" applyAlignment="1">
      <alignment wrapText="1"/>
    </xf>
    <xf numFmtId="0" fontId="21" fillId="0" borderId="0" xfId="0" quotePrefix="1" applyFont="1"/>
    <xf numFmtId="0" fontId="20" fillId="0" borderId="0" xfId="0" applyFont="1"/>
    <xf numFmtId="0" fontId="20" fillId="0" borderId="0" xfId="0" applyFont="1" applyAlignment="1">
      <alignment horizontal="left"/>
    </xf>
    <xf numFmtId="165" fontId="20" fillId="0" borderId="0" xfId="1" applyFont="1" applyAlignment="1">
      <alignment horizontal="left"/>
    </xf>
    <xf numFmtId="14" fontId="20" fillId="0" borderId="0" xfId="0" applyNumberFormat="1" applyFont="1" applyAlignment="1">
      <alignment horizontal="left"/>
    </xf>
    <xf numFmtId="166" fontId="14" fillId="0" borderId="0" xfId="1" applyNumberFormat="1" applyFont="1"/>
    <xf numFmtId="0" fontId="47" fillId="0" borderId="0" xfId="0" applyFont="1"/>
    <xf numFmtId="171" fontId="0" fillId="0" borderId="0" xfId="0" applyNumberFormat="1"/>
    <xf numFmtId="0" fontId="42" fillId="0" borderId="0" xfId="0" applyFont="1"/>
    <xf numFmtId="3" fontId="42" fillId="0" borderId="0" xfId="0" applyNumberFormat="1" applyFont="1"/>
    <xf numFmtId="171" fontId="42" fillId="0" borderId="0" xfId="0" applyNumberFormat="1" applyFont="1"/>
    <xf numFmtId="166" fontId="42" fillId="0" borderId="0" xfId="1" applyNumberFormat="1" applyFont="1"/>
    <xf numFmtId="166" fontId="42" fillId="0" borderId="0" xfId="0" applyNumberFormat="1" applyFont="1"/>
    <xf numFmtId="170" fontId="0" fillId="0" borderId="0" xfId="1" applyNumberFormat="1" applyFont="1"/>
    <xf numFmtId="170" fontId="42" fillId="0" borderId="0" xfId="0" applyNumberFormat="1" applyFont="1"/>
    <xf numFmtId="170" fontId="0" fillId="0" borderId="0" xfId="0" applyNumberFormat="1"/>
    <xf numFmtId="0" fontId="0" fillId="0" borderId="0" xfId="0" applyBorder="1"/>
    <xf numFmtId="0" fontId="42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2" fillId="0" borderId="0" xfId="0" applyFont="1" applyFill="1" applyBorder="1" applyAlignment="1">
      <alignment horizontal="right" wrapText="1"/>
    </xf>
    <xf numFmtId="169" fontId="42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0" fillId="0" borderId="0" xfId="0" applyNumberFormat="1" applyFont="1"/>
    <xf numFmtId="0" fontId="20" fillId="0" borderId="0" xfId="0" applyFont="1"/>
    <xf numFmtId="0" fontId="0" fillId="0" borderId="11" xfId="0" applyFont="1" applyBorder="1"/>
    <xf numFmtId="0" fontId="20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0" fillId="0" borderId="11" xfId="0" applyNumberFormat="1" applyFont="1" applyBorder="1"/>
    <xf numFmtId="166" fontId="0" fillId="0" borderId="11" xfId="1" applyNumberFormat="1" applyFont="1" applyBorder="1"/>
    <xf numFmtId="0" fontId="20" fillId="0" borderId="12" xfId="0" applyFont="1" applyBorder="1" applyAlignment="1">
      <alignment horizontal="right"/>
    </xf>
    <xf numFmtId="0" fontId="0" fillId="0" borderId="12" xfId="0" applyFont="1" applyBorder="1"/>
    <xf numFmtId="0" fontId="20" fillId="0" borderId="12" xfId="0" applyFont="1" applyBorder="1"/>
    <xf numFmtId="166" fontId="0" fillId="0" borderId="12" xfId="0" applyNumberFormat="1" applyFont="1" applyBorder="1"/>
    <xf numFmtId="0" fontId="21" fillId="0" borderId="12" xfId="0" applyFont="1" applyFill="1" applyBorder="1"/>
    <xf numFmtId="0" fontId="46" fillId="0" borderId="12" xfId="0" applyFont="1" applyFill="1" applyBorder="1"/>
    <xf numFmtId="0" fontId="23" fillId="0" borderId="12" xfId="0" applyFont="1" applyBorder="1"/>
    <xf numFmtId="0" fontId="17" fillId="0" borderId="12" xfId="0" applyFont="1" applyBorder="1"/>
    <xf numFmtId="0" fontId="17" fillId="0" borderId="12" xfId="0" applyFont="1" applyFill="1" applyBorder="1"/>
    <xf numFmtId="0" fontId="17" fillId="0" borderId="0" xfId="0" applyFont="1"/>
    <xf numFmtId="0" fontId="49" fillId="0" borderId="0" xfId="0" applyFont="1" applyAlignment="1">
      <alignment vertical="center"/>
    </xf>
    <xf numFmtId="14" fontId="0" fillId="0" borderId="0" xfId="0" applyNumberFormat="1" applyFont="1"/>
    <xf numFmtId="166" fontId="25" fillId="0" borderId="0" xfId="1" applyNumberFormat="1" applyFont="1"/>
    <xf numFmtId="166" fontId="25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5" fillId="0" borderId="0" xfId="0" applyNumberFormat="1" applyFont="1"/>
    <xf numFmtId="0" fontId="25" fillId="0" borderId="0" xfId="0" applyFont="1"/>
    <xf numFmtId="3" fontId="0" fillId="0" borderId="12" xfId="0" applyNumberFormat="1" applyFont="1" applyBorder="1"/>
    <xf numFmtId="166" fontId="48" fillId="0" borderId="0" xfId="0" applyNumberFormat="1" applyFont="1"/>
    <xf numFmtId="0" fontId="0" fillId="0" borderId="0" xfId="0" applyFont="1"/>
    <xf numFmtId="0" fontId="20" fillId="33" borderId="0" xfId="0" applyFont="1" applyFill="1"/>
    <xf numFmtId="0" fontId="0" fillId="33" borderId="0" xfId="0" applyFont="1" applyFill="1"/>
    <xf numFmtId="0" fontId="51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0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0" fillId="0" borderId="0" xfId="0" applyFont="1"/>
    <xf numFmtId="0" fontId="20" fillId="35" borderId="0" xfId="0" applyFont="1" applyFill="1"/>
    <xf numFmtId="0" fontId="20" fillId="0" borderId="0" xfId="0" quotePrefix="1" applyFont="1"/>
    <xf numFmtId="16" fontId="21" fillId="0" borderId="0" xfId="0" quotePrefix="1" applyNumberFormat="1" applyFont="1"/>
    <xf numFmtId="16" fontId="20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2" fillId="35" borderId="0" xfId="44" applyFont="1" applyFill="1" applyAlignment="1"/>
    <xf numFmtId="14" fontId="0" fillId="0" borderId="0" xfId="0" applyNumberFormat="1"/>
    <xf numFmtId="0" fontId="0" fillId="0" borderId="0" xfId="0"/>
    <xf numFmtId="0" fontId="20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0" fillId="0" borderId="0" xfId="0" applyNumberFormat="1" applyFont="1"/>
    <xf numFmtId="0" fontId="0" fillId="0" borderId="0" xfId="0" applyFont="1" applyFill="1"/>
    <xf numFmtId="0" fontId="20" fillId="35" borderId="0" xfId="0" applyFont="1" applyFill="1"/>
    <xf numFmtId="0" fontId="52" fillId="35" borderId="0" xfId="0" applyFont="1" applyFill="1"/>
    <xf numFmtId="0" fontId="10" fillId="0" borderId="0" xfId="47" applyFill="1"/>
    <xf numFmtId="0" fontId="52" fillId="0" borderId="0" xfId="47" applyFont="1" applyFill="1" applyAlignment="1"/>
    <xf numFmtId="10" fontId="20" fillId="0" borderId="0" xfId="43" applyNumberFormat="1" applyFont="1"/>
    <xf numFmtId="10" fontId="20" fillId="33" borderId="0" xfId="43" applyNumberFormat="1" applyFont="1" applyFill="1"/>
    <xf numFmtId="166" fontId="20" fillId="33" borderId="0" xfId="1" applyNumberFormat="1" applyFont="1" applyFill="1"/>
    <xf numFmtId="10" fontId="0" fillId="33" borderId="0" xfId="43" applyNumberFormat="1" applyFont="1" applyFill="1"/>
    <xf numFmtId="0" fontId="48" fillId="0" borderId="0" xfId="0" applyNumberFormat="1" applyFont="1"/>
    <xf numFmtId="0" fontId="0" fillId="0" borderId="0" xfId="1" applyNumberFormat="1" applyFont="1"/>
    <xf numFmtId="0" fontId="20" fillId="0" borderId="0" xfId="0" applyNumberFormat="1" applyFont="1"/>
    <xf numFmtId="0" fontId="20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7" fillId="0" borderId="0" xfId="0" applyNumberFormat="1" applyFont="1"/>
    <xf numFmtId="0" fontId="25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0" fillId="34" borderId="12" xfId="0" applyFont="1" applyFill="1" applyBorder="1" applyAlignment="1">
      <alignment horizontal="right" wrapText="1"/>
    </xf>
    <xf numFmtId="165" fontId="48" fillId="34" borderId="0" xfId="1" applyFont="1" applyFill="1"/>
    <xf numFmtId="165" fontId="25" fillId="0" borderId="11" xfId="1" applyFont="1" applyBorder="1"/>
    <xf numFmtId="0" fontId="25" fillId="0" borderId="0" xfId="0" applyFont="1" applyBorder="1"/>
    <xf numFmtId="165" fontId="25" fillId="0" borderId="0" xfId="1" applyFont="1"/>
    <xf numFmtId="165" fontId="25" fillId="0" borderId="0" xfId="1" applyFont="1" applyFill="1"/>
    <xf numFmtId="10" fontId="54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4" fillId="0" borderId="0" xfId="334" applyFill="1"/>
    <xf numFmtId="0" fontId="52" fillId="0" borderId="0" xfId="334" applyFont="1" applyFill="1" applyAlignment="1"/>
    <xf numFmtId="14" fontId="52" fillId="0" borderId="0" xfId="334" applyNumberFormat="1" applyFont="1" applyFill="1" applyAlignment="1"/>
    <xf numFmtId="14" fontId="4" fillId="0" borderId="0" xfId="334" applyNumberFormat="1" applyFill="1"/>
    <xf numFmtId="11" fontId="0" fillId="0" borderId="0" xfId="0" applyNumberFormat="1" applyFont="1"/>
    <xf numFmtId="166" fontId="25" fillId="0" borderId="0" xfId="1" applyNumberFormat="1" applyFont="1" applyFill="1"/>
    <xf numFmtId="0" fontId="48" fillId="34" borderId="14" xfId="0" applyFont="1" applyFill="1" applyBorder="1"/>
    <xf numFmtId="165" fontId="48" fillId="34" borderId="12" xfId="1" applyFont="1" applyFill="1" applyBorder="1" applyAlignment="1">
      <alignment horizontal="left"/>
    </xf>
    <xf numFmtId="17" fontId="25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10" fontId="54" fillId="0" borderId="0" xfId="43" applyNumberFormat="1" applyFont="1" applyBorder="1"/>
    <xf numFmtId="166" fontId="48" fillId="0" borderId="0" xfId="1" applyNumberFormat="1" applyFont="1"/>
    <xf numFmtId="0" fontId="48" fillId="34" borderId="0" xfId="0" applyFont="1" applyFill="1" applyAlignment="1"/>
    <xf numFmtId="165" fontId="25" fillId="0" borderId="0" xfId="1" applyNumberFormat="1" applyFont="1"/>
    <xf numFmtId="10" fontId="25" fillId="0" borderId="0" xfId="43" applyNumberFormat="1" applyFont="1" applyBorder="1"/>
    <xf numFmtId="0" fontId="25" fillId="0" borderId="0" xfId="0" applyFont="1" applyFill="1" applyAlignment="1">
      <alignment horizontal="right"/>
    </xf>
    <xf numFmtId="166" fontId="25" fillId="0" borderId="0" xfId="0" applyNumberFormat="1" applyFont="1" applyFill="1" applyAlignment="1">
      <alignment horizontal="right"/>
    </xf>
    <xf numFmtId="166" fontId="25" fillId="0" borderId="0" xfId="1" applyNumberFormat="1" applyFont="1" applyBorder="1"/>
    <xf numFmtId="165" fontId="48" fillId="34" borderId="0" xfId="1" applyFont="1" applyFill="1" applyBorder="1"/>
    <xf numFmtId="0" fontId="0" fillId="0" borderId="0" xfId="0"/>
    <xf numFmtId="0" fontId="20" fillId="0" borderId="0" xfId="0" applyFont="1"/>
    <xf numFmtId="0" fontId="0" fillId="0" borderId="0" xfId="0" applyFont="1"/>
    <xf numFmtId="0" fontId="21" fillId="0" borderId="0" xfId="0" applyFont="1"/>
    <xf numFmtId="0" fontId="16" fillId="0" borderId="0" xfId="0" applyFont="1"/>
    <xf numFmtId="166" fontId="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166" fontId="17" fillId="0" borderId="0" xfId="0" applyNumberFormat="1" applyFont="1"/>
    <xf numFmtId="166" fontId="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4" fillId="0" borderId="0" xfId="586" applyFill="1"/>
    <xf numFmtId="0" fontId="52" fillId="0" borderId="0" xfId="586" applyFont="1" applyFill="1" applyAlignment="1"/>
    <xf numFmtId="11" fontId="0" fillId="0" borderId="0" xfId="0" applyNumberFormat="1" applyFont="1"/>
    <xf numFmtId="0" fontId="20" fillId="0" borderId="0" xfId="0" applyFont="1" applyAlignment="1"/>
    <xf numFmtId="0" fontId="52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2" fillId="0" borderId="0" xfId="0" applyNumberFormat="1" applyFont="1"/>
    <xf numFmtId="0" fontId="4" fillId="0" borderId="0" xfId="586" applyFill="1"/>
    <xf numFmtId="0" fontId="52" fillId="0" borderId="0" xfId="586" applyFont="1" applyFill="1" applyAlignment="1"/>
    <xf numFmtId="165" fontId="12" fillId="0" borderId="0" xfId="46" applyFont="1"/>
    <xf numFmtId="165" fontId="52" fillId="0" borderId="0" xfId="46" applyFont="1" applyFill="1" applyAlignment="1"/>
    <xf numFmtId="165" fontId="4" fillId="0" borderId="0" xfId="46" applyFont="1" applyFill="1"/>
    <xf numFmtId="0" fontId="0" fillId="0" borderId="0" xfId="0"/>
    <xf numFmtId="0" fontId="0" fillId="35" borderId="0" xfId="0" applyFont="1" applyFill="1"/>
    <xf numFmtId="0" fontId="4" fillId="0" borderId="0" xfId="586" applyFill="1"/>
    <xf numFmtId="0" fontId="52" fillId="0" borderId="0" xfId="586" applyFont="1" applyFill="1" applyAlignment="1"/>
    <xf numFmtId="0" fontId="52" fillId="35" borderId="0" xfId="586" applyFont="1" applyFill="1" applyAlignment="1"/>
    <xf numFmtId="11" fontId="4" fillId="0" borderId="0" xfId="586" applyNumberFormat="1" applyFill="1"/>
    <xf numFmtId="0" fontId="0" fillId="0" borderId="0" xfId="0"/>
    <xf numFmtId="0" fontId="20" fillId="0" borderId="0" xfId="0" applyFont="1"/>
    <xf numFmtId="0" fontId="0" fillId="0" borderId="0" xfId="0" applyFont="1"/>
    <xf numFmtId="0" fontId="25" fillId="0" borderId="0" xfId="0" applyFont="1"/>
    <xf numFmtId="166" fontId="25" fillId="0" borderId="0" xfId="0" applyNumberFormat="1" applyFont="1"/>
    <xf numFmtId="166" fontId="48" fillId="0" borderId="0" xfId="0" applyNumberFormat="1" applyFont="1"/>
    <xf numFmtId="0" fontId="4" fillId="0" borderId="0" xfId="0" applyFont="1"/>
    <xf numFmtId="0" fontId="52" fillId="35" borderId="0" xfId="586" applyFont="1" applyFill="1" applyAlignment="1"/>
    <xf numFmtId="0" fontId="4" fillId="0" borderId="0" xfId="586" applyFill="1"/>
    <xf numFmtId="0" fontId="52" fillId="0" borderId="0" xfId="586" applyFont="1" applyFill="1" applyAlignment="1"/>
    <xf numFmtId="0" fontId="0" fillId="0" borderId="0" xfId="0" applyFont="1" applyFill="1"/>
    <xf numFmtId="0" fontId="52" fillId="35" borderId="0" xfId="0" applyFont="1" applyFill="1"/>
    <xf numFmtId="166" fontId="52" fillId="0" borderId="0" xfId="335" applyNumberFormat="1" applyFont="1" applyFill="1" applyAlignment="1"/>
    <xf numFmtId="166" fontId="4" fillId="0" borderId="0" xfId="335" applyNumberFormat="1" applyFont="1" applyFill="1"/>
    <xf numFmtId="0" fontId="53" fillId="35" borderId="0" xfId="0" applyFont="1" applyFill="1"/>
    <xf numFmtId="0" fontId="53" fillId="35" borderId="0" xfId="586" applyFont="1" applyFill="1" applyAlignment="1"/>
    <xf numFmtId="0" fontId="52" fillId="35" borderId="0" xfId="587" applyFont="1" applyFill="1" applyAlignment="1"/>
    <xf numFmtId="0" fontId="0" fillId="0" borderId="0" xfId="0" applyNumberFormat="1" applyFont="1"/>
    <xf numFmtId="0" fontId="4" fillId="0" borderId="0" xfId="587" applyFill="1"/>
    <xf numFmtId="0" fontId="52" fillId="0" borderId="0" xfId="587" applyFont="1" applyFill="1" applyAlignment="1"/>
    <xf numFmtId="0" fontId="4" fillId="0" borderId="0" xfId="581" applyFill="1"/>
    <xf numFmtId="0" fontId="52" fillId="0" borderId="0" xfId="581" applyFont="1" applyFill="1" applyAlignment="1"/>
    <xf numFmtId="0" fontId="52" fillId="35" borderId="0" xfId="581" applyFont="1" applyFill="1" applyAlignment="1"/>
    <xf numFmtId="166" fontId="52" fillId="0" borderId="0" xfId="573" applyNumberFormat="1" applyFont="1" applyFill="1" applyAlignment="1"/>
    <xf numFmtId="166" fontId="4" fillId="0" borderId="0" xfId="573" applyNumberFormat="1" applyFont="1" applyFill="1"/>
    <xf numFmtId="166" fontId="52" fillId="0" borderId="0" xfId="46" applyNumberFormat="1" applyFont="1" applyFill="1" applyAlignment="1"/>
    <xf numFmtId="166" fontId="4" fillId="0" borderId="0" xfId="46" applyNumberFormat="1" applyFont="1" applyFill="1"/>
    <xf numFmtId="165" fontId="4" fillId="0" borderId="0" xfId="573" applyNumberFormat="1" applyFont="1" applyFill="1"/>
    <xf numFmtId="165" fontId="52" fillId="0" borderId="0" xfId="573" applyFont="1" applyFill="1" applyAlignment="1"/>
    <xf numFmtId="165" fontId="4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5" fillId="0" borderId="12" xfId="0" applyFont="1" applyBorder="1"/>
    <xf numFmtId="0" fontId="48" fillId="0" borderId="12" xfId="0" applyFont="1" applyBorder="1"/>
    <xf numFmtId="0" fontId="48" fillId="34" borderId="0" xfId="0" applyFont="1" applyFill="1" applyAlignment="1">
      <alignment horizontal="right"/>
    </xf>
    <xf numFmtId="0" fontId="48" fillId="34" borderId="0" xfId="0" applyFont="1" applyFill="1"/>
    <xf numFmtId="0" fontId="48" fillId="34" borderId="12" xfId="0" quotePrefix="1" applyFont="1" applyFill="1" applyBorder="1" applyAlignment="1">
      <alignment horizontal="right"/>
    </xf>
    <xf numFmtId="0" fontId="48" fillId="34" borderId="12" xfId="0" quotePrefix="1" applyNumberFormat="1" applyFont="1" applyFill="1" applyBorder="1" applyAlignment="1">
      <alignment horizontal="right"/>
    </xf>
    <xf numFmtId="0" fontId="48" fillId="34" borderId="12" xfId="0" applyFont="1" applyFill="1" applyBorder="1" applyAlignment="1">
      <alignment horizontal="right"/>
    </xf>
    <xf numFmtId="0" fontId="48" fillId="34" borderId="12" xfId="0" applyNumberFormat="1" applyFont="1" applyFill="1" applyBorder="1" applyAlignment="1">
      <alignment horizontal="right"/>
    </xf>
    <xf numFmtId="10" fontId="25" fillId="0" borderId="0" xfId="43" applyNumberFormat="1" applyFont="1"/>
    <xf numFmtId="166" fontId="25" fillId="0" borderId="0" xfId="0" applyNumberFormat="1" applyFont="1" applyFill="1"/>
    <xf numFmtId="0" fontId="48" fillId="0" borderId="0" xfId="0" applyFont="1"/>
    <xf numFmtId="0" fontId="25" fillId="0" borderId="11" xfId="0" applyFont="1" applyBorder="1"/>
    <xf numFmtId="166" fontId="25" fillId="0" borderId="11" xfId="0" applyNumberFormat="1" applyFont="1" applyBorder="1"/>
    <xf numFmtId="10" fontId="25" fillId="0" borderId="11" xfId="43" applyNumberFormat="1" applyFont="1" applyBorder="1"/>
    <xf numFmtId="166" fontId="25" fillId="0" borderId="11" xfId="0" applyNumberFormat="1" applyFont="1" applyFill="1" applyBorder="1"/>
    <xf numFmtId="166" fontId="25" fillId="34" borderId="0" xfId="0" applyNumberFormat="1" applyFont="1" applyFill="1"/>
    <xf numFmtId="0" fontId="48" fillId="34" borderId="0" xfId="0" applyFont="1" applyFill="1" applyBorder="1" applyAlignment="1">
      <alignment horizontal="center" vertical="center"/>
    </xf>
    <xf numFmtId="0" fontId="48" fillId="34" borderId="12" xfId="0" applyFont="1" applyFill="1" applyBorder="1"/>
    <xf numFmtId="166" fontId="25" fillId="0" borderId="0" xfId="0" applyNumberFormat="1" applyFont="1" applyAlignment="1">
      <alignment horizontal="right"/>
    </xf>
    <xf numFmtId="0" fontId="48" fillId="0" borderId="11" xfId="0" applyFont="1" applyBorder="1"/>
    <xf numFmtId="166" fontId="48" fillId="0" borderId="11" xfId="0" applyNumberFormat="1" applyFont="1" applyBorder="1"/>
    <xf numFmtId="166" fontId="48" fillId="0" borderId="11" xfId="0" applyNumberFormat="1" applyFont="1" applyFill="1" applyBorder="1"/>
    <xf numFmtId="0" fontId="55" fillId="34" borderId="0" xfId="0" applyFont="1" applyFill="1"/>
    <xf numFmtId="0" fontId="55" fillId="34" borderId="0" xfId="0" applyFont="1" applyFill="1" applyAlignment="1">
      <alignment horizontal="right"/>
    </xf>
    <xf numFmtId="0" fontId="55" fillId="34" borderId="12" xfId="0" applyFont="1" applyFill="1" applyBorder="1"/>
    <xf numFmtId="0" fontId="55" fillId="0" borderId="0" xfId="0" applyFont="1" applyFill="1"/>
    <xf numFmtId="0" fontId="56" fillId="0" borderId="0" xfId="0" applyFont="1" applyFill="1"/>
    <xf numFmtId="0" fontId="25" fillId="0" borderId="0" xfId="0" applyFont="1" applyFill="1"/>
    <xf numFmtId="166" fontId="57" fillId="0" borderId="0" xfId="0" applyNumberFormat="1" applyFont="1" applyFill="1"/>
    <xf numFmtId="166" fontId="55" fillId="0" borderId="0" xfId="0" applyNumberFormat="1" applyFont="1" applyFill="1"/>
    <xf numFmtId="0" fontId="48" fillId="0" borderId="0" xfId="0" applyFont="1" applyFill="1"/>
    <xf numFmtId="0" fontId="25" fillId="0" borderId="11" xfId="0" applyFont="1" applyFill="1" applyBorder="1"/>
    <xf numFmtId="0" fontId="25" fillId="34" borderId="0" xfId="0" applyFont="1" applyFill="1"/>
    <xf numFmtId="0" fontId="55" fillId="0" borderId="11" xfId="0" applyFont="1" applyFill="1" applyBorder="1"/>
    <xf numFmtId="0" fontId="48" fillId="0" borderId="0" xfId="0" applyFont="1" applyAlignment="1">
      <alignment horizontal="right"/>
    </xf>
    <xf numFmtId="166" fontId="25" fillId="0" borderId="0" xfId="0" applyNumberFormat="1" applyFont="1" applyFill="1" applyAlignment="1"/>
    <xf numFmtId="0" fontId="58" fillId="0" borderId="0" xfId="0" applyFont="1"/>
    <xf numFmtId="166" fontId="59" fillId="0" borderId="0" xfId="0" applyNumberFormat="1" applyFont="1"/>
    <xf numFmtId="166" fontId="56" fillId="0" borderId="0" xfId="0" applyNumberFormat="1" applyFont="1"/>
    <xf numFmtId="0" fontId="48" fillId="0" borderId="0" xfId="0" quotePrefix="1" applyFont="1" applyAlignment="1">
      <alignment horizontal="right"/>
    </xf>
    <xf numFmtId="0" fontId="55" fillId="0" borderId="0" xfId="0" applyFont="1" applyAlignment="1">
      <alignment horizontal="right"/>
    </xf>
    <xf numFmtId="0" fontId="48" fillId="34" borderId="15" xfId="0" applyFont="1" applyFill="1" applyBorder="1"/>
    <xf numFmtId="17" fontId="48" fillId="34" borderId="12" xfId="0" quotePrefix="1" applyNumberFormat="1" applyFont="1" applyFill="1" applyBorder="1" applyAlignment="1">
      <alignment horizontal="right"/>
    </xf>
    <xf numFmtId="0" fontId="48" fillId="34" borderId="16" xfId="0" applyFont="1" applyFill="1" applyBorder="1" applyAlignment="1">
      <alignment horizontal="right"/>
    </xf>
    <xf numFmtId="166" fontId="54" fillId="0" borderId="0" xfId="0" applyNumberFormat="1" applyFont="1"/>
    <xf numFmtId="3" fontId="48" fillId="34" borderId="0" xfId="0" applyNumberFormat="1" applyFont="1" applyFill="1"/>
    <xf numFmtId="167" fontId="25" fillId="0" borderId="0" xfId="0" applyNumberFormat="1" applyFont="1" applyAlignment="1">
      <alignment horizontal="right"/>
    </xf>
    <xf numFmtId="9" fontId="25" fillId="0" borderId="0" xfId="0" applyNumberFormat="1" applyFont="1"/>
    <xf numFmtId="10" fontId="48" fillId="0" borderId="0" xfId="43" applyNumberFormat="1" applyFont="1"/>
    <xf numFmtId="167" fontId="48" fillId="0" borderId="0" xfId="0" applyNumberFormat="1" applyFont="1"/>
    <xf numFmtId="0" fontId="48" fillId="34" borderId="0" xfId="0" applyFont="1" applyFill="1" applyBorder="1"/>
    <xf numFmtId="0" fontId="25" fillId="34" borderId="0" xfId="0" applyFont="1" applyFill="1" applyBorder="1"/>
    <xf numFmtId="0" fontId="25" fillId="34" borderId="12" xfId="0" applyFont="1" applyFill="1" applyBorder="1"/>
    <xf numFmtId="0" fontId="48" fillId="34" borderId="12" xfId="0" applyFont="1" applyFill="1" applyBorder="1" applyAlignment="1">
      <alignment horizontal="left"/>
    </xf>
    <xf numFmtId="0" fontId="48" fillId="33" borderId="0" xfId="0" applyFont="1" applyFill="1"/>
    <xf numFmtId="14" fontId="25" fillId="0" borderId="0" xfId="0" applyNumberFormat="1" applyFont="1" applyAlignment="1">
      <alignment horizontal="right"/>
    </xf>
    <xf numFmtId="10" fontId="25" fillId="0" borderId="0" xfId="43" applyNumberFormat="1" applyFont="1" applyFill="1"/>
    <xf numFmtId="14" fontId="25" fillId="0" borderId="0" xfId="0" applyNumberFormat="1" applyFont="1" applyFill="1" applyAlignment="1">
      <alignment horizontal="right"/>
    </xf>
    <xf numFmtId="14" fontId="25" fillId="0" borderId="11" xfId="0" applyNumberFormat="1" applyFont="1" applyBorder="1" applyAlignment="1">
      <alignment horizontal="right"/>
    </xf>
    <xf numFmtId="166" fontId="48" fillId="34" borderId="0" xfId="0" applyNumberFormat="1" applyFont="1" applyFill="1"/>
    <xf numFmtId="166" fontId="58" fillId="34" borderId="12" xfId="0" quotePrefix="1" applyNumberFormat="1" applyFont="1" applyFill="1" applyBorder="1" applyAlignment="1">
      <alignment horizontal="right"/>
    </xf>
    <xf numFmtId="0" fontId="60" fillId="0" borderId="0" xfId="0" applyFont="1"/>
    <xf numFmtId="10" fontId="48" fillId="33" borderId="0" xfId="43" applyNumberFormat="1" applyFont="1" applyFill="1"/>
    <xf numFmtId="169" fontId="48" fillId="34" borderId="12" xfId="0" applyNumberFormat="1" applyFont="1" applyFill="1" applyBorder="1" applyAlignment="1">
      <alignment horizontal="right"/>
    </xf>
    <xf numFmtId="169" fontId="48" fillId="34" borderId="12" xfId="0" applyNumberFormat="1" applyFont="1" applyFill="1" applyBorder="1" applyAlignment="1">
      <alignment horizontal="right" wrapText="1"/>
    </xf>
    <xf numFmtId="0" fontId="25" fillId="33" borderId="0" xfId="0" applyFont="1" applyFill="1"/>
    <xf numFmtId="3" fontId="4" fillId="35" borderId="0" xfId="586" applyNumberFormat="1" applyFill="1"/>
    <xf numFmtId="166" fontId="25" fillId="0" borderId="0" xfId="0" applyNumberFormat="1" applyFont="1" applyFill="1" applyBorder="1" applyAlignment="1">
      <alignment horizontal="right"/>
    </xf>
    <xf numFmtId="166" fontId="3" fillId="0" borderId="0" xfId="982" applyNumberFormat="1" applyFont="1" applyFill="1"/>
    <xf numFmtId="0" fontId="52" fillId="0" borderId="0" xfId="1100" applyFont="1" applyFill="1" applyAlignment="1"/>
    <xf numFmtId="0" fontId="3" fillId="0" borderId="0" xfId="1100" applyFill="1"/>
    <xf numFmtId="0" fontId="52" fillId="0" borderId="0" xfId="1100" applyFont="1" applyFill="1" applyAlignment="1"/>
    <xf numFmtId="166" fontId="3" fillId="0" borderId="0" xfId="982" applyNumberFormat="1" applyFont="1" applyFill="1"/>
    <xf numFmtId="0" fontId="3" fillId="0" borderId="0" xfId="1100" applyFill="1"/>
    <xf numFmtId="0" fontId="3" fillId="0" borderId="0" xfId="1100" applyFill="1"/>
    <xf numFmtId="166" fontId="3" fillId="0" borderId="0" xfId="982" applyNumberFormat="1" applyFont="1" applyFill="1"/>
    <xf numFmtId="0" fontId="52" fillId="0" borderId="0" xfId="1100" applyFont="1" applyFill="1" applyAlignment="1"/>
    <xf numFmtId="0" fontId="0" fillId="0" borderId="0" xfId="0"/>
    <xf numFmtId="0" fontId="20" fillId="35" borderId="0" xfId="0" applyFont="1" applyFill="1"/>
    <xf numFmtId="0" fontId="52" fillId="0" borderId="0" xfId="1095" applyFont="1" applyFill="1" applyAlignment="1"/>
    <xf numFmtId="0" fontId="52" fillId="35" borderId="0" xfId="1095" applyFont="1" applyFill="1" applyAlignment="1"/>
    <xf numFmtId="166" fontId="3" fillId="0" borderId="0" xfId="1087" applyNumberFormat="1" applyFont="1" applyFill="1"/>
    <xf numFmtId="165" fontId="3" fillId="0" borderId="0" xfId="1087" applyNumberFormat="1" applyFont="1" applyFill="1"/>
    <xf numFmtId="166" fontId="25" fillId="0" borderId="0" xfId="0" applyNumberFormat="1" applyFont="1" applyFill="1"/>
    <xf numFmtId="166" fontId="48" fillId="0" borderId="0" xfId="0" applyNumberFormat="1" applyFont="1" applyFill="1"/>
    <xf numFmtId="10" fontId="25" fillId="0" borderId="0" xfId="43" applyNumberFormat="1" applyFont="1" applyFill="1"/>
    <xf numFmtId="10" fontId="48" fillId="0" borderId="0" xfId="43" applyNumberFormat="1" applyFont="1" applyFill="1"/>
    <xf numFmtId="0" fontId="2" fillId="0" borderId="0" xfId="0" applyFont="1"/>
    <xf numFmtId="166" fontId="25" fillId="0" borderId="0" xfId="0" applyNumberFormat="1" applyFont="1"/>
    <xf numFmtId="166" fontId="48" fillId="0" borderId="0" xfId="0" applyNumberFormat="1" applyFont="1"/>
    <xf numFmtId="166" fontId="25" fillId="0" borderId="0" xfId="0" applyNumberFormat="1" applyFont="1" applyFill="1" applyAlignment="1">
      <alignment horizontal="right"/>
    </xf>
    <xf numFmtId="166" fontId="25" fillId="0" borderId="0" xfId="0" applyNumberFormat="1" applyFont="1" applyFill="1"/>
    <xf numFmtId="166" fontId="25" fillId="0" borderId="11" xfId="0" applyNumberFormat="1" applyFont="1" applyFill="1" applyBorder="1"/>
    <xf numFmtId="166" fontId="48" fillId="0" borderId="11" xfId="0" applyNumberFormat="1" applyFont="1" applyBorder="1"/>
    <xf numFmtId="167" fontId="25" fillId="0" borderId="0" xfId="0" applyNumberFormat="1" applyFont="1" applyAlignment="1">
      <alignment horizontal="right"/>
    </xf>
    <xf numFmtId="167" fontId="48" fillId="0" borderId="0" xfId="0" applyNumberFormat="1" applyFont="1"/>
    <xf numFmtId="14" fontId="25" fillId="0" borderId="0" xfId="0" applyNumberFormat="1" applyFont="1" applyFill="1" applyAlignment="1">
      <alignment horizontal="right"/>
    </xf>
    <xf numFmtId="166" fontId="48" fillId="0" borderId="0" xfId="0" applyNumberFormat="1" applyFont="1" applyFill="1"/>
    <xf numFmtId="164" fontId="0" fillId="0" borderId="0" xfId="0" applyNumberFormat="1" applyFont="1"/>
    <xf numFmtId="0" fontId="49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0" fillId="0" borderId="0" xfId="1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166" fontId="48" fillId="0" borderId="0" xfId="0" applyNumberFormat="1" applyFont="1" applyAlignment="1">
      <alignment horizontal="center"/>
    </xf>
    <xf numFmtId="166" fontId="58" fillId="34" borderId="14" xfId="0" quotePrefix="1" applyNumberFormat="1" applyFont="1" applyFill="1" applyBorder="1" applyAlignment="1">
      <alignment horizontal="right"/>
    </xf>
    <xf numFmtId="166" fontId="58" fillId="34" borderId="0" xfId="0" quotePrefix="1" applyNumberFormat="1" applyFont="1" applyFill="1" applyBorder="1" applyAlignment="1">
      <alignment horizontal="right"/>
    </xf>
    <xf numFmtId="166" fontId="58" fillId="34" borderId="12" xfId="0" quotePrefix="1" applyNumberFormat="1" applyFont="1" applyFill="1" applyBorder="1" applyAlignment="1">
      <alignment horizontal="right"/>
    </xf>
    <xf numFmtId="0" fontId="48" fillId="34" borderId="13" xfId="0" applyFont="1" applyFill="1" applyBorder="1" applyAlignment="1">
      <alignment horizontal="right"/>
    </xf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center"/>
    </xf>
    <xf numFmtId="0" fontId="48" fillId="34" borderId="13" xfId="0" applyFont="1" applyFill="1" applyBorder="1" applyAlignment="1">
      <alignment horizontal="center"/>
    </xf>
    <xf numFmtId="0" fontId="4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165" fontId="48" fillId="34" borderId="0" xfId="1" applyFont="1" applyFill="1" applyBorder="1" applyAlignment="1">
      <alignment horizontal="right" wrapText="1"/>
    </xf>
    <xf numFmtId="165" fontId="48" fillId="34" borderId="12" xfId="1" applyFont="1" applyFill="1" applyBorder="1" applyAlignment="1">
      <alignment horizontal="right" wrapText="1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4" borderId="14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right" wrapText="1"/>
    </xf>
    <xf numFmtId="0" fontId="48" fillId="34" borderId="12" xfId="0" applyFont="1" applyFill="1" applyBorder="1" applyAlignment="1">
      <alignment horizontal="right" wrapText="1"/>
    </xf>
    <xf numFmtId="14" fontId="48" fillId="34" borderId="0" xfId="0" applyNumberFormat="1" applyFont="1" applyFill="1" applyBorder="1" applyAlignment="1">
      <alignment horizontal="right" wrapText="1"/>
    </xf>
    <xf numFmtId="14" fontId="48" fillId="34" borderId="12" xfId="0" applyNumberFormat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/>
    </xf>
    <xf numFmtId="167" fontId="25" fillId="0" borderId="0" xfId="1" applyNumberFormat="1" applyFont="1" applyFill="1"/>
  </cellXfs>
  <cellStyles count="2147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3" xfId="1512"/>
    <cellStyle name="Comma 10 3" xfId="725"/>
    <cellStyle name="Comma 10 3 2" xfId="1769"/>
    <cellStyle name="Comma 10 4" xfId="1249"/>
    <cellStyle name="Comma 11" xfId="70"/>
    <cellStyle name="Comma 11 2" xfId="357"/>
    <cellStyle name="Comma 11 2 2" xfId="871"/>
    <cellStyle name="Comma 11 2 2 2" xfId="1915"/>
    <cellStyle name="Comma 11 2 3" xfId="1401"/>
    <cellStyle name="Comma 11 3" xfId="614"/>
    <cellStyle name="Comma 11 3 2" xfId="1658"/>
    <cellStyle name="Comma 11 4" xfId="1130"/>
    <cellStyle name="Comma 12" xfId="1103"/>
    <cellStyle name="Comma 2" xfId="45"/>
    <cellStyle name="Comma 2 10" xfId="72"/>
    <cellStyle name="Comma 2 10 2" xfId="359"/>
    <cellStyle name="Comma 2 10 2 2" xfId="873"/>
    <cellStyle name="Comma 2 10 2 2 2" xfId="1917"/>
    <cellStyle name="Comma 2 10 2 3" xfId="1403"/>
    <cellStyle name="Comma 2 10 3" xfId="616"/>
    <cellStyle name="Comma 2 10 3 2" xfId="1660"/>
    <cellStyle name="Comma 2 10 4" xfId="1132"/>
    <cellStyle name="Comma 2 11" xfId="333"/>
    <cellStyle name="Comma 2 11 2" xfId="847"/>
    <cellStyle name="Comma 2 11 2 2" xfId="1891"/>
    <cellStyle name="Comma 2 11 3" xfId="1377"/>
    <cellStyle name="Comma 2 12" xfId="590"/>
    <cellStyle name="Comma 2 12 2" xfId="1634"/>
    <cellStyle name="Comma 2 13" xfId="1105"/>
    <cellStyle name="Comma 2 2" xfId="48"/>
    <cellStyle name="Comma 2 2 10" xfId="335"/>
    <cellStyle name="Comma 2 2 10 2" xfId="849"/>
    <cellStyle name="Comma 2 2 10 2 2" xfId="1893"/>
    <cellStyle name="Comma 2 2 10 3" xfId="1379"/>
    <cellStyle name="Comma 2 2 11" xfId="592"/>
    <cellStyle name="Comma 2 2 11 2" xfId="1636"/>
    <cellStyle name="Comma 2 2 12" xfId="1108"/>
    <cellStyle name="Comma 2 2 2" xfId="53"/>
    <cellStyle name="Comma 2 2 2 10" xfId="111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3" xfId="1616"/>
    <cellStyle name="Comma 2 2 2 2 2 2 2 3" xfId="829"/>
    <cellStyle name="Comma 2 2 2 2 2 2 2 3 2" xfId="1873"/>
    <cellStyle name="Comma 2 2 2 2 2 2 2 4" xfId="1359"/>
    <cellStyle name="Comma 2 2 2 2 2 2 3" xfId="464"/>
    <cellStyle name="Comma 2 2 2 2 2 2 3 2" xfId="978"/>
    <cellStyle name="Comma 2 2 2 2 2 2 3 2 2" xfId="2022"/>
    <cellStyle name="Comma 2 2 2 2 2 2 3 3" xfId="1508"/>
    <cellStyle name="Comma 2 2 2 2 2 2 4" xfId="721"/>
    <cellStyle name="Comma 2 2 2 2 2 2 4 2" xfId="1765"/>
    <cellStyle name="Comma 2 2 2 2 2 2 5" xfId="1245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3" xfId="1580"/>
    <cellStyle name="Comma 2 2 2 2 2 3 2 3" xfId="793"/>
    <cellStyle name="Comma 2 2 2 2 2 3 2 3 2" xfId="1837"/>
    <cellStyle name="Comma 2 2 2 2 2 3 2 4" xfId="1321"/>
    <cellStyle name="Comma 2 2 2 2 2 3 3" xfId="428"/>
    <cellStyle name="Comma 2 2 2 2 2 3 3 2" xfId="942"/>
    <cellStyle name="Comma 2 2 2 2 2 3 3 2 2" xfId="1986"/>
    <cellStyle name="Comma 2 2 2 2 2 3 3 3" xfId="1472"/>
    <cellStyle name="Comma 2 2 2 2 2 3 4" xfId="685"/>
    <cellStyle name="Comma 2 2 2 2 2 3 4 2" xfId="1729"/>
    <cellStyle name="Comma 2 2 2 2 2 3 5" xfId="1207"/>
    <cellStyle name="Comma 2 2 2 2 2 4" xfId="232"/>
    <cellStyle name="Comma 2 2 2 2 2 4 2" xfId="500"/>
    <cellStyle name="Comma 2 2 2 2 2 4 2 2" xfId="1014"/>
    <cellStyle name="Comma 2 2 2 2 2 4 2 2 2" xfId="2058"/>
    <cellStyle name="Comma 2 2 2 2 2 4 2 3" xfId="1544"/>
    <cellStyle name="Comma 2 2 2 2 2 4 3" xfId="757"/>
    <cellStyle name="Comma 2 2 2 2 2 4 3 2" xfId="1801"/>
    <cellStyle name="Comma 2 2 2 2 2 4 4" xfId="1283"/>
    <cellStyle name="Comma 2 2 2 2 2 5" xfId="392"/>
    <cellStyle name="Comma 2 2 2 2 2 5 2" xfId="906"/>
    <cellStyle name="Comma 2 2 2 2 2 5 2 2" xfId="1950"/>
    <cellStyle name="Comma 2 2 2 2 2 5 3" xfId="1436"/>
    <cellStyle name="Comma 2 2 2 2 2 6" xfId="649"/>
    <cellStyle name="Comma 2 2 2 2 2 6 2" xfId="1693"/>
    <cellStyle name="Comma 2 2 2 2 2 7" xfId="1169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3" xfId="1598"/>
    <cellStyle name="Comma 2 2 2 2 3 2 3" xfId="811"/>
    <cellStyle name="Comma 2 2 2 2 3 2 3 2" xfId="1855"/>
    <cellStyle name="Comma 2 2 2 2 3 2 4" xfId="1340"/>
    <cellStyle name="Comma 2 2 2 2 3 3" xfId="446"/>
    <cellStyle name="Comma 2 2 2 2 3 3 2" xfId="960"/>
    <cellStyle name="Comma 2 2 2 2 3 3 2 2" xfId="2004"/>
    <cellStyle name="Comma 2 2 2 2 3 3 3" xfId="1490"/>
    <cellStyle name="Comma 2 2 2 2 3 4" xfId="703"/>
    <cellStyle name="Comma 2 2 2 2 3 4 2" xfId="1747"/>
    <cellStyle name="Comma 2 2 2 2 3 5" xfId="1226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3" xfId="1562"/>
    <cellStyle name="Comma 2 2 2 2 4 2 3" xfId="775"/>
    <cellStyle name="Comma 2 2 2 2 4 2 3 2" xfId="1819"/>
    <cellStyle name="Comma 2 2 2 2 4 2 4" xfId="1302"/>
    <cellStyle name="Comma 2 2 2 2 4 3" xfId="410"/>
    <cellStyle name="Comma 2 2 2 2 4 3 2" xfId="924"/>
    <cellStyle name="Comma 2 2 2 2 4 3 2 2" xfId="1968"/>
    <cellStyle name="Comma 2 2 2 2 4 3 3" xfId="1454"/>
    <cellStyle name="Comma 2 2 2 2 4 4" xfId="667"/>
    <cellStyle name="Comma 2 2 2 2 4 4 2" xfId="1711"/>
    <cellStyle name="Comma 2 2 2 2 4 5" xfId="1188"/>
    <cellStyle name="Comma 2 2 2 2 5" xfId="212"/>
    <cellStyle name="Comma 2 2 2 2 5 2" xfId="482"/>
    <cellStyle name="Comma 2 2 2 2 5 2 2" xfId="996"/>
    <cellStyle name="Comma 2 2 2 2 5 2 2 2" xfId="2040"/>
    <cellStyle name="Comma 2 2 2 2 5 2 3" xfId="1526"/>
    <cellStyle name="Comma 2 2 2 2 5 3" xfId="739"/>
    <cellStyle name="Comma 2 2 2 2 5 3 2" xfId="1783"/>
    <cellStyle name="Comma 2 2 2 2 5 4" xfId="1264"/>
    <cellStyle name="Comma 2 2 2 2 6" xfId="90"/>
    <cellStyle name="Comma 2 2 2 2 6 2" xfId="374"/>
    <cellStyle name="Comma 2 2 2 2 6 2 2" xfId="888"/>
    <cellStyle name="Comma 2 2 2 2 6 2 2 2" xfId="1932"/>
    <cellStyle name="Comma 2 2 2 2 6 2 3" xfId="1418"/>
    <cellStyle name="Comma 2 2 2 2 6 3" xfId="631"/>
    <cellStyle name="Comma 2 2 2 2 6 3 2" xfId="1675"/>
    <cellStyle name="Comma 2 2 2 2 6 4" xfId="1150"/>
    <cellStyle name="Comma 2 2 2 2 7" xfId="353"/>
    <cellStyle name="Comma 2 2 2 2 7 2" xfId="867"/>
    <cellStyle name="Comma 2 2 2 2 7 2 2" xfId="1911"/>
    <cellStyle name="Comma 2 2 2 2 7 3" xfId="1397"/>
    <cellStyle name="Comma 2 2 2 2 8" xfId="610"/>
    <cellStyle name="Comma 2 2 2 2 8 2" xfId="1654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3" xfId="1607"/>
    <cellStyle name="Comma 2 2 2 3 2 2 3" xfId="820"/>
    <cellStyle name="Comma 2 2 2 3 2 2 3 2" xfId="1864"/>
    <cellStyle name="Comma 2 2 2 3 2 2 4" xfId="1349"/>
    <cellStyle name="Comma 2 2 2 3 2 3" xfId="455"/>
    <cellStyle name="Comma 2 2 2 3 2 3 2" xfId="969"/>
    <cellStyle name="Comma 2 2 2 3 2 3 2 2" xfId="2013"/>
    <cellStyle name="Comma 2 2 2 3 2 3 3" xfId="1499"/>
    <cellStyle name="Comma 2 2 2 3 2 4" xfId="712"/>
    <cellStyle name="Comma 2 2 2 3 2 4 2" xfId="1756"/>
    <cellStyle name="Comma 2 2 2 3 2 5" xfId="1235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3" xfId="1571"/>
    <cellStyle name="Comma 2 2 2 3 3 2 3" xfId="784"/>
    <cellStyle name="Comma 2 2 2 3 3 2 3 2" xfId="1828"/>
    <cellStyle name="Comma 2 2 2 3 3 2 4" xfId="1311"/>
    <cellStyle name="Comma 2 2 2 3 3 3" xfId="419"/>
    <cellStyle name="Comma 2 2 2 3 3 3 2" xfId="933"/>
    <cellStyle name="Comma 2 2 2 3 3 3 2 2" xfId="1977"/>
    <cellStyle name="Comma 2 2 2 3 3 3 3" xfId="1463"/>
    <cellStyle name="Comma 2 2 2 3 3 4" xfId="676"/>
    <cellStyle name="Comma 2 2 2 3 3 4 2" xfId="1720"/>
    <cellStyle name="Comma 2 2 2 3 3 5" xfId="1197"/>
    <cellStyle name="Comma 2 2 2 3 4" xfId="222"/>
    <cellStyle name="Comma 2 2 2 3 4 2" xfId="491"/>
    <cellStyle name="Comma 2 2 2 3 4 2 2" xfId="1005"/>
    <cellStyle name="Comma 2 2 2 3 4 2 2 2" xfId="2049"/>
    <cellStyle name="Comma 2 2 2 3 4 2 3" xfId="1535"/>
    <cellStyle name="Comma 2 2 2 3 4 3" xfId="748"/>
    <cellStyle name="Comma 2 2 2 3 4 3 2" xfId="1792"/>
    <cellStyle name="Comma 2 2 2 3 4 4" xfId="1273"/>
    <cellStyle name="Comma 2 2 2 3 5" xfId="383"/>
    <cellStyle name="Comma 2 2 2 3 5 2" xfId="897"/>
    <cellStyle name="Comma 2 2 2 3 5 2 2" xfId="1941"/>
    <cellStyle name="Comma 2 2 2 3 5 3" xfId="1427"/>
    <cellStyle name="Comma 2 2 2 3 6" xfId="640"/>
    <cellStyle name="Comma 2 2 2 3 6 2" xfId="1684"/>
    <cellStyle name="Comma 2 2 2 3 7" xfId="1159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3" xfId="1589"/>
    <cellStyle name="Comma 2 2 2 4 2 3" xfId="802"/>
    <cellStyle name="Comma 2 2 2 4 2 3 2" xfId="1846"/>
    <cellStyle name="Comma 2 2 2 4 2 4" xfId="1330"/>
    <cellStyle name="Comma 2 2 2 4 3" xfId="437"/>
    <cellStyle name="Comma 2 2 2 4 3 2" xfId="951"/>
    <cellStyle name="Comma 2 2 2 4 3 2 2" xfId="1995"/>
    <cellStyle name="Comma 2 2 2 4 3 3" xfId="1481"/>
    <cellStyle name="Comma 2 2 2 4 4" xfId="694"/>
    <cellStyle name="Comma 2 2 2 4 4 2" xfId="1738"/>
    <cellStyle name="Comma 2 2 2 4 5" xfId="1216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3" xfId="1553"/>
    <cellStyle name="Comma 2 2 2 5 2 3" xfId="766"/>
    <cellStyle name="Comma 2 2 2 5 2 3 2" xfId="1810"/>
    <cellStyle name="Comma 2 2 2 5 2 4" xfId="1292"/>
    <cellStyle name="Comma 2 2 2 5 3" xfId="401"/>
    <cellStyle name="Comma 2 2 2 5 3 2" xfId="915"/>
    <cellStyle name="Comma 2 2 2 5 3 2 2" xfId="1959"/>
    <cellStyle name="Comma 2 2 2 5 3 3" xfId="1445"/>
    <cellStyle name="Comma 2 2 2 5 4" xfId="658"/>
    <cellStyle name="Comma 2 2 2 5 4 2" xfId="1702"/>
    <cellStyle name="Comma 2 2 2 5 5" xfId="1178"/>
    <cellStyle name="Comma 2 2 2 6" xfId="202"/>
    <cellStyle name="Comma 2 2 2 6 2" xfId="473"/>
    <cellStyle name="Comma 2 2 2 6 2 2" xfId="987"/>
    <cellStyle name="Comma 2 2 2 6 2 2 2" xfId="2031"/>
    <cellStyle name="Comma 2 2 2 6 2 3" xfId="1517"/>
    <cellStyle name="Comma 2 2 2 6 3" xfId="730"/>
    <cellStyle name="Comma 2 2 2 6 3 2" xfId="1774"/>
    <cellStyle name="Comma 2 2 2 6 4" xfId="1254"/>
    <cellStyle name="Comma 2 2 2 7" xfId="76"/>
    <cellStyle name="Comma 2 2 2 7 2" xfId="363"/>
    <cellStyle name="Comma 2 2 2 7 2 2" xfId="877"/>
    <cellStyle name="Comma 2 2 2 7 2 2 2" xfId="1921"/>
    <cellStyle name="Comma 2 2 2 7 2 3" xfId="1407"/>
    <cellStyle name="Comma 2 2 2 7 3" xfId="620"/>
    <cellStyle name="Comma 2 2 2 7 3 2" xfId="1664"/>
    <cellStyle name="Comma 2 2 2 7 4" xfId="1136"/>
    <cellStyle name="Comma 2 2 2 8" xfId="340"/>
    <cellStyle name="Comma 2 2 2 8 2" xfId="854"/>
    <cellStyle name="Comma 2 2 2 8 2 2" xfId="1898"/>
    <cellStyle name="Comma 2 2 2 8 3" xfId="1384"/>
    <cellStyle name="Comma 2 2 2 9" xfId="597"/>
    <cellStyle name="Comma 2 2 2 9 2" xfId="1641"/>
    <cellStyle name="Comma 2 2 3" xfId="61"/>
    <cellStyle name="Comma 2 2 3 10" xfId="112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3" xfId="1619"/>
    <cellStyle name="Comma 2 2 3 2 2 2 2 3" xfId="832"/>
    <cellStyle name="Comma 2 2 3 2 2 2 2 3 2" xfId="1876"/>
    <cellStyle name="Comma 2 2 3 2 2 2 2 4" xfId="1362"/>
    <cellStyle name="Comma 2 2 3 2 2 2 3" xfId="467"/>
    <cellStyle name="Comma 2 2 3 2 2 2 3 2" xfId="981"/>
    <cellStyle name="Comma 2 2 3 2 2 2 3 2 2" xfId="2025"/>
    <cellStyle name="Comma 2 2 3 2 2 2 3 3" xfId="1511"/>
    <cellStyle name="Comma 2 2 3 2 2 2 4" xfId="724"/>
    <cellStyle name="Comma 2 2 3 2 2 2 4 2" xfId="1768"/>
    <cellStyle name="Comma 2 2 3 2 2 2 5" xfId="1248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3" xfId="1583"/>
    <cellStyle name="Comma 2 2 3 2 2 3 2 3" xfId="796"/>
    <cellStyle name="Comma 2 2 3 2 2 3 2 3 2" xfId="1840"/>
    <cellStyle name="Comma 2 2 3 2 2 3 2 4" xfId="1324"/>
    <cellStyle name="Comma 2 2 3 2 2 3 3" xfId="431"/>
    <cellStyle name="Comma 2 2 3 2 2 3 3 2" xfId="945"/>
    <cellStyle name="Comma 2 2 3 2 2 3 3 2 2" xfId="1989"/>
    <cellStyle name="Comma 2 2 3 2 2 3 3 3" xfId="1475"/>
    <cellStyle name="Comma 2 2 3 2 2 3 4" xfId="688"/>
    <cellStyle name="Comma 2 2 3 2 2 3 4 2" xfId="1732"/>
    <cellStyle name="Comma 2 2 3 2 2 3 5" xfId="1210"/>
    <cellStyle name="Comma 2 2 3 2 2 4" xfId="235"/>
    <cellStyle name="Comma 2 2 3 2 2 4 2" xfId="503"/>
    <cellStyle name="Comma 2 2 3 2 2 4 2 2" xfId="1017"/>
    <cellStyle name="Comma 2 2 3 2 2 4 2 2 2" xfId="2061"/>
    <cellStyle name="Comma 2 2 3 2 2 4 2 3" xfId="1547"/>
    <cellStyle name="Comma 2 2 3 2 2 4 3" xfId="760"/>
    <cellStyle name="Comma 2 2 3 2 2 4 3 2" xfId="1804"/>
    <cellStyle name="Comma 2 2 3 2 2 4 4" xfId="1286"/>
    <cellStyle name="Comma 2 2 3 2 2 5" xfId="395"/>
    <cellStyle name="Comma 2 2 3 2 2 5 2" xfId="909"/>
    <cellStyle name="Comma 2 2 3 2 2 5 2 2" xfId="1953"/>
    <cellStyle name="Comma 2 2 3 2 2 5 3" xfId="1439"/>
    <cellStyle name="Comma 2 2 3 2 2 6" xfId="652"/>
    <cellStyle name="Comma 2 2 3 2 2 6 2" xfId="1696"/>
    <cellStyle name="Comma 2 2 3 2 2 7" xfId="1172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3" xfId="1601"/>
    <cellStyle name="Comma 2 2 3 2 3 2 3" xfId="814"/>
    <cellStyle name="Comma 2 2 3 2 3 2 3 2" xfId="1858"/>
    <cellStyle name="Comma 2 2 3 2 3 2 4" xfId="1343"/>
    <cellStyle name="Comma 2 2 3 2 3 3" xfId="449"/>
    <cellStyle name="Comma 2 2 3 2 3 3 2" xfId="963"/>
    <cellStyle name="Comma 2 2 3 2 3 3 2 2" xfId="2007"/>
    <cellStyle name="Comma 2 2 3 2 3 3 3" xfId="1493"/>
    <cellStyle name="Comma 2 2 3 2 3 4" xfId="706"/>
    <cellStyle name="Comma 2 2 3 2 3 4 2" xfId="1750"/>
    <cellStyle name="Comma 2 2 3 2 3 5" xfId="122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3" xfId="1565"/>
    <cellStyle name="Comma 2 2 3 2 4 2 3" xfId="778"/>
    <cellStyle name="Comma 2 2 3 2 4 2 3 2" xfId="1822"/>
    <cellStyle name="Comma 2 2 3 2 4 2 4" xfId="1305"/>
    <cellStyle name="Comma 2 2 3 2 4 3" xfId="413"/>
    <cellStyle name="Comma 2 2 3 2 4 3 2" xfId="927"/>
    <cellStyle name="Comma 2 2 3 2 4 3 2 2" xfId="1971"/>
    <cellStyle name="Comma 2 2 3 2 4 3 3" xfId="1457"/>
    <cellStyle name="Comma 2 2 3 2 4 4" xfId="670"/>
    <cellStyle name="Comma 2 2 3 2 4 4 2" xfId="1714"/>
    <cellStyle name="Comma 2 2 3 2 4 5" xfId="1191"/>
    <cellStyle name="Comma 2 2 3 2 5" xfId="215"/>
    <cellStyle name="Comma 2 2 3 2 5 2" xfId="485"/>
    <cellStyle name="Comma 2 2 3 2 5 2 2" xfId="999"/>
    <cellStyle name="Comma 2 2 3 2 5 2 2 2" xfId="2043"/>
    <cellStyle name="Comma 2 2 3 2 5 2 3" xfId="1529"/>
    <cellStyle name="Comma 2 2 3 2 5 3" xfId="742"/>
    <cellStyle name="Comma 2 2 3 2 5 3 2" xfId="1786"/>
    <cellStyle name="Comma 2 2 3 2 5 4" xfId="1267"/>
    <cellStyle name="Comma 2 2 3 2 6" xfId="377"/>
    <cellStyle name="Comma 2 2 3 2 6 2" xfId="891"/>
    <cellStyle name="Comma 2 2 3 2 6 2 2" xfId="1935"/>
    <cellStyle name="Comma 2 2 3 2 6 3" xfId="1421"/>
    <cellStyle name="Comma 2 2 3 2 7" xfId="634"/>
    <cellStyle name="Comma 2 2 3 2 7 2" xfId="1678"/>
    <cellStyle name="Comma 2 2 3 2 8" xfId="1153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3" xfId="1610"/>
    <cellStyle name="Comma 2 2 3 3 2 2 3" xfId="823"/>
    <cellStyle name="Comma 2 2 3 3 2 2 3 2" xfId="1867"/>
    <cellStyle name="Comma 2 2 3 3 2 2 4" xfId="1352"/>
    <cellStyle name="Comma 2 2 3 3 2 3" xfId="458"/>
    <cellStyle name="Comma 2 2 3 3 2 3 2" xfId="972"/>
    <cellStyle name="Comma 2 2 3 3 2 3 2 2" xfId="2016"/>
    <cellStyle name="Comma 2 2 3 3 2 3 3" xfId="1502"/>
    <cellStyle name="Comma 2 2 3 3 2 4" xfId="715"/>
    <cellStyle name="Comma 2 2 3 3 2 4 2" xfId="1759"/>
    <cellStyle name="Comma 2 2 3 3 2 5" xfId="1238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3" xfId="1574"/>
    <cellStyle name="Comma 2 2 3 3 3 2 3" xfId="787"/>
    <cellStyle name="Comma 2 2 3 3 3 2 3 2" xfId="1831"/>
    <cellStyle name="Comma 2 2 3 3 3 2 4" xfId="1314"/>
    <cellStyle name="Comma 2 2 3 3 3 3" xfId="422"/>
    <cellStyle name="Comma 2 2 3 3 3 3 2" xfId="936"/>
    <cellStyle name="Comma 2 2 3 3 3 3 2 2" xfId="1980"/>
    <cellStyle name="Comma 2 2 3 3 3 3 3" xfId="1466"/>
    <cellStyle name="Comma 2 2 3 3 3 4" xfId="679"/>
    <cellStyle name="Comma 2 2 3 3 3 4 2" xfId="1723"/>
    <cellStyle name="Comma 2 2 3 3 3 5" xfId="1200"/>
    <cellStyle name="Comma 2 2 3 3 4" xfId="225"/>
    <cellStyle name="Comma 2 2 3 3 4 2" xfId="494"/>
    <cellStyle name="Comma 2 2 3 3 4 2 2" xfId="1008"/>
    <cellStyle name="Comma 2 2 3 3 4 2 2 2" xfId="2052"/>
    <cellStyle name="Comma 2 2 3 3 4 2 3" xfId="1538"/>
    <cellStyle name="Comma 2 2 3 3 4 3" xfId="751"/>
    <cellStyle name="Comma 2 2 3 3 4 3 2" xfId="1795"/>
    <cellStyle name="Comma 2 2 3 3 4 4" xfId="1276"/>
    <cellStyle name="Comma 2 2 3 3 5" xfId="386"/>
    <cellStyle name="Comma 2 2 3 3 5 2" xfId="900"/>
    <cellStyle name="Comma 2 2 3 3 5 2 2" xfId="1944"/>
    <cellStyle name="Comma 2 2 3 3 5 3" xfId="1430"/>
    <cellStyle name="Comma 2 2 3 3 6" xfId="643"/>
    <cellStyle name="Comma 2 2 3 3 6 2" xfId="1687"/>
    <cellStyle name="Comma 2 2 3 3 7" xfId="1162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3" xfId="1592"/>
    <cellStyle name="Comma 2 2 3 4 2 3" xfId="805"/>
    <cellStyle name="Comma 2 2 3 4 2 3 2" xfId="1849"/>
    <cellStyle name="Comma 2 2 3 4 2 4" xfId="1333"/>
    <cellStyle name="Comma 2 2 3 4 3" xfId="440"/>
    <cellStyle name="Comma 2 2 3 4 3 2" xfId="954"/>
    <cellStyle name="Comma 2 2 3 4 3 2 2" xfId="1998"/>
    <cellStyle name="Comma 2 2 3 4 3 3" xfId="1484"/>
    <cellStyle name="Comma 2 2 3 4 4" xfId="697"/>
    <cellStyle name="Comma 2 2 3 4 4 2" xfId="1741"/>
    <cellStyle name="Comma 2 2 3 4 5" xfId="1219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3" xfId="1556"/>
    <cellStyle name="Comma 2 2 3 5 2 3" xfId="769"/>
    <cellStyle name="Comma 2 2 3 5 2 3 2" xfId="1813"/>
    <cellStyle name="Comma 2 2 3 5 2 4" xfId="1295"/>
    <cellStyle name="Comma 2 2 3 5 3" xfId="404"/>
    <cellStyle name="Comma 2 2 3 5 3 2" xfId="918"/>
    <cellStyle name="Comma 2 2 3 5 3 2 2" xfId="1962"/>
    <cellStyle name="Comma 2 2 3 5 3 3" xfId="1448"/>
    <cellStyle name="Comma 2 2 3 5 4" xfId="661"/>
    <cellStyle name="Comma 2 2 3 5 4 2" xfId="1705"/>
    <cellStyle name="Comma 2 2 3 5 5" xfId="1181"/>
    <cellStyle name="Comma 2 2 3 6" xfId="205"/>
    <cellStyle name="Comma 2 2 3 6 2" xfId="476"/>
    <cellStyle name="Comma 2 2 3 6 2 2" xfId="990"/>
    <cellStyle name="Comma 2 2 3 6 2 2 2" xfId="2034"/>
    <cellStyle name="Comma 2 2 3 6 2 3" xfId="1520"/>
    <cellStyle name="Comma 2 2 3 6 3" xfId="733"/>
    <cellStyle name="Comma 2 2 3 6 3 2" xfId="1777"/>
    <cellStyle name="Comma 2 2 3 6 4" xfId="1257"/>
    <cellStyle name="Comma 2 2 3 7" xfId="79"/>
    <cellStyle name="Comma 2 2 3 7 2" xfId="366"/>
    <cellStyle name="Comma 2 2 3 7 2 2" xfId="880"/>
    <cellStyle name="Comma 2 2 3 7 2 2 2" xfId="1924"/>
    <cellStyle name="Comma 2 2 3 7 2 3" xfId="1410"/>
    <cellStyle name="Comma 2 2 3 7 3" xfId="623"/>
    <cellStyle name="Comma 2 2 3 7 3 2" xfId="1667"/>
    <cellStyle name="Comma 2 2 3 7 4" xfId="1139"/>
    <cellStyle name="Comma 2 2 3 8" xfId="348"/>
    <cellStyle name="Comma 2 2 3 8 2" xfId="862"/>
    <cellStyle name="Comma 2 2 3 8 2 2" xfId="1906"/>
    <cellStyle name="Comma 2 2 3 8 3" xfId="1392"/>
    <cellStyle name="Comma 2 2 3 9" xfId="605"/>
    <cellStyle name="Comma 2 2 3 9 2" xfId="164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3" xfId="1613"/>
    <cellStyle name="Comma 2 2 4 2 2 2 3" xfId="826"/>
    <cellStyle name="Comma 2 2 4 2 2 2 3 2" xfId="1870"/>
    <cellStyle name="Comma 2 2 4 2 2 2 4" xfId="1356"/>
    <cellStyle name="Comma 2 2 4 2 2 3" xfId="461"/>
    <cellStyle name="Comma 2 2 4 2 2 3 2" xfId="975"/>
    <cellStyle name="Comma 2 2 4 2 2 3 2 2" xfId="2019"/>
    <cellStyle name="Comma 2 2 4 2 2 3 3" xfId="1505"/>
    <cellStyle name="Comma 2 2 4 2 2 4" xfId="718"/>
    <cellStyle name="Comma 2 2 4 2 2 4 2" xfId="1762"/>
    <cellStyle name="Comma 2 2 4 2 2 5" xfId="1242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3" xfId="1577"/>
    <cellStyle name="Comma 2 2 4 2 3 2 3" xfId="790"/>
    <cellStyle name="Comma 2 2 4 2 3 2 3 2" xfId="1834"/>
    <cellStyle name="Comma 2 2 4 2 3 2 4" xfId="1318"/>
    <cellStyle name="Comma 2 2 4 2 3 3" xfId="425"/>
    <cellStyle name="Comma 2 2 4 2 3 3 2" xfId="939"/>
    <cellStyle name="Comma 2 2 4 2 3 3 2 2" xfId="1983"/>
    <cellStyle name="Comma 2 2 4 2 3 3 3" xfId="1469"/>
    <cellStyle name="Comma 2 2 4 2 3 4" xfId="682"/>
    <cellStyle name="Comma 2 2 4 2 3 4 2" xfId="1726"/>
    <cellStyle name="Comma 2 2 4 2 3 5" xfId="1204"/>
    <cellStyle name="Comma 2 2 4 2 4" xfId="229"/>
    <cellStyle name="Comma 2 2 4 2 4 2" xfId="497"/>
    <cellStyle name="Comma 2 2 4 2 4 2 2" xfId="1011"/>
    <cellStyle name="Comma 2 2 4 2 4 2 2 2" xfId="2055"/>
    <cellStyle name="Comma 2 2 4 2 4 2 3" xfId="1541"/>
    <cellStyle name="Comma 2 2 4 2 4 3" xfId="754"/>
    <cellStyle name="Comma 2 2 4 2 4 3 2" xfId="1798"/>
    <cellStyle name="Comma 2 2 4 2 4 4" xfId="1280"/>
    <cellStyle name="Comma 2 2 4 2 5" xfId="389"/>
    <cellStyle name="Comma 2 2 4 2 5 2" xfId="903"/>
    <cellStyle name="Comma 2 2 4 2 5 2 2" xfId="1947"/>
    <cellStyle name="Comma 2 2 4 2 5 3" xfId="1433"/>
    <cellStyle name="Comma 2 2 4 2 6" xfId="646"/>
    <cellStyle name="Comma 2 2 4 2 6 2" xfId="1690"/>
    <cellStyle name="Comma 2 2 4 2 7" xfId="1166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3" xfId="1595"/>
    <cellStyle name="Comma 2 2 4 3 2 3" xfId="808"/>
    <cellStyle name="Comma 2 2 4 3 2 3 2" xfId="1852"/>
    <cellStyle name="Comma 2 2 4 3 2 4" xfId="1337"/>
    <cellStyle name="Comma 2 2 4 3 3" xfId="443"/>
    <cellStyle name="Comma 2 2 4 3 3 2" xfId="957"/>
    <cellStyle name="Comma 2 2 4 3 3 2 2" xfId="2001"/>
    <cellStyle name="Comma 2 2 4 3 3 3" xfId="1487"/>
    <cellStyle name="Comma 2 2 4 3 4" xfId="700"/>
    <cellStyle name="Comma 2 2 4 3 4 2" xfId="1744"/>
    <cellStyle name="Comma 2 2 4 3 5" xfId="1223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3" xfId="1559"/>
    <cellStyle name="Comma 2 2 4 4 2 3" xfId="772"/>
    <cellStyle name="Comma 2 2 4 4 2 3 2" xfId="1816"/>
    <cellStyle name="Comma 2 2 4 4 2 4" xfId="1299"/>
    <cellStyle name="Comma 2 2 4 4 3" xfId="407"/>
    <cellStyle name="Comma 2 2 4 4 3 2" xfId="921"/>
    <cellStyle name="Comma 2 2 4 4 3 2 2" xfId="1965"/>
    <cellStyle name="Comma 2 2 4 4 3 3" xfId="1451"/>
    <cellStyle name="Comma 2 2 4 4 4" xfId="664"/>
    <cellStyle name="Comma 2 2 4 4 4 2" xfId="1708"/>
    <cellStyle name="Comma 2 2 4 4 5" xfId="1185"/>
    <cellStyle name="Comma 2 2 4 5" xfId="209"/>
    <cellStyle name="Comma 2 2 4 5 2" xfId="479"/>
    <cellStyle name="Comma 2 2 4 5 2 2" xfId="993"/>
    <cellStyle name="Comma 2 2 4 5 2 2 2" xfId="2037"/>
    <cellStyle name="Comma 2 2 4 5 2 3" xfId="1523"/>
    <cellStyle name="Comma 2 2 4 5 3" xfId="736"/>
    <cellStyle name="Comma 2 2 4 5 3 2" xfId="1780"/>
    <cellStyle name="Comma 2 2 4 5 4" xfId="1261"/>
    <cellStyle name="Comma 2 2 4 6" xfId="371"/>
    <cellStyle name="Comma 2 2 4 6 2" xfId="885"/>
    <cellStyle name="Comma 2 2 4 6 2 2" xfId="1929"/>
    <cellStyle name="Comma 2 2 4 6 3" xfId="1415"/>
    <cellStyle name="Comma 2 2 4 7" xfId="628"/>
    <cellStyle name="Comma 2 2 4 7 2" xfId="1672"/>
    <cellStyle name="Comma 2 2 4 8" xfId="1147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3" xfId="1604"/>
    <cellStyle name="Comma 2 2 5 2 2 3" xfId="817"/>
    <cellStyle name="Comma 2 2 5 2 2 3 2" xfId="1861"/>
    <cellStyle name="Comma 2 2 5 2 2 4" xfId="1346"/>
    <cellStyle name="Comma 2 2 5 2 3" xfId="452"/>
    <cellStyle name="Comma 2 2 5 2 3 2" xfId="966"/>
    <cellStyle name="Comma 2 2 5 2 3 2 2" xfId="2010"/>
    <cellStyle name="Comma 2 2 5 2 3 3" xfId="1496"/>
    <cellStyle name="Comma 2 2 5 2 4" xfId="709"/>
    <cellStyle name="Comma 2 2 5 2 4 2" xfId="1753"/>
    <cellStyle name="Comma 2 2 5 2 5" xfId="1232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3" xfId="1568"/>
    <cellStyle name="Comma 2 2 5 3 2 3" xfId="781"/>
    <cellStyle name="Comma 2 2 5 3 2 3 2" xfId="1825"/>
    <cellStyle name="Comma 2 2 5 3 2 4" xfId="1308"/>
    <cellStyle name="Comma 2 2 5 3 3" xfId="416"/>
    <cellStyle name="Comma 2 2 5 3 3 2" xfId="930"/>
    <cellStyle name="Comma 2 2 5 3 3 2 2" xfId="1974"/>
    <cellStyle name="Comma 2 2 5 3 3 3" xfId="1460"/>
    <cellStyle name="Comma 2 2 5 3 4" xfId="673"/>
    <cellStyle name="Comma 2 2 5 3 4 2" xfId="1717"/>
    <cellStyle name="Comma 2 2 5 3 5" xfId="1194"/>
    <cellStyle name="Comma 2 2 5 4" xfId="219"/>
    <cellStyle name="Comma 2 2 5 4 2" xfId="488"/>
    <cellStyle name="Comma 2 2 5 4 2 2" xfId="1002"/>
    <cellStyle name="Comma 2 2 5 4 2 2 2" xfId="2046"/>
    <cellStyle name="Comma 2 2 5 4 2 3" xfId="1532"/>
    <cellStyle name="Comma 2 2 5 4 3" xfId="745"/>
    <cellStyle name="Comma 2 2 5 4 3 2" xfId="1789"/>
    <cellStyle name="Comma 2 2 5 4 4" xfId="1270"/>
    <cellStyle name="Comma 2 2 5 5" xfId="380"/>
    <cellStyle name="Comma 2 2 5 5 2" xfId="894"/>
    <cellStyle name="Comma 2 2 5 5 2 2" xfId="1938"/>
    <cellStyle name="Comma 2 2 5 5 3" xfId="1424"/>
    <cellStyle name="Comma 2 2 5 6" xfId="637"/>
    <cellStyle name="Comma 2 2 5 6 2" xfId="1681"/>
    <cellStyle name="Comma 2 2 5 7" xfId="1156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3" xfId="1586"/>
    <cellStyle name="Comma 2 2 6 2 3" xfId="799"/>
    <cellStyle name="Comma 2 2 6 2 3 2" xfId="1843"/>
    <cellStyle name="Comma 2 2 6 2 4" xfId="1327"/>
    <cellStyle name="Comma 2 2 6 3" xfId="434"/>
    <cellStyle name="Comma 2 2 6 3 2" xfId="948"/>
    <cellStyle name="Comma 2 2 6 3 2 2" xfId="1992"/>
    <cellStyle name="Comma 2 2 6 3 3" xfId="1478"/>
    <cellStyle name="Comma 2 2 6 4" xfId="691"/>
    <cellStyle name="Comma 2 2 6 4 2" xfId="1735"/>
    <cellStyle name="Comma 2 2 6 5" xfId="1213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3" xfId="1550"/>
    <cellStyle name="Comma 2 2 7 2 3" xfId="763"/>
    <cellStyle name="Comma 2 2 7 2 3 2" xfId="1807"/>
    <cellStyle name="Comma 2 2 7 2 4" xfId="1289"/>
    <cellStyle name="Comma 2 2 7 3" xfId="398"/>
    <cellStyle name="Comma 2 2 7 3 2" xfId="912"/>
    <cellStyle name="Comma 2 2 7 3 2 2" xfId="1956"/>
    <cellStyle name="Comma 2 2 7 3 3" xfId="1442"/>
    <cellStyle name="Comma 2 2 7 4" xfId="655"/>
    <cellStyle name="Comma 2 2 7 4 2" xfId="1699"/>
    <cellStyle name="Comma 2 2 7 5" xfId="1175"/>
    <cellStyle name="Comma 2 2 8" xfId="199"/>
    <cellStyle name="Comma 2 2 8 2" xfId="470"/>
    <cellStyle name="Comma 2 2 8 2 2" xfId="984"/>
    <cellStyle name="Comma 2 2 8 2 2 2" xfId="2028"/>
    <cellStyle name="Comma 2 2 8 2 3" xfId="1514"/>
    <cellStyle name="Comma 2 2 8 3" xfId="727"/>
    <cellStyle name="Comma 2 2 8 3 2" xfId="1771"/>
    <cellStyle name="Comma 2 2 8 4" xfId="1251"/>
    <cellStyle name="Comma 2 2 9" xfId="73"/>
    <cellStyle name="Comma 2 2 9 2" xfId="360"/>
    <cellStyle name="Comma 2 2 9 2 2" xfId="874"/>
    <cellStyle name="Comma 2 2 9 2 2 2" xfId="1918"/>
    <cellStyle name="Comma 2 2 9 2 3" xfId="1404"/>
    <cellStyle name="Comma 2 2 9 3" xfId="617"/>
    <cellStyle name="Comma 2 2 9 3 2" xfId="1661"/>
    <cellStyle name="Comma 2 2 9 4" xfId="1133"/>
    <cellStyle name="Comma 2 3" xfId="51"/>
    <cellStyle name="Comma 2 3 10" xfId="111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3" xfId="1615"/>
    <cellStyle name="Comma 2 3 2 2 2 2 3" xfId="828"/>
    <cellStyle name="Comma 2 3 2 2 2 2 3 2" xfId="1872"/>
    <cellStyle name="Comma 2 3 2 2 2 2 4" xfId="1358"/>
    <cellStyle name="Comma 2 3 2 2 2 3" xfId="463"/>
    <cellStyle name="Comma 2 3 2 2 2 3 2" xfId="977"/>
    <cellStyle name="Comma 2 3 2 2 2 3 2 2" xfId="2021"/>
    <cellStyle name="Comma 2 3 2 2 2 3 3" xfId="1507"/>
    <cellStyle name="Comma 2 3 2 2 2 4" xfId="720"/>
    <cellStyle name="Comma 2 3 2 2 2 4 2" xfId="1764"/>
    <cellStyle name="Comma 2 3 2 2 2 5" xfId="1244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3" xfId="1579"/>
    <cellStyle name="Comma 2 3 2 2 3 2 3" xfId="792"/>
    <cellStyle name="Comma 2 3 2 2 3 2 3 2" xfId="1836"/>
    <cellStyle name="Comma 2 3 2 2 3 2 4" xfId="1320"/>
    <cellStyle name="Comma 2 3 2 2 3 3" xfId="427"/>
    <cellStyle name="Comma 2 3 2 2 3 3 2" xfId="941"/>
    <cellStyle name="Comma 2 3 2 2 3 3 2 2" xfId="1985"/>
    <cellStyle name="Comma 2 3 2 2 3 3 3" xfId="1471"/>
    <cellStyle name="Comma 2 3 2 2 3 4" xfId="684"/>
    <cellStyle name="Comma 2 3 2 2 3 4 2" xfId="1728"/>
    <cellStyle name="Comma 2 3 2 2 3 5" xfId="1206"/>
    <cellStyle name="Comma 2 3 2 2 4" xfId="231"/>
    <cellStyle name="Comma 2 3 2 2 4 2" xfId="499"/>
    <cellStyle name="Comma 2 3 2 2 4 2 2" xfId="1013"/>
    <cellStyle name="Comma 2 3 2 2 4 2 2 2" xfId="2057"/>
    <cellStyle name="Comma 2 3 2 2 4 2 3" xfId="1543"/>
    <cellStyle name="Comma 2 3 2 2 4 3" xfId="756"/>
    <cellStyle name="Comma 2 3 2 2 4 3 2" xfId="1800"/>
    <cellStyle name="Comma 2 3 2 2 4 4" xfId="1282"/>
    <cellStyle name="Comma 2 3 2 2 5" xfId="391"/>
    <cellStyle name="Comma 2 3 2 2 5 2" xfId="905"/>
    <cellStyle name="Comma 2 3 2 2 5 2 2" xfId="1949"/>
    <cellStyle name="Comma 2 3 2 2 5 3" xfId="1435"/>
    <cellStyle name="Comma 2 3 2 2 6" xfId="648"/>
    <cellStyle name="Comma 2 3 2 2 6 2" xfId="1692"/>
    <cellStyle name="Comma 2 3 2 2 7" xfId="1168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3" xfId="1597"/>
    <cellStyle name="Comma 2 3 2 3 2 3" xfId="810"/>
    <cellStyle name="Comma 2 3 2 3 2 3 2" xfId="1854"/>
    <cellStyle name="Comma 2 3 2 3 2 4" xfId="1339"/>
    <cellStyle name="Comma 2 3 2 3 3" xfId="445"/>
    <cellStyle name="Comma 2 3 2 3 3 2" xfId="959"/>
    <cellStyle name="Comma 2 3 2 3 3 2 2" xfId="2003"/>
    <cellStyle name="Comma 2 3 2 3 3 3" xfId="1489"/>
    <cellStyle name="Comma 2 3 2 3 4" xfId="702"/>
    <cellStyle name="Comma 2 3 2 3 4 2" xfId="1746"/>
    <cellStyle name="Comma 2 3 2 3 5" xfId="1225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3" xfId="1561"/>
    <cellStyle name="Comma 2 3 2 4 2 3" xfId="774"/>
    <cellStyle name="Comma 2 3 2 4 2 3 2" xfId="1818"/>
    <cellStyle name="Comma 2 3 2 4 2 4" xfId="1301"/>
    <cellStyle name="Comma 2 3 2 4 3" xfId="409"/>
    <cellStyle name="Comma 2 3 2 4 3 2" xfId="923"/>
    <cellStyle name="Comma 2 3 2 4 3 2 2" xfId="1967"/>
    <cellStyle name="Comma 2 3 2 4 3 3" xfId="1453"/>
    <cellStyle name="Comma 2 3 2 4 4" xfId="666"/>
    <cellStyle name="Comma 2 3 2 4 4 2" xfId="1710"/>
    <cellStyle name="Comma 2 3 2 4 5" xfId="1187"/>
    <cellStyle name="Comma 2 3 2 5" xfId="211"/>
    <cellStyle name="Comma 2 3 2 5 2" xfId="481"/>
    <cellStyle name="Comma 2 3 2 5 2 2" xfId="995"/>
    <cellStyle name="Comma 2 3 2 5 2 2 2" xfId="2039"/>
    <cellStyle name="Comma 2 3 2 5 2 3" xfId="1525"/>
    <cellStyle name="Comma 2 3 2 5 3" xfId="738"/>
    <cellStyle name="Comma 2 3 2 5 3 2" xfId="1782"/>
    <cellStyle name="Comma 2 3 2 5 4" xfId="1263"/>
    <cellStyle name="Comma 2 3 2 6" xfId="89"/>
    <cellStyle name="Comma 2 3 2 6 2" xfId="373"/>
    <cellStyle name="Comma 2 3 2 6 2 2" xfId="887"/>
    <cellStyle name="Comma 2 3 2 6 2 2 2" xfId="1931"/>
    <cellStyle name="Comma 2 3 2 6 2 3" xfId="1417"/>
    <cellStyle name="Comma 2 3 2 6 3" xfId="630"/>
    <cellStyle name="Comma 2 3 2 6 3 2" xfId="1674"/>
    <cellStyle name="Comma 2 3 2 6 4" xfId="1149"/>
    <cellStyle name="Comma 2 3 2 7" xfId="351"/>
    <cellStyle name="Comma 2 3 2 7 2" xfId="865"/>
    <cellStyle name="Comma 2 3 2 7 2 2" xfId="1909"/>
    <cellStyle name="Comma 2 3 2 7 3" xfId="1395"/>
    <cellStyle name="Comma 2 3 2 8" xfId="608"/>
    <cellStyle name="Comma 2 3 2 8 2" xfId="1652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3" xfId="1606"/>
    <cellStyle name="Comma 2 3 3 2 2 3" xfId="819"/>
    <cellStyle name="Comma 2 3 3 2 2 3 2" xfId="1863"/>
    <cellStyle name="Comma 2 3 3 2 2 4" xfId="1348"/>
    <cellStyle name="Comma 2 3 3 2 3" xfId="454"/>
    <cellStyle name="Comma 2 3 3 2 3 2" xfId="968"/>
    <cellStyle name="Comma 2 3 3 2 3 2 2" xfId="2012"/>
    <cellStyle name="Comma 2 3 3 2 3 3" xfId="1498"/>
    <cellStyle name="Comma 2 3 3 2 4" xfId="711"/>
    <cellStyle name="Comma 2 3 3 2 4 2" xfId="1755"/>
    <cellStyle name="Comma 2 3 3 2 5" xfId="1234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3" xfId="1570"/>
    <cellStyle name="Comma 2 3 3 3 2 3" xfId="783"/>
    <cellStyle name="Comma 2 3 3 3 2 3 2" xfId="1827"/>
    <cellStyle name="Comma 2 3 3 3 2 4" xfId="1310"/>
    <cellStyle name="Comma 2 3 3 3 3" xfId="418"/>
    <cellStyle name="Comma 2 3 3 3 3 2" xfId="932"/>
    <cellStyle name="Comma 2 3 3 3 3 2 2" xfId="1976"/>
    <cellStyle name="Comma 2 3 3 3 3 3" xfId="1462"/>
    <cellStyle name="Comma 2 3 3 3 4" xfId="675"/>
    <cellStyle name="Comma 2 3 3 3 4 2" xfId="1719"/>
    <cellStyle name="Comma 2 3 3 3 5" xfId="1196"/>
    <cellStyle name="Comma 2 3 3 4" xfId="221"/>
    <cellStyle name="Comma 2 3 3 4 2" xfId="490"/>
    <cellStyle name="Comma 2 3 3 4 2 2" xfId="1004"/>
    <cellStyle name="Comma 2 3 3 4 2 2 2" xfId="2048"/>
    <cellStyle name="Comma 2 3 3 4 2 3" xfId="1534"/>
    <cellStyle name="Comma 2 3 3 4 3" xfId="747"/>
    <cellStyle name="Comma 2 3 3 4 3 2" xfId="1791"/>
    <cellStyle name="Comma 2 3 3 4 4" xfId="1272"/>
    <cellStyle name="Comma 2 3 3 5" xfId="382"/>
    <cellStyle name="Comma 2 3 3 5 2" xfId="896"/>
    <cellStyle name="Comma 2 3 3 5 2 2" xfId="1940"/>
    <cellStyle name="Comma 2 3 3 5 3" xfId="1426"/>
    <cellStyle name="Comma 2 3 3 6" xfId="639"/>
    <cellStyle name="Comma 2 3 3 6 2" xfId="1683"/>
    <cellStyle name="Comma 2 3 3 7" xfId="1158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3" xfId="1588"/>
    <cellStyle name="Comma 2 3 4 2 3" xfId="801"/>
    <cellStyle name="Comma 2 3 4 2 3 2" xfId="1845"/>
    <cellStyle name="Comma 2 3 4 2 4" xfId="1329"/>
    <cellStyle name="Comma 2 3 4 3" xfId="436"/>
    <cellStyle name="Comma 2 3 4 3 2" xfId="950"/>
    <cellStyle name="Comma 2 3 4 3 2 2" xfId="1994"/>
    <cellStyle name="Comma 2 3 4 3 3" xfId="1480"/>
    <cellStyle name="Comma 2 3 4 4" xfId="693"/>
    <cellStyle name="Comma 2 3 4 4 2" xfId="1737"/>
    <cellStyle name="Comma 2 3 4 5" xfId="1215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3" xfId="1552"/>
    <cellStyle name="Comma 2 3 5 2 3" xfId="765"/>
    <cellStyle name="Comma 2 3 5 2 3 2" xfId="1809"/>
    <cellStyle name="Comma 2 3 5 2 4" xfId="1291"/>
    <cellStyle name="Comma 2 3 5 3" xfId="400"/>
    <cellStyle name="Comma 2 3 5 3 2" xfId="914"/>
    <cellStyle name="Comma 2 3 5 3 2 2" xfId="1958"/>
    <cellStyle name="Comma 2 3 5 3 3" xfId="1444"/>
    <cellStyle name="Comma 2 3 5 4" xfId="657"/>
    <cellStyle name="Comma 2 3 5 4 2" xfId="1701"/>
    <cellStyle name="Comma 2 3 5 5" xfId="1177"/>
    <cellStyle name="Comma 2 3 6" xfId="201"/>
    <cellStyle name="Comma 2 3 6 2" xfId="472"/>
    <cellStyle name="Comma 2 3 6 2 2" xfId="986"/>
    <cellStyle name="Comma 2 3 6 2 2 2" xfId="2030"/>
    <cellStyle name="Comma 2 3 6 2 3" xfId="1516"/>
    <cellStyle name="Comma 2 3 6 3" xfId="729"/>
    <cellStyle name="Comma 2 3 6 3 2" xfId="1773"/>
    <cellStyle name="Comma 2 3 6 4" xfId="1253"/>
    <cellStyle name="Comma 2 3 7" xfId="75"/>
    <cellStyle name="Comma 2 3 7 2" xfId="362"/>
    <cellStyle name="Comma 2 3 7 2 2" xfId="876"/>
    <cellStyle name="Comma 2 3 7 2 2 2" xfId="1920"/>
    <cellStyle name="Comma 2 3 7 2 3" xfId="1406"/>
    <cellStyle name="Comma 2 3 7 3" xfId="619"/>
    <cellStyle name="Comma 2 3 7 3 2" xfId="1663"/>
    <cellStyle name="Comma 2 3 7 4" xfId="1135"/>
    <cellStyle name="Comma 2 3 8" xfId="338"/>
    <cellStyle name="Comma 2 3 8 2" xfId="852"/>
    <cellStyle name="Comma 2 3 8 2 2" xfId="1896"/>
    <cellStyle name="Comma 2 3 8 3" xfId="1382"/>
    <cellStyle name="Comma 2 3 9" xfId="595"/>
    <cellStyle name="Comma 2 3 9 2" xfId="1639"/>
    <cellStyle name="Comma 2 4" xfId="59"/>
    <cellStyle name="Comma 2 4 10" xfId="111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3" xfId="1618"/>
    <cellStyle name="Comma 2 4 2 2 2 2 3" xfId="831"/>
    <cellStyle name="Comma 2 4 2 2 2 2 3 2" xfId="1875"/>
    <cellStyle name="Comma 2 4 2 2 2 2 4" xfId="1361"/>
    <cellStyle name="Comma 2 4 2 2 2 3" xfId="466"/>
    <cellStyle name="Comma 2 4 2 2 2 3 2" xfId="980"/>
    <cellStyle name="Comma 2 4 2 2 2 3 2 2" xfId="2024"/>
    <cellStyle name="Comma 2 4 2 2 2 3 3" xfId="1510"/>
    <cellStyle name="Comma 2 4 2 2 2 4" xfId="723"/>
    <cellStyle name="Comma 2 4 2 2 2 4 2" xfId="1767"/>
    <cellStyle name="Comma 2 4 2 2 2 5" xfId="1247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3" xfId="1582"/>
    <cellStyle name="Comma 2 4 2 2 3 2 3" xfId="795"/>
    <cellStyle name="Comma 2 4 2 2 3 2 3 2" xfId="1839"/>
    <cellStyle name="Comma 2 4 2 2 3 2 4" xfId="1323"/>
    <cellStyle name="Comma 2 4 2 2 3 3" xfId="430"/>
    <cellStyle name="Comma 2 4 2 2 3 3 2" xfId="944"/>
    <cellStyle name="Comma 2 4 2 2 3 3 2 2" xfId="1988"/>
    <cellStyle name="Comma 2 4 2 2 3 3 3" xfId="1474"/>
    <cellStyle name="Comma 2 4 2 2 3 4" xfId="687"/>
    <cellStyle name="Comma 2 4 2 2 3 4 2" xfId="1731"/>
    <cellStyle name="Comma 2 4 2 2 3 5" xfId="1209"/>
    <cellStyle name="Comma 2 4 2 2 4" xfId="234"/>
    <cellStyle name="Comma 2 4 2 2 4 2" xfId="502"/>
    <cellStyle name="Comma 2 4 2 2 4 2 2" xfId="1016"/>
    <cellStyle name="Comma 2 4 2 2 4 2 2 2" xfId="2060"/>
    <cellStyle name="Comma 2 4 2 2 4 2 3" xfId="1546"/>
    <cellStyle name="Comma 2 4 2 2 4 3" xfId="759"/>
    <cellStyle name="Comma 2 4 2 2 4 3 2" xfId="1803"/>
    <cellStyle name="Comma 2 4 2 2 4 4" xfId="1285"/>
    <cellStyle name="Comma 2 4 2 2 5" xfId="394"/>
    <cellStyle name="Comma 2 4 2 2 5 2" xfId="908"/>
    <cellStyle name="Comma 2 4 2 2 5 2 2" xfId="1952"/>
    <cellStyle name="Comma 2 4 2 2 5 3" xfId="1438"/>
    <cellStyle name="Comma 2 4 2 2 6" xfId="651"/>
    <cellStyle name="Comma 2 4 2 2 6 2" xfId="1695"/>
    <cellStyle name="Comma 2 4 2 2 7" xfId="1171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3" xfId="1600"/>
    <cellStyle name="Comma 2 4 2 3 2 3" xfId="813"/>
    <cellStyle name="Comma 2 4 2 3 2 3 2" xfId="1857"/>
    <cellStyle name="Comma 2 4 2 3 2 4" xfId="1342"/>
    <cellStyle name="Comma 2 4 2 3 3" xfId="448"/>
    <cellStyle name="Comma 2 4 2 3 3 2" xfId="962"/>
    <cellStyle name="Comma 2 4 2 3 3 2 2" xfId="2006"/>
    <cellStyle name="Comma 2 4 2 3 3 3" xfId="1492"/>
    <cellStyle name="Comma 2 4 2 3 4" xfId="705"/>
    <cellStyle name="Comma 2 4 2 3 4 2" xfId="1749"/>
    <cellStyle name="Comma 2 4 2 3 5" xfId="1228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3" xfId="1564"/>
    <cellStyle name="Comma 2 4 2 4 2 3" xfId="777"/>
    <cellStyle name="Comma 2 4 2 4 2 3 2" xfId="1821"/>
    <cellStyle name="Comma 2 4 2 4 2 4" xfId="1304"/>
    <cellStyle name="Comma 2 4 2 4 3" xfId="412"/>
    <cellStyle name="Comma 2 4 2 4 3 2" xfId="926"/>
    <cellStyle name="Comma 2 4 2 4 3 2 2" xfId="1970"/>
    <cellStyle name="Comma 2 4 2 4 3 3" xfId="1456"/>
    <cellStyle name="Comma 2 4 2 4 4" xfId="669"/>
    <cellStyle name="Comma 2 4 2 4 4 2" xfId="1713"/>
    <cellStyle name="Comma 2 4 2 4 5" xfId="1190"/>
    <cellStyle name="Comma 2 4 2 5" xfId="214"/>
    <cellStyle name="Comma 2 4 2 5 2" xfId="484"/>
    <cellStyle name="Comma 2 4 2 5 2 2" xfId="998"/>
    <cellStyle name="Comma 2 4 2 5 2 2 2" xfId="2042"/>
    <cellStyle name="Comma 2 4 2 5 2 3" xfId="1528"/>
    <cellStyle name="Comma 2 4 2 5 3" xfId="741"/>
    <cellStyle name="Comma 2 4 2 5 3 2" xfId="1785"/>
    <cellStyle name="Comma 2 4 2 5 4" xfId="1266"/>
    <cellStyle name="Comma 2 4 2 6" xfId="376"/>
    <cellStyle name="Comma 2 4 2 6 2" xfId="890"/>
    <cellStyle name="Comma 2 4 2 6 2 2" xfId="1934"/>
    <cellStyle name="Comma 2 4 2 6 3" xfId="1420"/>
    <cellStyle name="Comma 2 4 2 7" xfId="633"/>
    <cellStyle name="Comma 2 4 2 7 2" xfId="1677"/>
    <cellStyle name="Comma 2 4 2 8" xfId="1152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3" xfId="1609"/>
    <cellStyle name="Comma 2 4 3 2 2 3" xfId="822"/>
    <cellStyle name="Comma 2 4 3 2 2 3 2" xfId="1866"/>
    <cellStyle name="Comma 2 4 3 2 2 4" xfId="1351"/>
    <cellStyle name="Comma 2 4 3 2 3" xfId="457"/>
    <cellStyle name="Comma 2 4 3 2 3 2" xfId="971"/>
    <cellStyle name="Comma 2 4 3 2 3 2 2" xfId="2015"/>
    <cellStyle name="Comma 2 4 3 2 3 3" xfId="1501"/>
    <cellStyle name="Comma 2 4 3 2 4" xfId="714"/>
    <cellStyle name="Comma 2 4 3 2 4 2" xfId="1758"/>
    <cellStyle name="Comma 2 4 3 2 5" xfId="1237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3" xfId="1573"/>
    <cellStyle name="Comma 2 4 3 3 2 3" xfId="786"/>
    <cellStyle name="Comma 2 4 3 3 2 3 2" xfId="1830"/>
    <cellStyle name="Comma 2 4 3 3 2 4" xfId="1313"/>
    <cellStyle name="Comma 2 4 3 3 3" xfId="421"/>
    <cellStyle name="Comma 2 4 3 3 3 2" xfId="935"/>
    <cellStyle name="Comma 2 4 3 3 3 2 2" xfId="1979"/>
    <cellStyle name="Comma 2 4 3 3 3 3" xfId="1465"/>
    <cellStyle name="Comma 2 4 3 3 4" xfId="678"/>
    <cellStyle name="Comma 2 4 3 3 4 2" xfId="1722"/>
    <cellStyle name="Comma 2 4 3 3 5" xfId="1199"/>
    <cellStyle name="Comma 2 4 3 4" xfId="224"/>
    <cellStyle name="Comma 2 4 3 4 2" xfId="493"/>
    <cellStyle name="Comma 2 4 3 4 2 2" xfId="1007"/>
    <cellStyle name="Comma 2 4 3 4 2 2 2" xfId="2051"/>
    <cellStyle name="Comma 2 4 3 4 2 3" xfId="1537"/>
    <cellStyle name="Comma 2 4 3 4 3" xfId="750"/>
    <cellStyle name="Comma 2 4 3 4 3 2" xfId="1794"/>
    <cellStyle name="Comma 2 4 3 4 4" xfId="1275"/>
    <cellStyle name="Comma 2 4 3 5" xfId="385"/>
    <cellStyle name="Comma 2 4 3 5 2" xfId="899"/>
    <cellStyle name="Comma 2 4 3 5 2 2" xfId="1943"/>
    <cellStyle name="Comma 2 4 3 5 3" xfId="1429"/>
    <cellStyle name="Comma 2 4 3 6" xfId="642"/>
    <cellStyle name="Comma 2 4 3 6 2" xfId="1686"/>
    <cellStyle name="Comma 2 4 3 7" xfId="116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3" xfId="1591"/>
    <cellStyle name="Comma 2 4 4 2 3" xfId="804"/>
    <cellStyle name="Comma 2 4 4 2 3 2" xfId="1848"/>
    <cellStyle name="Comma 2 4 4 2 4" xfId="1332"/>
    <cellStyle name="Comma 2 4 4 3" xfId="439"/>
    <cellStyle name="Comma 2 4 4 3 2" xfId="953"/>
    <cellStyle name="Comma 2 4 4 3 2 2" xfId="1997"/>
    <cellStyle name="Comma 2 4 4 3 3" xfId="1483"/>
    <cellStyle name="Comma 2 4 4 4" xfId="696"/>
    <cellStyle name="Comma 2 4 4 4 2" xfId="1740"/>
    <cellStyle name="Comma 2 4 4 5" xfId="1218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3" xfId="1555"/>
    <cellStyle name="Comma 2 4 5 2 3" xfId="768"/>
    <cellStyle name="Comma 2 4 5 2 3 2" xfId="1812"/>
    <cellStyle name="Comma 2 4 5 2 4" xfId="1294"/>
    <cellStyle name="Comma 2 4 5 3" xfId="403"/>
    <cellStyle name="Comma 2 4 5 3 2" xfId="917"/>
    <cellStyle name="Comma 2 4 5 3 2 2" xfId="1961"/>
    <cellStyle name="Comma 2 4 5 3 3" xfId="1447"/>
    <cellStyle name="Comma 2 4 5 4" xfId="660"/>
    <cellStyle name="Comma 2 4 5 4 2" xfId="1704"/>
    <cellStyle name="Comma 2 4 5 5" xfId="1180"/>
    <cellStyle name="Comma 2 4 6" xfId="204"/>
    <cellStyle name="Comma 2 4 6 2" xfId="475"/>
    <cellStyle name="Comma 2 4 6 2 2" xfId="989"/>
    <cellStyle name="Comma 2 4 6 2 2 2" xfId="2033"/>
    <cellStyle name="Comma 2 4 6 2 3" xfId="1519"/>
    <cellStyle name="Comma 2 4 6 3" xfId="732"/>
    <cellStyle name="Comma 2 4 6 3 2" xfId="1776"/>
    <cellStyle name="Comma 2 4 6 4" xfId="1256"/>
    <cellStyle name="Comma 2 4 7" xfId="78"/>
    <cellStyle name="Comma 2 4 7 2" xfId="365"/>
    <cellStyle name="Comma 2 4 7 2 2" xfId="879"/>
    <cellStyle name="Comma 2 4 7 2 2 2" xfId="1923"/>
    <cellStyle name="Comma 2 4 7 2 3" xfId="1409"/>
    <cellStyle name="Comma 2 4 7 3" xfId="622"/>
    <cellStyle name="Comma 2 4 7 3 2" xfId="1666"/>
    <cellStyle name="Comma 2 4 7 4" xfId="1138"/>
    <cellStyle name="Comma 2 4 8" xfId="346"/>
    <cellStyle name="Comma 2 4 8 2" xfId="860"/>
    <cellStyle name="Comma 2 4 8 2 2" xfId="1904"/>
    <cellStyle name="Comma 2 4 8 3" xfId="1390"/>
    <cellStyle name="Comma 2 4 9" xfId="603"/>
    <cellStyle name="Comma 2 4 9 2" xfId="1647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3" xfId="1612"/>
    <cellStyle name="Comma 2 5 2 2 2 3" xfId="825"/>
    <cellStyle name="Comma 2 5 2 2 2 3 2" xfId="1869"/>
    <cellStyle name="Comma 2 5 2 2 2 4" xfId="1355"/>
    <cellStyle name="Comma 2 5 2 2 3" xfId="460"/>
    <cellStyle name="Comma 2 5 2 2 3 2" xfId="974"/>
    <cellStyle name="Comma 2 5 2 2 3 2 2" xfId="2018"/>
    <cellStyle name="Comma 2 5 2 2 3 3" xfId="1504"/>
    <cellStyle name="Comma 2 5 2 2 4" xfId="717"/>
    <cellStyle name="Comma 2 5 2 2 4 2" xfId="1761"/>
    <cellStyle name="Comma 2 5 2 2 5" xfId="1241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3" xfId="1576"/>
    <cellStyle name="Comma 2 5 2 3 2 3" xfId="789"/>
    <cellStyle name="Comma 2 5 2 3 2 3 2" xfId="1833"/>
    <cellStyle name="Comma 2 5 2 3 2 4" xfId="1317"/>
    <cellStyle name="Comma 2 5 2 3 3" xfId="424"/>
    <cellStyle name="Comma 2 5 2 3 3 2" xfId="938"/>
    <cellStyle name="Comma 2 5 2 3 3 2 2" xfId="1982"/>
    <cellStyle name="Comma 2 5 2 3 3 3" xfId="1468"/>
    <cellStyle name="Comma 2 5 2 3 4" xfId="681"/>
    <cellStyle name="Comma 2 5 2 3 4 2" xfId="1725"/>
    <cellStyle name="Comma 2 5 2 3 5" xfId="1203"/>
    <cellStyle name="Comma 2 5 2 4" xfId="228"/>
    <cellStyle name="Comma 2 5 2 4 2" xfId="496"/>
    <cellStyle name="Comma 2 5 2 4 2 2" xfId="1010"/>
    <cellStyle name="Comma 2 5 2 4 2 2 2" xfId="2054"/>
    <cellStyle name="Comma 2 5 2 4 2 3" xfId="1540"/>
    <cellStyle name="Comma 2 5 2 4 3" xfId="753"/>
    <cellStyle name="Comma 2 5 2 4 3 2" xfId="1797"/>
    <cellStyle name="Comma 2 5 2 4 4" xfId="1279"/>
    <cellStyle name="Comma 2 5 2 5" xfId="388"/>
    <cellStyle name="Comma 2 5 2 5 2" xfId="902"/>
    <cellStyle name="Comma 2 5 2 5 2 2" xfId="1946"/>
    <cellStyle name="Comma 2 5 2 5 3" xfId="1432"/>
    <cellStyle name="Comma 2 5 2 6" xfId="645"/>
    <cellStyle name="Comma 2 5 2 6 2" xfId="1689"/>
    <cellStyle name="Comma 2 5 2 7" xfId="116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3" xfId="1594"/>
    <cellStyle name="Comma 2 5 3 2 3" xfId="807"/>
    <cellStyle name="Comma 2 5 3 2 3 2" xfId="1851"/>
    <cellStyle name="Comma 2 5 3 2 4" xfId="1336"/>
    <cellStyle name="Comma 2 5 3 3" xfId="442"/>
    <cellStyle name="Comma 2 5 3 3 2" xfId="956"/>
    <cellStyle name="Comma 2 5 3 3 2 2" xfId="2000"/>
    <cellStyle name="Comma 2 5 3 3 3" xfId="1486"/>
    <cellStyle name="Comma 2 5 3 4" xfId="699"/>
    <cellStyle name="Comma 2 5 3 4 2" xfId="1743"/>
    <cellStyle name="Comma 2 5 3 5" xfId="1222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3" xfId="1558"/>
    <cellStyle name="Comma 2 5 4 2 3" xfId="771"/>
    <cellStyle name="Comma 2 5 4 2 3 2" xfId="1815"/>
    <cellStyle name="Comma 2 5 4 2 4" xfId="1298"/>
    <cellStyle name="Comma 2 5 4 3" xfId="406"/>
    <cellStyle name="Comma 2 5 4 3 2" xfId="920"/>
    <cellStyle name="Comma 2 5 4 3 2 2" xfId="1964"/>
    <cellStyle name="Comma 2 5 4 3 3" xfId="1450"/>
    <cellStyle name="Comma 2 5 4 4" xfId="663"/>
    <cellStyle name="Comma 2 5 4 4 2" xfId="1707"/>
    <cellStyle name="Comma 2 5 4 5" xfId="1184"/>
    <cellStyle name="Comma 2 5 5" xfId="208"/>
    <cellStyle name="Comma 2 5 5 2" xfId="478"/>
    <cellStyle name="Comma 2 5 5 2 2" xfId="992"/>
    <cellStyle name="Comma 2 5 5 2 2 2" xfId="2036"/>
    <cellStyle name="Comma 2 5 5 2 3" xfId="1522"/>
    <cellStyle name="Comma 2 5 5 3" xfId="735"/>
    <cellStyle name="Comma 2 5 5 3 2" xfId="1779"/>
    <cellStyle name="Comma 2 5 5 4" xfId="1260"/>
    <cellStyle name="Comma 2 5 6" xfId="370"/>
    <cellStyle name="Comma 2 5 6 2" xfId="884"/>
    <cellStyle name="Comma 2 5 6 2 2" xfId="1928"/>
    <cellStyle name="Comma 2 5 6 3" xfId="1414"/>
    <cellStyle name="Comma 2 5 7" xfId="627"/>
    <cellStyle name="Comma 2 5 7 2" xfId="1671"/>
    <cellStyle name="Comma 2 5 8" xfId="1146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3" xfId="1603"/>
    <cellStyle name="Comma 2 6 2 2 3" xfId="816"/>
    <cellStyle name="Comma 2 6 2 2 3 2" xfId="1860"/>
    <cellStyle name="Comma 2 6 2 2 4" xfId="1345"/>
    <cellStyle name="Comma 2 6 2 3" xfId="451"/>
    <cellStyle name="Comma 2 6 2 3 2" xfId="965"/>
    <cellStyle name="Comma 2 6 2 3 2 2" xfId="2009"/>
    <cellStyle name="Comma 2 6 2 3 3" xfId="1495"/>
    <cellStyle name="Comma 2 6 2 4" xfId="708"/>
    <cellStyle name="Comma 2 6 2 4 2" xfId="1752"/>
    <cellStyle name="Comma 2 6 2 5" xfId="1231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3" xfId="1567"/>
    <cellStyle name="Comma 2 6 3 2 3" xfId="780"/>
    <cellStyle name="Comma 2 6 3 2 3 2" xfId="1824"/>
    <cellStyle name="Comma 2 6 3 2 4" xfId="1307"/>
    <cellStyle name="Comma 2 6 3 3" xfId="415"/>
    <cellStyle name="Comma 2 6 3 3 2" xfId="929"/>
    <cellStyle name="Comma 2 6 3 3 2 2" xfId="1973"/>
    <cellStyle name="Comma 2 6 3 3 3" xfId="1459"/>
    <cellStyle name="Comma 2 6 3 4" xfId="672"/>
    <cellStyle name="Comma 2 6 3 4 2" xfId="1716"/>
    <cellStyle name="Comma 2 6 3 5" xfId="1193"/>
    <cellStyle name="Comma 2 6 4" xfId="218"/>
    <cellStyle name="Comma 2 6 4 2" xfId="487"/>
    <cellStyle name="Comma 2 6 4 2 2" xfId="1001"/>
    <cellStyle name="Comma 2 6 4 2 2 2" xfId="2045"/>
    <cellStyle name="Comma 2 6 4 2 3" xfId="1531"/>
    <cellStyle name="Comma 2 6 4 3" xfId="744"/>
    <cellStyle name="Comma 2 6 4 3 2" xfId="1788"/>
    <cellStyle name="Comma 2 6 4 4" xfId="1269"/>
    <cellStyle name="Comma 2 6 5" xfId="379"/>
    <cellStyle name="Comma 2 6 5 2" xfId="893"/>
    <cellStyle name="Comma 2 6 5 2 2" xfId="1937"/>
    <cellStyle name="Comma 2 6 5 3" xfId="1423"/>
    <cellStyle name="Comma 2 6 6" xfId="636"/>
    <cellStyle name="Comma 2 6 6 2" xfId="1680"/>
    <cellStyle name="Comma 2 6 7" xfId="1155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3" xfId="1585"/>
    <cellStyle name="Comma 2 7 2 3" xfId="798"/>
    <cellStyle name="Comma 2 7 2 3 2" xfId="1842"/>
    <cellStyle name="Comma 2 7 2 4" xfId="1326"/>
    <cellStyle name="Comma 2 7 3" xfId="433"/>
    <cellStyle name="Comma 2 7 3 2" xfId="947"/>
    <cellStyle name="Comma 2 7 3 2 2" xfId="1991"/>
    <cellStyle name="Comma 2 7 3 3" xfId="1477"/>
    <cellStyle name="Comma 2 7 4" xfId="690"/>
    <cellStyle name="Comma 2 7 4 2" xfId="1734"/>
    <cellStyle name="Comma 2 7 5" xfId="1212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3" xfId="1549"/>
    <cellStyle name="Comma 2 8 2 3" xfId="762"/>
    <cellStyle name="Comma 2 8 2 3 2" xfId="1806"/>
    <cellStyle name="Comma 2 8 2 4" xfId="1288"/>
    <cellStyle name="Comma 2 8 3" xfId="397"/>
    <cellStyle name="Comma 2 8 3 2" xfId="911"/>
    <cellStyle name="Comma 2 8 3 2 2" xfId="1955"/>
    <cellStyle name="Comma 2 8 3 3" xfId="1441"/>
    <cellStyle name="Comma 2 8 4" xfId="654"/>
    <cellStyle name="Comma 2 8 4 2" xfId="1698"/>
    <cellStyle name="Comma 2 8 5" xfId="1174"/>
    <cellStyle name="Comma 2 9" xfId="198"/>
    <cellStyle name="Comma 2 9 2" xfId="469"/>
    <cellStyle name="Comma 2 9 2 2" xfId="983"/>
    <cellStyle name="Comma 2 9 2 2 2" xfId="2027"/>
    <cellStyle name="Comma 2 9 2 3" xfId="1513"/>
    <cellStyle name="Comma 2 9 3" xfId="726"/>
    <cellStyle name="Comma 2 9 3 2" xfId="1770"/>
    <cellStyle name="Comma 2 9 4" xfId="1250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3" xfId="1614"/>
    <cellStyle name="Comma 3 2 2 2 2 3" xfId="827"/>
    <cellStyle name="Comma 3 2 2 2 2 3 2" xfId="1871"/>
    <cellStyle name="Comma 3 2 2 2 2 4" xfId="1357"/>
    <cellStyle name="Comma 3 2 2 2 3" xfId="462"/>
    <cellStyle name="Comma 3 2 2 2 3 2" xfId="976"/>
    <cellStyle name="Comma 3 2 2 2 3 2 2" xfId="2020"/>
    <cellStyle name="Comma 3 2 2 2 3 3" xfId="1506"/>
    <cellStyle name="Comma 3 2 2 2 4" xfId="719"/>
    <cellStyle name="Comma 3 2 2 2 4 2" xfId="1763"/>
    <cellStyle name="Comma 3 2 2 2 5" xfId="1243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3" xfId="1578"/>
    <cellStyle name="Comma 3 2 2 3 2 3" xfId="791"/>
    <cellStyle name="Comma 3 2 2 3 2 3 2" xfId="1835"/>
    <cellStyle name="Comma 3 2 2 3 2 4" xfId="1319"/>
    <cellStyle name="Comma 3 2 2 3 3" xfId="426"/>
    <cellStyle name="Comma 3 2 2 3 3 2" xfId="940"/>
    <cellStyle name="Comma 3 2 2 3 3 2 2" xfId="1984"/>
    <cellStyle name="Comma 3 2 2 3 3 3" xfId="1470"/>
    <cellStyle name="Comma 3 2 2 3 4" xfId="683"/>
    <cellStyle name="Comma 3 2 2 3 4 2" xfId="1727"/>
    <cellStyle name="Comma 3 2 2 3 5" xfId="1205"/>
    <cellStyle name="Comma 3 2 2 4" xfId="230"/>
    <cellStyle name="Comma 3 2 2 4 2" xfId="498"/>
    <cellStyle name="Comma 3 2 2 4 2 2" xfId="1012"/>
    <cellStyle name="Comma 3 2 2 4 2 2 2" xfId="2056"/>
    <cellStyle name="Comma 3 2 2 4 2 3" xfId="1542"/>
    <cellStyle name="Comma 3 2 2 4 3" xfId="755"/>
    <cellStyle name="Comma 3 2 2 4 3 2" xfId="1799"/>
    <cellStyle name="Comma 3 2 2 4 4" xfId="1281"/>
    <cellStyle name="Comma 3 2 2 5" xfId="390"/>
    <cellStyle name="Comma 3 2 2 5 2" xfId="904"/>
    <cellStyle name="Comma 3 2 2 5 2 2" xfId="1948"/>
    <cellStyle name="Comma 3 2 2 5 3" xfId="1434"/>
    <cellStyle name="Comma 3 2 2 6" xfId="647"/>
    <cellStyle name="Comma 3 2 2 6 2" xfId="1691"/>
    <cellStyle name="Comma 3 2 2 7" xfId="1167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3" xfId="1596"/>
    <cellStyle name="Comma 3 2 3 2 3" xfId="809"/>
    <cellStyle name="Comma 3 2 3 2 3 2" xfId="1853"/>
    <cellStyle name="Comma 3 2 3 2 4" xfId="1338"/>
    <cellStyle name="Comma 3 2 3 3" xfId="444"/>
    <cellStyle name="Comma 3 2 3 3 2" xfId="958"/>
    <cellStyle name="Comma 3 2 3 3 2 2" xfId="2002"/>
    <cellStyle name="Comma 3 2 3 3 3" xfId="1488"/>
    <cellStyle name="Comma 3 2 3 4" xfId="701"/>
    <cellStyle name="Comma 3 2 3 4 2" xfId="1745"/>
    <cellStyle name="Comma 3 2 3 5" xfId="1224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3" xfId="1560"/>
    <cellStyle name="Comma 3 2 4 2 3" xfId="773"/>
    <cellStyle name="Comma 3 2 4 2 3 2" xfId="1817"/>
    <cellStyle name="Comma 3 2 4 2 4" xfId="1300"/>
    <cellStyle name="Comma 3 2 4 3" xfId="408"/>
    <cellStyle name="Comma 3 2 4 3 2" xfId="922"/>
    <cellStyle name="Comma 3 2 4 3 2 2" xfId="1966"/>
    <cellStyle name="Comma 3 2 4 3 3" xfId="1452"/>
    <cellStyle name="Comma 3 2 4 4" xfId="665"/>
    <cellStyle name="Comma 3 2 4 4 2" xfId="1709"/>
    <cellStyle name="Comma 3 2 4 5" xfId="1186"/>
    <cellStyle name="Comma 3 2 5" xfId="210"/>
    <cellStyle name="Comma 3 2 5 2" xfId="480"/>
    <cellStyle name="Comma 3 2 5 2 2" xfId="994"/>
    <cellStyle name="Comma 3 2 5 2 2 2" xfId="2038"/>
    <cellStyle name="Comma 3 2 5 2 3" xfId="1524"/>
    <cellStyle name="Comma 3 2 5 3" xfId="737"/>
    <cellStyle name="Comma 3 2 5 3 2" xfId="1781"/>
    <cellStyle name="Comma 3 2 5 4" xfId="1262"/>
    <cellStyle name="Comma 3 2 6" xfId="372"/>
    <cellStyle name="Comma 3 2 6 2" xfId="886"/>
    <cellStyle name="Comma 3 2 6 2 2" xfId="1930"/>
    <cellStyle name="Comma 3 2 6 3" xfId="1416"/>
    <cellStyle name="Comma 3 2 7" xfId="629"/>
    <cellStyle name="Comma 3 2 7 2" xfId="1673"/>
    <cellStyle name="Comma 3 2 8" xfId="1148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3" xfId="1605"/>
    <cellStyle name="Comma 3 3 2 2 3" xfId="818"/>
    <cellStyle name="Comma 3 3 2 2 3 2" xfId="1862"/>
    <cellStyle name="Comma 3 3 2 2 4" xfId="1347"/>
    <cellStyle name="Comma 3 3 2 3" xfId="453"/>
    <cellStyle name="Comma 3 3 2 3 2" xfId="967"/>
    <cellStyle name="Comma 3 3 2 3 2 2" xfId="2011"/>
    <cellStyle name="Comma 3 3 2 3 3" xfId="1497"/>
    <cellStyle name="Comma 3 3 2 4" xfId="710"/>
    <cellStyle name="Comma 3 3 2 4 2" xfId="1754"/>
    <cellStyle name="Comma 3 3 2 5" xfId="1233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3" xfId="1569"/>
    <cellStyle name="Comma 3 3 3 2 3" xfId="782"/>
    <cellStyle name="Comma 3 3 3 2 3 2" xfId="1826"/>
    <cellStyle name="Comma 3 3 3 2 4" xfId="1309"/>
    <cellStyle name="Comma 3 3 3 3" xfId="417"/>
    <cellStyle name="Comma 3 3 3 3 2" xfId="931"/>
    <cellStyle name="Comma 3 3 3 3 2 2" xfId="1975"/>
    <cellStyle name="Comma 3 3 3 3 3" xfId="1461"/>
    <cellStyle name="Comma 3 3 3 4" xfId="674"/>
    <cellStyle name="Comma 3 3 3 4 2" xfId="1718"/>
    <cellStyle name="Comma 3 3 3 5" xfId="1195"/>
    <cellStyle name="Comma 3 3 4" xfId="220"/>
    <cellStyle name="Comma 3 3 4 2" xfId="489"/>
    <cellStyle name="Comma 3 3 4 2 2" xfId="1003"/>
    <cellStyle name="Comma 3 3 4 2 2 2" xfId="2047"/>
    <cellStyle name="Comma 3 3 4 2 3" xfId="1533"/>
    <cellStyle name="Comma 3 3 4 3" xfId="746"/>
    <cellStyle name="Comma 3 3 4 3 2" xfId="1790"/>
    <cellStyle name="Comma 3 3 4 4" xfId="1271"/>
    <cellStyle name="Comma 3 3 5" xfId="381"/>
    <cellStyle name="Comma 3 3 5 2" xfId="895"/>
    <cellStyle name="Comma 3 3 5 2 2" xfId="1939"/>
    <cellStyle name="Comma 3 3 5 3" xfId="1425"/>
    <cellStyle name="Comma 3 3 6" xfId="638"/>
    <cellStyle name="Comma 3 3 6 2" xfId="1682"/>
    <cellStyle name="Comma 3 3 7" xfId="1157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3" xfId="1587"/>
    <cellStyle name="Comma 3 4 2 3" xfId="800"/>
    <cellStyle name="Comma 3 4 2 3 2" xfId="1844"/>
    <cellStyle name="Comma 3 4 2 4" xfId="1328"/>
    <cellStyle name="Comma 3 4 3" xfId="435"/>
    <cellStyle name="Comma 3 4 3 2" xfId="949"/>
    <cellStyle name="Comma 3 4 3 2 2" xfId="1993"/>
    <cellStyle name="Comma 3 4 3 3" xfId="1479"/>
    <cellStyle name="Comma 3 4 4" xfId="692"/>
    <cellStyle name="Comma 3 4 4 2" xfId="1736"/>
    <cellStyle name="Comma 3 4 5" xfId="1214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3" xfId="1551"/>
    <cellStyle name="Comma 3 5 2 3" xfId="764"/>
    <cellStyle name="Comma 3 5 2 3 2" xfId="1808"/>
    <cellStyle name="Comma 3 5 2 4" xfId="1290"/>
    <cellStyle name="Comma 3 5 3" xfId="399"/>
    <cellStyle name="Comma 3 5 3 2" xfId="913"/>
    <cellStyle name="Comma 3 5 3 2 2" xfId="1957"/>
    <cellStyle name="Comma 3 5 3 3" xfId="1443"/>
    <cellStyle name="Comma 3 5 4" xfId="656"/>
    <cellStyle name="Comma 3 5 4 2" xfId="1700"/>
    <cellStyle name="Comma 3 5 5" xfId="1176"/>
    <cellStyle name="Comma 3 6" xfId="200"/>
    <cellStyle name="Comma 3 6 2" xfId="471"/>
    <cellStyle name="Comma 3 6 2 2" xfId="985"/>
    <cellStyle name="Comma 3 6 2 2 2" xfId="2029"/>
    <cellStyle name="Comma 3 6 2 3" xfId="1515"/>
    <cellStyle name="Comma 3 6 3" xfId="728"/>
    <cellStyle name="Comma 3 6 3 2" xfId="1772"/>
    <cellStyle name="Comma 3 6 4" xfId="1252"/>
    <cellStyle name="Comma 3 7" xfId="74"/>
    <cellStyle name="Comma 3 7 2" xfId="361"/>
    <cellStyle name="Comma 3 7 2 2" xfId="875"/>
    <cellStyle name="Comma 3 7 2 2 2" xfId="1919"/>
    <cellStyle name="Comma 3 7 2 3" xfId="1405"/>
    <cellStyle name="Comma 3 7 3" xfId="618"/>
    <cellStyle name="Comma 3 7 3 2" xfId="1662"/>
    <cellStyle name="Comma 3 7 4" xfId="1134"/>
    <cellStyle name="Comma 3 8" xfId="1106"/>
    <cellStyle name="Comma 4" xfId="57"/>
    <cellStyle name="Comma 4 10" xfId="111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3" xfId="1617"/>
    <cellStyle name="Comma 4 2 2 2 2 3" xfId="830"/>
    <cellStyle name="Comma 4 2 2 2 2 3 2" xfId="1874"/>
    <cellStyle name="Comma 4 2 2 2 2 4" xfId="1360"/>
    <cellStyle name="Comma 4 2 2 2 3" xfId="465"/>
    <cellStyle name="Comma 4 2 2 2 3 2" xfId="979"/>
    <cellStyle name="Comma 4 2 2 2 3 2 2" xfId="2023"/>
    <cellStyle name="Comma 4 2 2 2 3 3" xfId="1509"/>
    <cellStyle name="Comma 4 2 2 2 4" xfId="722"/>
    <cellStyle name="Comma 4 2 2 2 4 2" xfId="1766"/>
    <cellStyle name="Comma 4 2 2 2 5" xfId="1246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3" xfId="1581"/>
    <cellStyle name="Comma 4 2 2 3 2 3" xfId="794"/>
    <cellStyle name="Comma 4 2 2 3 2 3 2" xfId="1838"/>
    <cellStyle name="Comma 4 2 2 3 2 4" xfId="1322"/>
    <cellStyle name="Comma 4 2 2 3 3" xfId="429"/>
    <cellStyle name="Comma 4 2 2 3 3 2" xfId="943"/>
    <cellStyle name="Comma 4 2 2 3 3 2 2" xfId="1987"/>
    <cellStyle name="Comma 4 2 2 3 3 3" xfId="1473"/>
    <cellStyle name="Comma 4 2 2 3 4" xfId="686"/>
    <cellStyle name="Comma 4 2 2 3 4 2" xfId="1730"/>
    <cellStyle name="Comma 4 2 2 3 5" xfId="1208"/>
    <cellStyle name="Comma 4 2 2 4" xfId="233"/>
    <cellStyle name="Comma 4 2 2 4 2" xfId="501"/>
    <cellStyle name="Comma 4 2 2 4 2 2" xfId="1015"/>
    <cellStyle name="Comma 4 2 2 4 2 2 2" xfId="2059"/>
    <cellStyle name="Comma 4 2 2 4 2 3" xfId="1545"/>
    <cellStyle name="Comma 4 2 2 4 3" xfId="758"/>
    <cellStyle name="Comma 4 2 2 4 3 2" xfId="1802"/>
    <cellStyle name="Comma 4 2 2 4 4" xfId="1284"/>
    <cellStyle name="Comma 4 2 2 5" xfId="393"/>
    <cellStyle name="Comma 4 2 2 5 2" xfId="907"/>
    <cellStyle name="Comma 4 2 2 5 2 2" xfId="1951"/>
    <cellStyle name="Comma 4 2 2 5 3" xfId="1437"/>
    <cellStyle name="Comma 4 2 2 6" xfId="650"/>
    <cellStyle name="Comma 4 2 2 6 2" xfId="1694"/>
    <cellStyle name="Comma 4 2 2 7" xfId="1170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3" xfId="1599"/>
    <cellStyle name="Comma 4 2 3 2 3" xfId="812"/>
    <cellStyle name="Comma 4 2 3 2 3 2" xfId="1856"/>
    <cellStyle name="Comma 4 2 3 2 4" xfId="1341"/>
    <cellStyle name="Comma 4 2 3 3" xfId="447"/>
    <cellStyle name="Comma 4 2 3 3 2" xfId="961"/>
    <cellStyle name="Comma 4 2 3 3 2 2" xfId="2005"/>
    <cellStyle name="Comma 4 2 3 3 3" xfId="1491"/>
    <cellStyle name="Comma 4 2 3 4" xfId="704"/>
    <cellStyle name="Comma 4 2 3 4 2" xfId="1748"/>
    <cellStyle name="Comma 4 2 3 5" xfId="1227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3" xfId="1563"/>
    <cellStyle name="Comma 4 2 4 2 3" xfId="776"/>
    <cellStyle name="Comma 4 2 4 2 3 2" xfId="1820"/>
    <cellStyle name="Comma 4 2 4 2 4" xfId="1303"/>
    <cellStyle name="Comma 4 2 4 3" xfId="411"/>
    <cellStyle name="Comma 4 2 4 3 2" xfId="925"/>
    <cellStyle name="Comma 4 2 4 3 2 2" xfId="1969"/>
    <cellStyle name="Comma 4 2 4 3 3" xfId="1455"/>
    <cellStyle name="Comma 4 2 4 4" xfId="668"/>
    <cellStyle name="Comma 4 2 4 4 2" xfId="1712"/>
    <cellStyle name="Comma 4 2 4 5" xfId="1189"/>
    <cellStyle name="Comma 4 2 5" xfId="213"/>
    <cellStyle name="Comma 4 2 5 2" xfId="483"/>
    <cellStyle name="Comma 4 2 5 2 2" xfId="997"/>
    <cellStyle name="Comma 4 2 5 2 2 2" xfId="2041"/>
    <cellStyle name="Comma 4 2 5 2 3" xfId="1527"/>
    <cellStyle name="Comma 4 2 5 3" xfId="740"/>
    <cellStyle name="Comma 4 2 5 3 2" xfId="1784"/>
    <cellStyle name="Comma 4 2 5 4" xfId="1265"/>
    <cellStyle name="Comma 4 2 6" xfId="375"/>
    <cellStyle name="Comma 4 2 6 2" xfId="889"/>
    <cellStyle name="Comma 4 2 6 2 2" xfId="1933"/>
    <cellStyle name="Comma 4 2 6 3" xfId="1419"/>
    <cellStyle name="Comma 4 2 7" xfId="632"/>
    <cellStyle name="Comma 4 2 7 2" xfId="1676"/>
    <cellStyle name="Comma 4 2 8" xfId="1151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3" xfId="1608"/>
    <cellStyle name="Comma 4 3 2 2 3" xfId="821"/>
    <cellStyle name="Comma 4 3 2 2 3 2" xfId="1865"/>
    <cellStyle name="Comma 4 3 2 2 4" xfId="1350"/>
    <cellStyle name="Comma 4 3 2 3" xfId="456"/>
    <cellStyle name="Comma 4 3 2 3 2" xfId="970"/>
    <cellStyle name="Comma 4 3 2 3 2 2" xfId="2014"/>
    <cellStyle name="Comma 4 3 2 3 3" xfId="1500"/>
    <cellStyle name="Comma 4 3 2 4" xfId="713"/>
    <cellStyle name="Comma 4 3 2 4 2" xfId="1757"/>
    <cellStyle name="Comma 4 3 2 5" xfId="1236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3" xfId="1572"/>
    <cellStyle name="Comma 4 3 3 2 3" xfId="785"/>
    <cellStyle name="Comma 4 3 3 2 3 2" xfId="1829"/>
    <cellStyle name="Comma 4 3 3 2 4" xfId="1312"/>
    <cellStyle name="Comma 4 3 3 3" xfId="420"/>
    <cellStyle name="Comma 4 3 3 3 2" xfId="934"/>
    <cellStyle name="Comma 4 3 3 3 2 2" xfId="1978"/>
    <cellStyle name="Comma 4 3 3 3 3" xfId="1464"/>
    <cellStyle name="Comma 4 3 3 4" xfId="677"/>
    <cellStyle name="Comma 4 3 3 4 2" xfId="1721"/>
    <cellStyle name="Comma 4 3 3 5" xfId="1198"/>
    <cellStyle name="Comma 4 3 4" xfId="223"/>
    <cellStyle name="Comma 4 3 4 2" xfId="492"/>
    <cellStyle name="Comma 4 3 4 2 2" xfId="1006"/>
    <cellStyle name="Comma 4 3 4 2 2 2" xfId="2050"/>
    <cellStyle name="Comma 4 3 4 2 3" xfId="1536"/>
    <cellStyle name="Comma 4 3 4 3" xfId="749"/>
    <cellStyle name="Comma 4 3 4 3 2" xfId="1793"/>
    <cellStyle name="Comma 4 3 4 4" xfId="1274"/>
    <cellStyle name="Comma 4 3 5" xfId="384"/>
    <cellStyle name="Comma 4 3 5 2" xfId="898"/>
    <cellStyle name="Comma 4 3 5 2 2" xfId="1942"/>
    <cellStyle name="Comma 4 3 5 3" xfId="1428"/>
    <cellStyle name="Comma 4 3 6" xfId="641"/>
    <cellStyle name="Comma 4 3 6 2" xfId="1685"/>
    <cellStyle name="Comma 4 3 7" xfId="1160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3" xfId="1590"/>
    <cellStyle name="Comma 4 4 2 3" xfId="803"/>
    <cellStyle name="Comma 4 4 2 3 2" xfId="1847"/>
    <cellStyle name="Comma 4 4 2 4" xfId="1331"/>
    <cellStyle name="Comma 4 4 3" xfId="438"/>
    <cellStyle name="Comma 4 4 3 2" xfId="952"/>
    <cellStyle name="Comma 4 4 3 2 2" xfId="1996"/>
    <cellStyle name="Comma 4 4 3 3" xfId="1482"/>
    <cellStyle name="Comma 4 4 4" xfId="695"/>
    <cellStyle name="Comma 4 4 4 2" xfId="1739"/>
    <cellStyle name="Comma 4 4 5" xfId="1217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3" xfId="1554"/>
    <cellStyle name="Comma 4 5 2 3" xfId="767"/>
    <cellStyle name="Comma 4 5 2 3 2" xfId="1811"/>
    <cellStyle name="Comma 4 5 2 4" xfId="1293"/>
    <cellStyle name="Comma 4 5 3" xfId="402"/>
    <cellStyle name="Comma 4 5 3 2" xfId="916"/>
    <cellStyle name="Comma 4 5 3 2 2" xfId="1960"/>
    <cellStyle name="Comma 4 5 3 3" xfId="1446"/>
    <cellStyle name="Comma 4 5 4" xfId="659"/>
    <cellStyle name="Comma 4 5 4 2" xfId="1703"/>
    <cellStyle name="Comma 4 5 5" xfId="1179"/>
    <cellStyle name="Comma 4 6" xfId="203"/>
    <cellStyle name="Comma 4 6 2" xfId="474"/>
    <cellStyle name="Comma 4 6 2 2" xfId="988"/>
    <cellStyle name="Comma 4 6 2 2 2" xfId="2032"/>
    <cellStyle name="Comma 4 6 2 3" xfId="1518"/>
    <cellStyle name="Comma 4 6 3" xfId="731"/>
    <cellStyle name="Comma 4 6 3 2" xfId="1775"/>
    <cellStyle name="Comma 4 6 4" xfId="1255"/>
    <cellStyle name="Comma 4 7" xfId="77"/>
    <cellStyle name="Comma 4 7 2" xfId="364"/>
    <cellStyle name="Comma 4 7 2 2" xfId="878"/>
    <cellStyle name="Comma 4 7 2 2 2" xfId="1922"/>
    <cellStyle name="Comma 4 7 2 3" xfId="1408"/>
    <cellStyle name="Comma 4 7 3" xfId="621"/>
    <cellStyle name="Comma 4 7 3 2" xfId="1665"/>
    <cellStyle name="Comma 4 7 4" xfId="1137"/>
    <cellStyle name="Comma 4 8" xfId="344"/>
    <cellStyle name="Comma 4 8 2" xfId="858"/>
    <cellStyle name="Comma 4 8 2 2" xfId="1902"/>
    <cellStyle name="Comma 4 8 3" xfId="1388"/>
    <cellStyle name="Comma 4 9" xfId="601"/>
    <cellStyle name="Comma 4 9 2" xfId="1645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3" xfId="1611"/>
    <cellStyle name="Comma 5 2 2 2 3" xfId="824"/>
    <cellStyle name="Comma 5 2 2 2 3 2" xfId="1868"/>
    <cellStyle name="Comma 5 2 2 2 4" xfId="1354"/>
    <cellStyle name="Comma 5 2 2 3" xfId="459"/>
    <cellStyle name="Comma 5 2 2 3 2" xfId="973"/>
    <cellStyle name="Comma 5 2 2 3 2 2" xfId="2017"/>
    <cellStyle name="Comma 5 2 2 3 3" xfId="1503"/>
    <cellStyle name="Comma 5 2 2 4" xfId="716"/>
    <cellStyle name="Comma 5 2 2 4 2" xfId="1760"/>
    <cellStyle name="Comma 5 2 2 5" xfId="1240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3" xfId="1575"/>
    <cellStyle name="Comma 5 2 3 2 3" xfId="788"/>
    <cellStyle name="Comma 5 2 3 2 3 2" xfId="1832"/>
    <cellStyle name="Comma 5 2 3 2 4" xfId="1316"/>
    <cellStyle name="Comma 5 2 3 3" xfId="423"/>
    <cellStyle name="Comma 5 2 3 3 2" xfId="937"/>
    <cellStyle name="Comma 5 2 3 3 2 2" xfId="1981"/>
    <cellStyle name="Comma 5 2 3 3 3" xfId="1467"/>
    <cellStyle name="Comma 5 2 3 4" xfId="680"/>
    <cellStyle name="Comma 5 2 3 4 2" xfId="1724"/>
    <cellStyle name="Comma 5 2 3 5" xfId="1202"/>
    <cellStyle name="Comma 5 2 4" xfId="227"/>
    <cellStyle name="Comma 5 2 4 2" xfId="495"/>
    <cellStyle name="Comma 5 2 4 2 2" xfId="1009"/>
    <cellStyle name="Comma 5 2 4 2 2 2" xfId="2053"/>
    <cellStyle name="Comma 5 2 4 2 3" xfId="1539"/>
    <cellStyle name="Comma 5 2 4 3" xfId="752"/>
    <cellStyle name="Comma 5 2 4 3 2" xfId="1796"/>
    <cellStyle name="Comma 5 2 4 4" xfId="1278"/>
    <cellStyle name="Comma 5 2 5" xfId="387"/>
    <cellStyle name="Comma 5 2 5 2" xfId="901"/>
    <cellStyle name="Comma 5 2 5 2 2" xfId="1945"/>
    <cellStyle name="Comma 5 2 5 3" xfId="1431"/>
    <cellStyle name="Comma 5 2 6" xfId="644"/>
    <cellStyle name="Comma 5 2 6 2" xfId="1688"/>
    <cellStyle name="Comma 5 2 7" xfId="1164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3" xfId="1593"/>
    <cellStyle name="Comma 5 3 2 3" xfId="806"/>
    <cellStyle name="Comma 5 3 2 3 2" xfId="1850"/>
    <cellStyle name="Comma 5 3 2 4" xfId="1335"/>
    <cellStyle name="Comma 5 3 3" xfId="441"/>
    <cellStyle name="Comma 5 3 3 2" xfId="955"/>
    <cellStyle name="Comma 5 3 3 2 2" xfId="1999"/>
    <cellStyle name="Comma 5 3 3 3" xfId="1485"/>
    <cellStyle name="Comma 5 3 4" xfId="698"/>
    <cellStyle name="Comma 5 3 4 2" xfId="1742"/>
    <cellStyle name="Comma 5 3 5" xfId="1221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3" xfId="1557"/>
    <cellStyle name="Comma 5 4 2 3" xfId="770"/>
    <cellStyle name="Comma 5 4 2 3 2" xfId="1814"/>
    <cellStyle name="Comma 5 4 2 4" xfId="1297"/>
    <cellStyle name="Comma 5 4 3" xfId="405"/>
    <cellStyle name="Comma 5 4 3 2" xfId="919"/>
    <cellStyle name="Comma 5 4 3 2 2" xfId="1963"/>
    <cellStyle name="Comma 5 4 3 3" xfId="1449"/>
    <cellStyle name="Comma 5 4 4" xfId="662"/>
    <cellStyle name="Comma 5 4 4 2" xfId="1706"/>
    <cellStyle name="Comma 5 4 5" xfId="1183"/>
    <cellStyle name="Comma 5 5" xfId="207"/>
    <cellStyle name="Comma 5 5 2" xfId="477"/>
    <cellStyle name="Comma 5 5 2 2" xfId="991"/>
    <cellStyle name="Comma 5 5 2 2 2" xfId="2035"/>
    <cellStyle name="Comma 5 5 2 3" xfId="1521"/>
    <cellStyle name="Comma 5 5 3" xfId="734"/>
    <cellStyle name="Comma 5 5 3 2" xfId="1778"/>
    <cellStyle name="Comma 5 5 4" xfId="1259"/>
    <cellStyle name="Comma 5 6" xfId="368"/>
    <cellStyle name="Comma 5 6 2" xfId="882"/>
    <cellStyle name="Comma 5 6 2 2" xfId="1926"/>
    <cellStyle name="Comma 5 6 3" xfId="1412"/>
    <cellStyle name="Comma 5 7" xfId="625"/>
    <cellStyle name="Comma 5 7 2" xfId="1669"/>
    <cellStyle name="Comma 5 8" xfId="1144"/>
    <cellStyle name="Comma 6" xfId="81"/>
    <cellStyle name="Comma 6 2" xfId="104"/>
    <cellStyle name="Comma 6 2 2" xfId="182"/>
    <cellStyle name="Comma 6 2 2 2" xfId="304"/>
    <cellStyle name="Comma 6 2 2 2 2" xfId="1353"/>
    <cellStyle name="Comma 6 2 2 3" xfId="1239"/>
    <cellStyle name="Comma 6 2 3" xfId="143"/>
    <cellStyle name="Comma 6 2 3 2" xfId="265"/>
    <cellStyle name="Comma 6 2 3 2 2" xfId="1315"/>
    <cellStyle name="Comma 6 2 3 3" xfId="1201"/>
    <cellStyle name="Comma 6 2 4" xfId="226"/>
    <cellStyle name="Comma 6 2 4 2" xfId="1277"/>
    <cellStyle name="Comma 6 2 5" xfId="1163"/>
    <cellStyle name="Comma 6 3" xfId="162"/>
    <cellStyle name="Comma 6 3 2" xfId="284"/>
    <cellStyle name="Comma 6 3 2 2" xfId="1334"/>
    <cellStyle name="Comma 6 3 3" xfId="1220"/>
    <cellStyle name="Comma 6 4" xfId="124"/>
    <cellStyle name="Comma 6 4 2" xfId="246"/>
    <cellStyle name="Comma 6 4 2 2" xfId="1296"/>
    <cellStyle name="Comma 6 4 3" xfId="1182"/>
    <cellStyle name="Comma 6 5" xfId="206"/>
    <cellStyle name="Comma 6 5 2" xfId="1258"/>
    <cellStyle name="Comma 6 6" xfId="1141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3" xfId="1602"/>
    <cellStyle name="Comma 7 2 2 3" xfId="815"/>
    <cellStyle name="Comma 7 2 2 3 2" xfId="1859"/>
    <cellStyle name="Comma 7 2 2 4" xfId="1344"/>
    <cellStyle name="Comma 7 2 3" xfId="450"/>
    <cellStyle name="Comma 7 2 3 2" xfId="964"/>
    <cellStyle name="Comma 7 2 3 2 2" xfId="2008"/>
    <cellStyle name="Comma 7 2 3 3" xfId="1494"/>
    <cellStyle name="Comma 7 2 4" xfId="707"/>
    <cellStyle name="Comma 7 2 4 2" xfId="1751"/>
    <cellStyle name="Comma 7 2 5" xfId="1230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3" xfId="1566"/>
    <cellStyle name="Comma 7 3 2 3" xfId="779"/>
    <cellStyle name="Comma 7 3 2 3 2" xfId="1823"/>
    <cellStyle name="Comma 7 3 2 4" xfId="1306"/>
    <cellStyle name="Comma 7 3 3" xfId="414"/>
    <cellStyle name="Comma 7 3 3 2" xfId="928"/>
    <cellStyle name="Comma 7 3 3 2 2" xfId="1972"/>
    <cellStyle name="Comma 7 3 3 3" xfId="1458"/>
    <cellStyle name="Comma 7 3 4" xfId="671"/>
    <cellStyle name="Comma 7 3 4 2" xfId="1715"/>
    <cellStyle name="Comma 7 3 5" xfId="1192"/>
    <cellStyle name="Comma 7 4" xfId="217"/>
    <cellStyle name="Comma 7 4 2" xfId="486"/>
    <cellStyle name="Comma 7 4 2 2" xfId="1000"/>
    <cellStyle name="Comma 7 4 2 2 2" xfId="2044"/>
    <cellStyle name="Comma 7 4 2 3" xfId="1530"/>
    <cellStyle name="Comma 7 4 3" xfId="743"/>
    <cellStyle name="Comma 7 4 3 2" xfId="1787"/>
    <cellStyle name="Comma 7 4 4" xfId="1268"/>
    <cellStyle name="Comma 7 5" xfId="378"/>
    <cellStyle name="Comma 7 5 2" xfId="892"/>
    <cellStyle name="Comma 7 5 2 2" xfId="1936"/>
    <cellStyle name="Comma 7 5 3" xfId="1422"/>
    <cellStyle name="Comma 7 6" xfId="635"/>
    <cellStyle name="Comma 7 6 2" xfId="1679"/>
    <cellStyle name="Comma 7 7" xfId="1154"/>
    <cellStyle name="Comma 8" xfId="153"/>
    <cellStyle name="Comma 8 2" xfId="275"/>
    <cellStyle name="Comma 8 2 2" xfId="540"/>
    <cellStyle name="Comma 8 2 2 2" xfId="1054"/>
    <cellStyle name="Comma 8 2 2 2 2" xfId="2098"/>
    <cellStyle name="Comma 8 2 2 3" xfId="1584"/>
    <cellStyle name="Comma 8 2 3" xfId="797"/>
    <cellStyle name="Comma 8 2 3 2" xfId="1841"/>
    <cellStyle name="Comma 8 2 4" xfId="1325"/>
    <cellStyle name="Comma 8 3" xfId="432"/>
    <cellStyle name="Comma 8 3 2" xfId="946"/>
    <cellStyle name="Comma 8 3 2 2" xfId="1990"/>
    <cellStyle name="Comma 8 3 3" xfId="1476"/>
    <cellStyle name="Comma 8 4" xfId="689"/>
    <cellStyle name="Comma 8 4 2" xfId="1733"/>
    <cellStyle name="Comma 8 5" xfId="1211"/>
    <cellStyle name="Comma 9" xfId="115"/>
    <cellStyle name="Comma 9 2" xfId="237"/>
    <cellStyle name="Comma 9 2 2" xfId="504"/>
    <cellStyle name="Comma 9 2 2 2" xfId="1018"/>
    <cellStyle name="Comma 9 2 2 2 2" xfId="2062"/>
    <cellStyle name="Comma 9 2 2 3" xfId="1548"/>
    <cellStyle name="Comma 9 2 3" xfId="761"/>
    <cellStyle name="Comma 9 2 3 2" xfId="1805"/>
    <cellStyle name="Comma 9 2 4" xfId="1287"/>
    <cellStyle name="Comma 9 3" xfId="396"/>
    <cellStyle name="Comma 9 3 2" xfId="910"/>
    <cellStyle name="Comma 9 3 2 2" xfId="1954"/>
    <cellStyle name="Comma 9 3 3" xfId="1440"/>
    <cellStyle name="Comma 9 4" xfId="653"/>
    <cellStyle name="Comma 9 4 2" xfId="1697"/>
    <cellStyle name="Comma 9 5" xfId="117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G186" sqref="G186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43312</v>
      </c>
    </row>
    <row r="7" spans="1:12" x14ac:dyDescent="0.2">
      <c r="A7" s="107" t="str">
        <f>"Market Profile - "&amp; TEXT($H$3,"MMM")&amp;" "&amp;TEXT($H$3,"YYYY")</f>
        <v>Market Profile - Jul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6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6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7"/>
      <c r="B15" s="282" t="str">
        <f>TEXT($H$3,"MMM")&amp;" "&amp;TEXT($H$3,"YYYY")</f>
        <v>Jul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4447126</v>
      </c>
      <c r="C16" s="127">
        <f>Data!D5</f>
        <v>38143848</v>
      </c>
      <c r="D16" s="249">
        <f>Data!D8</f>
        <v>40468661</v>
      </c>
      <c r="E16" s="286">
        <f>(C16-D16)/ABS(D16)</f>
        <v>-5.744724294189027E-2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6624.5588710000002</v>
      </c>
      <c r="C17" s="127">
        <f>Data!B5/1000000</f>
        <v>51535.319271</v>
      </c>
      <c r="D17" s="249">
        <f>Data!B8/1000000</f>
        <v>45048.152880000001</v>
      </c>
      <c r="E17" s="286">
        <f t="shared" ref="E17:E18" si="0">(C17-D17)/ABS(D17)</f>
        <v>0.14400515839751782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371207.46583020792</v>
      </c>
      <c r="C18" s="127">
        <f>Data!C5/1000000</f>
        <v>3312573.5246633068</v>
      </c>
      <c r="D18" s="249">
        <f>Data!C8/1000000</f>
        <v>2968247.1121353772</v>
      </c>
      <c r="E18" s="286">
        <f t="shared" si="0"/>
        <v>0.1160032839315116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1826</v>
      </c>
      <c r="C21" s="127">
        <f>Data!F5</f>
        <v>16128</v>
      </c>
      <c r="D21" s="249">
        <f>Data!F8</f>
        <v>20349</v>
      </c>
      <c r="E21" s="286">
        <f>(C21-D21)/ABS(D21)</f>
        <v>-0.20743034055727555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961.10192099999995</v>
      </c>
      <c r="C22" s="127">
        <f>Data!G5/1000000</f>
        <v>5252.7183759999998</v>
      </c>
      <c r="D22" s="249">
        <f>Data!G8/1000000</f>
        <v>3902.0221820000002</v>
      </c>
      <c r="E22" s="286">
        <f t="shared" ref="E22:E23" si="1">(C22-D22)/ABS(D22)</f>
        <v>0.34615287433032832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32494.111604527967</v>
      </c>
      <c r="C23" s="128">
        <f>Data!H5/1000000</f>
        <v>233412.91078184152</v>
      </c>
      <c r="D23" s="290">
        <f>Data!H8/1000000</f>
        <v>186987.69314607742</v>
      </c>
      <c r="E23" s="291">
        <f t="shared" si="1"/>
        <v>0.24827953569915462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Jul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72010.555855979997</v>
      </c>
      <c r="C29" s="249">
        <f>Data!O5/1000000</f>
        <v>689175.48895758996</v>
      </c>
      <c r="D29" s="249">
        <f>Data!O8/1000000</f>
        <v>507185.25822026003</v>
      </c>
      <c r="E29" s="195">
        <f>C29-D29</f>
        <v>181990.23073732993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-76301.193218440007</v>
      </c>
      <c r="C30" s="249">
        <f>Data!P5/1000000</f>
        <v>-675951.09368224</v>
      </c>
      <c r="D30" s="249">
        <f>Data!P8/1000000</f>
        <v>-570436.67572694994</v>
      </c>
      <c r="E30" s="195">
        <f>C30-D30</f>
        <v>-105514.41795529006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-4290.6373624600001</v>
      </c>
      <c r="C31" s="298">
        <f>Data!Q5/1000000</f>
        <v>13224.39527535</v>
      </c>
      <c r="D31" s="298">
        <f>Data!Q8/1000000</f>
        <v>-63251.417506689999</v>
      </c>
      <c r="E31" s="299">
        <f>C31-D31</f>
        <v>76475.812782039997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Jul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22476</v>
      </c>
      <c r="C38" s="287">
        <f>Data!CK6</f>
        <v>182627</v>
      </c>
      <c r="D38" s="287">
        <f>Data!CK11</f>
        <v>161534</v>
      </c>
      <c r="E38" s="286">
        <f t="shared" ref="E38:E40" si="2">IFERROR(IF(OR(AND(D38="",C38=""),AND(D38=0,C38=0)),"",
IF(OR(D38="",D38=0),1,
IF(OR(D38&lt;&gt;"",D38&lt;&gt;0),(C38-D38)/ABS(D38)))),-1)</f>
        <v>0.13057932076219247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630677.98723299999</v>
      </c>
      <c r="C39" s="287">
        <f>Data!CK7/1000000</f>
        <v>5551554.8365420001</v>
      </c>
      <c r="D39" s="287">
        <f>Data!CK12/1000000</f>
        <v>4221823.1443410004</v>
      </c>
      <c r="E39" s="286">
        <f t="shared" si="2"/>
        <v>0.31496622353387621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649896.48482331925</v>
      </c>
      <c r="C40" s="287">
        <f>Data!CK8/1000000</f>
        <v>5781835.9899652824</v>
      </c>
      <c r="D40" s="287">
        <f>Data!CK13/1000000</f>
        <v>4461882.3213319555</v>
      </c>
      <c r="E40" s="286">
        <f t="shared" si="2"/>
        <v>0.29582888421837533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15690</v>
      </c>
      <c r="C43" s="287">
        <f>Data!CN6</f>
        <v>91999</v>
      </c>
      <c r="D43" s="287">
        <f>Data!CN11</f>
        <v>88133</v>
      </c>
      <c r="E43" s="286">
        <f t="shared" ref="E43:E45" si="3">IFERROR(IF(OR(AND(D43="",C43=""),AND(D43=0,C43=0)),"",
IF(OR(D43="",D43=0),1,
IF(OR(D43&lt;&gt;"",D43&lt;&gt;0),(C43-D43)/ABS(D43)))),-1)</f>
        <v>4.3865521427842009E-2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1962263.8104010001</v>
      </c>
      <c r="C44" s="287">
        <f>Data!CN7/1000000</f>
        <v>11797077.659305001</v>
      </c>
      <c r="D44" s="287">
        <f>Data!CN12/1000000</f>
        <v>10974672.058970001</v>
      </c>
      <c r="E44" s="286">
        <f t="shared" si="3"/>
        <v>7.4936690218712992E-2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1886322.833202658</v>
      </c>
      <c r="C45" s="287">
        <f>Data!CN8/1000000</f>
        <v>11764376.340267578</v>
      </c>
      <c r="D45" s="287">
        <f>Data!CN13/1000000</f>
        <v>10733125.801780425</v>
      </c>
      <c r="E45" s="286">
        <f t="shared" si="3"/>
        <v>9.6081100467124675E-2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556</v>
      </c>
      <c r="C48" s="127">
        <f>Data!CQ6</f>
        <v>4813</v>
      </c>
      <c r="D48" s="249">
        <f>Data!CQ11</f>
        <v>4208</v>
      </c>
      <c r="E48" s="286">
        <f t="shared" ref="E48:E50" si="4">IFERROR(IF(OR(AND(D48="",C48=""),AND(D48=0,C48=0)),"",
IF(OR(D48="",D48=0),1,
IF(OR(D48&lt;&gt;"",D48&lt;&gt;0),(C48-D48)/ABS(D48)))),-1)</f>
        <v>0.14377376425855512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33725.488345999998</v>
      </c>
      <c r="C49" s="127">
        <f>Data!CQ7/1000000</f>
        <v>354577.143545</v>
      </c>
      <c r="D49" s="249">
        <f>Data!CQ12/1000000</f>
        <v>282519.96406099998</v>
      </c>
      <c r="E49" s="286">
        <f t="shared" si="4"/>
        <v>0.25505163758424476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9412.6479650999991</v>
      </c>
      <c r="C50" s="128">
        <f>Data!CQ8/1000000</f>
        <v>109260.25555487002</v>
      </c>
      <c r="D50" s="290">
        <f>Data!CQ13/1000000</f>
        <v>82006.096487919989</v>
      </c>
      <c r="E50" s="291">
        <f t="shared" si="4"/>
        <v>0.33234308465059959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Jul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87626.160858000003</v>
      </c>
      <c r="C57" s="287">
        <f>(SUMIFS(Data!$CZ$1:$CZ$12,Data!$CU$1:$CU$12,"Standard Trade")+SUMIFS(Data!$CZ$1:$CZ$12,Data!$CU$1:$CU$12,"Standard Trade (Spot)"))/1000000</f>
        <v>698668.30971499998</v>
      </c>
      <c r="D57" s="287">
        <f>(SUMIFS(Data!$CZ$27:$CZ$38,Data!$CU$27:$CU$38,"Standard Trade")+SUMIFS(Data!$CZ$27:$CZ$38,Data!$CU$27:$CU$38,"Standard Trade (Spot)"))/1000000</f>
        <v>586100.99910000002</v>
      </c>
      <c r="E57" s="195">
        <f>C57-D57</f>
        <v>112567.31061499997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80261.780759000001</v>
      </c>
      <c r="C58" s="287">
        <f>(SUMIFS(Data!$DC$1:$DC$12,Data!$CU$1:$CU$12,"Standard Trade")+SUMIFS(Data!$DC$1:$DC$12,Data!$CU$1:$CU$12,"Standard Trade (Spot)"))/1000000</f>
        <v>727028.35068799998</v>
      </c>
      <c r="D58" s="287">
        <f>(SUMIFS(Data!$DC$27:$DC$38,Data!$CU$27:$CU$38,"Standard Trade")+SUMIFS(Data!$DC$27:$DC$38,Data!$CU$27:$CU$38,"Standard Trade (Spot)"))/1000000</f>
        <v>532313.30239299999</v>
      </c>
      <c r="E58" s="195">
        <f>C58-D58</f>
        <v>194715.04829499999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7364.3800990000018</v>
      </c>
      <c r="C59" s="298">
        <f t="shared" ref="C59" si="5">C57-C58</f>
        <v>-28360.040972999996</v>
      </c>
      <c r="D59" s="298">
        <f>D57-D58</f>
        <v>53787.696707000025</v>
      </c>
      <c r="E59" s="298">
        <f>E57-E58</f>
        <v>-82147.73768000002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Jul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244898</v>
      </c>
      <c r="C67" s="249">
        <f>Data!BR2</f>
        <v>1913003</v>
      </c>
      <c r="D67" s="249">
        <f>Data!BR8</f>
        <v>1860048</v>
      </c>
      <c r="E67" s="286">
        <f>IFERROR(IF(OR(AND(D67="",C67=""),AND(D67=0,C67=0)),"",
IF(OR(D67="",D67=0),1,
IF(OR(D67&lt;&gt;"",D67&lt;&gt;0),(C67-D67)/ABS(D67)))),-1)</f>
        <v>2.8469695405709962E-2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3478.65</v>
      </c>
      <c r="C68" s="249">
        <f>Data!BQ2/1000</f>
        <v>66120.98</v>
      </c>
      <c r="D68" s="249">
        <f>Data!BQ8/1000</f>
        <v>173114.75</v>
      </c>
      <c r="E68" s="286">
        <f t="shared" ref="E68:E70" si="6">IFERROR(IF(OR(AND(D68="",C68=""),AND(D68=0,C68=0)),"",
IF(OR(D68="",D68=0),1,
IF(OR(D68&lt;&gt;"",D68&lt;&gt;0),(C68-D68)/ABS(D68)))),-1)</f>
        <v>-0.61805114815462003</v>
      </c>
      <c r="F68" s="369">
        <f>293558739/1000</f>
        <v>293558.739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278.68833837747974</v>
      </c>
      <c r="C69" s="249">
        <f>Data!BP2/1000000000</f>
        <v>3364.6274255296112</v>
      </c>
      <c r="D69" s="249">
        <f>Data!BP8/1000000000</f>
        <v>3288.6632073157211</v>
      </c>
      <c r="E69" s="286">
        <f t="shared" si="6"/>
        <v>2.3098813537642152E-2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7178906</v>
      </c>
      <c r="C70" s="249">
        <f>B70</f>
        <v>7178906</v>
      </c>
      <c r="D70" s="249">
        <f>Data!BP14</f>
        <v>32749366</v>
      </c>
      <c r="E70" s="286">
        <f t="shared" si="6"/>
        <v>-0.78079251976969566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694</v>
      </c>
      <c r="C73" s="249">
        <f>Data!BR5</f>
        <v>6798</v>
      </c>
      <c r="D73" s="249">
        <f>Data!BR11</f>
        <v>16388</v>
      </c>
      <c r="E73" s="286">
        <f t="shared" ref="E73:E76" si="7">IFERROR(IF(OR(AND(D73="",C73=""),AND(D73=0,C73=0)),"",
IF(OR(D73="",D73=0),1,
IF(OR(D73&lt;&gt;"",D73&lt;&gt;0),(C73-D73)/ABS(D73)))),-1)</f>
        <v>-0.58518428118135224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718.41</v>
      </c>
      <c r="C74" s="249">
        <f>Data!BQ5/1000</f>
        <v>8824.0490000000009</v>
      </c>
      <c r="D74" s="249">
        <f>Data!BQ11/1000</f>
        <v>11334.053</v>
      </c>
      <c r="E74" s="286">
        <f t="shared" si="7"/>
        <v>-0.22145687866467528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2.0352129697799999</v>
      </c>
      <c r="C75" s="249">
        <f>Data!BP5/1000000000</f>
        <v>20.618417218680001</v>
      </c>
      <c r="D75" s="249">
        <f>Data!BP11/1000000000</f>
        <v>24.72558647856</v>
      </c>
      <c r="E75" s="286">
        <f t="shared" si="7"/>
        <v>-0.16611008452484632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2234514</v>
      </c>
      <c r="C76" s="249">
        <f>B76</f>
        <v>2234514</v>
      </c>
      <c r="D76" s="249">
        <f>Data!BP17</f>
        <v>3444678</v>
      </c>
      <c r="E76" s="286">
        <f t="shared" si="7"/>
        <v>-0.35131411412039093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Jul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Jul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1657</v>
      </c>
      <c r="C103" s="249">
        <f>Data!BR32</f>
        <v>8738</v>
      </c>
      <c r="D103" s="249">
        <f>Data!BR38</f>
        <v>6870</v>
      </c>
      <c r="E103" s="286">
        <f t="shared" ref="E103:E106" si="8">IFERROR(IF(OR(AND(D103="",C103=""),AND(D103=0,C103=0)),"",
IF(OR(D103="",D103=0),1,
IF(OR(D103&lt;&gt;"",D103&lt;&gt;0),(C103-D103)/ABS(D103)))),-1)</f>
        <v>0.27190684133915577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1778805</v>
      </c>
      <c r="C104" s="249">
        <f>Data!BQ32</f>
        <v>8331067</v>
      </c>
      <c r="D104" s="249">
        <f>Data!BQ38</f>
        <v>6770707</v>
      </c>
      <c r="E104" s="286">
        <f t="shared" si="8"/>
        <v>0.23045746921259477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204076.25726987002</v>
      </c>
      <c r="C105" s="249">
        <f>Data!BP32/1000000</f>
        <v>932530.09581093001</v>
      </c>
      <c r="D105" s="249">
        <f>Data!BP38/1000000</f>
        <v>775191.51468072995</v>
      </c>
      <c r="E105" s="286">
        <f t="shared" si="8"/>
        <v>0.2029673676123783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1259929</v>
      </c>
      <c r="C106" s="249">
        <f>B106</f>
        <v>1259929</v>
      </c>
      <c r="D106" s="249">
        <f>Data!BP44</f>
        <v>1145369</v>
      </c>
      <c r="E106" s="286">
        <f t="shared" si="8"/>
        <v>0.10002016817287704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74</v>
      </c>
      <c r="C109" s="127">
        <f>Data!BR35</f>
        <v>466</v>
      </c>
      <c r="D109" s="127">
        <f>Data!BR41</f>
        <v>220</v>
      </c>
      <c r="E109" s="286">
        <f t="shared" ref="E109:E112" si="9">IFERROR(IF(OR(AND(D109="",C109=""),AND(D109=0,C109=0)),"",
IF(OR(D109="",D109=0),1,
IF(OR(D109&lt;&gt;"",D109&lt;&gt;0),(C109-D109)/ABS(D109)))),-1)</f>
        <v>1.1181818181818182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28655</v>
      </c>
      <c r="C110" s="127">
        <f>Data!BQ35</f>
        <v>233009</v>
      </c>
      <c r="D110" s="127">
        <f>Data!BQ41</f>
        <v>97037</v>
      </c>
      <c r="E110" s="286">
        <f t="shared" si="9"/>
        <v>1.4012387027628637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3001.6531369200002</v>
      </c>
      <c r="C111" s="127">
        <f>Data!BP35/1000000</f>
        <v>23623.34241012</v>
      </c>
      <c r="D111" s="127">
        <f>Data!BP41/1000000</f>
        <v>9766.4601648299995</v>
      </c>
      <c r="E111" s="286">
        <f t="shared" si="9"/>
        <v>1.4188234028937137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98005</v>
      </c>
      <c r="C112" s="128">
        <f>B112</f>
        <v>98005</v>
      </c>
      <c r="D112" s="128">
        <f>Data!BP47</f>
        <v>49751</v>
      </c>
      <c r="E112" s="291">
        <f t="shared" si="9"/>
        <v>0.96991015255974755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Jul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3601</v>
      </c>
      <c r="C121" s="249">
        <f>Data!BR60</f>
        <v>27500</v>
      </c>
      <c r="D121" s="249">
        <f>Data!BR66</f>
        <v>38455</v>
      </c>
      <c r="E121" s="286">
        <f t="shared" ref="E121:E123" si="10">IFERROR(IF(OR(AND(D121="",C121=""),AND(D121=0,C121=0)),"",
IF(OR(D121="",D121=0),1,
IF(OR(D121&lt;&gt;"",D121&lt;&gt;0),(C121-D121)/ABS(D121)))),-1)</f>
        <v>-0.28487842933298663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1696154</v>
      </c>
      <c r="C122" s="249">
        <f>Data!BQ60</f>
        <v>23707552</v>
      </c>
      <c r="D122" s="249">
        <f>Data!BQ66</f>
        <v>28349532</v>
      </c>
      <c r="E122" s="286">
        <f t="shared" si="10"/>
        <v>-0.16374097463055123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23153.800182200001</v>
      </c>
      <c r="C123" s="249">
        <f>Data!BP60/1000000</f>
        <v>310293.71485572896</v>
      </c>
      <c r="D123" s="249">
        <f>Data!BP66/1000000</f>
        <v>383987.45438299997</v>
      </c>
      <c r="E123" s="286">
        <f t="shared" si="10"/>
        <v>-0.19191705011738949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1216666</v>
      </c>
      <c r="C124" s="249">
        <f>B124</f>
        <v>1216666</v>
      </c>
      <c r="D124" s="249">
        <f>VLOOKUP("Future",Data!$BP$71:$BQ$73,2,FALSE)</f>
        <v>1685544</v>
      </c>
      <c r="E124" s="286">
        <f>IFERROR(IF(OR(AND(D124="",C124=""),AND(D124=0,C124=0)),"",
IF(OR(D124="",D124=0),1,
IF(OR(D124&lt;&gt;"",D124&lt;&gt;0),(C124-D124)/ABS(D124)))),-1)</f>
        <v>-0.27817606659927002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172</v>
      </c>
      <c r="C127" s="249">
        <f>Data!BR63</f>
        <v>1718</v>
      </c>
      <c r="D127" s="249">
        <f>Data!BR69</f>
        <v>1673</v>
      </c>
      <c r="E127" s="286">
        <f t="shared" ref="E127:E129" si="11">IFERROR(IF(OR(AND(D127="",C127=""),AND(D127=0,C127=0)),"",
IF(OR(D127="",D127=0),1,
IF(OR(D127&lt;&gt;"",D127&lt;&gt;0),(C127-D127)/ABS(D127)))),-1)</f>
        <v>2.6897788404064555E-2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1116956</v>
      </c>
      <c r="C128" s="249">
        <f>Data!BQ63</f>
        <v>13351815</v>
      </c>
      <c r="D128" s="249">
        <f>Data!BQ69</f>
        <v>8025120</v>
      </c>
      <c r="E128" s="286">
        <f t="shared" si="11"/>
        <v>0.66375269154853755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20541.745391799999</v>
      </c>
      <c r="C129" s="249">
        <f>Data!BP63/1000000</f>
        <v>236708.71065882497</v>
      </c>
      <c r="D129" s="249">
        <f>Data!BP69/1000000</f>
        <v>111665.8661598</v>
      </c>
      <c r="E129" s="286">
        <f t="shared" si="11"/>
        <v>1.1197946946480652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3494089</v>
      </c>
      <c r="C130" s="249">
        <f>MarketProfile!B130</f>
        <v>3494089</v>
      </c>
      <c r="D130" s="249">
        <f>VLOOKUP("Option",Data!$BP$71:$BQ$73,2,FALSE)</f>
        <v>2340634</v>
      </c>
      <c r="E130" s="286">
        <f>IFERROR(IF(OR(AND(D130="",C130=""),AND(D130=0,C130=0)),"",
IF(OR(D130="",D130=0),1,
IF(OR(D130&lt;&gt;"",D130&lt;&gt;0),(C130-D130)/ABS(D130)))),-1)</f>
        <v>0.49279596895541977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Jul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31559</v>
      </c>
      <c r="C138" s="249">
        <f>Data!BR76</f>
        <v>221264</v>
      </c>
      <c r="D138" s="249">
        <f>Data!BR82</f>
        <v>205978</v>
      </c>
      <c r="E138" s="286">
        <f>IFERROR(IF(OR(AND(D138="",C138=""),AND(D138=0,C138=0)),"",
IF(OR(D138="",D138=0),1,
IF(OR(D138&lt;&gt;"",D138&lt;&gt;0),(C138-D138)/ABS(D138)))),-1)</f>
        <v>7.421180902814864E-2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247.358</v>
      </c>
      <c r="C139" s="249">
        <f>Data!BQ76</f>
        <v>1738859</v>
      </c>
      <c r="D139" s="249">
        <f>Data!BQ82</f>
        <v>1605268</v>
      </c>
      <c r="E139" s="286">
        <f t="shared" ref="E139:E141" si="12">IFERROR(IF(OR(AND(D139="",C139=""),AND(D139=0,C139=0)),"",
IF(OR(D139="",D139=0),1,
IF(OR(D139&lt;&gt;"",D139&lt;&gt;0),(C139-D139)/ABS(D139)))),-1)</f>
        <v>8.3220371925435507E-2</v>
      </c>
      <c r="F139" s="366">
        <f>2718489/1000</f>
        <v>2718.489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51324.375790775994</v>
      </c>
      <c r="C140" s="249">
        <f>Data!BP76/1000000</f>
        <v>359702.37130469497</v>
      </c>
      <c r="D140" s="249">
        <f>Data!BP82/1000000</f>
        <v>339297.29533761193</v>
      </c>
      <c r="E140" s="286">
        <f t="shared" si="12"/>
        <v>6.0139223764749804E-2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131717</v>
      </c>
      <c r="C141" s="249">
        <f>B141</f>
        <v>131717</v>
      </c>
      <c r="D141" s="249">
        <f>Data!BP88</f>
        <v>130000</v>
      </c>
      <c r="E141" s="286">
        <f t="shared" si="12"/>
        <v>1.3207692307692307E-2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1973</v>
      </c>
      <c r="C144" s="249">
        <f>Data!BR79</f>
        <v>15882</v>
      </c>
      <c r="D144" s="249">
        <f>Data!BR85</f>
        <v>17388</v>
      </c>
      <c r="E144" s="286">
        <f>IFERROR(IF(OR(AND(D144="",C144=""),AND(D144=0,C144=0)),"",
IF(OR(D144="",D144=0),1,
IF(OR(D144&lt;&gt;"",D144&lt;&gt;0),(C144-D144)/ABS(D144)))),-1)</f>
        <v>-8.6611456176673568E-2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22.096</v>
      </c>
      <c r="C145" s="249">
        <f>Data!BQ79</f>
        <v>160698</v>
      </c>
      <c r="D145" s="249">
        <f>Data!BQ85</f>
        <v>166566</v>
      </c>
      <c r="E145" s="286">
        <f t="shared" ref="E145:E146" si="13">IFERROR(IF(OR(AND(D145="",C145=""),AND(D145=0,C145=0)),"",
IF(OR(D145="",D145=0),1,
IF(OR(D145&lt;&gt;"",D145&lt;&gt;0),(C145-D145)/ABS(D145)))),-1)</f>
        <v>-3.5229278484204457E-2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181.63302674000002</v>
      </c>
      <c r="C146" s="249">
        <f>Data!BP79/1000000</f>
        <v>1170.9023861799901</v>
      </c>
      <c r="D146" s="249">
        <f>Data!BP85/1000000</f>
        <v>2013.7765138699901</v>
      </c>
      <c r="E146" s="286">
        <f t="shared" si="13"/>
        <v>-0.41855395665043305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42122</v>
      </c>
      <c r="C147" s="249">
        <f>B147</f>
        <v>42122</v>
      </c>
      <c r="D147" s="249">
        <f>Data!BP91</f>
        <v>36170</v>
      </c>
      <c r="E147" s="286">
        <f>IFERROR(IF(OR(AND(D147="",C147=""),AND(D147=0,C147=0)),"",
IF(OR(D147="",D147=0),1,
IF(OR(D147&lt;&gt;"",D147&lt;&gt;0),(C147-D147)/ABS(D147)))),-1)</f>
        <v>0.16455626209565938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Jul 2018</v>
      </c>
      <c r="C153" s="282" t="str">
        <f>TEXT(DATE(2000,TEXT(H3,"M")-1,1),"mmm")&amp; " "&amp; TEXT(H3,"YYYY")</f>
        <v>Jun 2018</v>
      </c>
      <c r="D153" s="284" t="s">
        <v>121</v>
      </c>
      <c r="E153" s="282"/>
      <c r="F153" s="282"/>
      <c r="G153" s="282" t="str">
        <f>TEXT($H$3,"MMM")&amp;" "&amp;TEXT($H$3,"YYYY")</f>
        <v>Jul 2018</v>
      </c>
      <c r="H153" s="282" t="str">
        <f>TEXT($H$3,"MMM")&amp;" "&amp;TEXT($H$3,"YYYY")-1</f>
        <v>Jul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158614.87811749533</v>
      </c>
      <c r="C154" s="322">
        <f>VLOOKUP("ABuy",Data!$J$7:$M$11,4,FALSE)/1000000</f>
        <v>217801.84594217129</v>
      </c>
      <c r="D154" s="186">
        <f>((B154/C154)-1)</f>
        <v>-0.27174686040260065</v>
      </c>
      <c r="E154" s="322"/>
      <c r="F154" s="322"/>
      <c r="G154" s="322">
        <f>VLOOKUP("Abuy",Data!$J$13:$M$17,4,FALSE)/1000000</f>
        <v>148730.62036095999</v>
      </c>
      <c r="H154" s="322">
        <f>VLOOKUP("Abuy",Data!$J$19:$M$23,4,FALSE)/1000000</f>
        <v>206624.5511093</v>
      </c>
      <c r="I154" s="200">
        <f>((G154/H154)-1)</f>
        <v>-0.28018902128293233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155303.34720278191</v>
      </c>
      <c r="C155" s="322">
        <f>VLOOKUP("Asell",Data!$J$7:$M$11,4,FALSE)/1000000</f>
        <v>226693.49500223793</v>
      </c>
      <c r="D155" s="200">
        <f t="shared" ref="D155:D157" si="14">((B155/C155)-1)</f>
        <v>-0.31491926046996299</v>
      </c>
      <c r="E155" s="322"/>
      <c r="F155" s="322"/>
      <c r="G155" s="322">
        <f>VLOOKUP("Asell",Data!$J$13:$M$17,4,FALSE)/1000000</f>
        <v>146115.88934876001</v>
      </c>
      <c r="H155" s="322">
        <f>VLOOKUP("Asell",Data!$J$19:$M$23,4,FALSE)/1000000</f>
        <v>216856.94432875002</v>
      </c>
      <c r="I155" s="200">
        <f t="shared" ref="I155:I157" si="15">((G155/H155)-1)</f>
        <v>-0.32621069709784456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212592.58771271264</v>
      </c>
      <c r="C156" s="322">
        <f>VLOOKUP("Pbuy",Data!$J$7:$M$11,4,FALSE)/1000000</f>
        <v>273956.09164065268</v>
      </c>
      <c r="D156" s="200">
        <f t="shared" si="14"/>
        <v>-0.22399028822629852</v>
      </c>
      <c r="E156" s="322"/>
      <c r="F156" s="322"/>
      <c r="G156" s="322">
        <f>VLOOKUP("Pbuy",Data!$J$13:$M$17,4,FALSE)/1000000</f>
        <v>189982.73386472001</v>
      </c>
      <c r="H156" s="322">
        <f>VLOOKUP("Pbuy",Data!$J$19:$M$23,4,FALSE)/1000000</f>
        <v>252099.71784847</v>
      </c>
      <c r="I156" s="200">
        <f t="shared" si="15"/>
        <v>-0.24639846689985889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215904.11862742607</v>
      </c>
      <c r="C157" s="322">
        <f>VLOOKUP("Psell",Data!$J$7:$M$11,4,FALSE)/1000000</f>
        <v>265064.44258058601</v>
      </c>
      <c r="D157" s="200">
        <f t="shared" si="14"/>
        <v>-0.18546555499692874</v>
      </c>
      <c r="E157" s="322"/>
      <c r="F157" s="322"/>
      <c r="G157" s="322">
        <f>VLOOKUP("Psell",Data!$J$13:$M$17,4,FALSE)/1000000</f>
        <v>192597.46487692001</v>
      </c>
      <c r="H157" s="322">
        <f>VLOOKUP("Psell",Data!$J$19:$M$23,4,FALSE)/1000000</f>
        <v>241867.32462901997</v>
      </c>
      <c r="I157" s="200">
        <f t="shared" si="15"/>
        <v>-0.20370614272792276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9" t="s">
        <v>128</v>
      </c>
      <c r="E160" s="389"/>
      <c r="F160" s="284" t="s">
        <v>129</v>
      </c>
      <c r="G160" s="385" t="s">
        <v>130</v>
      </c>
      <c r="H160" s="385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8">
        <v>1959547</v>
      </c>
      <c r="E162" s="388"/>
      <c r="F162" s="335">
        <v>42349</v>
      </c>
      <c r="G162" s="388">
        <v>7331360</v>
      </c>
      <c r="H162" s="388"/>
      <c r="I162" s="198" t="s">
        <v>534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88">
        <f>2513652909/1000000</f>
        <v>2513.6529089999999</v>
      </c>
      <c r="E163" s="388"/>
      <c r="F163" s="335">
        <v>42349</v>
      </c>
      <c r="G163" s="388">
        <v>9748834</v>
      </c>
      <c r="H163" s="388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88">
        <v>165827</v>
      </c>
      <c r="E164" s="388"/>
      <c r="F164" s="335">
        <v>42631</v>
      </c>
      <c r="G164" s="388">
        <v>612552</v>
      </c>
      <c r="H164" s="388"/>
      <c r="I164" s="205" t="s">
        <v>534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Jul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">
        <v>671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7" t="s">
        <v>209</v>
      </c>
      <c r="G182" s="397"/>
      <c r="H182" s="397"/>
      <c r="I182" s="397"/>
    </row>
    <row r="183" spans="1:11" ht="15.75" thickBot="1" x14ac:dyDescent="0.3">
      <c r="A183" s="295"/>
      <c r="B183" s="320" t="str">
        <f>TEXT(DATE(2000,TEXT(H3,"M")-1,1),"mmm")&amp; " "&amp; TEXT(H3,"YYYY")</f>
        <v>Jun 2018</v>
      </c>
      <c r="C183" s="284" t="s">
        <v>16</v>
      </c>
      <c r="D183" s="320" t="str">
        <f>TEXT(DATE(2000,TEXT(H3,"M")-1,1),"mmm")&amp; " "&amp; TEXT(H3,"YYYY")-1</f>
        <v>Jun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369">
        <v>1061518</v>
      </c>
      <c r="C184" s="369">
        <v>18</v>
      </c>
      <c r="D184" s="369">
        <v>1029913.70594954</v>
      </c>
      <c r="E184" s="345">
        <v>18</v>
      </c>
      <c r="F184" s="305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369">
        <v>35892.905471983177</v>
      </c>
      <c r="C185" s="345">
        <v>19</v>
      </c>
      <c r="D185" s="369">
        <v>40232.234547364009</v>
      </c>
      <c r="E185" s="345">
        <v>19</v>
      </c>
      <c r="F185" s="305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363">
        <v>0.42</v>
      </c>
      <c r="C186" s="345">
        <v>25</v>
      </c>
      <c r="D186" s="403">
        <v>0.35801902453904583</v>
      </c>
      <c r="E186" s="345">
        <v>30</v>
      </c>
      <c r="F186" s="305">
        <v>30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363">
        <v>0.37849748099333413</v>
      </c>
      <c r="C187" s="345">
        <v>23</v>
      </c>
      <c r="D187" s="403">
        <v>0.42535700329222526</v>
      </c>
      <c r="E187" s="345">
        <v>24</v>
      </c>
      <c r="F187" s="305">
        <v>25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Jul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983.9998233</v>
      </c>
      <c r="C197" s="361">
        <f>SUMIF(Data!$DJ$1:$DJ$15,"AS",Data!$DK$1:$DK$15)/1000000</f>
        <v>3443.8977248800002</v>
      </c>
      <c r="D197" s="361">
        <f>SUMIF(Data!$DM$1:$DM$15,"AS",Data!$DN$1:$DN$15)/1000000</f>
        <v>6982.0326233100004</v>
      </c>
      <c r="E197" s="363">
        <f>IFERROR(IF(OR(AND(D197="",C197=""),AND(D197=0,C197=0)),0,
IF(OR(D197="",D197=0),1,
IF(OR(D197&lt;&gt;"",D197&lt;&gt;0),(C197-D197)/ABS(D197)))),-1)</f>
        <v>-0.50674854864150753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0</v>
      </c>
      <c r="C198" s="361">
        <f>(SUMIF(Data!$DJ$1:$DJ$15,"RT",Data!$DK$1:$DK$15)+SUMIF(Data!$DJ$1:$DJ$15,"TU",Data!$DK$1:$DK$15))/1000000</f>
        <v>3562.3845466600001</v>
      </c>
      <c r="D198" s="361">
        <f>(SUMIF(Data!$DM$1:$DM$15,"RT",Data!$DN$1:$DN$15)+SUMIF(Data!$DM$1:$DM$15,"TU",Data!$DN$1:$DN$15))/1000000</f>
        <v>26687.560950070001</v>
      </c>
      <c r="E198" s="363">
        <f t="shared" ref="E198:E201" si="16">IFERROR(IF(OR(AND(D198="",C198=""),AND(D198=0,C198=0)),0,
IF(OR(D198="",D198=0),1,
IF(OR(D198&lt;&gt;"",D198&lt;&gt;0),(C198-D198)/ABS(D198)))),-1)</f>
        <v>-0.86651516962059971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537</v>
      </c>
      <c r="G199" s="185" t="s">
        <v>535</v>
      </c>
      <c r="H199" s="185" t="s">
        <v>536</v>
      </c>
      <c r="I199" s="185" t="s">
        <v>536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284.59885085000002</v>
      </c>
      <c r="C200" s="361">
        <f>(SUMIF(Data!$DJ$1:$DJ$15,"SO",Data!$DK$1:$DK$15)+SUMIF(Data!$DJ$1:$DJ$15,"SS",Data!$DK$1:$DK$15))/1000000</f>
        <v>4204.2916083400005</v>
      </c>
      <c r="D200" s="361">
        <f>(SUMIF(Data!$DM$1:$DM$15,"SO",Data!$DN$1:$DN$15)+SUMIF(Data!$DM$1:$DM$15,"SS",Data!$DN$1:$DN$15))/1000000</f>
        <v>5799.7941741100003</v>
      </c>
      <c r="E200" s="363">
        <f t="shared" si="16"/>
        <v>-0.27509641167823606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2857.3132624899999</v>
      </c>
      <c r="C201" s="361">
        <f>(SUMIF(Data!$DJ$1:$DJ$15,"SI",Data!$DK$1:$DK$15)+SUMIF(Data!$DJ$1:$DJ$15,"GI",Data!$DK$1:$DK$15))/1000000</f>
        <v>15884.629747790001</v>
      </c>
      <c r="D201" s="361">
        <f>(SUMIF(Data!$DM$1:$DM$15,"SI",Data!$DN$1:$DN$15)+SUMIF(Data!$DM$1:$DM$15,"GI",Data!$DN$1:$DN$15))/1000000</f>
        <v>15412.080846590001</v>
      </c>
      <c r="E201" s="363">
        <f t="shared" si="16"/>
        <v>3.0660940978943386E-2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4125.91193664</v>
      </c>
      <c r="C202" s="362">
        <f>SUM(C197:C201)</f>
        <v>27095.203627670002</v>
      </c>
      <c r="D202" s="362">
        <f>SUM(D197:D201)</f>
        <v>54881.468594079997</v>
      </c>
      <c r="E202" s="364">
        <f>IFERROR(IF(OR(AND(D202="",C202=""),AND(D202=0,C202=0)),0,
IF(OR(D202="",D202=0),1,
IF(OR(D202&lt;&gt;"",D202&lt;&gt;0),(C202-D202)/ABS(D202)))),-1)</f>
        <v>-0.50629594429999036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Jul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v>0.28720000000000001</v>
      </c>
      <c r="C210" s="286">
        <v>0.40210000000000001</v>
      </c>
      <c r="D210" s="286">
        <v>0.34510000000000002</v>
      </c>
      <c r="E210" s="286">
        <f>IFERROR(IF(OR(AND(D210="",C210=""),AND(D210=0,C210=0)),"",
IF(OR(D210="",D210=0),1,
IF(OR(D210&lt;&gt;"",D210&lt;&gt;0),(C210-D210)/ABS(D210)))),-1)</f>
        <v>0.16516951608229496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v>0.26219999999999999</v>
      </c>
      <c r="C211" s="286">
        <v>0.37159999999999999</v>
      </c>
      <c r="D211" s="286">
        <v>0.3231</v>
      </c>
      <c r="E211" s="286">
        <f>IFERROR(IF(OR(AND(D211="",C211=""),AND(D211=0,C211=0)),"",
IF(OR(D211="",D211=0),1,
IF(OR(D211&lt;&gt;"",D211&lt;&gt;0),(C211-D211)/ABS(D211)))),-1)</f>
        <v>0.15010832559579074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532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Jul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325</v>
      </c>
      <c r="C221" s="249">
        <f>SUMIF(Data!$BT$9:$BT$14,"&lt;&gt;AltX",Data!BU9:BU14)</f>
        <v>325</v>
      </c>
      <c r="D221" s="249">
        <f>SUMIF(Data!$BT$17:$BT$23,"&lt;&gt;AltX",Data!$BU$17:$BU$24)</f>
        <v>327</v>
      </c>
      <c r="E221" s="286">
        <f>IFERROR(IF(OR(AND(D221="",C221=""),AND(D221=0,C221=0)),"",
IF(OR(D221="",D221=0),1,
IF(OR(D221&lt;&gt;"",D221&lt;&gt;0),(C221-D221)/ABS(D221)))),-1)</f>
        <v>-6.1162079510703364E-3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9</v>
      </c>
      <c r="D222" s="249">
        <f>SUMIF(Data!$BT$17:$BT$23,"&lt;&gt;AltX",Data!$BV$17:$BV$23)</f>
        <v>6</v>
      </c>
      <c r="E222" s="286">
        <f t="shared" ref="E222:E223" si="17">IFERROR(IF(OR(AND(D222="",C222=""),AND(D222=0,C222=0)),"",
IF(OR(D222="",D222=0),1,
IF(OR(D222&lt;&gt;"",D222&lt;&gt;0),(C222-D222)/ABS(D222)))),-1)</f>
        <v>0.5</v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2</v>
      </c>
      <c r="C223" s="249">
        <f>SUMIF(Data!$BT$9:$BT$14,"&lt;&gt;AltX",Data!BW9:BW14)</f>
        <v>8</v>
      </c>
      <c r="D223" s="249">
        <f>SUMIF(Data!$BT$17:$BT$23,"&lt;&gt;AltX",Data!$BW$17:$BW$23)</f>
        <v>12</v>
      </c>
      <c r="E223" s="286">
        <f t="shared" si="17"/>
        <v>-0.33333333333333331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46</v>
      </c>
      <c r="C226" s="249">
        <f>SUMIF(Data!$BT$9:$BT$14,"AltX",Data!BU9:BU14)</f>
        <v>46</v>
      </c>
      <c r="D226" s="249">
        <f>SUMIF(Data!$BT$17:$BT$23,"AltX",Data!$BU$17:$BU$24)</f>
        <v>57</v>
      </c>
      <c r="E226" s="286">
        <f t="shared" ref="E226:E227" si="18">IFERROR(IF(OR(AND(D226="",C226=""),AND(D226=0,C226=0)),"",
IF(OR(D226="",D226=0),1,
IF(OR(D226&lt;&gt;"",D226&lt;&gt;0),(C226-D226)/ABS(D226)))),-1)</f>
        <v>-0.19298245614035087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1</v>
      </c>
      <c r="D227" s="249">
        <f>SUMIF(Data!$BT$17:$BT$23,"AltX",Data!$BV$17:$BV$23)</f>
        <v>5</v>
      </c>
      <c r="E227" s="286">
        <f t="shared" si="18"/>
        <v>-0.8</v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2</v>
      </c>
      <c r="C228" s="249">
        <f>SUMIF(Data!$BT$9:$BT$14,"AltX",Data!BW9:BW14)</f>
        <v>8</v>
      </c>
      <c r="D228" s="249">
        <f>SUMIF(Data!$BT$17:$BT$23,"AltX",Data!$BW$17:$BW$23)</f>
        <v>4</v>
      </c>
      <c r="E228" s="286">
        <f t="shared" ref="E228" ca="1" si="19">IFERROR(IF(OR(AND(C228="",B228=""),AND(C228=0,B228=0)),"",
IF(OR(C228="",C228=0),1,
IF(OR(C228&lt;&gt;"",C228&lt;&gt;0),(B228-C228)/ABS(C228)))),-1)</f>
        <v>-0.75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0</v>
      </c>
      <c r="C231" s="249">
        <f t="shared" si="20"/>
        <v>10</v>
      </c>
      <c r="D231" s="249">
        <f t="shared" si="20"/>
        <v>11</v>
      </c>
      <c r="E231" s="286">
        <f t="shared" ref="E231:E237" si="21">IFERROR(IF(OR(AND(D231="",C231=""),AND(D231=0,C231=0)),"",
IF(OR(D231="",D231=0),1,
IF(OR(D231&lt;&gt;"",D231&lt;&gt;0),(C231-D231)/ABS(D231)))),-1)</f>
        <v>-9.0909090909090912E-2</v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4</v>
      </c>
      <c r="C232" s="249">
        <f t="shared" si="20"/>
        <v>16</v>
      </c>
      <c r="D232" s="249">
        <f t="shared" si="20"/>
        <v>16</v>
      </c>
      <c r="E232" s="286">
        <f>IFERROR(IF(OR(AND(D232="",C232=""),AND(D232=0,C232=0)),"",
IF(OR(D232="",D232=0),1,
IF(OR(D232&lt;&gt;"",D232&lt;&gt;0),(C232-D232)/ABS(D232)))),-1)</f>
        <v>0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73</v>
      </c>
      <c r="C233" s="249">
        <f>SUM(Data!$CB$10:$CB$14)</f>
        <v>73</v>
      </c>
      <c r="D233" s="249">
        <f>SUM(Data!CB18:CB22)</f>
        <v>73</v>
      </c>
      <c r="E233" s="286">
        <f t="shared" si="21"/>
        <v>0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298</v>
      </c>
      <c r="C234" s="249">
        <f>SUM(Data!$CA$10:$CA$14)</f>
        <v>298</v>
      </c>
      <c r="D234" s="249">
        <f>SUM(Data!CA18:CA22)</f>
        <v>311</v>
      </c>
      <c r="E234" s="286">
        <f t="shared" si="21"/>
        <v>-4.1800643086816719E-2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371</v>
      </c>
      <c r="C235" s="250">
        <f>C221+C226</f>
        <v>371</v>
      </c>
      <c r="D235" s="250">
        <f>D221+D226</f>
        <v>384</v>
      </c>
      <c r="E235" s="326">
        <f t="shared" si="21"/>
        <v>-3.3854166666666664E-2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810</v>
      </c>
      <c r="C237" s="250">
        <f>Data!CD2</f>
        <v>810</v>
      </c>
      <c r="D237" s="250">
        <f>Data!CD5</f>
        <v>803</v>
      </c>
      <c r="E237" s="326">
        <f t="shared" si="21"/>
        <v>8.717310087173101E-3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14695.858406142359</v>
      </c>
      <c r="C239" s="327"/>
      <c r="D239" s="327">
        <f>Data!CE5/1000000000</f>
        <v>14857.48816561993</v>
      </c>
      <c r="E239" s="326">
        <f>IFERROR(IF(OR(AND(D239="",B239=""),AND(D239=0,B239=0)),"",
IF(OR(D239="",D239=0),1,
IF(OR(D239&lt;&gt;"",D239&lt;&gt;0),(B239-D239)/ABS(D239)))),-1)</f>
        <v>-1.0878673277464291E-2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Jul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90"/>
      <c r="F263" s="390"/>
      <c r="G263" s="390"/>
      <c r="H263" s="390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93" t="s">
        <v>203</v>
      </c>
      <c r="H264" s="393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93" t="s">
        <v>40</v>
      </c>
      <c r="F265" s="398" t="str">
        <f>"Index Close   "&amp;TEXT($H$3,"MMM")&amp;" "&amp;TEXT($H$3,"YYYY")</f>
        <v>Index Close   Jul 2018</v>
      </c>
      <c r="G265" s="393"/>
      <c r="H265" s="393"/>
      <c r="I265" s="400" t="s">
        <v>41</v>
      </c>
    </row>
    <row r="266" spans="1:13" ht="15.75" thickBot="1" x14ac:dyDescent="0.3">
      <c r="A266" s="330"/>
      <c r="B266" s="331"/>
      <c r="C266" s="331"/>
      <c r="D266" s="197"/>
      <c r="E266" s="394"/>
      <c r="F266" s="399"/>
      <c r="G266" s="394"/>
      <c r="H266" s="394"/>
      <c r="I266" s="401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57432.461255210001</v>
      </c>
      <c r="G268" s="286">
        <f>IF(IFERROR(VLOOKUP(E268,Data!$O$23:$P$196,2,FALSE),0)=0,0,(F268-IFERROR(VLOOKUP(E268,Data!$O$23:$P$196,2,FALSE),0))/ABS(IFERROR(VLOOKUP(E268,Data!$O$23:$P$196,2,FALSE),0)))</f>
        <v>-3.0987340955537204E-3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70704.462902800005</v>
      </c>
      <c r="G269" s="286">
        <f>IF(IFERROR(VLOOKUP(E269,Data!$O$23:$P$196,2,FALSE),0)=0,0,(F269-IFERROR(VLOOKUP(E269,Data!$O$23:$P$196,2,FALSE),0))/ABS(IFERROR(VLOOKUP(E269,Data!$O$23:$P$196,2,FALSE),0)))</f>
        <v>3.2952736115039894E-3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55180.710791359998</v>
      </c>
      <c r="G270" s="334">
        <f>IF(IFERROR(VLOOKUP(E270,Data!$O$23:$P$196,2,FALSE),0)=0,0,(F270-IFERROR(VLOOKUP(E270,Data!$O$23:$P$196,2,FALSE),0))/ABS(IFERROR(VLOOKUP(E270,Data!$O$23:$P$196,2,FALSE),0)))</f>
        <v>-1.9468840625125401E-2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7083.5771431599997</v>
      </c>
      <c r="G271" s="286">
        <f>IF(IFERROR(VLOOKUP(E271,Data!$O$23:$P$196,2,FALSE),0)=0,0,(F271-IFERROR(VLOOKUP(E271,Data!$O$23:$P$196,2,FALSE),0))/ABS(IFERROR(VLOOKUP(E271,Data!$O$23:$P$196,2,FALSE),0)))</f>
        <v>-3.1602704340014241E-2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28805.466750629999</v>
      </c>
      <c r="G272" s="286">
        <f>IF(IFERROR(VLOOKUP(E272,Data!$O$23:$P$196,2,FALSE),0)=0,0,(F272-IFERROR(VLOOKUP(E272,Data!$O$23:$P$196,2,FALSE),0))/ABS(IFERROR(VLOOKUP(E272,Data!$O$23:$P$196,2,FALSE),0)))</f>
        <v>4.8223695705506605E-3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12461.577867829999</v>
      </c>
      <c r="G273" s="286">
        <f>IF(IFERROR(VLOOKUP(E273,Data!$O$23:$P$196,2,FALSE),0)=0,0,(F273-IFERROR(VLOOKUP(E273,Data!$O$23:$P$196,2,FALSE),0))/ABS(IFERROR(VLOOKUP(E273,Data!$O$23:$P$196,2,FALSE),0)))</f>
        <v>3.5400804859798751E-4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51314.99702422</v>
      </c>
      <c r="G276" s="286">
        <f>IF(IFERROR(VLOOKUP(E276,Data!$O$23:$P$196,2,FALSE),0)=0,0,(F276-IFERROR(VLOOKUP(E276,Data!$O$23:$P$196,2,FALSE),0))/ABS(IFERROR(VLOOKUP(E276,Data!$O$23:$P$196,2,FALSE),0)))</f>
        <v>-3.9029749869685403E-3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26739.870595429999</v>
      </c>
      <c r="G277" s="286">
        <f>IF(IFERROR(VLOOKUP(E277,Data!$O$23:$P$196,2,FALSE),0)=0,0,(F277-IFERROR(VLOOKUP(E277,Data!$O$23:$P$196,2,FALSE),0))/ABS(IFERROR(VLOOKUP(E277,Data!$O$23:$P$196,2,FALSE),0)))</f>
        <v>9.1141243649811091E-3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11352.99630705</v>
      </c>
      <c r="G278" s="286">
        <f>IF(IFERROR(VLOOKUP(E278,Data!$O$23:$P$196,2,FALSE),0)=0,0,(F278-IFERROR(VLOOKUP(E278,Data!$O$23:$P$196,2,FALSE),0))/ABS(IFERROR(VLOOKUP(E278,Data!$O$23:$P$196,2,FALSE),0)))</f>
        <v>8.4039975258848613E-4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41528.223238320003</v>
      </c>
      <c r="G279" s="286">
        <f>IF(IFERROR(VLOOKUP(E279,Data!$O$23:$P$196,2,FALSE),0)=0,0,(F279-IFERROR(VLOOKUP(E279,Data!$O$23:$P$196,2,FALSE),0))/ABS(IFERROR(VLOOKUP(E279,Data!$O$23:$P$196,2,FALSE),0)))</f>
        <v>-1.4289687022780878E-2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1058.9198395000001</v>
      </c>
      <c r="G280" s="286">
        <f>IF(IFERROR(VLOOKUP(E280,Data!$O$23:$P$196,2,FALSE),0)=0,0,(F280-IFERROR(VLOOKUP(E280,Data!$O$23:$P$196,2,FALSE),0))/ABS(IFERROR(VLOOKUP(E280,Data!$O$23:$P$196,2,FALSE),0)))</f>
        <v>-7.9168414856725558E-4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73638.482899929993</v>
      </c>
      <c r="G281" s="286">
        <f>IF(IFERROR(VLOOKUP(E281,Data!$O$23:$P$196,2,FALSE),0)=0,0,(F281-IFERROR(VLOOKUP(E281,Data!$O$23:$P$196,2,FALSE),0))/ABS(IFERROR(VLOOKUP(E281,Data!$O$23:$P$196,2,FALSE),0)))</f>
        <v>-2.260760110582969E-2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17171.949690400001</v>
      </c>
      <c r="G282" s="286">
        <f>IF(IFERROR(VLOOKUP(E282,Data!$O$23:$P$196,2,FALSE),0)=0,0,(F282-IFERROR(VLOOKUP(E282,Data!$O$23:$P$196,2,FALSE),0))/ABS(IFERROR(VLOOKUP(E282,Data!$O$23:$P$196,2,FALSE),0)))</f>
        <v>6.3987119123205052E-2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78438.378193080003</v>
      </c>
      <c r="G283" s="286">
        <f>IF(IFERROR(VLOOKUP(E283,Data!$O$23:$P$196,2,FALSE),0)=0,0,(F283-IFERROR(VLOOKUP(E283,Data!$O$23:$P$196,2,FALSE),0))/ABS(IFERROR(VLOOKUP(E283,Data!$O$23:$P$196,2,FALSE),0)))</f>
        <v>6.0664347858213933E-4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12987.95383172</v>
      </c>
      <c r="G286" s="334">
        <f>IF(IFERROR(VLOOKUP(E286,Data!$O$23:$P$196,2,FALSE),0)=0,0,(F286-IFERROR(VLOOKUP(E286,Data!$O$23:$P$196,2,FALSE),0))/ABS(IFERROR(VLOOKUP(E286,Data!$O$23:$P$196,2,FALSE),0)))</f>
        <v>5.9239130435158438E-2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28789.49337068</v>
      </c>
      <c r="G287" s="286">
        <f>IF(IFERROR(VLOOKUP(E287,Data!$O$23:$P$196,2,FALSE),0)=0,0,(F287-IFERROR(VLOOKUP(E287,Data!$O$23:$P$196,2,FALSE),0))/ABS(IFERROR(VLOOKUP(E287,Data!$O$23:$P$196,2,FALSE),0)))</f>
        <v>-1.4338705736405112E-2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47743.537224849999</v>
      </c>
      <c r="G288" s="286">
        <f>IF(IFERROR(VLOOKUP(E288,Data!$O$23:$P$196,2,FALSE),0)=0,0,(F288-IFERROR(VLOOKUP(E288,Data!$O$23:$P$196,2,FALSE),0))/ABS(IFERROR(VLOOKUP(E288,Data!$O$23:$P$196,2,FALSE),0)))</f>
        <v>4.3986844413687401E-3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64955.850453749998</v>
      </c>
      <c r="G289" s="286">
        <f>IF(IFERROR(VLOOKUP(E289,Data!$O$23:$P$196,2,FALSE),0)=0,0,(F289-IFERROR(VLOOKUP(E289,Data!$O$23:$P$196,2,FALSE),0))/ABS(IFERROR(VLOOKUP(E289,Data!$O$23:$P$196,2,FALSE),0)))</f>
        <v>9.7047570644520111E-3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23797.341409119999</v>
      </c>
      <c r="G290" s="286">
        <f>IF(IFERROR(VLOOKUP(E290,Data!$O$23:$P$196,2,FALSE),0)=0,0,(F290-IFERROR(VLOOKUP(E290,Data!$O$23:$P$196,2,FALSE),0))/ABS(IFERROR(VLOOKUP(E290,Data!$O$23:$P$196,2,FALSE),0)))</f>
        <v>-5.1908966748784882E-2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43902.71327837</v>
      </c>
      <c r="G291" s="286">
        <f>IF(IFERROR(VLOOKUP(E291,Data!$O$23:$P$196,2,FALSE),0)=0,0,(F291-IFERROR(VLOOKUP(E291,Data!$O$23:$P$196,2,FALSE),0))/ABS(IFERROR(VLOOKUP(E291,Data!$O$23:$P$196,2,FALSE),0)))</f>
        <v>4.5002176606474292E-2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29842.89586737</v>
      </c>
      <c r="G292" s="286">
        <f>IF(IFERROR(VLOOKUP(E292,Data!$O$23:$P$196,2,FALSE),0)=0,0,(F292-IFERROR(VLOOKUP(E292,Data!$O$23:$P$196,2,FALSE),0))/ABS(IFERROR(VLOOKUP(E292,Data!$O$23:$P$196,2,FALSE),0)))</f>
        <v>0.1548756512034053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6248.9496072900001</v>
      </c>
      <c r="G293" s="286">
        <f>IF(IFERROR(VLOOKUP(E293,Data!$O$23:$P$196,2,FALSE),0)=0,0,(F293-IFERROR(VLOOKUP(E293,Data!$O$23:$P$196,2,FALSE),0))/ABS(IFERROR(VLOOKUP(E293,Data!$O$23:$P$196,2,FALSE),0)))</f>
        <v>7.6653042492119072E-2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6618.2678684299999</v>
      </c>
      <c r="G294" s="286">
        <f>IF(IFERROR(VLOOKUP(E294,Data!$O$23:$P$196,2,FALSE),0)=0,0,(F294-IFERROR(VLOOKUP(E294,Data!$O$23:$P$196,2,FALSE),0))/ABS(IFERROR(VLOOKUP(E294,Data!$O$23:$P$196,2,FALSE),0)))</f>
        <v>-2.667374332176883E-2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3518.39794446</v>
      </c>
      <c r="G298" s="286">
        <f>IF(IFERROR(VLOOKUP(E298,Data!$O$23:$P$196,2,FALSE),0)=0,0,(F298-IFERROR(VLOOKUP(E298,Data!$O$23:$P$196,2,FALSE),0))/ABS(IFERROR(VLOOKUP(E298,Data!$O$23:$P$196,2,FALSE),0)))</f>
        <v>1.6255100473182483E-4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746.76131412999996</v>
      </c>
      <c r="G299" s="286">
        <f>IF(IFERROR(VLOOKUP(E299,Data!$O$23:$P$196,2,FALSE),0)=0,0,(F299-IFERROR(VLOOKUP(E299,Data!$O$23:$P$196,2,FALSE),0))/ABS(IFERROR(VLOOKUP(E299,Data!$O$23:$P$196,2,FALSE),0)))</f>
        <v>-1.211557874425403E-2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523.13798164000002</v>
      </c>
      <c r="G300" s="286">
        <f>IF(IFERROR(VLOOKUP(E300,Data!$O$23:$P$196,2,FALSE),0)=0,0,(F300-IFERROR(VLOOKUP(E300,Data!$O$23:$P$196,2,FALSE),0))/ABS(IFERROR(VLOOKUP(E300,Data!$O$23:$P$196,2,FALSE),0)))</f>
        <v>-5.9099903697465584E-3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424.14257063999997</v>
      </c>
      <c r="G301" s="286">
        <f>IF(IFERROR(VLOOKUP(E301,Data!$O$23:$P$196,2,FALSE),0)=0,0,(F301-IFERROR(VLOOKUP(E301,Data!$O$23:$P$196,2,FALSE),0))/ABS(IFERROR(VLOOKUP(E301,Data!$O$23:$P$196,2,FALSE),0)))</f>
        <v>-1.9971696244770125E-2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23001.368609730001</v>
      </c>
      <c r="G302" s="286">
        <f>IF(IFERROR(VLOOKUP(E302,Data!$O$23:$P$196,2,FALSE),0)=0,0,(F302-IFERROR(VLOOKUP(E302,Data!$O$23:$P$196,2,FALSE),0))/ABS(IFERROR(VLOOKUP(E302,Data!$O$23:$P$196,2,FALSE),0)))</f>
        <v>-1.408934072848457E-2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378.91638609</v>
      </c>
      <c r="G303" s="286">
        <f>IF(IFERROR(VLOOKUP(E303,Data!$O$23:$P$196,2,FALSE),0)=0,0,(F303-IFERROR(VLOOKUP(E303,Data!$O$23:$P$196,2,FALSE),0))/ABS(IFERROR(VLOOKUP(E303,Data!$O$23:$P$196,2,FALSE),0)))</f>
        <v>-1.0329200683957413E-2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673.98983078000003</v>
      </c>
      <c r="G304" s="286">
        <f>IF(IFERROR(VLOOKUP(E304,Data!$O$23:$P$196,2,FALSE),0)=0,0,(F304-IFERROR(VLOOKUP(E304,Data!$O$23:$P$196,2,FALSE),0))/ABS(IFERROR(VLOOKUP(E304,Data!$O$23:$P$196,2,FALSE),0)))</f>
        <v>4.4489961659327401E-4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15.53558694</v>
      </c>
      <c r="G307" s="286">
        <f>IF(IFERROR(VLOOKUP(E307,Data!$O$23:$P$196,2,FALSE),0)=0,0,(F307-IFERROR(VLOOKUP(E307,Data!$O$23:$P$196,2,FALSE),0))/ABS(IFERROR(VLOOKUP(E307,Data!$O$23:$P$196,2,FALSE),0)))</f>
        <v>3.7654370478533893E-2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9747.3577827000008</v>
      </c>
      <c r="G308" s="286">
        <f>IF(IFERROR(VLOOKUP(E308,Data!$O$23:$P$196,2,FALSE),0)=0,0,(F308-IFERROR(VLOOKUP(E308,Data!$O$23:$P$196,2,FALSE),0))/ABS(IFERROR(VLOOKUP(E308,Data!$O$23:$P$196,2,FALSE),0)))</f>
        <v>-3.1431205965308573E-2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1003.55771925</v>
      </c>
      <c r="G313" s="286">
        <f>IF(IFERROR(VLOOKUP(E313,Data!$O$23:$P$196,2,FALSE),0)=0,0,(F313-IFERROR(VLOOKUP(E313,Data!$O$23:$P$196,2,FALSE),0))/ABS(IFERROR(VLOOKUP(E313,Data!$O$23:$P$196,2,FALSE),0)))</f>
        <v>-7.8717760071773304E-3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533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Jul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90"/>
      <c r="F348" s="390"/>
      <c r="G348" s="390"/>
      <c r="H348" s="390"/>
      <c r="I348" s="116"/>
    </row>
    <row r="349" spans="1:9" ht="15" x14ac:dyDescent="0.25">
      <c r="A349" s="281"/>
      <c r="B349" s="337"/>
      <c r="C349" s="281"/>
      <c r="D349" s="382" t="str">
        <f>TEXT(DATE(2000,TEXT(H3,"M")-1,1),"mmm")&amp; " "&amp; TEXT(H3,"YYYY")</f>
        <v>Jun 2018</v>
      </c>
      <c r="E349" s="382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3"/>
      <c r="E350" s="383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Jul 2018</v>
      </c>
      <c r="D351" s="384"/>
      <c r="E351" s="384"/>
      <c r="F351" s="284" t="s">
        <v>1</v>
      </c>
      <c r="G351" s="330"/>
      <c r="H351" s="338" t="str">
        <f>TEXT($H$3,"MMM")&amp;" "&amp;TEXT($H$3,"YYYY")-1</f>
        <v>Jul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0"/>
      <c r="E353" s="380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236840</v>
      </c>
      <c r="D354" s="380">
        <f>SUMIFS(Data!$V$33:$V$48,Data!$S$33:$S$48,MarketProfile!A354,Data!$X$33:$X$48,"1")</f>
        <v>320187</v>
      </c>
      <c r="E354" s="380"/>
      <c r="F354" s="286">
        <f>IFERROR(IF(OR(AND(D354="",C354=""),AND(D354=0,C354=0)),"",
IF(OR(D354="",D354=0),1,
IF(OR(D354&lt;&gt;"",D354&lt;&gt;0),(C354-D354)/ABS(D354)))),-1)</f>
        <v>-0.26030725794613774</v>
      </c>
      <c r="G354" s="380">
        <f>SUMIFS(Data!$V$63:$V$78,Data!$S$63:$S$78,MarketProfile!A354,Data!$X$63:$X$78,"1")</f>
        <v>262406</v>
      </c>
      <c r="H354" s="380"/>
      <c r="I354" s="286">
        <f t="shared" ref="I354:I367" si="22">IFERROR(IF(OR(AND(G354="",C354=""),AND(G354=0,C354=0)),"",
IF(OR(G354="",G354=0),1,
IF(OR(G354&lt;&gt;"",G354&lt;&gt;0),(C354-G354)/ABS(G354)))),-1)</f>
        <v>-9.7429174637775048E-2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3762</v>
      </c>
      <c r="D355" s="380">
        <f>SUMIFS(Data!$V$33:$V$48,Data!$S$33:$S$48,MarketProfile!A355,Data!$X$33:$X$48,"1")</f>
        <v>6996</v>
      </c>
      <c r="E355" s="380"/>
      <c r="F355" s="286">
        <f t="shared" ref="F355:F361" si="23">IFERROR(IF(OR(AND(D355="",C355=""),AND(D355=0,C355=0)),"",
IF(OR(D355="",D355=0),1,
IF(OR(D355&lt;&gt;"",D355&lt;&gt;0),(C355-D355)/ABS(D355)))),-1)</f>
        <v>-0.46226415094339623</v>
      </c>
      <c r="G355" s="380">
        <f>SUMIFS(Data!$V$63:$V$78,Data!$S$63:$S$78,MarketProfile!A355,Data!$X$63:$X$78,"1")</f>
        <v>3817</v>
      </c>
      <c r="H355" s="380"/>
      <c r="I355" s="286">
        <f t="shared" si="22"/>
        <v>-1.4409221902017291E-2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3567</v>
      </c>
      <c r="D356" s="380">
        <f>SUMIFS(Data!$V$33:$V$48,Data!$S$33:$S$48,MarketProfile!A356,Data!$X$33:$X$48,"1")</f>
        <v>6683</v>
      </c>
      <c r="E356" s="380"/>
      <c r="F356" s="286">
        <f t="shared" si="23"/>
        <v>-0.46625766871165641</v>
      </c>
      <c r="G356" s="380">
        <f>SUMIFS(Data!$V$63:$V$78,Data!$S$63:$S$78,MarketProfile!A356,Data!$X$63:$X$78,"1")</f>
        <v>3557</v>
      </c>
      <c r="H356" s="380"/>
      <c r="I356" s="286">
        <f t="shared" si="22"/>
        <v>2.8113578858588698E-3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312</v>
      </c>
      <c r="D357" s="380">
        <f>SUMIFS(Data!$V$33:$V$48,Data!$S$33:$S$48,MarketProfile!A357,Data!$X$33:$X$48,"1")</f>
        <v>258</v>
      </c>
      <c r="E357" s="380"/>
      <c r="F357" s="286">
        <f t="shared" si="23"/>
        <v>0.20930232558139536</v>
      </c>
      <c r="G357" s="380">
        <f>SUMIFS(Data!$V$63:$V$78,Data!$S$63:$S$78,MarketProfile!A357,Data!$X$63:$X$78,"1")</f>
        <v>209</v>
      </c>
      <c r="H357" s="380"/>
      <c r="I357" s="286">
        <f t="shared" si="22"/>
        <v>0.49282296650717705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72</v>
      </c>
      <c r="D358" s="380">
        <f>SUMIFS(Data!$V$33:$V$48,Data!$S$33:$S$48,MarketProfile!A358,Data!$X$33:$X$48,"1")</f>
        <v>388</v>
      </c>
      <c r="E358" s="380"/>
      <c r="F358" s="286">
        <f t="shared" si="23"/>
        <v>-0.81443298969072164</v>
      </c>
      <c r="G358" s="380">
        <f>SUMIFS(Data!$V$63:$V$78,Data!$S$63:$S$78,MarketProfile!A358,Data!$X$63:$X$78,"1")</f>
        <v>81</v>
      </c>
      <c r="H358" s="380"/>
      <c r="I358" s="286">
        <f t="shared" si="22"/>
        <v>-0.1111111111111111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70</v>
      </c>
      <c r="D359" s="380">
        <f>SUMIFS(Data!$V$33:$V$48,Data!$S$33:$S$48,MarketProfile!A359,Data!$X$33:$X$48,"1")</f>
        <v>386</v>
      </c>
      <c r="E359" s="380"/>
      <c r="F359" s="286">
        <f t="shared" si="23"/>
        <v>-0.81865284974093266</v>
      </c>
      <c r="G359" s="380">
        <f>SUMIFS(Data!$V$63:$V$78,Data!$S$63:$S$78,MarketProfile!A359,Data!$X$63:$X$78,"1")</f>
        <v>77</v>
      </c>
      <c r="H359" s="380"/>
      <c r="I359" s="286">
        <f t="shared" si="22"/>
        <v>-9.0909090909090912E-2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275</v>
      </c>
      <c r="D360" s="380">
        <f>SUMIFS(Data!$V$33:$V$48,Data!$S$33:$S$48,MarketProfile!A360,Data!$X$33:$X$48,"1")</f>
        <v>182</v>
      </c>
      <c r="E360" s="380"/>
      <c r="F360" s="286">
        <f t="shared" si="23"/>
        <v>0.51098901098901095</v>
      </c>
      <c r="G360" s="380">
        <f>SUMIFS(Data!$V$63:$V$78,Data!$S$63:$S$78,MarketProfile!A360,Data!$X$63:$X$78,"1")</f>
        <v>144</v>
      </c>
      <c r="H360" s="380"/>
      <c r="I360" s="286">
        <f t="shared" si="22"/>
        <v>0.90972222222222221</v>
      </c>
    </row>
    <row r="361" spans="1:9" ht="15" x14ac:dyDescent="0.25">
      <c r="A361" s="288" t="s">
        <v>133</v>
      </c>
      <c r="B361" s="250"/>
      <c r="C361" s="250">
        <f>SUM(C354:C360)</f>
        <v>244898</v>
      </c>
      <c r="D361" s="381">
        <f>SUM(D354:E360)</f>
        <v>335080</v>
      </c>
      <c r="E361" s="381"/>
      <c r="F361" s="326">
        <f t="shared" si="23"/>
        <v>-0.26913572878118658</v>
      </c>
      <c r="G361" s="381">
        <f>SUM(G354:H360)</f>
        <v>270291</v>
      </c>
      <c r="H361" s="381">
        <v>228310</v>
      </c>
      <c r="I361" s="326">
        <f t="shared" si="22"/>
        <v>-9.394689427320925E-2</v>
      </c>
    </row>
    <row r="362" spans="1:9" ht="14.25" x14ac:dyDescent="0.2">
      <c r="A362" s="248"/>
      <c r="B362" s="249"/>
      <c r="C362" s="249"/>
      <c r="D362" s="380"/>
      <c r="E362" s="380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0"/>
      <c r="E363" s="380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344</v>
      </c>
      <c r="D364" s="380">
        <f>SUMIFS(Data!$V$33:$V$48,Data!$S$33:$S$48,MarketProfile!A364,Data!$X$33:$X$48,"0")</f>
        <v>705</v>
      </c>
      <c r="E364" s="380"/>
      <c r="F364" s="286">
        <f t="shared" ref="F364:F368" si="24">IFERROR(IF(OR(AND(D364="",C364=""),AND(D364=0,C364=0)),"",
IF(OR(D364="",D364=0),1,
IF(OR(D364&lt;&gt;"",D364&lt;&gt;0),(C364-D364)/ABS(D364)))),-1)</f>
        <v>-0.51205673758865244</v>
      </c>
      <c r="G364" s="380">
        <f>SUMIFS(Data!$V$63:$V$78,Data!$S$63:$S$78,MarketProfile!A364,Data!$X$63:$X$78,"0")</f>
        <v>567</v>
      </c>
      <c r="H364" s="380"/>
      <c r="I364" s="286">
        <f t="shared" si="22"/>
        <v>-0.39329805996472661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238</v>
      </c>
      <c r="D365" s="380">
        <f>SUMIFS(Data!$V$33:$V$48,Data!$S$33:$S$48,MarketProfile!A365,Data!$X$33:$X$48,"0")</f>
        <v>382</v>
      </c>
      <c r="E365" s="380"/>
      <c r="F365" s="286">
        <f t="shared" si="24"/>
        <v>-0.37696335078534032</v>
      </c>
      <c r="G365" s="380">
        <f>SUMIFS(Data!$V$63:$V$78,Data!$S$63:$S$78,MarketProfile!A365,Data!$X$63:$X$78,"0")</f>
        <v>370</v>
      </c>
      <c r="H365" s="380"/>
      <c r="I365" s="286">
        <f t="shared" si="22"/>
        <v>-0.35675675675675678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112</v>
      </c>
      <c r="D366" s="380">
        <f>SUMIFS(Data!$V$33:$V$48,Data!$S$33:$S$48,MarketProfile!A366,Data!$X$33:$X$48,"0")</f>
        <v>113</v>
      </c>
      <c r="E366" s="380"/>
      <c r="F366" s="286">
        <f t="shared" si="24"/>
        <v>-8.8495575221238937E-3</v>
      </c>
      <c r="G366" s="380">
        <f>SUMIFS(Data!$V$63:$V$78,Data!$S$63:$S$78,MarketProfile!A366,Data!$X$63:$X$78,"0")</f>
        <v>50</v>
      </c>
      <c r="H366" s="380"/>
      <c r="I366" s="286">
        <f t="shared" si="22"/>
        <v>1.24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80">
        <f>SUMIFS(Data!$V$33:$V$48,Data!$S$33:$S$48,MarketProfile!A367,Data!$X$33:$X$48,"0")</f>
        <v>0</v>
      </c>
      <c r="E367" s="380"/>
      <c r="F367" s="286" t="str">
        <f t="shared" si="24"/>
        <v/>
      </c>
      <c r="G367" s="380">
        <f>SUMIFS(Data!$V$63:$V$78,Data!$S$63:$S$78,MarketProfile!A367,Data!$X$63:$X$78,"0")</f>
        <v>0</v>
      </c>
      <c r="H367" s="380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694</v>
      </c>
      <c r="D368" s="381">
        <f t="shared" ref="D368:E368" si="25">SUM(D364:D367)</f>
        <v>1200</v>
      </c>
      <c r="E368" s="381">
        <f t="shared" si="25"/>
        <v>0</v>
      </c>
      <c r="F368" s="326">
        <f t="shared" si="24"/>
        <v>-0.42166666666666669</v>
      </c>
      <c r="G368" s="381">
        <f>SUM(G364:H367)</f>
        <v>987</v>
      </c>
      <c r="H368" s="381">
        <v>1646</v>
      </c>
      <c r="I368" s="326">
        <f>IFERROR(IF(OR(AND(G368="",C368=""),AND(G368=0,C368=0)),"",
IF(OR(G368="",G368=0),1,
IF(OR(G368&lt;&gt;"",G368&lt;&gt;0),(C368-G368)/ABS(G368)))),-1)</f>
        <v>-0.29685916919959471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741363</v>
      </c>
      <c r="D372" s="380">
        <f>SUMIFS(Data!$U$33:$U$48,Data!$S$33:$S$48,MarketProfile!A372,Data!$X$33:$X$48,"1")</f>
        <v>2776704</v>
      </c>
      <c r="E372" s="380"/>
      <c r="F372" s="286">
        <f t="shared" ref="F372:F379" si="26">IFERROR(IF(OR(AND(D372="",C372=""),AND(D372=0,C372=0)),"",
IF(OR(D372="",D372=0),1,
IF(OR(D372&lt;&gt;"",D372&lt;&gt;0),(C372-D372)/ABS(D372)))),-1)</f>
        <v>-0.73300611084220713</v>
      </c>
      <c r="G372" s="380">
        <f>SUMIFS(Data!$U$63:$U$78,Data!$S$63:$S$78,MarketProfile!A372,Data!$X$63:$X$78,"1")</f>
        <v>946679</v>
      </c>
      <c r="H372" s="380"/>
      <c r="I372" s="286">
        <f t="shared" ref="I372:I379" si="27">IFERROR(IF(OR(AND(G372="",C372=""),AND(G372=0,C372=0)),"",
IF(OR(G372="",G372=0),1,
IF(OR(G372&lt;&gt;"",G372&lt;&gt;0),(C372-G372)/ABS(G372)))),-1)</f>
        <v>-0.21688027303869634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299733</v>
      </c>
      <c r="D373" s="380">
        <f>SUMIFS(Data!$U$33:$U$48,Data!$S$33:$S$48,MarketProfile!A373,Data!$X$33:$X$48,"1")</f>
        <v>1593749</v>
      </c>
      <c r="E373" s="380"/>
      <c r="F373" s="286">
        <f t="shared" si="26"/>
        <v>-0.81193211729074022</v>
      </c>
      <c r="G373" s="380">
        <f>SUMIFS(Data!$U$63:$U$78,Data!$S$63:$S$78,MarketProfile!A373,Data!$X$63:$X$78,"1")</f>
        <v>331025</v>
      </c>
      <c r="H373" s="380"/>
      <c r="I373" s="286">
        <f t="shared" si="27"/>
        <v>-9.4530624575183145E-2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230114</v>
      </c>
      <c r="D374" s="380">
        <f>SUMIFS(Data!$U$33:$U$48,Data!$S$33:$S$48,MarketProfile!A374,Data!$X$33:$X$48,"1")</f>
        <v>1174818</v>
      </c>
      <c r="E374" s="380"/>
      <c r="F374" s="286">
        <f t="shared" si="26"/>
        <v>-0.80412795854336583</v>
      </c>
      <c r="G374" s="380">
        <f>SUMIFS(Data!$U$63:$U$78,Data!$S$63:$S$78,MarketProfile!A374,Data!$X$63:$X$78,"1")</f>
        <v>178329</v>
      </c>
      <c r="H374" s="380"/>
      <c r="I374" s="286">
        <f t="shared" si="27"/>
        <v>0.29039023378138162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1301501</v>
      </c>
      <c r="D375" s="380">
        <f>SUMIFS(Data!$U$33:$U$48,Data!$S$33:$S$48,MarketProfile!A375,Data!$X$33:$X$48,"1")</f>
        <v>406683</v>
      </c>
      <c r="E375" s="380"/>
      <c r="F375" s="286">
        <f t="shared" si="26"/>
        <v>2.2002837590949218</v>
      </c>
      <c r="G375" s="380">
        <f>SUMIFS(Data!$U$63:$U$78,Data!$S$63:$S$78,MarketProfile!A375,Data!$X$63:$X$78,"1")</f>
        <v>469584</v>
      </c>
      <c r="H375" s="380"/>
      <c r="I375" s="286">
        <f t="shared" si="27"/>
        <v>1.7716042284234557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424035</v>
      </c>
      <c r="D376" s="380">
        <f>SUMIFS(Data!$U$33:$U$48,Data!$S$33:$S$48,MarketProfile!A376,Data!$X$33:$X$48,"1")</f>
        <v>6452596</v>
      </c>
      <c r="E376" s="380"/>
      <c r="F376" s="286">
        <f t="shared" si="26"/>
        <v>-0.9342845887143717</v>
      </c>
      <c r="G376" s="380">
        <f>SUMIFS(Data!$U$63:$U$78,Data!$S$63:$S$78,MarketProfile!A376,Data!$X$63:$X$78,"1")</f>
        <v>174598</v>
      </c>
      <c r="H376" s="380"/>
      <c r="I376" s="286">
        <f t="shared" si="27"/>
        <v>1.4286360668507085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403367</v>
      </c>
      <c r="D377" s="380">
        <f>SUMIFS(Data!$U$33:$U$48,Data!$S$33:$S$48,MarketProfile!A377,Data!$X$33:$X$48,"1")</f>
        <v>5928605</v>
      </c>
      <c r="E377" s="380"/>
      <c r="F377" s="286">
        <f t="shared" si="26"/>
        <v>-0.93196257804323279</v>
      </c>
      <c r="G377" s="380">
        <f>SUMIFS(Data!$U$63:$U$78,Data!$S$63:$S$78,MarketProfile!A377,Data!$X$63:$X$78,"1")</f>
        <v>133980</v>
      </c>
      <c r="H377" s="380"/>
      <c r="I377" s="286">
        <f t="shared" si="27"/>
        <v>2.0106508434094641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78537</v>
      </c>
      <c r="D378" s="380">
        <f>SUMIFS(Data!$U$33:$U$48,Data!$S$33:$S$48,MarketProfile!A378,Data!$X$33:$X$48,"1")</f>
        <v>370629</v>
      </c>
      <c r="E378" s="380"/>
      <c r="F378" s="286">
        <f t="shared" si="26"/>
        <v>-0.78809807111693908</v>
      </c>
      <c r="G378" s="380">
        <f>SUMIFS(Data!$U$63:$U$78,Data!$S$63:$S$78,MarketProfile!A378,Data!$X$63:$X$78,"1")</f>
        <v>30652</v>
      </c>
      <c r="H378" s="380"/>
      <c r="I378" s="286">
        <f t="shared" si="27"/>
        <v>1.5622145373874461</v>
      </c>
    </row>
    <row r="379" spans="1:9" ht="15" x14ac:dyDescent="0.25">
      <c r="A379" s="288" t="s">
        <v>133</v>
      </c>
      <c r="B379" s="250"/>
      <c r="C379" s="250">
        <f>SUM(C372:C378)</f>
        <v>3478650</v>
      </c>
      <c r="D379" s="381">
        <f>SUM(D372:E378)</f>
        <v>18703784</v>
      </c>
      <c r="E379" s="381"/>
      <c r="F379" s="326">
        <f t="shared" si="26"/>
        <v>-0.81401357072985869</v>
      </c>
      <c r="G379" s="381">
        <f>SUM(G372:H378)</f>
        <v>2264847</v>
      </c>
      <c r="H379" s="381">
        <v>17193059</v>
      </c>
      <c r="I379" s="326">
        <f t="shared" si="27"/>
        <v>0.53593156623824922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243878</v>
      </c>
      <c r="D382" s="380">
        <f>SUMIFS(Data!$U$33:$U$48,Data!$S$33:$S$48,MarketProfile!A382,Data!$X$33:$X$48,"0")</f>
        <v>455149</v>
      </c>
      <c r="E382" s="380"/>
      <c r="F382" s="286">
        <f t="shared" ref="F382:F386" si="28">IFERROR(IF(OR(AND(D382="",C382=""),AND(D382=0,C382=0)),"",
IF(OR(D382="",D382=0),1,
IF(OR(D382&lt;&gt;"",D382&lt;&gt;0),(C382-D382)/ABS(D382)))),-1)</f>
        <v>-0.46417986197926392</v>
      </c>
      <c r="G382" s="380">
        <f>SUMIFS(Data!$U$63:$U$78,Data!$S$63:$S$78,MarketProfile!A382,Data!$X$63:$X$78,"0")</f>
        <v>296873</v>
      </c>
      <c r="H382" s="380"/>
      <c r="I382" s="286">
        <f t="shared" ref="I382:I386" si="29">IFERROR(IF(OR(AND(G382="",C382=""),AND(G382=0,C382=0)),"",
IF(OR(G382="",G382=0),1,
IF(OR(G382&lt;&gt;"",G382&lt;&gt;0),(C382-G382)/ABS(G382)))),-1)</f>
        <v>-0.17851067628245074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437112</v>
      </c>
      <c r="D383" s="380">
        <f>SUMIFS(Data!$U$33:$U$48,Data!$S$33:$S$48,MarketProfile!A383,Data!$X$33:$X$48,"0")</f>
        <v>442658</v>
      </c>
      <c r="E383" s="380"/>
      <c r="F383" s="286">
        <f t="shared" si="28"/>
        <v>-1.2528859751772248E-2</v>
      </c>
      <c r="G383" s="380">
        <f>SUMIFS(Data!$U$63:$U$78,Data!$S$63:$S$78,MarketProfile!A383,Data!$X$63:$X$78,"0")</f>
        <v>330964</v>
      </c>
      <c r="H383" s="380"/>
      <c r="I383" s="286">
        <f t="shared" si="29"/>
        <v>0.32072370408866219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37420</v>
      </c>
      <c r="D384" s="380">
        <f>SUMIFS(Data!$U$33:$U$48,Data!$S$33:$S$48,MarketProfile!A384,Data!$X$33:$X$48,"0")</f>
        <v>140157</v>
      </c>
      <c r="E384" s="380"/>
      <c r="F384" s="286">
        <f t="shared" si="28"/>
        <v>-0.73301369178849429</v>
      </c>
      <c r="G384" s="380">
        <f>SUMIFS(Data!$U$63:$U$78,Data!$S$63:$S$78,MarketProfile!A384,Data!$X$63:$X$78,"0")</f>
        <v>89707</v>
      </c>
      <c r="H384" s="380"/>
      <c r="I384" s="286">
        <f t="shared" si="29"/>
        <v>-0.58286421349504502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80">
        <f>SUMIFS(Data!$U$33:$U$48,Data!$S$33:$S$48,MarketProfile!A385,Data!$X$33:$X$48,"0")</f>
        <v>0</v>
      </c>
      <c r="E385" s="380"/>
      <c r="F385" s="286" t="str">
        <f t="shared" si="28"/>
        <v/>
      </c>
      <c r="G385" s="380">
        <f>SUMIFS(Data!$U$63:$U$78,Data!$S$63:$S$78,MarketProfile!A385,Data!$X$63:$X$78,"0")</f>
        <v>0</v>
      </c>
      <c r="H385" s="380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718410</v>
      </c>
      <c r="D386" s="381">
        <f>SUM(D382:E385)</f>
        <v>1037964</v>
      </c>
      <c r="E386" s="381">
        <f>SUM(E382:E385)</f>
        <v>0</v>
      </c>
      <c r="F386" s="326">
        <f t="shared" si="28"/>
        <v>-0.30786616876885903</v>
      </c>
      <c r="G386" s="381">
        <f>SUM(G382:H385)</f>
        <v>717544</v>
      </c>
      <c r="H386" s="381">
        <v>677531</v>
      </c>
      <c r="I386" s="326">
        <f t="shared" si="29"/>
        <v>1.2068946294582631E-3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271892357.72184551</v>
      </c>
      <c r="D390" s="380">
        <f>SUMIFS(Data!$T$30:$T$42,Data!$S$30:$S$42,MarketProfile!A390,Data!$X$30:$X$42,"1")/1000</f>
        <v>0</v>
      </c>
      <c r="E390" s="380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80">
        <f>SUMIFS(Data!$T$63:$T$78,Data!$S$63:$S$78,MarketProfile!A390,Data!$X$63:$X$78,"1")</f>
        <v>306518015640.89606</v>
      </c>
      <c r="H390" s="380"/>
      <c r="I390" s="286">
        <f t="shared" ref="I390:I397" si="31">IFERROR(IF(OR(AND(G390="",C390=""),AND(G390=0,C390=0)),"",
IF(OR(G390="",G390=0),1,
IF(OR(G390&lt;&gt;"",G390&lt;&gt;0),(C390-G390)/ABS(G390)))),-1)</f>
        <v>-0.99911296451155285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4283436.0154999997</v>
      </c>
      <c r="D391" s="380">
        <f>SUMIFS(Data!$T$30:$T$42,Data!$S$30:$S$42,MarketProfile!A391,Data!$X$30:$X$42,"1")/1000</f>
        <v>265152.22649999999</v>
      </c>
      <c r="E391" s="380"/>
      <c r="F391" s="286">
        <f t="shared" si="30"/>
        <v>15.154629633102477</v>
      </c>
      <c r="G391" s="380">
        <f>SUMIFS(Data!$T$63:$T$78,Data!$S$63:$S$78,MarketProfile!A391,Data!$X$63:$X$78,"1")</f>
        <v>7156685858.2600002</v>
      </c>
      <c r="H391" s="380"/>
      <c r="I391" s="286">
        <f t="shared" si="31"/>
        <v>-0.9994014777090493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9.7955000000000005</v>
      </c>
      <c r="D392" s="380">
        <f>SUMIFS(Data!$T$30:$T$42,Data!$S$30:$S$42,MarketProfile!A392,Data!$X$30:$X$42,"1")/1000</f>
        <v>6153.0147200000001</v>
      </c>
      <c r="E392" s="380"/>
      <c r="F392" s="286">
        <f t="shared" si="30"/>
        <v>-0.99840801616024732</v>
      </c>
      <c r="G392" s="380">
        <f>SUMIFS(Data!$T$63:$T$78,Data!$S$63:$S$78,MarketProfile!A392,Data!$X$63:$X$78,"1")</f>
        <v>47069448</v>
      </c>
      <c r="H392" s="380"/>
      <c r="I392" s="286">
        <f t="shared" si="31"/>
        <v>-0.99999979189260935</v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99987.694959999993</v>
      </c>
      <c r="D393" s="380">
        <f>SUMIFS(Data!$T$30:$T$42,Data!$S$30:$S$42,MarketProfile!A393,Data!$X$30:$X$42,"1")/1000</f>
        <v>0</v>
      </c>
      <c r="E393" s="380"/>
      <c r="F393" s="286">
        <f t="shared" si="30"/>
        <v>1</v>
      </c>
      <c r="G393" s="380">
        <f>SUMIFS(Data!$T$63:$T$78,Data!$S$63:$S$78,MarketProfile!A393,Data!$X$63:$X$78,"1")</f>
        <v>42141361.876000002</v>
      </c>
      <c r="H393" s="380"/>
      <c r="I393" s="286">
        <f t="shared" si="31"/>
        <v>-0.99762732644345453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305171.30130419997</v>
      </c>
      <c r="D394" s="380">
        <f>SUMIFS(Data!$T$30:$T$42,Data!$S$30:$S$42,MarketProfile!A394,Data!$X$30:$X$42,"1")/1000</f>
        <v>0</v>
      </c>
      <c r="E394" s="380"/>
      <c r="F394" s="286">
        <f t="shared" si="30"/>
        <v>1</v>
      </c>
      <c r="G394" s="380">
        <f>SUMIFS(Data!$T$63:$T$78,Data!$S$63:$S$78,MarketProfile!A394,Data!$X$63:$X$78,"1")</f>
        <v>102025262.251</v>
      </c>
      <c r="H394" s="380"/>
      <c r="I394" s="286">
        <f t="shared" si="31"/>
        <v>-0.99700886530873667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0</v>
      </c>
      <c r="D395" s="380">
        <f>SUMIFS(Data!$T$30:$T$42,Data!$S$30:$S$42,MarketProfile!A395,Data!$X$30:$X$42,"1")/1000</f>
        <v>0</v>
      </c>
      <c r="E395" s="380"/>
      <c r="F395" s="286" t="str">
        <f t="shared" si="30"/>
        <v/>
      </c>
      <c r="G395" s="380">
        <f>SUMIFS(Data!$T$63:$T$78,Data!$S$63:$S$78,MarketProfile!A395,Data!$X$63:$X$78,"1")</f>
        <v>0</v>
      </c>
      <c r="H395" s="380"/>
      <c r="I395" s="286" t="str">
        <f t="shared" si="31"/>
        <v/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2107375.8483699998</v>
      </c>
      <c r="D396" s="380">
        <f>SUMIFS(Data!$T$30:$T$42,Data!$S$30:$S$42,MarketProfile!A396,Data!$X$30:$X$42,"1")/1000</f>
        <v>7026530.2278809994</v>
      </c>
      <c r="E396" s="380"/>
      <c r="F396" s="286">
        <f t="shared" si="30"/>
        <v>-0.70008300255963973</v>
      </c>
      <c r="G396" s="380">
        <f>SUMIFS(Data!$T$63:$T$78,Data!$S$63:$S$78,MarketProfile!A396,Data!$X$63:$X$78,"1")</f>
        <v>2241752507.7470002</v>
      </c>
      <c r="H396" s="380"/>
      <c r="I396" s="286">
        <f t="shared" si="31"/>
        <v>-0.99905994268275045</v>
      </c>
    </row>
    <row r="397" spans="1:9" ht="15" x14ac:dyDescent="0.25">
      <c r="A397" s="288" t="s">
        <v>133</v>
      </c>
      <c r="B397" s="250"/>
      <c r="C397" s="250">
        <f>SUM(C390:C396)</f>
        <v>278688338.37747973</v>
      </c>
      <c r="D397" s="381">
        <f>SUM(D390:E396)</f>
        <v>7297835.4691009996</v>
      </c>
      <c r="E397" s="381">
        <f>SUM(E390:E396)</f>
        <v>0</v>
      </c>
      <c r="F397" s="326">
        <f t="shared" si="30"/>
        <v>37.187807817461056</v>
      </c>
      <c r="G397" s="381">
        <f>SUM(G390:H396)</f>
        <v>316107690079.03003</v>
      </c>
      <c r="H397" s="381">
        <v>320543973</v>
      </c>
      <c r="I397" s="326">
        <f t="shared" si="31"/>
        <v>-0.99911837532864878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1563590.0274400001</v>
      </c>
      <c r="D400" s="380">
        <f>SUMIFS(Data!$T$30:$T$42,Data!$S$30:$S$42,MarketProfile!A400,Data!$X$30:$X$42,"0")/1000</f>
        <v>2807861.10225</v>
      </c>
      <c r="E400" s="380"/>
      <c r="F400" s="286">
        <f t="shared" ref="F400:F404" si="32">IFERROR(IF(OR(AND(D400="",C400=""),AND(D400=0,C400=0)),"",
IF(OR(D400="",D400=0),1,
IF(OR(D400&lt;&gt;"",D400&lt;&gt;0),(C400-D400)/ABS(D400)))),-1)</f>
        <v>-0.44313839947885547</v>
      </c>
      <c r="G400" s="380">
        <f>SUMIFS(Data!$T$63:$T$78,Data!$S$63:$S$78,MarketProfile!A400,Data!$X$63:$X$78,"0")/1000</f>
        <v>1272165.2339699999</v>
      </c>
      <c r="H400" s="380"/>
      <c r="I400" s="286">
        <f t="shared" ref="I400:I404" si="33">IFERROR(IF(OR(AND(G400="",C400=""),AND(G400=0,C400=0)),"",
IF(OR(G400="",G400=0),1,
IF(OR(G400&lt;&gt;"",G400&lt;&gt;0),(C400-G400)/ABS(G400)))),-1)</f>
        <v>0.22907778462123302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405748.54595</v>
      </c>
      <c r="D401" s="380">
        <f>SUMIFS(Data!$T$30:$T$42,Data!$S$30:$S$42,MarketProfile!A401,Data!$X$30:$X$42,"0")/1000</f>
        <v>433912.70160000003</v>
      </c>
      <c r="E401" s="380"/>
      <c r="F401" s="286">
        <f t="shared" si="32"/>
        <v>-6.4907423880767146E-2</v>
      </c>
      <c r="G401" s="380">
        <f>SUMIFS(Data!$T$63:$T$78,Data!$S$63:$S$78,MarketProfile!A401,Data!$X$63:$X$78,"0")/1000</f>
        <v>299868.32483999996</v>
      </c>
      <c r="H401" s="380"/>
      <c r="I401" s="286">
        <f t="shared" si="33"/>
        <v>0.35308904722262446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65874.396389999994</v>
      </c>
      <c r="D402" s="380">
        <f>SUMIFS(Data!$T$30:$T$42,Data!$S$30:$S$42,MarketProfile!A402,Data!$X$30:$X$42,"0")/1000</f>
        <v>92746.67886</v>
      </c>
      <c r="E402" s="380"/>
      <c r="F402" s="286">
        <f t="shared" si="32"/>
        <v>-0.28973848767742288</v>
      </c>
      <c r="G402" s="380">
        <f>SUMIFS(Data!$T$63:$T$78,Data!$S$63:$S$78,MarketProfile!A402,Data!$X$63:$X$78,"0")/1000</f>
        <v>70331.477280000006</v>
      </c>
      <c r="H402" s="380"/>
      <c r="I402" s="286">
        <f t="shared" si="33"/>
        <v>-6.3372490702217357E-2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80">
        <f>SUMIFS(Data!$T$30:$T$42,Data!$S$30:$S$42,MarketProfile!A403,Data!$X$30:$X$42,"0")/1000</f>
        <v>0</v>
      </c>
      <c r="E403" s="380"/>
      <c r="F403" s="286" t="str">
        <f t="shared" si="32"/>
        <v/>
      </c>
      <c r="G403" s="380">
        <f>SUMIFS(Data!$T$63:$T$78,Data!$S$63:$S$78,MarketProfile!A403,Data!$X$63:$X$78,"0")/1000</f>
        <v>0</v>
      </c>
      <c r="H403" s="380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2035212.9697799999</v>
      </c>
      <c r="D404" s="381">
        <f>SUM(D400:E403)</f>
        <v>3334520.4827099997</v>
      </c>
      <c r="E404" s="381">
        <f>SUM(E400:E403)</f>
        <v>0</v>
      </c>
      <c r="F404" s="326">
        <f t="shared" si="32"/>
        <v>-0.38965348081294104</v>
      </c>
      <c r="G404" s="381">
        <f>SUM(G400:H403)</f>
        <v>1642365.0360899998</v>
      </c>
      <c r="H404" s="381">
        <v>1436842</v>
      </c>
      <c r="I404" s="326">
        <f t="shared" si="33"/>
        <v>0.23919647889318099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559031</v>
      </c>
      <c r="D408" s="380">
        <f>SUMIFS(Data!$W$34:$W$47,Data!$S$34:$S$47,MarketProfile!A408,Data!$X$34:$X$47,"1")</f>
        <v>568490</v>
      </c>
      <c r="E408" s="380"/>
      <c r="F408" s="286">
        <f t="shared" ref="F408:F414" si="34">IFERROR(IF(OR(AND(D408="",C408=""),AND(D408=0,C408=0)),"",
IF(OR(D408="",D408=0),1,
IF(OR(D408&lt;&gt;"",D408&lt;&gt;0),(C408-D408)/ABS(D408)))),-1)</f>
        <v>-1.6638815106686133E-2</v>
      </c>
      <c r="G408" s="380">
        <f>SUMIFS(Data!$W$81:$W$93,Data!$S$81:$S$93,MarketProfile!A408,Data!$X$81:$X$93,"1")</f>
        <v>666947</v>
      </c>
      <c r="H408" s="380"/>
      <c r="I408" s="286">
        <f t="shared" ref="I408:I414" si="35">IFERROR(IF(OR(AND(G408="",C408=""),AND(G408=0,C408=0)),"",
IF(OR(G408="",G408=0),1,
IF(OR(G408&lt;&gt;"",G408&lt;&gt;0),(C408-G408)/ABS(G408)))),-1)</f>
        <v>-0.16180596059357041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812880</v>
      </c>
      <c r="D409" s="380">
        <f>SUMIFS(Data!$W$34:$W$47,Data!$S$34:$S$47,MarketProfile!A409,Data!$X$34:$X$47,"1")</f>
        <v>747052</v>
      </c>
      <c r="E409" s="380"/>
      <c r="F409" s="286">
        <f t="shared" si="34"/>
        <v>8.81170253208612E-2</v>
      </c>
      <c r="G409" s="380">
        <f>SUMIFS(Data!$W$81:$W$93,Data!$S$81:$S$93,MarketProfile!A409,Data!$X$81:$X$93,"1")</f>
        <v>1244581</v>
      </c>
      <c r="H409" s="380"/>
      <c r="I409" s="286">
        <f t="shared" si="35"/>
        <v>-0.34686452709787469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597447</v>
      </c>
      <c r="D410" s="380">
        <f>SUMIFS(Data!$W$34:$W$47,Data!$S$34:$S$47,MarketProfile!A410,Data!$X$34:$X$47,"1")</f>
        <v>555916</v>
      </c>
      <c r="E410" s="380"/>
      <c r="F410" s="286">
        <f t="shared" si="34"/>
        <v>7.4707329884371024E-2</v>
      </c>
      <c r="G410" s="380">
        <f>SUMIFS(Data!$W$81:$W$93,Data!$S$81:$S$93,MarketProfile!A410,Data!$X$81:$X$93,"1")</f>
        <v>874404</v>
      </c>
      <c r="H410" s="380"/>
      <c r="I410" s="286">
        <f t="shared" si="35"/>
        <v>-0.31673802956070651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1463781</v>
      </c>
      <c r="D411" s="380">
        <f>SUMIFS(Data!$W$34:$W$47,Data!$S$34:$S$47,MarketProfile!A411,Data!$X$34:$X$47,"1")</f>
        <v>820452</v>
      </c>
      <c r="E411" s="380"/>
      <c r="F411" s="286">
        <f t="shared" si="34"/>
        <v>0.78411534129967386</v>
      </c>
      <c r="G411" s="380">
        <f>SUMIFS(Data!$W$81:$W$93,Data!$S$81:$S$93,MarketProfile!A411,Data!$X$81:$X$93,"1")</f>
        <v>2087844</v>
      </c>
      <c r="H411" s="380"/>
      <c r="I411" s="286">
        <f t="shared" si="35"/>
        <v>-0.29890307896566987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1831288</v>
      </c>
      <c r="D412" s="380">
        <f>SUMIFS(Data!$W$34:$W$47,Data!$S$34:$S$47,MarketProfile!A412,Data!$X$34:$X$47,"1")</f>
        <v>1967894</v>
      </c>
      <c r="E412" s="380"/>
      <c r="F412" s="286">
        <f t="shared" si="34"/>
        <v>-6.9417356829178808E-2</v>
      </c>
      <c r="G412" s="380">
        <f>SUMIFS(Data!$W$81:$W$93,Data!$S$81:$S$93,MarketProfile!A412,Data!$X$81:$X$93,"1")</f>
        <v>14035216</v>
      </c>
      <c r="H412" s="380"/>
      <c r="I412" s="286">
        <f t="shared" si="35"/>
        <v>-0.86952192256962768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1762120</v>
      </c>
      <c r="D413" s="380">
        <f>SUMIFS(Data!$W$34:$W$47,Data!$S$34:$S$47,MarketProfile!A413,Data!$X$34:$X$47,"1")</f>
        <v>1898365</v>
      </c>
      <c r="E413" s="380"/>
      <c r="F413" s="286">
        <f t="shared" si="34"/>
        <v>-7.1769654413139733E-2</v>
      </c>
      <c r="G413" s="380">
        <f>SUMIFS(Data!$W$81:$W$93,Data!$S$81:$S$93,MarketProfile!A413,Data!$X$81:$X$93,"1")</f>
        <v>13536615</v>
      </c>
      <c r="H413" s="380"/>
      <c r="I413" s="286">
        <f t="shared" si="35"/>
        <v>-0.86982565434563963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152359</v>
      </c>
      <c r="D414" s="380">
        <f>SUMIFS(Data!$W$34:$W$47,Data!$S$34:$S$47,MarketProfile!A414,Data!$X$34:$X$47,"1")</f>
        <v>148859</v>
      </c>
      <c r="E414" s="380"/>
      <c r="F414" s="286">
        <f t="shared" si="34"/>
        <v>2.3512182669506044E-2</v>
      </c>
      <c r="G414" s="380">
        <f>SUMIFS(Data!$W$81:$W$93,Data!$S$81:$S$93,MarketProfile!A414,Data!$X$81:$X$93,"1")</f>
        <v>303759</v>
      </c>
      <c r="H414" s="380"/>
      <c r="I414" s="286">
        <f t="shared" si="35"/>
        <v>-0.49842144594892662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882849</v>
      </c>
      <c r="D417" s="380">
        <f>SUMIFS(Data!$W$34:$W$47,Data!$S$34:$S$47,MarketProfile!A417,Data!$X$34:$X$47,"0")</f>
        <v>801216</v>
      </c>
      <c r="E417" s="380"/>
      <c r="F417" s="286">
        <f t="shared" ref="F417:F419" si="36">IFERROR(IF(OR(AND(D417="",C417=""),AND(D417=0,C417=0)),"",
IF(OR(D417="",D417=0),1,
IF(OR(D417&lt;&gt;"",D417&lt;&gt;0),(C417-D417)/ABS(D417)))),-1)</f>
        <v>0.10188638269829858</v>
      </c>
      <c r="G417" s="380">
        <f>SUMIFS(Data!$W$81:$W$93,Data!$S$81:$S$93,MarketProfile!A417,Data!$X$81:$X$93,"0")</f>
        <v>926852</v>
      </c>
      <c r="H417" s="380"/>
      <c r="I417" s="286">
        <f t="shared" ref="I417:I419" si="37">IFERROR(IF(OR(AND(G417="",C417=""),AND(G417=0,C417=0)),"",
IF(OR(G417="",G417=0),1,
IF(OR(G417&lt;&gt;"",G417&lt;&gt;0),(C417-G417)/ABS(G417)))),-1)</f>
        <v>-4.7475756647231707E-2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1252151</v>
      </c>
      <c r="D418" s="380">
        <f>SUMIFS(Data!$W$34:$W$47,Data!$S$34:$S$47,MarketProfile!A418,Data!$X$34:$X$47,"0")</f>
        <v>1010675</v>
      </c>
      <c r="E418" s="380"/>
      <c r="F418" s="286">
        <f t="shared" si="36"/>
        <v>0.23892547060133079</v>
      </c>
      <c r="G418" s="380">
        <f>SUMIFS(Data!$W$75:$W$87,Data!$S$75:$S$87,MarketProfile!A418,Data!$X$75:$X$87,"0")</f>
        <v>2240696</v>
      </c>
      <c r="H418" s="380"/>
      <c r="I418" s="286">
        <f t="shared" si="37"/>
        <v>-0.44117765194386033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99514</v>
      </c>
      <c r="D419" s="380">
        <f>SUMIFS(Data!$W$34:$W$47,Data!$S$34:$S$47,MarketProfile!A419,Data!$X$34:$X$47,"0")</f>
        <v>183039</v>
      </c>
      <c r="E419" s="380"/>
      <c r="F419" s="286">
        <f t="shared" si="36"/>
        <v>-0.4563235157534733</v>
      </c>
      <c r="G419" s="380">
        <f>SUMIFS(Data!$W$75:$W$87,Data!$S$75:$S$87,MarketProfile!A419,Data!$X$75:$X$87,"0")</f>
        <v>277130</v>
      </c>
      <c r="H419" s="380"/>
      <c r="I419" s="286">
        <f t="shared" si="37"/>
        <v>-0.64091220726734743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91" t="str">
        <f>"Market Profile - "&amp; TEXT($H$3,"MMM")&amp;" "&amp;TEXT($H$3,"YYYY")</f>
        <v>Market Profile - Jul 2018</v>
      </c>
      <c r="B429" s="248"/>
      <c r="C429" s="248"/>
      <c r="D429" s="248"/>
      <c r="E429" s="395" t="s">
        <v>205</v>
      </c>
      <c r="F429" s="395"/>
      <c r="G429" s="395"/>
      <c r="H429" s="395"/>
      <c r="I429" s="395"/>
    </row>
    <row r="430" spans="1:12" ht="10.5" customHeight="1" thickBot="1" x14ac:dyDescent="0.25">
      <c r="A430" s="392"/>
      <c r="B430" s="278"/>
      <c r="C430" s="278"/>
      <c r="D430" s="278"/>
      <c r="E430" s="396"/>
      <c r="F430" s="396"/>
      <c r="G430" s="396"/>
      <c r="H430" s="396"/>
      <c r="I430" s="396"/>
    </row>
    <row r="431" spans="1:12" ht="38.25" customHeight="1" thickBot="1" x14ac:dyDescent="0.3">
      <c r="A431" s="330"/>
      <c r="B431" s="330"/>
      <c r="C431" s="341" t="str">
        <f>TEXT($H$3,"MMM")&amp;" "&amp;TEXT($H$3,"YYYY")</f>
        <v>Jul 2018</v>
      </c>
      <c r="D431" s="330"/>
      <c r="E431" s="341" t="str">
        <f>TEXT(DATE(2000,TEXT(H3,"M")-1,1),"mmm")&amp; " "&amp; TEXT(H3,"YYYY")</f>
        <v>Jun 2018</v>
      </c>
      <c r="F431" s="180" t="s">
        <v>193</v>
      </c>
      <c r="G431" s="330"/>
      <c r="H431" s="342" t="str">
        <f>TEXT($H$3,"MMM")&amp;" "&amp;TEXT($H$3,"YYYY")-1</f>
        <v>Jul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690</v>
      </c>
      <c r="D434" s="378">
        <f>SUMIFS(Data!$AQ:$AQ,Data!$AN:$AN,MarketProfile!A434,Data!$AS:$AS,"1")</f>
        <v>1148</v>
      </c>
      <c r="E434" s="378"/>
      <c r="F434" s="179">
        <f>IFERROR(IF(OR(AND(D434="",C434=""),AND(D434=0,C434=0)),"",
IF(OR(D434="",D434=0),1,
IF(OR(D434&lt;&gt;"",D434&lt;&gt;0),(C434-D434)/ABS(D434)))),-1)</f>
        <v>-0.39895470383275261</v>
      </c>
      <c r="G434" s="378">
        <f>SUMIFS(Data!$BE:$BE,Data!$BB:$BB,MarketProfile!A434,Data!BG:BG,"1")</f>
        <v>1586</v>
      </c>
      <c r="H434" s="378"/>
      <c r="I434" s="179">
        <f t="shared" ref="I434:I441" si="38">IFERROR(IF(OR(AND(G434="",C434=""),AND(G434=0,C434=0)),"",
IF(OR(G434="",G434=0),1,
IF(OR(G434&lt;&gt;"",G434&lt;&gt;0),(C434-G434)/ABS(G434)))),-1)</f>
        <v>-0.56494325346784369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2948</v>
      </c>
      <c r="D435" s="378">
        <f>SUMIFS(Data!$AQ:$AQ,Data!$AN:$AN,MarketProfile!A435,Data!$AS:$AS,"1")</f>
        <v>4471</v>
      </c>
      <c r="E435" s="378"/>
      <c r="F435" s="179">
        <f t="shared" ref="F435:F442" si="39">IFERROR(IF(OR(AND(D435="",C435=""),AND(D435=0,C435=0)),"",
IF(OR(D435="",D435=0),1,
IF(OR(D435&lt;&gt;"",D435&lt;&gt;0),(C435-D435)/ABS(D435)))),-1)</f>
        <v>-0.3406396779244017</v>
      </c>
      <c r="G435" s="378">
        <f>SUMIFS(Data!$BE:$BE,Data!$BB:$BB,MarketProfile!A435,Data!BG:BG,"1")</f>
        <v>2723</v>
      </c>
      <c r="H435" s="378"/>
      <c r="I435" s="179">
        <f t="shared" si="38"/>
        <v>8.2629452809401399E-2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7733</v>
      </c>
      <c r="D436" s="378">
        <f>SUMIFS(Data!$AQ:$AQ,Data!$AN:$AN,MarketProfile!A436,Data!$AS:$AS,"1")</f>
        <v>8004</v>
      </c>
      <c r="E436" s="378"/>
      <c r="F436" s="179">
        <f t="shared" si="39"/>
        <v>-3.3858070964517741E-2</v>
      </c>
      <c r="G436" s="378">
        <f>SUMIFS(Data!$BE:$BE,Data!$BB:$BB,MarketProfile!A436,Data!BG:BG,"1")</f>
        <v>8945</v>
      </c>
      <c r="H436" s="378"/>
      <c r="I436" s="179">
        <f t="shared" si="38"/>
        <v>-0.13549468977082169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6</v>
      </c>
      <c r="D437" s="378">
        <f>SUMIFS(Data!$AQ:$AQ,Data!$AN:$AN,MarketProfile!A437,Data!$AS:$AS,"1")</f>
        <v>24</v>
      </c>
      <c r="E437" s="378"/>
      <c r="F437" s="179">
        <f t="shared" si="39"/>
        <v>-0.75</v>
      </c>
      <c r="G437" s="378">
        <f>SUMIFS(Data!$BE:$BE,Data!$BB:$BB,MarketProfile!A437,Data!BG:BG,"1")</f>
        <v>21</v>
      </c>
      <c r="H437" s="378"/>
      <c r="I437" s="179">
        <f t="shared" si="38"/>
        <v>-0.7142857142857143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4001</v>
      </c>
      <c r="D438" s="378">
        <f>SUMIFS(Data!$AQ:$AQ,Data!$AN:$AN,MarketProfile!A438,Data!$AS:$AS,"1")</f>
        <v>3481</v>
      </c>
      <c r="E438" s="378"/>
      <c r="F438" s="179">
        <f t="shared" si="39"/>
        <v>0.14938236139040506</v>
      </c>
      <c r="G438" s="378">
        <f>SUMIFS(Data!$BE:$BE,Data!$BB:$BB,MarketProfile!A438,Data!BG:BG,"1")</f>
        <v>3160</v>
      </c>
      <c r="H438" s="378"/>
      <c r="I438" s="179">
        <f t="shared" si="38"/>
        <v>0.26613924050632909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12548</v>
      </c>
      <c r="D439" s="378">
        <f>SUMIFS(Data!$AQ:$AQ,Data!$AN:$AN,MarketProfile!A439,Data!$AS:$AS,"1")</f>
        <v>11841</v>
      </c>
      <c r="E439" s="378"/>
      <c r="F439" s="179">
        <f t="shared" si="39"/>
        <v>5.9707794949750863E-2</v>
      </c>
      <c r="G439" s="378">
        <f>SUMIFS(Data!$BE:$BE,Data!$BB:$BB,MarketProfile!A439,Data!BG:BG,"1")</f>
        <v>15861</v>
      </c>
      <c r="H439" s="378"/>
      <c r="I439" s="179">
        <f t="shared" si="38"/>
        <v>-0.20887711997982472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18</v>
      </c>
      <c r="D440" s="378">
        <f>SUMIFS(Data!$AQ:$AQ,Data!$AN:$AN,MarketProfile!A440,Data!$AS:$AS,"1")</f>
        <v>24</v>
      </c>
      <c r="E440" s="378"/>
      <c r="F440" s="179">
        <f t="shared" si="39"/>
        <v>-0.25</v>
      </c>
      <c r="G440" s="378">
        <f>SUMIFS(Data!$BE:$BE,Data!$BB:$BB,MarketProfile!A440,Data!BG:BG,"1")</f>
        <v>9</v>
      </c>
      <c r="H440" s="378"/>
      <c r="I440" s="179">
        <f t="shared" si="38"/>
        <v>1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8</v>
      </c>
      <c r="D441" s="378">
        <f>SUMIFS(Data!$AQ:$AQ,Data!$AN:$AN,MarketProfile!A441,Data!$AS:$AS,"1")</f>
        <v>23</v>
      </c>
      <c r="E441" s="378"/>
      <c r="F441" s="179">
        <f t="shared" si="39"/>
        <v>-0.65217391304347827</v>
      </c>
      <c r="G441" s="378">
        <f>SUMIFS(Data!$BE:$BE,Data!$BB:$BB,MarketProfile!A441,Data!BG:BG,"1")</f>
        <v>7</v>
      </c>
      <c r="H441" s="378"/>
      <c r="I441" s="179">
        <f t="shared" si="38"/>
        <v>0.14285714285714285</v>
      </c>
      <c r="J441" s="158"/>
    </row>
    <row r="442" spans="1:10" x14ac:dyDescent="0.2">
      <c r="A442" s="246" t="s">
        <v>187</v>
      </c>
      <c r="B442" s="247"/>
      <c r="C442" s="4">
        <f>SUM(C434:C441)</f>
        <v>27952</v>
      </c>
      <c r="D442" s="379">
        <f>SUM(D434:E441)</f>
        <v>29016</v>
      </c>
      <c r="E442" s="379">
        <f>SUM(E434:E441)</f>
        <v>0</v>
      </c>
      <c r="F442" s="166">
        <f t="shared" si="39"/>
        <v>-3.6669423766197959E-2</v>
      </c>
      <c r="G442" s="379">
        <f>SUM(G434:H441)</f>
        <v>32312</v>
      </c>
      <c r="H442" s="379">
        <f>SUM(H434:H441)</f>
        <v>0</v>
      </c>
      <c r="I442" s="166">
        <f>IFERROR(IF(OR(AND(G442="",C442=""),AND(G442=0,C442=0)),"",
IF(OR(G442="",G442=0),1,
IF(OR(G442&lt;&gt;"",G442&lt;&gt;0),(C442-G442)/ABS(G442)))),-1)</f>
        <v>-0.1349343897004209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43</v>
      </c>
      <c r="D444" s="378">
        <f>SUMIFS(Data!$AQ:$AQ,Data!$AN:$AN,MarketProfile!A444,Data!$AS:$AS,"0")</f>
        <v>0</v>
      </c>
      <c r="E444" s="378"/>
      <c r="F444" s="179">
        <f t="shared" ref="F444:F452" si="40">IFERROR(IF(OR(AND(D444="",C444=""),AND(D444=0,C444=0)),"",
IF(OR(D444="",D444=0),1,
IF(OR(D444&lt;&gt;"",D444&lt;&gt;0),(C444-D444)/ABS(D444)))),-1)</f>
        <v>1</v>
      </c>
      <c r="G444" s="378">
        <f>SUMIFS(Data!$BE:$BE,Data!$BB:$BB,MarketProfile!A444,Data!BG:BG,"0")</f>
        <v>0</v>
      </c>
      <c r="H444" s="378"/>
      <c r="I444" s="179">
        <f t="shared" ref="I444:I452" si="41">IFERROR(IF(OR(AND(G444="",C444=""),AND(G444=0,C444=0)),"",
IF(OR(G444="",G444=0),1,
IF(OR(G444&lt;&gt;"",G444&lt;&gt;0),(C444-G444)/ABS(G444)))),-1)</f>
        <v>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65</v>
      </c>
      <c r="D445" s="378">
        <f>SUMIFS(Data!$AQ:$AQ,Data!$AN:$AN,MarketProfile!A445,Data!$AS:$AS,"0")</f>
        <v>63</v>
      </c>
      <c r="E445" s="378"/>
      <c r="F445" s="179">
        <f t="shared" si="40"/>
        <v>3.1746031746031744E-2</v>
      </c>
      <c r="G445" s="378">
        <f>SUMIFS(Data!$BE:$BE,Data!$BB:$BB,MarketProfile!A445,Data!BG:BG,"0")</f>
        <v>72</v>
      </c>
      <c r="H445" s="378"/>
      <c r="I445" s="179">
        <f t="shared" si="41"/>
        <v>-9.7222222222222224E-2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188</v>
      </c>
      <c r="D446" s="378">
        <f>SUMIFS(Data!$AQ:$AQ,Data!$AN:$AN,MarketProfile!A446,Data!$AS:$AS,"0")</f>
        <v>223</v>
      </c>
      <c r="E446" s="378"/>
      <c r="F446" s="179">
        <f t="shared" si="40"/>
        <v>-0.15695067264573992</v>
      </c>
      <c r="G446" s="378">
        <f>SUMIFS(Data!$BE:$BE,Data!$BB:$BB,MarketProfile!A446,Data!BG:BG,"0")</f>
        <v>399</v>
      </c>
      <c r="H446" s="378"/>
      <c r="I446" s="179">
        <f t="shared" si="41"/>
        <v>-0.52882205513784464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8">
        <f>SUMIFS(Data!$AQ:$AQ,Data!$AN:$AN,MarketProfile!A447,Data!$AS:$AS,"0")</f>
        <v>0</v>
      </c>
      <c r="E447" s="378"/>
      <c r="F447" s="179" t="str">
        <f t="shared" si="40"/>
        <v/>
      </c>
      <c r="G447" s="378">
        <f>SUMIFS(Data!$BE:$BE,Data!$BB:$BB,MarketProfile!A447,Data!BG:BG,"0")</f>
        <v>0</v>
      </c>
      <c r="H447" s="378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136</v>
      </c>
      <c r="D448" s="378">
        <f>SUMIFS(Data!$AQ:$AQ,Data!$AN:$AN,MarketProfile!A448,Data!$AS:$AS,"0")</f>
        <v>70</v>
      </c>
      <c r="E448" s="378"/>
      <c r="F448" s="179">
        <f t="shared" si="40"/>
        <v>0.94285714285714284</v>
      </c>
      <c r="G448" s="378">
        <f>SUMIFS(Data!$BE:$BE,Data!$BB:$BB,MarketProfile!A448,Data!BG:BG,"0")</f>
        <v>159</v>
      </c>
      <c r="H448" s="378"/>
      <c r="I448" s="179">
        <f t="shared" si="41"/>
        <v>-0.14465408805031446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1452</v>
      </c>
      <c r="D449" s="378">
        <f>SUMIFS(Data!$AQ:$AQ,Data!$AN:$AN,MarketProfile!A449,Data!$AS:$AS,"0")</f>
        <v>1211</v>
      </c>
      <c r="E449" s="378"/>
      <c r="F449" s="179">
        <f t="shared" si="40"/>
        <v>0.19900908340214699</v>
      </c>
      <c r="G449" s="378">
        <f>SUMIFS(Data!$BE:$BE,Data!$BB:$BB,MarketProfile!A449,Data!BG:BG,"0")</f>
        <v>1369</v>
      </c>
      <c r="H449" s="378"/>
      <c r="I449" s="179">
        <f t="shared" si="41"/>
        <v>6.0628195763330901E-2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378">
        <f>SUMIFS(Data!$AQ:$AQ,Data!$AN:$AN,MarketProfile!A450,Data!$AS:$AS,"0")</f>
        <v>7</v>
      </c>
      <c r="E450" s="378"/>
      <c r="F450" s="179">
        <f t="shared" si="40"/>
        <v>-1</v>
      </c>
      <c r="G450" s="378">
        <f>SUMIFS(Data!$BE:$BE,Data!$BB:$BB,MarketProfile!A450,Data!BG:BG,"0")</f>
        <v>0</v>
      </c>
      <c r="H450" s="378"/>
      <c r="I450" s="179" t="str">
        <f t="shared" si="41"/>
        <v/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8">
        <f>SUMIFS(Data!$AQ:$AQ,Data!$AN:$AN,MarketProfile!A451,Data!$AS:$AS,"0")</f>
        <v>0</v>
      </c>
      <c r="E451" s="378"/>
      <c r="F451" s="179" t="str">
        <f t="shared" si="40"/>
        <v/>
      </c>
      <c r="G451" s="378">
        <f>SUMIFS(Data!$BE:$BE,Data!$BB:$BB,MarketProfile!A451,Data!BG:BG,"0")</f>
        <v>0</v>
      </c>
      <c r="H451" s="378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1884</v>
      </c>
      <c r="D452" s="379">
        <f>SUM(D444:E451)</f>
        <v>1574</v>
      </c>
      <c r="E452" s="379">
        <f>SUM(E444:E451)</f>
        <v>0</v>
      </c>
      <c r="F452" s="166">
        <f t="shared" si="40"/>
        <v>0.19695044472681067</v>
      </c>
      <c r="G452" s="379">
        <f>SUM(G444:H451)</f>
        <v>1999</v>
      </c>
      <c r="H452" s="379">
        <f>SUM(H444:H451)</f>
        <v>0</v>
      </c>
      <c r="I452" s="166">
        <f t="shared" si="41"/>
        <v>-5.7528764382191094E-2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8221</v>
      </c>
      <c r="D455" s="378">
        <f>SUMIFS(Data!$AP:$AP,Data!$AN:$AN,MarketProfile!A455,Data!$AS:$AS,"1")</f>
        <v>40277</v>
      </c>
      <c r="E455" s="378"/>
      <c r="F455" s="179">
        <f t="shared" ref="F455:F463" si="42">IFERROR(IF(OR(AND(D455="",C455=""),AND(D455=0,C455=0)),"",
IF(OR(D455="",D455=0),1,
IF(OR(D455&lt;&gt;"",D455&lt;&gt;0),(C455-D455)/ABS(D455)))),-1)</f>
        <v>-0.79588847232912086</v>
      </c>
      <c r="G455" s="378">
        <f>SUMIFS(Data!$BD:$BD,Data!$BB:$BB,MarketProfile!A455,Data!BG:BG,"1")</f>
        <v>16934</v>
      </c>
      <c r="H455" s="378"/>
      <c r="I455" s="179">
        <f t="shared" ref="I455:I463" si="43">IFERROR(IF(OR(AND(G455="",C455=""),AND(G455=0,C455=0)),"",
IF(OR(G455="",G455=0),1,
IF(OR(G455&lt;&gt;"",G455&lt;&gt;0),(C455-G455)/ABS(G455)))),-1)</f>
        <v>-0.51452698712649103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24968</v>
      </c>
      <c r="D456" s="378">
        <f>SUMIFS(Data!$AP:$AP,Data!$AN:$AN,MarketProfile!A456,Data!$AS:$AS,"1")</f>
        <v>43766</v>
      </c>
      <c r="E456" s="378"/>
      <c r="F456" s="179">
        <f t="shared" si="42"/>
        <v>-0.4295114929397249</v>
      </c>
      <c r="G456" s="378">
        <f>SUMIFS(Data!$BD:$BD,Data!$BB:$BB,MarketProfile!A456,Data!BG:BG,"1")</f>
        <v>22821</v>
      </c>
      <c r="H456" s="378"/>
      <c r="I456" s="179">
        <f t="shared" si="43"/>
        <v>9.4080014022172559E-2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69283</v>
      </c>
      <c r="D457" s="378">
        <f>SUMIFS(Data!$AP:$AP,Data!$AN:$AN,MarketProfile!A457,Data!$AS:$AS,"1")</f>
        <v>79443</v>
      </c>
      <c r="E457" s="378"/>
      <c r="F457" s="179">
        <f t="shared" si="42"/>
        <v>-0.12789043716878767</v>
      </c>
      <c r="G457" s="378">
        <f>SUMIFS(Data!$BD:$BD,Data!$BB:$BB,MarketProfile!A457,Data!BG:BG,"1")</f>
        <v>76658</v>
      </c>
      <c r="H457" s="378"/>
      <c r="I457" s="179">
        <f t="shared" si="43"/>
        <v>-9.6206527694435023E-2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522</v>
      </c>
      <c r="D458" s="378">
        <f>SUMIFS(Data!$AP:$AP,Data!$AN:$AN,MarketProfile!A458,Data!$AS:$AS,"1")</f>
        <v>164</v>
      </c>
      <c r="E458" s="378"/>
      <c r="F458" s="179">
        <f t="shared" si="42"/>
        <v>2.1829268292682928</v>
      </c>
      <c r="G458" s="378">
        <f>SUMIFS(Data!$BD:$BD,Data!$BB:$BB,MarketProfile!A458,Data!BG:BG,"1")</f>
        <v>550</v>
      </c>
      <c r="H458" s="378"/>
      <c r="I458" s="179">
        <f t="shared" si="43"/>
        <v>-5.0909090909090911E-2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27940</v>
      </c>
      <c r="D459" s="378">
        <f>SUMIFS(Data!$AP:$AP,Data!$AN:$AN,MarketProfile!A459,Data!$AS:$AS,"1")</f>
        <v>33879</v>
      </c>
      <c r="E459" s="378"/>
      <c r="F459" s="179">
        <f t="shared" si="42"/>
        <v>-0.175300333539951</v>
      </c>
      <c r="G459" s="378">
        <f>SUMIFS(Data!$BD:$BD,Data!$BB:$BB,MarketProfile!A459,Data!BG:BG,"1")</f>
        <v>25161</v>
      </c>
      <c r="H459" s="378"/>
      <c r="I459" s="179">
        <f t="shared" si="43"/>
        <v>0.11044871030563173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86127</v>
      </c>
      <c r="D460" s="378">
        <f>SUMIFS(Data!$AP:$AP,Data!$AN:$AN,MarketProfile!A460,Data!$AS:$AS,"1")</f>
        <v>80953</v>
      </c>
      <c r="E460" s="378"/>
      <c r="F460" s="179">
        <f t="shared" si="42"/>
        <v>6.3913628895779034E-2</v>
      </c>
      <c r="G460" s="378">
        <f>SUMIFS(Data!$BD:$BD,Data!$BB:$BB,MarketProfile!A460,Data!BG:BG,"1")</f>
        <v>102056</v>
      </c>
      <c r="H460" s="378"/>
      <c r="I460" s="179">
        <f t="shared" si="43"/>
        <v>-0.15608097515089756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199</v>
      </c>
      <c r="D461" s="378">
        <f>SUMIFS(Data!$AP:$AP,Data!$AN:$AN,MarketProfile!A461,Data!$AS:$AS,"1")</f>
        <v>224</v>
      </c>
      <c r="E461" s="378"/>
      <c r="F461" s="179">
        <f t="shared" si="42"/>
        <v>-0.11160714285714286</v>
      </c>
      <c r="G461" s="378">
        <f>SUMIFS(Data!$BD:$BD,Data!$BB:$BB,MarketProfile!A461,Data!BG:BG,"1")</f>
        <v>10</v>
      </c>
      <c r="H461" s="378"/>
      <c r="I461" s="179">
        <f t="shared" si="43"/>
        <v>18.899999999999999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60</v>
      </c>
      <c r="D462" s="378">
        <f>SUMIFS(Data!$AP:$AP,Data!$AN:$AN,MarketProfile!A462,Data!$AS:$AS,"1")</f>
        <v>372</v>
      </c>
      <c r="E462" s="378"/>
      <c r="F462" s="179">
        <f t="shared" si="42"/>
        <v>-0.83870967741935487</v>
      </c>
      <c r="G462" s="378">
        <f>SUMIFS(Data!$BD:$BD,Data!$BB:$BB,MarketProfile!A462,Data!BG:BG,"1")</f>
        <v>28</v>
      </c>
      <c r="H462" s="378"/>
      <c r="I462" s="179">
        <f t="shared" si="43"/>
        <v>1.1428571428571428</v>
      </c>
    </row>
    <row r="463" spans="1:9" x14ac:dyDescent="0.2">
      <c r="A463" s="246" t="s">
        <v>187</v>
      </c>
      <c r="B463" s="247"/>
      <c r="C463" s="4">
        <f>SUM(C455:C462)</f>
        <v>217320</v>
      </c>
      <c r="D463" s="379">
        <f>SUM(D455:E462)</f>
        <v>279078</v>
      </c>
      <c r="E463" s="379">
        <f>SUM(E455:E462)</f>
        <v>0</v>
      </c>
      <c r="F463" s="166">
        <f t="shared" si="42"/>
        <v>-0.22129297185733021</v>
      </c>
      <c r="G463" s="379">
        <f>SUM(G455:H462)</f>
        <v>244218</v>
      </c>
      <c r="H463" s="379">
        <f>SUM(H455:H462)</f>
        <v>0</v>
      </c>
      <c r="I463" s="166">
        <f t="shared" si="43"/>
        <v>-0.1101393017713682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111</v>
      </c>
      <c r="D465" s="378">
        <f>SUMIFS(Data!$AP:$AP,Data!$AN:$AN,MarketProfile!A465,Data!$AS:$AS,"0")</f>
        <v>0</v>
      </c>
      <c r="E465" s="378"/>
      <c r="F465" s="179">
        <f t="shared" ref="F465:F473" si="44">IFERROR(IF(OR(AND(D465="",C465=""),AND(D465=0,C465=0)),"",
IF(OR(D465="",D465=0),1,
IF(OR(D465&lt;&gt;"",D465&lt;&gt;0),(C465-D465)/ABS(D465)))),-1)</f>
        <v>1</v>
      </c>
      <c r="G465" s="378">
        <f>SUMIFS(Data!$BD:$BD,Data!$BB:$BB,MarketProfile!A465,Data!BG:BG,"0")</f>
        <v>0</v>
      </c>
      <c r="H465" s="378"/>
      <c r="I465" s="179">
        <f t="shared" ref="I465:I473" si="45">IFERROR(IF(OR(AND(G465="",C465=""),AND(G465=0,C465=0)),"",
IF(OR(G465="",G465=0),1,
IF(OR(G465&lt;&gt;"",G465&lt;&gt;0),(C465-G465)/ABS(G465)))),-1)</f>
        <v>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702</v>
      </c>
      <c r="D466" s="378">
        <f>SUMIFS(Data!$AP:$AP,Data!$AN:$AN,MarketProfile!A466,Data!$AS:$AS,"0")</f>
        <v>859</v>
      </c>
      <c r="E466" s="378"/>
      <c r="F466" s="179">
        <f t="shared" si="44"/>
        <v>-0.18277066356228172</v>
      </c>
      <c r="G466" s="378">
        <f>SUMIFS(Data!$BD:$BD,Data!$BB:$BB,MarketProfile!A466,Data!BG:BG,"0")</f>
        <v>1516</v>
      </c>
      <c r="H466" s="378"/>
      <c r="I466" s="179">
        <f t="shared" si="45"/>
        <v>-0.53693931398416883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2745</v>
      </c>
      <c r="D467" s="378">
        <f>SUMIFS(Data!$AP:$AP,Data!$AN:$AN,MarketProfile!A467,Data!$AS:$AS,"0")</f>
        <v>4307</v>
      </c>
      <c r="E467" s="378"/>
      <c r="F467" s="179">
        <f t="shared" si="44"/>
        <v>-0.362665428372417</v>
      </c>
      <c r="G467" s="378">
        <f>SUMIFS(Data!$BD:$BD,Data!$BB:$BB,MarketProfile!A467,Data!BG:BG,"0")</f>
        <v>2863</v>
      </c>
      <c r="H467" s="378"/>
      <c r="I467" s="179">
        <f t="shared" si="45"/>
        <v>-4.1215508208173247E-2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8">
        <f>SUMIFS(Data!$AP:$AP,Data!$AN:$AN,MarketProfile!A468,Data!$AS:$AS,"0")</f>
        <v>0</v>
      </c>
      <c r="E468" s="378"/>
      <c r="F468" s="179" t="str">
        <f t="shared" si="44"/>
        <v/>
      </c>
      <c r="G468" s="378">
        <f>SUMIFS(Data!$BD:$BD,Data!$BB:$BB,MarketProfile!A468,Data!BG:BG,"0")</f>
        <v>0</v>
      </c>
      <c r="H468" s="378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1564</v>
      </c>
      <c r="D469" s="378">
        <f>SUMIFS(Data!$AP:$AP,Data!$AN:$AN,MarketProfile!A469,Data!$AS:$AS,"0")</f>
        <v>389</v>
      </c>
      <c r="E469" s="378"/>
      <c r="F469" s="179">
        <f t="shared" si="44"/>
        <v>3.020565552699229</v>
      </c>
      <c r="G469" s="378">
        <f>SUMIFS(Data!$BD:$BD,Data!$BB:$BB,MarketProfile!A469,Data!BG:BG,"0")</f>
        <v>3109</v>
      </c>
      <c r="H469" s="378"/>
      <c r="I469" s="179">
        <f t="shared" si="45"/>
        <v>-0.49694435509810231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14839</v>
      </c>
      <c r="D470" s="378">
        <f>SUMIFS(Data!$AP:$AP,Data!$AN:$AN,MarketProfile!A470,Data!$AS:$AS,"0")</f>
        <v>11960</v>
      </c>
      <c r="E470" s="378"/>
      <c r="F470" s="179">
        <f t="shared" si="44"/>
        <v>0.24071906354515049</v>
      </c>
      <c r="G470" s="378">
        <f>SUMIFS(Data!$BD:$BD,Data!$BB:$BB,MarketProfile!A470,Data!BG:BG,"0")</f>
        <v>12317</v>
      </c>
      <c r="H470" s="378"/>
      <c r="I470" s="179">
        <f t="shared" si="45"/>
        <v>0.2047576520256556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378">
        <f>SUMIFS(Data!$AP:$AP,Data!$AN:$AN,MarketProfile!A471,Data!$AS:$AS,"0")</f>
        <v>70</v>
      </c>
      <c r="E471" s="378"/>
      <c r="F471" s="179">
        <f t="shared" si="44"/>
        <v>-1</v>
      </c>
      <c r="G471" s="378">
        <f>SUMIFS(Data!$BD:$BD,Data!$BB:$BB,MarketProfile!A471,Data!BG:BG,"0")</f>
        <v>0</v>
      </c>
      <c r="H471" s="378"/>
      <c r="I471" s="179" t="str">
        <f t="shared" si="45"/>
        <v/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8">
        <f>SUMIFS(Data!$AP:$AP,Data!$AN:$AN,MarketProfile!A472,Data!$AS:$AS,"0")</f>
        <v>0</v>
      </c>
      <c r="E472" s="378"/>
      <c r="F472" s="179" t="str">
        <f t="shared" si="44"/>
        <v/>
      </c>
      <c r="G472" s="378">
        <f>SUMIFS(Data!$BD:$BD,Data!$BB:$BB,MarketProfile!A472,Data!BG:BG,"0")</f>
        <v>0</v>
      </c>
      <c r="H472" s="378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19961</v>
      </c>
      <c r="D473" s="379">
        <f>SUM(D465:E472)</f>
        <v>17585</v>
      </c>
      <c r="E473" s="379">
        <v>34213</v>
      </c>
      <c r="F473" s="166">
        <f t="shared" si="44"/>
        <v>0.13511515496161502</v>
      </c>
      <c r="G473" s="379">
        <f>SUM(G465:H472)</f>
        <v>19805</v>
      </c>
      <c r="H473" s="379">
        <f>SUM(H465:H472)</f>
        <v>0</v>
      </c>
      <c r="I473" s="166">
        <f t="shared" si="45"/>
        <v>7.8767987881848012E-3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1637121.84751</v>
      </c>
      <c r="D476" s="378">
        <f>SUMIFS(Data!$AO:$AO,Data!$AN:$AN,MarketProfile!A476,Data!$AS:$AS,"1")/1000</f>
        <v>7970491.7566299997</v>
      </c>
      <c r="E476" s="378"/>
      <c r="F476" s="179">
        <f t="shared" ref="F476:F484" si="46">IFERROR(IF(OR(AND(D476="",C476=""),AND(D476=0,C476=0)),"",
IF(OR(D476="",D476=0),1,
IF(OR(D476&lt;&gt;"",D476&lt;&gt;0),(C476-D476)/ABS(D476)))),-1)</f>
        <v>-0.79460215285359126</v>
      </c>
      <c r="G476" s="378">
        <f>SUMIFS(Data!$BC:$BC,Data!$BB:$BB,MarketProfile!A476,Data!BG:BG,"1")/1000</f>
        <v>3611331.5150100002</v>
      </c>
      <c r="H476" s="378"/>
      <c r="I476" s="179">
        <f t="shared" ref="I476:I484" si="47">IFERROR(IF(OR(AND(G476="",C476=""),AND(G476=0,C476=0)),"",
IF(OR(G476="",G476=0),1,
IF(OR(G476&lt;&gt;"",G476&lt;&gt;0),(C476-G476)/ABS(G476)))),-1)</f>
        <v>-0.54667084960061707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5540034.6037749993</v>
      </c>
      <c r="D477" s="378">
        <f>SUMIFS(Data!$AO:$AO,Data!$AN:$AN,MarketProfile!A477,Data!$AS:$AS,"1")/1000</f>
        <v>9803288.0879150014</v>
      </c>
      <c r="E477" s="378"/>
      <c r="F477" s="179">
        <f t="shared" si="46"/>
        <v>-0.43487995516479067</v>
      </c>
      <c r="G477" s="378">
        <f>SUMIFS(Data!$BC:$BC,Data!$BB:$BB,MarketProfile!A477,Data!BG:BG,"1")/1000</f>
        <v>5579882.8476850009</v>
      </c>
      <c r="H477" s="378"/>
      <c r="I477" s="179">
        <f t="shared" si="47"/>
        <v>-7.1414122836887077E-3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15190033.00746</v>
      </c>
      <c r="D478" s="378">
        <f>SUMIFS(Data!$AO:$AO,Data!$AN:$AN,MarketProfile!A478,Data!$AS:$AS,"1")/1000</f>
        <v>17583884.910289999</v>
      </c>
      <c r="E478" s="378"/>
      <c r="F478" s="179">
        <f t="shared" si="46"/>
        <v>-0.13613896559509039</v>
      </c>
      <c r="G478" s="378">
        <f>SUMIFS(Data!$BC:$BC,Data!$BB:$BB,MarketProfile!A478,Data!BG:BG,"1")/1000</f>
        <v>15443167.788770001</v>
      </c>
      <c r="H478" s="378"/>
      <c r="I478" s="179">
        <f t="shared" si="47"/>
        <v>-1.639137674163435E-2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86318.350219999993</v>
      </c>
      <c r="D479" s="378">
        <f>SUMIFS(Data!$AO:$AO,Data!$AN:$AN,MarketProfile!A479,Data!$AS:$AS,"1")/1000</f>
        <v>28574.664399999998</v>
      </c>
      <c r="E479" s="378"/>
      <c r="F479" s="179">
        <f t="shared" si="46"/>
        <v>2.0208001400009445</v>
      </c>
      <c r="G479" s="378">
        <f>SUMIFS(Data!$BC:$BC,Data!$BB:$BB,MarketProfile!A479,Data!BG:BG,"1")/1000</f>
        <v>89534.079938999988</v>
      </c>
      <c r="H479" s="378"/>
      <c r="I479" s="179">
        <f t="shared" si="47"/>
        <v>-3.5916264747355285E-2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6609979.5274999999</v>
      </c>
      <c r="D480" s="378">
        <f>SUMIFS(Data!$AO:$AO,Data!$AN:$AN,MarketProfile!A480,Data!$AS:$AS,"1")/1000</f>
        <v>8023431.4842149997</v>
      </c>
      <c r="E480" s="378"/>
      <c r="F480" s="179">
        <f t="shared" si="46"/>
        <v>-0.1761655171475911</v>
      </c>
      <c r="G480" s="378">
        <f>SUMIFS(Data!$BC:$BC,Data!$BB:$BB,MarketProfile!A480,Data!BG:BG,"1")/1000</f>
        <v>6146609.9015699998</v>
      </c>
      <c r="H480" s="378"/>
      <c r="I480" s="179">
        <f t="shared" si="47"/>
        <v>7.5386210179312629E-2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18265977.121599998</v>
      </c>
      <c r="D481" s="378">
        <f>SUMIFS(Data!$AO:$AO,Data!$AN:$AN,MarketProfile!A481,Data!$AS:$AS,"1")/1000</f>
        <v>17151534.664919998</v>
      </c>
      <c r="E481" s="378"/>
      <c r="F481" s="179">
        <f t="shared" si="46"/>
        <v>6.4976253055615302E-2</v>
      </c>
      <c r="G481" s="378">
        <f>SUMIFS(Data!$BC:$BC,Data!$BB:$BB,MarketProfile!A481,Data!BG:BG,"1")/1000</f>
        <v>19546766.026339989</v>
      </c>
      <c r="H481" s="378"/>
      <c r="I481" s="179">
        <f t="shared" si="47"/>
        <v>-6.5524338042112981E-2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21844.700026000002</v>
      </c>
      <c r="D482" s="378">
        <f>SUMIFS(Data!$AO:$AO,Data!$AN:$AN,MarketProfile!A482,Data!$AS:$AS,"1")/1000</f>
        <v>26728.789914000001</v>
      </c>
      <c r="E482" s="378"/>
      <c r="F482" s="179">
        <f t="shared" si="46"/>
        <v>-0.18272768440750889</v>
      </c>
      <c r="G482" s="378">
        <f>SUMIFS(Data!$BC:$BC,Data!$BB:$BB,MarketProfile!A482,Data!BG:BG,"1")/1000</f>
        <v>1224.23</v>
      </c>
      <c r="H482" s="378"/>
      <c r="I482" s="179">
        <f t="shared" si="47"/>
        <v>16.843624176829518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5610.4999800000005</v>
      </c>
      <c r="D483" s="378">
        <f>SUMIFS(Data!$AO:$AO,Data!$AN:$AN,MarketProfile!A483,Data!$AS:$AS,"1")/1000</f>
        <v>32216.817440000003</v>
      </c>
      <c r="E483" s="378"/>
      <c r="F483" s="179">
        <f t="shared" si="46"/>
        <v>-0.82585182442527449</v>
      </c>
      <c r="G483" s="378">
        <f>SUMIFS(Data!$BC:$BC,Data!$BB:$BB,MarketProfile!A483,Data!BG:BG,"1")/1000</f>
        <v>1780.92</v>
      </c>
      <c r="H483" s="378"/>
      <c r="I483" s="179">
        <f t="shared" si="47"/>
        <v>2.1503380163061792</v>
      </c>
    </row>
    <row r="484" spans="1:9" x14ac:dyDescent="0.2">
      <c r="A484" s="246" t="s">
        <v>187</v>
      </c>
      <c r="B484" s="247"/>
      <c r="C484" s="4">
        <f>SUM(C476:C483)</f>
        <v>47356919.658070996</v>
      </c>
      <c r="D484" s="379">
        <f>SUM(D476:E483)</f>
        <v>60620151.175723985</v>
      </c>
      <c r="E484" s="379">
        <f>SUM(E476:E483)</f>
        <v>0</v>
      </c>
      <c r="F484" s="166">
        <f t="shared" si="46"/>
        <v>-0.2187924520215383</v>
      </c>
      <c r="G484" s="379">
        <f>SUM(G476:H483)</f>
        <v>50420297.30931399</v>
      </c>
      <c r="H484" s="379">
        <f>SUM(H476:H483)</f>
        <v>0</v>
      </c>
      <c r="I484" s="166">
        <f t="shared" si="47"/>
        <v>-6.0756834344907862E-2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930.78</v>
      </c>
      <c r="D486" s="378">
        <f>SUMIFS(Data!$AO:$AO,Data!$AN:$AN,MarketProfile!A486,Data!$AS:$AS,"0")/1000</f>
        <v>0</v>
      </c>
      <c r="E486" s="378"/>
      <c r="F486" s="179">
        <f t="shared" ref="F486:F494" si="48">IFERROR(IF(OR(AND(D486="",C486=""),AND(D486=0,C486=0)),"",
IF(OR(D486="",D486=0),1,
IF(OR(D486&lt;&gt;"",D486&lt;&gt;0),(C486-D486)/ABS(D486)))),-1)</f>
        <v>1</v>
      </c>
      <c r="G486" s="378">
        <f>SUMIFS(Data!$BC:$BC,Data!$BB:$BB,MarketProfile!A486,Data!BG:BG,"0")/1000</f>
        <v>0</v>
      </c>
      <c r="H486" s="378"/>
      <c r="I486" s="179">
        <f t="shared" ref="I486:I494" si="49">IFERROR(IF(OR(AND(G486="",C486=""),AND(G486=0,C486=0)),"",
IF(OR(G486="",G486=0),1,
IF(OR(G486&lt;&gt;"",G486&lt;&gt;0),(C486-G486)/ABS(G486)))),-1)</f>
        <v>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4485.3929200000002</v>
      </c>
      <c r="D487" s="378">
        <f>SUMIFS(Data!$AO:$AO,Data!$AN:$AN,MarketProfile!A487,Data!$AS:$AS,"0")/1000</f>
        <v>5307.1029600000002</v>
      </c>
      <c r="E487" s="378"/>
      <c r="F487" s="179">
        <f t="shared" si="48"/>
        <v>-0.15483212709330965</v>
      </c>
      <c r="G487" s="378">
        <f>SUMIFS(Data!$BC:$BC,Data!$BB:$BB,MarketProfile!A487,Data!BG:BG,"0")/1000</f>
        <v>17888.674159999999</v>
      </c>
      <c r="H487" s="378"/>
      <c r="I487" s="179">
        <f t="shared" si="49"/>
        <v>-0.74926074007040888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18256.098000000002</v>
      </c>
      <c r="D488" s="378">
        <f>SUMIFS(Data!$AO:$AO,Data!$AN:$AN,MarketProfile!A488,Data!$AS:$AS,"0")/1000</f>
        <v>25972.373440000003</v>
      </c>
      <c r="E488" s="378"/>
      <c r="F488" s="179">
        <f t="shared" si="48"/>
        <v>-0.29709550641668275</v>
      </c>
      <c r="G488" s="378">
        <f>SUMIFS(Data!$BC:$BC,Data!$BB:$BB,MarketProfile!A488,Data!BG:BG,"0")/1000</f>
        <v>29036.158950000001</v>
      </c>
      <c r="H488" s="378"/>
      <c r="I488" s="179">
        <f t="shared" si="49"/>
        <v>-0.37126332613632418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8">
        <f>SUMIFS(Data!$AO:$AO,Data!$AN:$AN,MarketProfile!A489,Data!$AS:$AS,"0")/1000</f>
        <v>0</v>
      </c>
      <c r="E489" s="378"/>
      <c r="F489" s="179" t="str">
        <f t="shared" si="48"/>
        <v/>
      </c>
      <c r="G489" s="378">
        <f>SUMIFS(Data!$BC:$BC,Data!$BB:$BB,MarketProfile!A489,Data!BG:BG,"0")/1000</f>
        <v>0</v>
      </c>
      <c r="H489" s="378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9600.5974000000006</v>
      </c>
      <c r="D490" s="378">
        <f>SUMIFS(Data!$AO:$AO,Data!$AN:$AN,MarketProfile!A490,Data!$AS:$AS,"0")/1000</f>
        <v>2533.7427000000002</v>
      </c>
      <c r="E490" s="378"/>
      <c r="F490" s="179">
        <f t="shared" si="48"/>
        <v>2.7890972118044974</v>
      </c>
      <c r="G490" s="378">
        <f>SUMIFS(Data!$BC:$BC,Data!$BB:$BB,MarketProfile!A490,Data!BG:BG,"0")/1000</f>
        <v>27958.23486</v>
      </c>
      <c r="H490" s="378"/>
      <c r="I490" s="179">
        <f t="shared" si="49"/>
        <v>-0.6566093157141466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137138.00982000001</v>
      </c>
      <c r="D491" s="378">
        <f>SUMIFS(Data!$AO:$AO,Data!$AN:$AN,MarketProfile!A491,Data!$AS:$AS,"0")/1000</f>
        <v>89972.357220000005</v>
      </c>
      <c r="E491" s="378"/>
      <c r="F491" s="179">
        <f>IFERROR(IF(OR(AND(D491="",C491=""),AND(D491=0,C491=0)),"",
IF(OR(D491="",D491=0),1,
IF(OR(D491&lt;&gt;"",D491&lt;&gt;0),(C491-D491)/ABS(D491)))),-1)</f>
        <v>0.52422381781851901</v>
      </c>
      <c r="G491" s="378">
        <f>SUMIFS(Data!$BC:$BC,Data!$BB:$BB,MarketProfile!A491,Data!BG:BG,"0")/1000</f>
        <v>141253.52212000001</v>
      </c>
      <c r="H491" s="378"/>
      <c r="I491" s="179">
        <f t="shared" si="49"/>
        <v>-2.9135643757638302E-2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378">
        <f>SUMIFS(Data!$AO:$AO,Data!$AN:$AN,MarketProfile!A492,Data!$AS:$AS,"0")/1000</f>
        <v>765.5</v>
      </c>
      <c r="E492" s="378"/>
      <c r="F492" s="179">
        <f t="shared" si="48"/>
        <v>-1</v>
      </c>
      <c r="G492" s="378">
        <f>SUMIFS(Data!$BC:$BC,Data!$BB:$BB,MarketProfile!A492,Data!BG:BG,"0")/1000</f>
        <v>0</v>
      </c>
      <c r="H492" s="378"/>
      <c r="I492" s="179" t="str">
        <f t="shared" si="49"/>
        <v/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8">
        <f>SUMIFS(Data!$AO:$AO,Data!$AN:$AN,MarketProfile!A493,Data!$AS:$AS,"0")/1000</f>
        <v>0</v>
      </c>
      <c r="E493" s="378"/>
      <c r="F493" s="179" t="str">
        <f t="shared" si="48"/>
        <v/>
      </c>
      <c r="G493" s="378">
        <f>SUMIFS(Data!$BC:$BC,Data!$BB:$BB,MarketProfile!A493,Data!BG:BG,"0")/1000</f>
        <v>0</v>
      </c>
      <c r="H493" s="378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170410.87814000002</v>
      </c>
      <c r="D494" s="379">
        <f>SUM(D486:E493)</f>
        <v>124551.07632000001</v>
      </c>
      <c r="E494" s="379">
        <f>SUM(E486:E493)</f>
        <v>0</v>
      </c>
      <c r="F494" s="166">
        <f t="shared" si="48"/>
        <v>0.3682007669060664</v>
      </c>
      <c r="G494" s="379">
        <f>SUM(G486:H493)</f>
        <v>216136.59009000001</v>
      </c>
      <c r="H494" s="379">
        <f>SUM(H486:H493)</f>
        <v>0</v>
      </c>
      <c r="I494" s="166">
        <f t="shared" si="49"/>
        <v>-0.21155932889919127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15698</v>
      </c>
      <c r="D497" s="378">
        <f>SUMIFS(Data!$AY:$AY,Data!$AU:$AU,MarketProfile!A497,Data!$AZ:$AZ,"1")</f>
        <v>15432</v>
      </c>
      <c r="E497" s="378"/>
      <c r="F497" s="179">
        <f t="shared" ref="F497:F512" si="50">IFERROR(IF(OR(AND(D497="",C497=""),AND(D497=0,C497=0)),"",
IF(OR(D497="",D497=0),1,
IF(OR(D497&lt;&gt;"",D497&lt;&gt;0),(C497-D497)/ABS(D497)))),-1)</f>
        <v>1.7236910316226022E-2</v>
      </c>
      <c r="G497" s="378">
        <f>SUMIFS(Data!$BL:$BL,Data!$BH:$BH,MarketProfile!A497,Data!$BM:$BM,"1")</f>
        <v>18298</v>
      </c>
      <c r="H497" s="378"/>
      <c r="I497" s="179">
        <f t="shared" ref="I497:I504" si="51">IFERROR(IF(OR(AND(G497="",C497=""),AND(G497=0,C497=0)),"",
IF(OR(G497="",G497=0),1,
IF(OR(G497&lt;&gt;"",G497&lt;&gt;0),(C497-G497)/ABS(G497)))),-1)</f>
        <v>-0.1420920319160564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21844</v>
      </c>
      <c r="D498" s="378">
        <f>SUMIFS(Data!$AY:$AY,Data!$AU:$AU,MarketProfile!A498,Data!$AZ:$AZ,"1")</f>
        <v>20878</v>
      </c>
      <c r="E498" s="378"/>
      <c r="F498" s="179">
        <f t="shared" si="50"/>
        <v>4.6268799693457228E-2</v>
      </c>
      <c r="G498" s="378">
        <f>SUMIFS(Data!$BL:$BL,Data!$BH:$BH,MarketProfile!A498,Data!$BM:$BM,"1")</f>
        <v>15644</v>
      </c>
      <c r="H498" s="378"/>
      <c r="I498" s="179">
        <f t="shared" si="51"/>
        <v>0.3963180772181028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29466</v>
      </c>
      <c r="D499" s="378">
        <f>SUMIFS(Data!$AY:$AY,Data!$AU:$AU,MarketProfile!A499,Data!$AZ:$AZ,"1")</f>
        <v>25545</v>
      </c>
      <c r="E499" s="378"/>
      <c r="F499" s="179">
        <f t="shared" si="50"/>
        <v>0.15349383440986494</v>
      </c>
      <c r="G499" s="378">
        <f>SUMIFS(Data!$BL:$BL,Data!$BH:$BH,MarketProfile!A499,Data!$BM:$BM,"1")</f>
        <v>29420</v>
      </c>
      <c r="H499" s="378"/>
      <c r="I499" s="179">
        <f t="shared" si="51"/>
        <v>1.5635622025832767E-3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814</v>
      </c>
      <c r="D500" s="378">
        <f>SUMIFS(Data!$AY:$AY,Data!$AU:$AU,MarketProfile!A500,Data!$AZ:$AZ,"1")</f>
        <v>1333</v>
      </c>
      <c r="E500" s="378"/>
      <c r="F500" s="179">
        <f t="shared" si="50"/>
        <v>-0.38934733683420858</v>
      </c>
      <c r="G500" s="378">
        <f>SUMIFS(Data!$BL:$BL,Data!$BH:$BH,MarketProfile!A500,Data!$BM:$BM,"1")</f>
        <v>491</v>
      </c>
      <c r="H500" s="378"/>
      <c r="I500" s="179">
        <f t="shared" si="51"/>
        <v>0.65784114052953158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10335</v>
      </c>
      <c r="D501" s="378">
        <f>SUMIFS(Data!$AY:$AY,Data!$AU:$AU,MarketProfile!A501,Data!$AZ:$AZ,"1")</f>
        <v>10061</v>
      </c>
      <c r="E501" s="378"/>
      <c r="F501" s="179">
        <f t="shared" si="50"/>
        <v>2.7233873372428188E-2</v>
      </c>
      <c r="G501" s="378">
        <f>SUMIFS(Data!$BL:$BL,Data!$BH:$BH,MarketProfile!A501,Data!$BM:$BM,"1")</f>
        <v>13066</v>
      </c>
      <c r="H501" s="378"/>
      <c r="I501" s="179">
        <f t="shared" si="51"/>
        <v>-0.20901576611051584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35075</v>
      </c>
      <c r="D502" s="378">
        <f>SUMIFS(Data!$AY:$AY,Data!$AU:$AU,MarketProfile!A502,Data!$AZ:$AZ,"1")</f>
        <v>32379</v>
      </c>
      <c r="E502" s="378"/>
      <c r="F502" s="179">
        <f t="shared" si="50"/>
        <v>8.3263843849408561E-2</v>
      </c>
      <c r="G502" s="378">
        <f>SUMIFS(Data!$BL:$BL,Data!$BH:$BH,MarketProfile!A502,Data!$BM:$BM,"1")</f>
        <v>37183</v>
      </c>
      <c r="H502" s="378"/>
      <c r="I502" s="179">
        <f t="shared" si="51"/>
        <v>-5.6692574563644675E-2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12</v>
      </c>
      <c r="D503" s="378">
        <f>SUMIFS(Data!$AY:$AY,Data!$AU:$AU,MarketProfile!A503,Data!$AZ:$AZ,"1")</f>
        <v>187</v>
      </c>
      <c r="E503" s="378"/>
      <c r="F503" s="179">
        <f t="shared" si="50"/>
        <v>-0.93582887700534756</v>
      </c>
      <c r="G503" s="378">
        <f>SUMIFS(Data!$BL:$BL,Data!$BH:$BH,MarketProfile!A503,Data!$BM:$BM,"1")</f>
        <v>45</v>
      </c>
      <c r="H503" s="378"/>
      <c r="I503" s="179">
        <f t="shared" si="51"/>
        <v>-0.73333333333333328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2</v>
      </c>
      <c r="D504" s="378">
        <f>SUMIFS(Data!$AY:$AY,Data!$AU:$AU,MarketProfile!A504,Data!$AZ:$AZ,"1")</f>
        <v>60</v>
      </c>
      <c r="E504" s="378"/>
      <c r="F504" s="179">
        <f t="shared" si="50"/>
        <v>-0.96666666666666667</v>
      </c>
      <c r="G504" s="378">
        <f>SUMIFS(Data!$BL:$BL,Data!$BH:$BH,MarketProfile!A504,Data!$BM:$BM,"1")</f>
        <v>960</v>
      </c>
      <c r="H504" s="378"/>
      <c r="I504" s="179">
        <f t="shared" si="51"/>
        <v>-0.99791666666666667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89</v>
      </c>
      <c r="D506" s="378">
        <f>SUMIFS(Data!$AY:$AY,Data!$AU:$AU,MarketProfile!A506,Data!$AZ:$AZ,"0")</f>
        <v>0</v>
      </c>
      <c r="E506" s="378"/>
      <c r="F506" s="179">
        <f t="shared" si="50"/>
        <v>1</v>
      </c>
      <c r="G506" s="378">
        <f>SUMIFS(Data!$BL:$BL,Data!$BH:$BH,MarketProfile!A506,Data!$BM:$BM,"0")</f>
        <v>0</v>
      </c>
      <c r="H506" s="378"/>
      <c r="I506" s="179">
        <f t="shared" ref="I506:I513" si="52">IFERROR(IF(OR(AND(G506="",C506=""),AND(G506=0,C506=0)),"",
IF(OR(G506="",G506=0),1,
IF(OR(G506&lt;&gt;"",G506&lt;&gt;0),(C506-G506)/ABS(G506)))),-1)</f>
        <v>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1429</v>
      </c>
      <c r="D507" s="378">
        <f>SUMIFS(Data!$AY:$AY,Data!$AU:$AU,MarketProfile!A507,Data!$AZ:$AZ,"0")</f>
        <v>946</v>
      </c>
      <c r="E507" s="378"/>
      <c r="F507" s="179">
        <f t="shared" si="50"/>
        <v>0.51057082452431291</v>
      </c>
      <c r="G507" s="378">
        <f>SUMIFS(Data!$BL:$BL,Data!$BH:$BH,MarketProfile!A507,Data!$BM:$BM,"0")</f>
        <v>2245</v>
      </c>
      <c r="H507" s="378"/>
      <c r="I507" s="179">
        <f t="shared" si="52"/>
        <v>-0.36347438752783967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10897</v>
      </c>
      <c r="D508" s="378">
        <f>SUMIFS(Data!$AY:$AY,Data!$AU:$AU,MarketProfile!A508,Data!$AZ:$AZ,"0")</f>
        <v>9770</v>
      </c>
      <c r="E508" s="378"/>
      <c r="F508" s="179">
        <f t="shared" si="50"/>
        <v>0.11535312180143296</v>
      </c>
      <c r="G508" s="378">
        <f>SUMIFS(Data!$BL:$BL,Data!$BH:$BH,MarketProfile!A508,Data!$BM:$BM,"0")</f>
        <v>5419</v>
      </c>
      <c r="H508" s="378"/>
      <c r="I508" s="179">
        <f t="shared" si="52"/>
        <v>1.0108876176416313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8">
        <f>SUMIFS(Data!$AY:$AY,Data!$AU:$AU,MarketProfile!A509,Data!$AZ:$AZ,"0")</f>
        <v>0</v>
      </c>
      <c r="E509" s="378"/>
      <c r="F509" s="179" t="str">
        <f t="shared" si="50"/>
        <v/>
      </c>
      <c r="G509" s="378">
        <f>SUMIFS(Data!$BL:$BL,Data!$BH:$BH,MarketProfile!A509,Data!$BM:$BM,"0")</f>
        <v>0</v>
      </c>
      <c r="H509" s="378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1711</v>
      </c>
      <c r="D510" s="378">
        <f>SUMIFS(Data!$AY:$AY,Data!$AU:$AU,MarketProfile!A510,Data!$AZ:$AZ,"0")</f>
        <v>444</v>
      </c>
      <c r="E510" s="378"/>
      <c r="F510" s="179">
        <f t="shared" si="50"/>
        <v>2.8536036036036037</v>
      </c>
      <c r="G510" s="378">
        <f>SUMIFS(Data!$BL:$BL,Data!$BH:$BH,MarketProfile!A510,Data!$BM:$BM,"0")</f>
        <v>4327</v>
      </c>
      <c r="H510" s="378"/>
      <c r="I510" s="179">
        <f t="shared" si="52"/>
        <v>-0.60457591865033511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25184</v>
      </c>
      <c r="D511" s="378">
        <f>SUMIFS(Data!$AY:$AY,Data!$AU:$AU,MarketProfile!A511,Data!$AZ:$AZ,"0")</f>
        <v>17224</v>
      </c>
      <c r="E511" s="378"/>
      <c r="F511" s="179">
        <f t="shared" si="50"/>
        <v>0.46214584300975381</v>
      </c>
      <c r="G511" s="378">
        <f>SUMIFS(Data!$BL:$BL,Data!$BH:$BH,MarketProfile!A511,Data!$BM:$BM,"0")</f>
        <v>21715</v>
      </c>
      <c r="H511" s="378"/>
      <c r="I511" s="179">
        <f t="shared" si="52"/>
        <v>0.15975132396960626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40</v>
      </c>
      <c r="D512" s="378">
        <f>SUMIFS(Data!$AY:$AY,Data!$AU:$AU,MarketProfile!A512,Data!$AZ:$AZ,"0")</f>
        <v>40</v>
      </c>
      <c r="E512" s="378"/>
      <c r="F512" s="179">
        <f t="shared" si="50"/>
        <v>0</v>
      </c>
      <c r="G512" s="378">
        <f>SUMIFS(Data!$BL:$BL,Data!$BH:$BH,MarketProfile!A512,Data!$BM:$BM,"0")</f>
        <v>30</v>
      </c>
      <c r="H512" s="378"/>
      <c r="I512" s="179">
        <f t="shared" si="52"/>
        <v>0.33333333333333331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8">
        <f>SUMIFS(Data!$AY:$AY,Data!$AU:$AU,MarketProfile!A513,Data!$AZ:$AZ,"0")</f>
        <v>0</v>
      </c>
      <c r="E513" s="378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8">
        <f>SUMIFS(Data!$BL:$BL,Data!$BH:$BH,MarketProfile!A513,Data!$BM:$BM,"0")</f>
        <v>0</v>
      </c>
      <c r="H513" s="378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5" max="16383" man="1"/>
    <brk id="170" max="16383" man="1"/>
    <brk id="250" max="16383" man="1"/>
    <brk id="333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538</v>
      </c>
      <c r="C1" s="188" t="s">
        <v>539</v>
      </c>
      <c r="D1" s="188" t="s">
        <v>540</v>
      </c>
      <c r="E1" s="153" t="s">
        <v>217</v>
      </c>
      <c r="F1" s="211" t="s">
        <v>540</v>
      </c>
      <c r="G1" s="211" t="s">
        <v>538</v>
      </c>
      <c r="H1" s="211" t="s">
        <v>539</v>
      </c>
      <c r="I1" s="153" t="s">
        <v>218</v>
      </c>
      <c r="J1" s="153" t="s">
        <v>220</v>
      </c>
      <c r="K1" s="235" t="s">
        <v>541</v>
      </c>
      <c r="L1" s="235" t="s">
        <v>542</v>
      </c>
      <c r="M1" s="237" t="s">
        <v>539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565</v>
      </c>
      <c r="T1" s="257" t="s">
        <v>566</v>
      </c>
      <c r="U1" s="257" t="s">
        <v>567</v>
      </c>
      <c r="V1" s="257" t="s">
        <v>568</v>
      </c>
      <c r="W1" s="257" t="s">
        <v>569</v>
      </c>
      <c r="X1" s="257" t="s">
        <v>570</v>
      </c>
      <c r="Y1" s="252" t="s">
        <v>458</v>
      </c>
      <c r="Z1" s="254" t="s">
        <v>521</v>
      </c>
      <c r="AA1" s="254" t="s">
        <v>566</v>
      </c>
      <c r="AB1" s="254" t="s">
        <v>567</v>
      </c>
      <c r="AC1" s="254" t="s">
        <v>568</v>
      </c>
      <c r="AD1" s="254" t="s">
        <v>569</v>
      </c>
      <c r="AE1" s="254" t="s">
        <v>570</v>
      </c>
      <c r="AF1" s="252" t="s">
        <v>466</v>
      </c>
      <c r="AG1" s="254" t="s">
        <v>521</v>
      </c>
      <c r="AH1" s="254" t="s">
        <v>566</v>
      </c>
      <c r="AI1" s="254" t="s">
        <v>567</v>
      </c>
      <c r="AJ1" s="254" t="s">
        <v>568</v>
      </c>
      <c r="AK1" s="254" t="s">
        <v>569</v>
      </c>
      <c r="AL1" s="254" t="s">
        <v>570</v>
      </c>
      <c r="AM1" s="252" t="s">
        <v>460</v>
      </c>
      <c r="AN1" s="254" t="s">
        <v>521</v>
      </c>
      <c r="AO1" s="254" t="s">
        <v>566</v>
      </c>
      <c r="AP1" s="254" t="s">
        <v>567</v>
      </c>
      <c r="AQ1" s="254" t="s">
        <v>568</v>
      </c>
      <c r="AR1" s="254" t="s">
        <v>569</v>
      </c>
      <c r="AS1" s="254" t="s">
        <v>570</v>
      </c>
      <c r="AT1" s="252" t="s">
        <v>467</v>
      </c>
      <c r="AU1" s="254" t="s">
        <v>521</v>
      </c>
      <c r="AV1" s="254" t="s">
        <v>566</v>
      </c>
      <c r="AW1" s="254" t="s">
        <v>567</v>
      </c>
      <c r="AX1" s="254" t="s">
        <v>568</v>
      </c>
      <c r="AY1" s="254" t="s">
        <v>569</v>
      </c>
      <c r="AZ1" s="254" t="s">
        <v>570</v>
      </c>
      <c r="BA1" s="252" t="s">
        <v>459</v>
      </c>
      <c r="BB1" s="254" t="s">
        <v>521</v>
      </c>
      <c r="BC1" s="254" t="s">
        <v>566</v>
      </c>
      <c r="BD1" s="254" t="s">
        <v>567</v>
      </c>
      <c r="BE1" s="254" t="s">
        <v>568</v>
      </c>
      <c r="BF1" s="254" t="s">
        <v>569</v>
      </c>
      <c r="BG1" s="254" t="s">
        <v>570</v>
      </c>
      <c r="BH1" s="252" t="s">
        <v>521</v>
      </c>
      <c r="BI1" s="254" t="s">
        <v>566</v>
      </c>
      <c r="BJ1" s="254" t="s">
        <v>567</v>
      </c>
      <c r="BK1" s="254" t="s">
        <v>568</v>
      </c>
      <c r="BL1" s="254" t="s">
        <v>569</v>
      </c>
      <c r="BM1" s="254" t="s">
        <v>570</v>
      </c>
      <c r="BN1" s="254"/>
      <c r="BO1" s="252" t="s">
        <v>468</v>
      </c>
      <c r="BP1" s="264" t="s">
        <v>566</v>
      </c>
      <c r="BQ1" s="264" t="s">
        <v>567</v>
      </c>
      <c r="BR1" s="264" t="s">
        <v>568</v>
      </c>
      <c r="BS1" s="261" t="s">
        <v>501</v>
      </c>
      <c r="BT1" s="266" t="s">
        <v>623</v>
      </c>
      <c r="BU1" s="266" t="s">
        <v>624</v>
      </c>
      <c r="BV1" s="266" t="s">
        <v>625</v>
      </c>
      <c r="BW1" s="266" t="s">
        <v>626</v>
      </c>
      <c r="BX1" s="266" t="s">
        <v>627</v>
      </c>
      <c r="BY1" s="266" t="s">
        <v>628</v>
      </c>
      <c r="BZ1" s="266" t="s">
        <v>629</v>
      </c>
      <c r="CA1" s="266" t="s">
        <v>630</v>
      </c>
      <c r="CB1" s="266" t="s">
        <v>631</v>
      </c>
      <c r="CC1" s="267" t="s">
        <v>502</v>
      </c>
      <c r="CD1" s="268" t="s">
        <v>636</v>
      </c>
      <c r="CE1" s="268" t="s">
        <v>637</v>
      </c>
      <c r="CF1" s="267" t="s">
        <v>507</v>
      </c>
      <c r="CG1" s="266" t="s">
        <v>6</v>
      </c>
      <c r="CH1" s="266" t="s">
        <v>638</v>
      </c>
      <c r="CI1" s="267" t="s">
        <v>509</v>
      </c>
      <c r="CJ1" s="247" t="s">
        <v>117</v>
      </c>
      <c r="CK1" s="247">
        <v>22476</v>
      </c>
      <c r="CL1" s="267" t="s">
        <v>512</v>
      </c>
      <c r="CM1" s="247" t="s">
        <v>117</v>
      </c>
      <c r="CN1" s="247">
        <v>15690</v>
      </c>
      <c r="CO1" s="267" t="s">
        <v>515</v>
      </c>
      <c r="CP1" s="247" t="s">
        <v>117</v>
      </c>
      <c r="CQ1" s="247">
        <v>556</v>
      </c>
      <c r="CR1" s="267" t="s">
        <v>518</v>
      </c>
      <c r="CS1" s="276" t="s">
        <v>642</v>
      </c>
      <c r="CT1" s="275" t="s">
        <v>643</v>
      </c>
      <c r="CU1" s="275" t="s">
        <v>644</v>
      </c>
      <c r="CV1" s="275" t="s">
        <v>645</v>
      </c>
      <c r="CW1" s="275" t="s">
        <v>646</v>
      </c>
      <c r="CX1" s="275" t="s">
        <v>647</v>
      </c>
      <c r="CY1" s="275" t="s">
        <v>648</v>
      </c>
      <c r="CZ1" s="275" t="s">
        <v>649</v>
      </c>
      <c r="DA1" s="275" t="s">
        <v>650</v>
      </c>
      <c r="DB1" s="275" t="s">
        <v>651</v>
      </c>
      <c r="DC1" s="275" t="s">
        <v>652</v>
      </c>
      <c r="DD1" s="275" t="s">
        <v>653</v>
      </c>
      <c r="DF1" s="356" t="s">
        <v>529</v>
      </c>
      <c r="DG1" s="347" t="s">
        <v>663</v>
      </c>
      <c r="DH1" s="347" t="s">
        <v>664</v>
      </c>
      <c r="DI1" s="356" t="s">
        <v>530</v>
      </c>
      <c r="DJ1" s="354" t="s">
        <v>663</v>
      </c>
      <c r="DK1" s="354" t="s">
        <v>664</v>
      </c>
      <c r="DL1" s="356" t="s">
        <v>531</v>
      </c>
      <c r="DM1" s="349" t="s">
        <v>663</v>
      </c>
      <c r="DN1" s="349" t="s">
        <v>664</v>
      </c>
    </row>
    <row r="2" spans="1:118" x14ac:dyDescent="0.2">
      <c r="B2" s="188">
        <v>6624558871</v>
      </c>
      <c r="C2" s="188">
        <v>371207465830.20795</v>
      </c>
      <c r="D2" s="188">
        <v>4447126</v>
      </c>
      <c r="E2" s="209"/>
      <c r="F2" s="211">
        <v>1826</v>
      </c>
      <c r="G2" s="211">
        <v>961101921</v>
      </c>
      <c r="H2" s="211">
        <v>32494111604.527966</v>
      </c>
      <c r="J2" s="152" t="str">
        <f>K2&amp;L2</f>
        <v>ABuy</v>
      </c>
      <c r="K2" s="234" t="s">
        <v>543</v>
      </c>
      <c r="L2" s="234" t="s">
        <v>544</v>
      </c>
      <c r="M2" s="238">
        <v>158614878117.49533</v>
      </c>
      <c r="O2" s="241">
        <v>72010555855.979996</v>
      </c>
      <c r="P2" s="241">
        <v>-76301193218.440002</v>
      </c>
      <c r="Q2" s="241">
        <v>-4290637362.46</v>
      </c>
      <c r="S2" s="253" t="s">
        <v>571</v>
      </c>
      <c r="T2" s="258">
        <v>0</v>
      </c>
      <c r="U2" s="258">
        <v>0</v>
      </c>
      <c r="V2" s="258">
        <v>0</v>
      </c>
      <c r="W2" s="258">
        <v>0</v>
      </c>
      <c r="X2" s="258">
        <v>1</v>
      </c>
      <c r="Y2" s="245"/>
      <c r="Z2" s="253" t="s">
        <v>572</v>
      </c>
      <c r="AA2" s="253">
        <v>11222148.6</v>
      </c>
      <c r="AB2" s="253">
        <v>2135</v>
      </c>
      <c r="AC2" s="253">
        <v>89</v>
      </c>
      <c r="AD2" s="253">
        <v>39601</v>
      </c>
      <c r="AE2" s="253">
        <v>0</v>
      </c>
      <c r="AF2" s="253"/>
      <c r="AG2" s="253" t="s">
        <v>572</v>
      </c>
      <c r="AH2" s="253">
        <v>507364.5</v>
      </c>
      <c r="AI2" s="253">
        <v>93</v>
      </c>
      <c r="AJ2" s="253">
        <v>10</v>
      </c>
      <c r="AK2" s="253">
        <v>2772</v>
      </c>
      <c r="AL2" s="253">
        <v>0</v>
      </c>
      <c r="AM2" s="245"/>
      <c r="AN2" s="253" t="s">
        <v>572</v>
      </c>
      <c r="AO2" s="253">
        <v>6754721.5</v>
      </c>
      <c r="AP2" s="253">
        <v>1001</v>
      </c>
      <c r="AQ2" s="253">
        <v>43</v>
      </c>
      <c r="AR2" s="253">
        <v>26158</v>
      </c>
      <c r="AS2" s="253">
        <v>0</v>
      </c>
      <c r="AT2" s="245"/>
      <c r="AU2" s="253" t="s">
        <v>572</v>
      </c>
      <c r="AV2" s="253">
        <v>236800</v>
      </c>
      <c r="AW2" s="253">
        <v>48</v>
      </c>
      <c r="AX2" s="253">
        <v>2</v>
      </c>
      <c r="AY2" s="253">
        <v>1117</v>
      </c>
      <c r="AZ2" s="253">
        <v>0</v>
      </c>
      <c r="BA2" s="245"/>
      <c r="BB2" s="253" t="s">
        <v>572</v>
      </c>
      <c r="BC2" s="253">
        <v>12883337.57</v>
      </c>
      <c r="BD2" s="253">
        <v>1767</v>
      </c>
      <c r="BE2" s="253">
        <v>57</v>
      </c>
      <c r="BF2" s="253">
        <v>39826</v>
      </c>
      <c r="BG2" s="253">
        <v>0</v>
      </c>
      <c r="BH2" s="247" t="s">
        <v>572</v>
      </c>
      <c r="BI2" s="253">
        <v>88289.8</v>
      </c>
      <c r="BJ2" s="253">
        <v>10</v>
      </c>
      <c r="BK2" s="253">
        <v>1</v>
      </c>
      <c r="BL2" s="253">
        <v>2434</v>
      </c>
      <c r="BM2" s="253">
        <v>0</v>
      </c>
      <c r="BN2" s="253"/>
      <c r="BO2" s="245"/>
      <c r="BP2" s="263">
        <v>3364627425529.6113</v>
      </c>
      <c r="BQ2" s="263">
        <v>66120980</v>
      </c>
      <c r="BR2" s="263">
        <v>1913003</v>
      </c>
      <c r="BS2" s="245"/>
      <c r="BT2" s="265" t="s">
        <v>139</v>
      </c>
      <c r="BU2" s="265">
        <v>46</v>
      </c>
      <c r="BV2" s="265">
        <v>0</v>
      </c>
      <c r="BW2" s="265">
        <v>2</v>
      </c>
      <c r="BX2" s="265">
        <v>0</v>
      </c>
      <c r="BY2" s="265">
        <v>0</v>
      </c>
      <c r="BZ2" s="265">
        <v>44</v>
      </c>
      <c r="CA2" s="265">
        <v>36</v>
      </c>
      <c r="CB2" s="265">
        <v>10</v>
      </c>
      <c r="CC2" s="245"/>
      <c r="CD2" s="269">
        <v>810</v>
      </c>
      <c r="CE2" s="269">
        <v>14695858406142.359</v>
      </c>
      <c r="CF2" s="245"/>
      <c r="CG2" s="265">
        <v>2018</v>
      </c>
      <c r="CH2" s="265">
        <v>22</v>
      </c>
      <c r="CI2" s="245"/>
      <c r="CJ2" s="247" t="s">
        <v>640</v>
      </c>
      <c r="CK2" s="247">
        <v>630677987233</v>
      </c>
      <c r="CL2" s="247"/>
      <c r="CM2" s="247" t="s">
        <v>640</v>
      </c>
      <c r="CN2" s="247">
        <v>1962263810401</v>
      </c>
      <c r="CO2" s="247"/>
      <c r="CP2" s="247" t="s">
        <v>640</v>
      </c>
      <c r="CQ2" s="247">
        <v>33725488346</v>
      </c>
      <c r="CR2" s="245"/>
      <c r="CS2" s="277">
        <v>2018</v>
      </c>
      <c r="CT2" s="275">
        <v>29</v>
      </c>
      <c r="CU2" s="275" t="s">
        <v>654</v>
      </c>
      <c r="CV2" s="275">
        <v>0</v>
      </c>
      <c r="CW2" s="275">
        <v>5777777038</v>
      </c>
      <c r="CX2" s="275">
        <v>2387</v>
      </c>
      <c r="CY2" s="275">
        <v>0</v>
      </c>
      <c r="CZ2" s="275">
        <v>112601187187</v>
      </c>
      <c r="DA2" s="275">
        <v>1172</v>
      </c>
      <c r="DB2" s="275">
        <v>0</v>
      </c>
      <c r="DC2" s="275">
        <v>106823410149</v>
      </c>
      <c r="DD2" s="275">
        <v>1215</v>
      </c>
      <c r="DG2" s="348" t="s">
        <v>665</v>
      </c>
      <c r="DH2" s="346">
        <v>983999823.29999995</v>
      </c>
      <c r="DJ2" s="352" t="s">
        <v>665</v>
      </c>
      <c r="DK2" s="350">
        <v>3443897724.8800001</v>
      </c>
      <c r="DM2" s="351" t="s">
        <v>665</v>
      </c>
      <c r="DN2" s="353">
        <v>6982032623.3100004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545</v>
      </c>
      <c r="L3" s="234" t="s">
        <v>544</v>
      </c>
      <c r="M3" s="238">
        <v>212592587712.71265</v>
      </c>
      <c r="N3" s="136"/>
      <c r="O3" s="239"/>
      <c r="P3" s="239"/>
      <c r="Q3" s="239"/>
      <c r="S3" s="253" t="s">
        <v>451</v>
      </c>
      <c r="T3" s="258">
        <v>65874396.390000001</v>
      </c>
      <c r="U3" s="258">
        <v>37420</v>
      </c>
      <c r="V3" s="258">
        <v>112</v>
      </c>
      <c r="W3" s="258">
        <v>99514</v>
      </c>
      <c r="X3" s="258">
        <v>0</v>
      </c>
      <c r="Y3" s="245"/>
      <c r="Z3" s="253" t="s">
        <v>573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573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573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573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574</v>
      </c>
      <c r="BC3" s="253">
        <v>0</v>
      </c>
      <c r="BD3" s="253">
        <v>0</v>
      </c>
      <c r="BE3" s="253">
        <v>0</v>
      </c>
      <c r="BF3" s="253">
        <v>0</v>
      </c>
      <c r="BG3" s="253">
        <v>0</v>
      </c>
      <c r="BH3" s="247" t="s">
        <v>574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632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2017</v>
      </c>
      <c r="CH3" s="265">
        <v>21</v>
      </c>
      <c r="CI3" s="245"/>
      <c r="CJ3" s="247" t="s">
        <v>641</v>
      </c>
      <c r="CK3" s="247">
        <v>649896484823.31921</v>
      </c>
      <c r="CL3" s="247"/>
      <c r="CM3" s="247" t="s">
        <v>641</v>
      </c>
      <c r="CN3" s="247">
        <v>1886322833202.658</v>
      </c>
      <c r="CO3" s="247"/>
      <c r="CP3" s="247" t="s">
        <v>641</v>
      </c>
      <c r="CQ3" s="247">
        <v>9412647965.0999985</v>
      </c>
      <c r="CR3" s="245"/>
      <c r="CS3" s="277">
        <v>2018</v>
      </c>
      <c r="CT3" s="275">
        <v>28</v>
      </c>
      <c r="CU3" s="275" t="s">
        <v>655</v>
      </c>
      <c r="CV3" s="275">
        <v>-381691934962.50958</v>
      </c>
      <c r="CW3" s="275">
        <v>-321976586350</v>
      </c>
      <c r="CX3" s="275">
        <v>4965</v>
      </c>
      <c r="CY3" s="275">
        <v>328288329769.15985</v>
      </c>
      <c r="CZ3" s="275">
        <v>347362167090</v>
      </c>
      <c r="DA3" s="275">
        <v>2452</v>
      </c>
      <c r="DB3" s="275">
        <v>709980264731.67041</v>
      </c>
      <c r="DC3" s="275">
        <v>669338753440</v>
      </c>
      <c r="DD3" s="275">
        <v>2513</v>
      </c>
      <c r="DG3" s="348" t="s">
        <v>666</v>
      </c>
      <c r="DH3" s="346">
        <v>1335142989.02</v>
      </c>
      <c r="DJ3" s="352" t="s">
        <v>666</v>
      </c>
      <c r="DK3" s="350">
        <v>11670626579.76</v>
      </c>
      <c r="DM3" s="351" t="s">
        <v>666</v>
      </c>
      <c r="DN3" s="353">
        <v>7701556715.5200005</v>
      </c>
    </row>
    <row r="4" spans="1:118" x14ac:dyDescent="0.2">
      <c r="A4" s="148" t="s">
        <v>211</v>
      </c>
      <c r="B4" s="188" t="s">
        <v>538</v>
      </c>
      <c r="C4" s="188" t="s">
        <v>539</v>
      </c>
      <c r="D4" s="188" t="s">
        <v>540</v>
      </c>
      <c r="E4" s="209"/>
      <c r="F4" s="211" t="s">
        <v>540</v>
      </c>
      <c r="G4" s="211" t="s">
        <v>538</v>
      </c>
      <c r="H4" s="211" t="s">
        <v>539</v>
      </c>
      <c r="J4" s="152" t="str">
        <f t="shared" si="0"/>
        <v>ASell</v>
      </c>
      <c r="K4" s="234" t="s">
        <v>543</v>
      </c>
      <c r="L4" s="234" t="s">
        <v>546</v>
      </c>
      <c r="M4" s="238">
        <v>155303347202.78192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451</v>
      </c>
      <c r="T4" s="258">
        <v>2107375848.3699999</v>
      </c>
      <c r="U4" s="258">
        <v>78537</v>
      </c>
      <c r="V4" s="258">
        <v>275</v>
      </c>
      <c r="W4" s="258">
        <v>152359</v>
      </c>
      <c r="X4" s="258">
        <v>1</v>
      </c>
      <c r="Y4" s="245"/>
      <c r="Z4" s="253" t="s">
        <v>574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574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574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574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575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575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566</v>
      </c>
      <c r="BQ4" s="264" t="s">
        <v>567</v>
      </c>
      <c r="BR4" s="264" t="s">
        <v>568</v>
      </c>
      <c r="BS4" s="245"/>
      <c r="BT4" s="265" t="s">
        <v>633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636</v>
      </c>
      <c r="CE4" s="270" t="s">
        <v>637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28</v>
      </c>
      <c r="CU4" s="275" t="s">
        <v>656</v>
      </c>
      <c r="CV4" s="275">
        <v>374961378008.50153</v>
      </c>
      <c r="CW4" s="275">
        <v>315481899350</v>
      </c>
      <c r="CX4" s="275">
        <v>4856</v>
      </c>
      <c r="CY4" s="275">
        <v>694367548811.45984</v>
      </c>
      <c r="CZ4" s="275">
        <v>653930566440</v>
      </c>
      <c r="DA4" s="275">
        <v>2454</v>
      </c>
      <c r="DB4" s="275">
        <v>319406170802.96027</v>
      </c>
      <c r="DC4" s="275">
        <v>338448667090</v>
      </c>
      <c r="DD4" s="275">
        <v>2402</v>
      </c>
      <c r="DG4" s="348" t="s">
        <v>667</v>
      </c>
      <c r="DH4" s="346">
        <v>1522170273.47</v>
      </c>
      <c r="DJ4" s="352" t="s">
        <v>667</v>
      </c>
      <c r="DK4" s="350">
        <v>4214003168.0300002</v>
      </c>
      <c r="DM4" s="351" t="s">
        <v>667</v>
      </c>
      <c r="DN4" s="353">
        <v>7710524131.0699997</v>
      </c>
    </row>
    <row r="5" spans="1:118" x14ac:dyDescent="0.2">
      <c r="B5" s="188">
        <v>51535319271</v>
      </c>
      <c r="C5" s="188">
        <v>3312573524663.3066</v>
      </c>
      <c r="D5" s="194">
        <v>38143848</v>
      </c>
      <c r="E5" s="209"/>
      <c r="F5" s="211">
        <v>16128</v>
      </c>
      <c r="G5" s="211">
        <v>5252718376</v>
      </c>
      <c r="H5" s="225">
        <v>233412910781.84152</v>
      </c>
      <c r="J5" s="152" t="str">
        <f t="shared" si="0"/>
        <v>PSell</v>
      </c>
      <c r="K5" s="234" t="s">
        <v>545</v>
      </c>
      <c r="L5" s="234" t="s">
        <v>546</v>
      </c>
      <c r="M5" s="238">
        <v>215904118627.42606</v>
      </c>
      <c r="N5" s="136"/>
      <c r="O5" s="241">
        <v>689175488957.58997</v>
      </c>
      <c r="P5" s="241">
        <v>-675951093682.23999</v>
      </c>
      <c r="Q5" s="241">
        <v>13224395275.35</v>
      </c>
      <c r="S5" s="253" t="s">
        <v>448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575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575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575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575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576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576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20618417218.68</v>
      </c>
      <c r="BQ5" s="263">
        <v>8824049</v>
      </c>
      <c r="BR5" s="263">
        <v>6798</v>
      </c>
      <c r="BS5" s="245"/>
      <c r="BT5" s="265" t="s">
        <v>634</v>
      </c>
      <c r="BU5" s="265">
        <v>321</v>
      </c>
      <c r="BV5" s="265">
        <v>0</v>
      </c>
      <c r="BW5" s="265">
        <v>2</v>
      </c>
      <c r="BX5" s="265">
        <v>0</v>
      </c>
      <c r="BY5" s="265">
        <v>0</v>
      </c>
      <c r="BZ5" s="265">
        <v>319</v>
      </c>
      <c r="CA5" s="265">
        <v>258</v>
      </c>
      <c r="CB5" s="265">
        <v>63</v>
      </c>
      <c r="CC5" s="245"/>
      <c r="CD5" s="271">
        <v>803</v>
      </c>
      <c r="CE5" s="271">
        <v>14857488165619.93</v>
      </c>
      <c r="CF5" s="267" t="s">
        <v>508</v>
      </c>
      <c r="CG5" s="266" t="s">
        <v>6</v>
      </c>
      <c r="CH5" s="266" t="s">
        <v>638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306</v>
      </c>
      <c r="CU5" s="275" t="s">
        <v>657</v>
      </c>
      <c r="CV5" s="275">
        <v>-36472055822.229965</v>
      </c>
      <c r="CW5" s="275">
        <v>-36018722707</v>
      </c>
      <c r="CX5" s="275">
        <v>5580</v>
      </c>
      <c r="CY5" s="275">
        <v>95979497052.410034</v>
      </c>
      <c r="CZ5" s="275">
        <v>92400924369</v>
      </c>
      <c r="DA5" s="275">
        <v>2879</v>
      </c>
      <c r="DB5" s="275">
        <v>132451552874.63989</v>
      </c>
      <c r="DC5" s="275">
        <v>128419647076</v>
      </c>
      <c r="DD5" s="275">
        <v>2701</v>
      </c>
      <c r="DG5" s="348" t="s">
        <v>668</v>
      </c>
      <c r="DH5" s="346">
        <v>28799191.940000001</v>
      </c>
      <c r="DJ5" s="352" t="s">
        <v>668</v>
      </c>
      <c r="DK5" s="350">
        <v>532430981.02999997</v>
      </c>
      <c r="DM5" s="351" t="s">
        <v>668</v>
      </c>
      <c r="DN5" s="353">
        <v>633671886.88999999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448</v>
      </c>
      <c r="T6" s="258">
        <v>9795.5</v>
      </c>
      <c r="U6" s="258">
        <v>230114</v>
      </c>
      <c r="V6" s="258">
        <v>3567</v>
      </c>
      <c r="W6" s="258">
        <v>597447</v>
      </c>
      <c r="X6" s="258">
        <v>1</v>
      </c>
      <c r="Y6" s="245"/>
      <c r="Z6" s="253" t="s">
        <v>576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576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576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576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577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577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635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146</v>
      </c>
      <c r="CI6" s="267" t="s">
        <v>510</v>
      </c>
      <c r="CJ6" s="247" t="s">
        <v>117</v>
      </c>
      <c r="CK6" s="247">
        <v>182627</v>
      </c>
      <c r="CL6" s="267" t="s">
        <v>513</v>
      </c>
      <c r="CM6" s="247" t="s">
        <v>117</v>
      </c>
      <c r="CN6" s="247">
        <v>91999</v>
      </c>
      <c r="CO6" s="267" t="s">
        <v>516</v>
      </c>
      <c r="CP6" s="247" t="s">
        <v>117</v>
      </c>
      <c r="CQ6" s="247">
        <v>4813</v>
      </c>
      <c r="CR6" s="245"/>
      <c r="CS6" s="277">
        <v>2018</v>
      </c>
      <c r="CT6" s="275">
        <v>168</v>
      </c>
      <c r="CU6" s="275" t="s">
        <v>658</v>
      </c>
      <c r="CV6" s="275">
        <v>6481506168.2200689</v>
      </c>
      <c r="CW6" s="275">
        <v>7658681734</v>
      </c>
      <c r="CX6" s="275">
        <v>18847</v>
      </c>
      <c r="CY6" s="275">
        <v>632753682265.18018</v>
      </c>
      <c r="CZ6" s="275">
        <v>606267385346</v>
      </c>
      <c r="DA6" s="275">
        <v>9686</v>
      </c>
      <c r="DB6" s="275">
        <v>626272176096.96021</v>
      </c>
      <c r="DC6" s="275">
        <v>598608703612</v>
      </c>
      <c r="DD6" s="275">
        <v>9161</v>
      </c>
      <c r="DG6" s="348" t="s">
        <v>669</v>
      </c>
      <c r="DH6" s="346">
        <v>255799658.91</v>
      </c>
      <c r="DJ6" s="352" t="s">
        <v>669</v>
      </c>
      <c r="DK6" s="350">
        <v>3671860627.3099999</v>
      </c>
      <c r="DM6" s="351" t="s">
        <v>669</v>
      </c>
      <c r="DN6" s="353">
        <v>5166122287.2200003</v>
      </c>
    </row>
    <row r="7" spans="1:118" x14ac:dyDescent="0.2">
      <c r="A7" s="148" t="s">
        <v>212</v>
      </c>
      <c r="B7" s="188" t="s">
        <v>538</v>
      </c>
      <c r="C7" s="188" t="s">
        <v>539</v>
      </c>
      <c r="D7" s="188" t="s">
        <v>540</v>
      </c>
      <c r="E7" s="209"/>
      <c r="F7" s="211" t="s">
        <v>540</v>
      </c>
      <c r="G7" s="211" t="s">
        <v>538</v>
      </c>
      <c r="H7" s="211" t="s">
        <v>539</v>
      </c>
      <c r="I7" s="153" t="s">
        <v>219</v>
      </c>
      <c r="J7" s="148" t="s">
        <v>220</v>
      </c>
      <c r="K7" s="235" t="s">
        <v>541</v>
      </c>
      <c r="L7" s="235" t="s">
        <v>542</v>
      </c>
      <c r="M7" s="237" t="s">
        <v>539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182</v>
      </c>
      <c r="T7" s="258">
        <v>99987694.959999993</v>
      </c>
      <c r="U7" s="258">
        <v>1301501</v>
      </c>
      <c r="V7" s="258">
        <v>312</v>
      </c>
      <c r="W7" s="258">
        <v>1463781</v>
      </c>
      <c r="X7" s="258">
        <v>1</v>
      </c>
      <c r="Y7" s="245"/>
      <c r="Z7" s="253" t="s">
        <v>577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577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577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577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578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578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566</v>
      </c>
      <c r="BQ7" s="264" t="s">
        <v>567</v>
      </c>
      <c r="BR7" s="264" t="s">
        <v>568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144</v>
      </c>
      <c r="CI7" s="245"/>
      <c r="CJ7" s="247" t="s">
        <v>640</v>
      </c>
      <c r="CK7" s="247">
        <v>5551554836542</v>
      </c>
      <c r="CL7" s="247"/>
      <c r="CM7" s="247" t="s">
        <v>640</v>
      </c>
      <c r="CN7" s="247">
        <v>11797077659305</v>
      </c>
      <c r="CO7" s="247"/>
      <c r="CP7" s="247" t="s">
        <v>640</v>
      </c>
      <c r="CQ7" s="247">
        <v>354577143545</v>
      </c>
      <c r="CR7" s="245"/>
      <c r="CS7" s="277">
        <v>2018</v>
      </c>
      <c r="CT7" s="275">
        <v>23</v>
      </c>
      <c r="CU7" s="275" t="s">
        <v>659</v>
      </c>
      <c r="CV7" s="275">
        <v>-16659103646.720001</v>
      </c>
      <c r="CW7" s="275">
        <v>-15384958296</v>
      </c>
      <c r="CX7" s="275">
        <v>405</v>
      </c>
      <c r="CY7" s="275">
        <v>14434123554.830006</v>
      </c>
      <c r="CZ7" s="275">
        <v>13495584729</v>
      </c>
      <c r="DA7" s="275">
        <v>136</v>
      </c>
      <c r="DB7" s="275">
        <v>31093227201.550007</v>
      </c>
      <c r="DC7" s="275">
        <v>28880543025</v>
      </c>
      <c r="DD7" s="275">
        <v>269</v>
      </c>
      <c r="DJ7" s="10" t="s">
        <v>670</v>
      </c>
      <c r="DK7" s="376">
        <v>3562384546.6599998</v>
      </c>
      <c r="DM7" s="10" t="s">
        <v>670</v>
      </c>
      <c r="DN7" s="376">
        <v>26687560950.07</v>
      </c>
    </row>
    <row r="8" spans="1:118" x14ac:dyDescent="0.2">
      <c r="B8" s="188">
        <v>45048152880</v>
      </c>
      <c r="C8" s="188">
        <v>2968247112135.3774</v>
      </c>
      <c r="D8" s="194">
        <v>40468661</v>
      </c>
      <c r="E8" s="209"/>
      <c r="F8" s="211">
        <v>20349</v>
      </c>
      <c r="G8" s="211">
        <v>3902022182</v>
      </c>
      <c r="H8" s="225">
        <v>186987693146.07742</v>
      </c>
      <c r="J8" s="152" t="str">
        <f>K8&amp;L8</f>
        <v>ABuy</v>
      </c>
      <c r="K8" s="234" t="s">
        <v>543</v>
      </c>
      <c r="L8" s="234" t="s">
        <v>544</v>
      </c>
      <c r="M8" s="238">
        <v>217801845942.1713</v>
      </c>
      <c r="O8" s="244">
        <v>507185258220.26001</v>
      </c>
      <c r="P8" s="244">
        <v>-570436675726.94995</v>
      </c>
      <c r="Q8" s="241">
        <v>-63251417506.690002</v>
      </c>
      <c r="S8" s="253" t="s">
        <v>446</v>
      </c>
      <c r="T8" s="258">
        <v>1563590027.4400001</v>
      </c>
      <c r="U8" s="258">
        <v>243878</v>
      </c>
      <c r="V8" s="258">
        <v>344</v>
      </c>
      <c r="W8" s="258">
        <v>882849</v>
      </c>
      <c r="X8" s="258">
        <v>0</v>
      </c>
      <c r="Y8" s="245"/>
      <c r="Z8" s="253" t="s">
        <v>578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578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578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578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579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579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3288663207315.7212</v>
      </c>
      <c r="BQ8" s="263">
        <v>173114750</v>
      </c>
      <c r="BR8" s="263">
        <v>1860048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637</v>
      </c>
      <c r="CE8" s="266" t="s">
        <v>639</v>
      </c>
      <c r="CF8" s="245"/>
      <c r="CG8" s="245"/>
      <c r="CH8" s="245"/>
      <c r="CI8" s="245"/>
      <c r="CJ8" s="247" t="s">
        <v>641</v>
      </c>
      <c r="CK8" s="247">
        <v>5781835989965.2822</v>
      </c>
      <c r="CL8" s="247"/>
      <c r="CM8" s="247" t="s">
        <v>641</v>
      </c>
      <c r="CN8" s="247">
        <v>11764376340267.578</v>
      </c>
      <c r="CO8" s="247"/>
      <c r="CP8" s="247" t="s">
        <v>641</v>
      </c>
      <c r="CQ8" s="247">
        <v>109260255554.87003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545</v>
      </c>
      <c r="L9" s="234" t="s">
        <v>544</v>
      </c>
      <c r="M9" s="238">
        <v>273956091640.65268</v>
      </c>
      <c r="N9" s="19"/>
      <c r="O9" s="239"/>
      <c r="P9" s="239"/>
      <c r="Q9" s="239"/>
      <c r="S9" s="253" t="s">
        <v>446</v>
      </c>
      <c r="T9" s="258">
        <v>271892357721.84552</v>
      </c>
      <c r="U9" s="258">
        <v>741363</v>
      </c>
      <c r="V9" s="258">
        <v>236840</v>
      </c>
      <c r="W9" s="258">
        <v>559031</v>
      </c>
      <c r="X9" s="258">
        <v>1</v>
      </c>
      <c r="Y9" s="245"/>
      <c r="Z9" s="253" t="s">
        <v>579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579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579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579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580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580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623</v>
      </c>
      <c r="BU9" s="266" t="s">
        <v>624</v>
      </c>
      <c r="BV9" s="266" t="s">
        <v>625</v>
      </c>
      <c r="BW9" s="266" t="s">
        <v>626</v>
      </c>
      <c r="BX9" s="266" t="s">
        <v>627</v>
      </c>
      <c r="BY9" s="266" t="s">
        <v>628</v>
      </c>
      <c r="BZ9" s="266" t="s">
        <v>629</v>
      </c>
      <c r="CA9" s="266" t="s">
        <v>630</v>
      </c>
      <c r="CB9" s="266" t="s">
        <v>631</v>
      </c>
      <c r="CC9" s="245"/>
      <c r="CD9" s="269">
        <v>316912638844277.87</v>
      </c>
      <c r="CE9" s="272">
        <v>366509168377.48364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543</v>
      </c>
      <c r="L10" s="234" t="s">
        <v>546</v>
      </c>
      <c r="M10" s="238">
        <v>226693495002.23795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449</v>
      </c>
      <c r="T10" s="258">
        <v>0</v>
      </c>
      <c r="U10" s="258">
        <v>0</v>
      </c>
      <c r="V10" s="258">
        <v>0</v>
      </c>
      <c r="W10" s="258">
        <v>0</v>
      </c>
      <c r="X10" s="258">
        <v>0</v>
      </c>
      <c r="Y10" s="245"/>
      <c r="Z10" s="253" t="s">
        <v>580</v>
      </c>
      <c r="AA10" s="253">
        <v>930780</v>
      </c>
      <c r="AB10" s="253">
        <v>111</v>
      </c>
      <c r="AC10" s="253">
        <v>43</v>
      </c>
      <c r="AD10" s="253">
        <v>1087</v>
      </c>
      <c r="AE10" s="253">
        <v>0</v>
      </c>
      <c r="AF10" s="253"/>
      <c r="AG10" s="253" t="s">
        <v>580</v>
      </c>
      <c r="AH10" s="253">
        <v>88000</v>
      </c>
      <c r="AI10" s="253">
        <v>13</v>
      </c>
      <c r="AJ10" s="253">
        <v>13</v>
      </c>
      <c r="AK10" s="253">
        <v>89</v>
      </c>
      <c r="AL10" s="253">
        <v>0</v>
      </c>
      <c r="AM10" s="245"/>
      <c r="AN10" s="253" t="s">
        <v>580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580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581</v>
      </c>
      <c r="BC10" s="253">
        <v>0</v>
      </c>
      <c r="BD10" s="253">
        <v>0</v>
      </c>
      <c r="BE10" s="253">
        <v>0</v>
      </c>
      <c r="BF10" s="253">
        <v>0</v>
      </c>
      <c r="BG10" s="253">
        <v>0</v>
      </c>
      <c r="BH10" s="247" t="s">
        <v>581</v>
      </c>
      <c r="BI10" s="253">
        <v>0</v>
      </c>
      <c r="BJ10" s="253">
        <v>0</v>
      </c>
      <c r="BK10" s="253">
        <v>0</v>
      </c>
      <c r="BL10" s="253">
        <v>0</v>
      </c>
      <c r="BM10" s="253">
        <v>0</v>
      </c>
      <c r="BN10" s="253"/>
      <c r="BO10" s="252" t="s">
        <v>472</v>
      </c>
      <c r="BP10" s="264" t="s">
        <v>566</v>
      </c>
      <c r="BQ10" s="264" t="s">
        <v>567</v>
      </c>
      <c r="BR10" s="264" t="s">
        <v>568</v>
      </c>
      <c r="BS10" s="245"/>
      <c r="BT10" s="265" t="s">
        <v>139</v>
      </c>
      <c r="BU10" s="265">
        <v>46</v>
      </c>
      <c r="BV10" s="265">
        <v>1</v>
      </c>
      <c r="BW10" s="265">
        <v>8</v>
      </c>
      <c r="BX10" s="265">
        <v>0</v>
      </c>
      <c r="BY10" s="265">
        <v>0</v>
      </c>
      <c r="BZ10" s="265">
        <v>39</v>
      </c>
      <c r="CA10" s="265">
        <v>36</v>
      </c>
      <c r="CB10" s="265">
        <v>10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545</v>
      </c>
      <c r="L11" s="234" t="s">
        <v>546</v>
      </c>
      <c r="M11" s="238">
        <v>265064442580.58603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449</v>
      </c>
      <c r="T11" s="258">
        <v>305171301.30419999</v>
      </c>
      <c r="U11" s="258">
        <v>424035</v>
      </c>
      <c r="V11" s="258">
        <v>72</v>
      </c>
      <c r="W11" s="258">
        <v>1831288</v>
      </c>
      <c r="X11" s="258">
        <v>1</v>
      </c>
      <c r="Y11" s="245"/>
      <c r="Z11" s="253" t="s">
        <v>581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581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581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581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582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582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24725586478.560001</v>
      </c>
      <c r="BQ11" s="263">
        <v>11334053</v>
      </c>
      <c r="BR11" s="263">
        <v>16388</v>
      </c>
      <c r="BS11" s="245"/>
      <c r="BT11" s="265" t="s">
        <v>632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637</v>
      </c>
      <c r="CE11" s="266" t="s">
        <v>639</v>
      </c>
      <c r="CF11" s="245"/>
      <c r="CG11" s="245"/>
      <c r="CH11" s="245"/>
      <c r="CI11" s="267" t="s">
        <v>511</v>
      </c>
      <c r="CJ11" s="247" t="s">
        <v>117</v>
      </c>
      <c r="CK11" s="247">
        <v>161534</v>
      </c>
      <c r="CL11" s="267" t="s">
        <v>514</v>
      </c>
      <c r="CM11" s="247" t="s">
        <v>117</v>
      </c>
      <c r="CN11" s="247">
        <v>88133</v>
      </c>
      <c r="CO11" s="267" t="s">
        <v>517</v>
      </c>
      <c r="CP11" s="247" t="s">
        <v>117</v>
      </c>
      <c r="CQ11" s="247">
        <v>4208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450</v>
      </c>
      <c r="T12" s="258">
        <v>0</v>
      </c>
      <c r="U12" s="258">
        <v>403367</v>
      </c>
      <c r="V12" s="258">
        <v>70</v>
      </c>
      <c r="W12" s="258">
        <v>1762120</v>
      </c>
      <c r="X12" s="258">
        <v>1</v>
      </c>
      <c r="Y12" s="245"/>
      <c r="Z12" s="253" t="s">
        <v>582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582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582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582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583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583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633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2128326794114022.7</v>
      </c>
      <c r="CE12" s="272">
        <v>3269864208847.7266</v>
      </c>
      <c r="CF12" s="245"/>
      <c r="CG12" s="245"/>
      <c r="CH12" s="245"/>
      <c r="CI12" s="247"/>
      <c r="CJ12" s="247" t="s">
        <v>640</v>
      </c>
      <c r="CK12" s="247">
        <v>4221823144341</v>
      </c>
      <c r="CL12" s="247"/>
      <c r="CM12" s="247" t="s">
        <v>640</v>
      </c>
      <c r="CN12" s="247">
        <v>10974672058970</v>
      </c>
      <c r="CO12" s="247"/>
      <c r="CP12" s="247" t="s">
        <v>640</v>
      </c>
      <c r="CQ12" s="247">
        <v>282519964061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541</v>
      </c>
      <c r="L13" s="235" t="s">
        <v>542</v>
      </c>
      <c r="M13" s="237" t="s">
        <v>539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447</v>
      </c>
      <c r="T13" s="258">
        <v>405748545.94999999</v>
      </c>
      <c r="U13" s="258">
        <v>437112</v>
      </c>
      <c r="V13" s="258">
        <v>238</v>
      </c>
      <c r="W13" s="258">
        <v>1252151</v>
      </c>
      <c r="X13" s="258">
        <v>0</v>
      </c>
      <c r="Y13" s="245"/>
      <c r="Z13" s="253" t="s">
        <v>583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583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583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583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584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584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569</v>
      </c>
      <c r="BQ13" s="263"/>
      <c r="BR13" s="263"/>
      <c r="BS13" s="245"/>
      <c r="BT13" s="265" t="s">
        <v>634</v>
      </c>
      <c r="BU13" s="265">
        <v>321</v>
      </c>
      <c r="BV13" s="265">
        <v>9</v>
      </c>
      <c r="BW13" s="265">
        <v>8</v>
      </c>
      <c r="BX13" s="265">
        <v>0</v>
      </c>
      <c r="BY13" s="265">
        <v>0</v>
      </c>
      <c r="BZ13" s="265">
        <v>322</v>
      </c>
      <c r="CA13" s="265">
        <v>258</v>
      </c>
      <c r="CB13" s="265">
        <v>63</v>
      </c>
      <c r="CC13" s="245"/>
      <c r="CD13" s="245"/>
      <c r="CE13" s="245"/>
      <c r="CF13" s="245"/>
      <c r="CG13" s="245"/>
      <c r="CH13" s="245"/>
      <c r="CI13" s="247"/>
      <c r="CJ13" s="247" t="s">
        <v>641</v>
      </c>
      <c r="CK13" s="247">
        <v>4461882321331.9551</v>
      </c>
      <c r="CL13" s="247"/>
      <c r="CM13" s="247" t="s">
        <v>641</v>
      </c>
      <c r="CN13" s="247">
        <v>10733125801780.426</v>
      </c>
      <c r="CO13" s="247"/>
      <c r="CP13" s="247" t="s">
        <v>641</v>
      </c>
      <c r="CQ13" s="247">
        <v>82006096487.919983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543</v>
      </c>
      <c r="L14" s="234" t="s">
        <v>544</v>
      </c>
      <c r="M14" s="238">
        <v>148730620360.95999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447</v>
      </c>
      <c r="T14" s="245">
        <v>4283436015.5</v>
      </c>
      <c r="U14" s="245">
        <v>299733</v>
      </c>
      <c r="V14" s="245">
        <v>3762</v>
      </c>
      <c r="W14" s="245">
        <v>812880</v>
      </c>
      <c r="X14" s="245">
        <v>1</v>
      </c>
      <c r="Y14" s="245"/>
      <c r="Z14" s="253" t="s">
        <v>584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584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584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584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613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613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32749366</v>
      </c>
      <c r="BQ14" s="263"/>
      <c r="BR14" s="263"/>
      <c r="BS14" s="245"/>
      <c r="BT14" s="265" t="s">
        <v>635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637</v>
      </c>
      <c r="CE14" s="273" t="s">
        <v>639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660</v>
      </c>
      <c r="CT14" s="275" t="s">
        <v>643</v>
      </c>
      <c r="CU14" s="275" t="s">
        <v>644</v>
      </c>
      <c r="CV14" s="275" t="s">
        <v>645</v>
      </c>
      <c r="CW14" s="275" t="s">
        <v>646</v>
      </c>
      <c r="CX14" s="275" t="s">
        <v>647</v>
      </c>
      <c r="CY14" s="275" t="s">
        <v>648</v>
      </c>
      <c r="CZ14" s="275" t="s">
        <v>649</v>
      </c>
      <c r="DA14" s="275" t="s">
        <v>650</v>
      </c>
      <c r="DB14" s="275" t="s">
        <v>651</v>
      </c>
      <c r="DC14" s="275" t="s">
        <v>652</v>
      </c>
      <c r="DD14" s="275" t="s">
        <v>653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545</v>
      </c>
      <c r="L15" s="234" t="s">
        <v>544</v>
      </c>
      <c r="M15" s="238">
        <v>189982733864.72</v>
      </c>
      <c r="N15" s="156"/>
      <c r="O15" s="240"/>
      <c r="P15" s="240"/>
      <c r="Q15" s="240"/>
      <c r="S15" s="254"/>
      <c r="T15" s="257"/>
      <c r="U15" s="257"/>
      <c r="V15" s="257"/>
      <c r="W15" s="257"/>
      <c r="X15" s="257"/>
      <c r="Y15" s="245"/>
      <c r="Z15" s="253" t="s">
        <v>585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585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585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585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585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585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1975492640904437</v>
      </c>
      <c r="CE15" s="274">
        <v>2924294874942.3208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661</v>
      </c>
      <c r="CT15" s="275">
        <v>16</v>
      </c>
      <c r="CU15" s="275" t="s">
        <v>654</v>
      </c>
      <c r="CV15" s="275">
        <v>0</v>
      </c>
      <c r="CW15" s="275">
        <v>1977925115</v>
      </c>
      <c r="CX15" s="275">
        <v>212</v>
      </c>
      <c r="CY15" s="275">
        <v>0</v>
      </c>
      <c r="CZ15" s="275">
        <v>10884673845</v>
      </c>
      <c r="DA15" s="275">
        <v>123</v>
      </c>
      <c r="DB15" s="275">
        <v>0</v>
      </c>
      <c r="DC15" s="275">
        <v>8906748730</v>
      </c>
      <c r="DD15" s="275">
        <v>89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543</v>
      </c>
      <c r="L16" s="234" t="s">
        <v>546</v>
      </c>
      <c r="M16" s="238">
        <v>146115889348.76001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586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586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586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586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586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586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569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661</v>
      </c>
      <c r="CT16" s="275">
        <v>24</v>
      </c>
      <c r="CU16" s="275" t="s">
        <v>655</v>
      </c>
      <c r="CV16" s="275">
        <v>30340663173.530018</v>
      </c>
      <c r="CW16" s="275">
        <v>34025147000</v>
      </c>
      <c r="CX16" s="275">
        <v>700</v>
      </c>
      <c r="CY16" s="275">
        <v>73343780245.399994</v>
      </c>
      <c r="CZ16" s="275">
        <v>77827136000</v>
      </c>
      <c r="DA16" s="275">
        <v>476</v>
      </c>
      <c r="DB16" s="275">
        <v>43003117071.869987</v>
      </c>
      <c r="DC16" s="275">
        <v>43801989000</v>
      </c>
      <c r="DD16" s="275">
        <v>224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545</v>
      </c>
      <c r="L17" s="234" t="s">
        <v>546</v>
      </c>
      <c r="M17" s="238">
        <v>192597464876.92001</v>
      </c>
      <c r="N17" s="156"/>
      <c r="O17" s="344">
        <v>645668000000</v>
      </c>
      <c r="P17" s="344">
        <v>-645833000000</v>
      </c>
      <c r="Q17" s="344">
        <v>-165000000</v>
      </c>
      <c r="R17" s="153" t="s">
        <v>453</v>
      </c>
      <c r="S17" s="253" t="s">
        <v>565</v>
      </c>
      <c r="T17" s="258" t="s">
        <v>566</v>
      </c>
      <c r="U17" s="258" t="s">
        <v>567</v>
      </c>
      <c r="V17" s="258" t="s">
        <v>568</v>
      </c>
      <c r="W17" s="258" t="s">
        <v>569</v>
      </c>
      <c r="X17" s="258" t="s">
        <v>570</v>
      </c>
      <c r="Y17" s="245"/>
      <c r="Z17" s="253" t="s">
        <v>587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587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587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587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587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587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3444678</v>
      </c>
      <c r="BQ17" s="263"/>
      <c r="BR17" s="263"/>
      <c r="BS17" s="256" t="s">
        <v>500</v>
      </c>
      <c r="BT17" s="266" t="s">
        <v>623</v>
      </c>
      <c r="BU17" s="266" t="s">
        <v>624</v>
      </c>
      <c r="BV17" s="266" t="s">
        <v>625</v>
      </c>
      <c r="BW17" s="266" t="s">
        <v>626</v>
      </c>
      <c r="BX17" s="266" t="s">
        <v>627</v>
      </c>
      <c r="BY17" s="266" t="s">
        <v>628</v>
      </c>
      <c r="BZ17" s="266" t="s">
        <v>629</v>
      </c>
      <c r="CA17" s="266" t="s">
        <v>630</v>
      </c>
      <c r="CB17" s="266" t="s">
        <v>631</v>
      </c>
      <c r="CC17" s="358" t="s">
        <v>528</v>
      </c>
      <c r="CD17" s="357" t="s">
        <v>637</v>
      </c>
      <c r="CE17" s="357" t="s">
        <v>639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661</v>
      </c>
      <c r="CT17" s="275">
        <v>24</v>
      </c>
      <c r="CU17" s="275" t="s">
        <v>656</v>
      </c>
      <c r="CV17" s="275">
        <v>-28203236063.690014</v>
      </c>
      <c r="CW17" s="275">
        <v>-31884147000</v>
      </c>
      <c r="CX17" s="275">
        <v>693</v>
      </c>
      <c r="CY17" s="275">
        <v>42790420966.029976</v>
      </c>
      <c r="CZ17" s="275">
        <v>43571989000</v>
      </c>
      <c r="DA17" s="275">
        <v>221</v>
      </c>
      <c r="DB17" s="275">
        <v>70993657029.719955</v>
      </c>
      <c r="DC17" s="275">
        <v>75456136000</v>
      </c>
      <c r="DD17" s="275">
        <v>472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2564390.25</v>
      </c>
      <c r="U18" s="258">
        <v>435</v>
      </c>
      <c r="V18" s="258">
        <v>1</v>
      </c>
      <c r="W18" s="258">
        <v>99514</v>
      </c>
      <c r="X18" s="258">
        <v>0</v>
      </c>
      <c r="Y18" s="245"/>
      <c r="Z18" s="253" t="s">
        <v>588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588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588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588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588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588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57</v>
      </c>
      <c r="BV18" s="265">
        <v>5</v>
      </c>
      <c r="BW18" s="265">
        <v>4</v>
      </c>
      <c r="BX18" s="265">
        <v>4</v>
      </c>
      <c r="BY18" s="265">
        <v>0</v>
      </c>
      <c r="BZ18" s="265">
        <v>54</v>
      </c>
      <c r="CA18" s="265">
        <v>44</v>
      </c>
      <c r="CB18" s="265">
        <v>13</v>
      </c>
      <c r="CC18" s="355"/>
      <c r="CD18" s="359">
        <v>14497944714817.52</v>
      </c>
      <c r="CE18" s="360">
        <v>24149836810.264919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661</v>
      </c>
      <c r="CT18" s="275">
        <v>58</v>
      </c>
      <c r="CU18" s="275" t="s">
        <v>657</v>
      </c>
      <c r="CV18" s="275">
        <v>-5546459619.6600008</v>
      </c>
      <c r="CW18" s="275">
        <v>-5908302706</v>
      </c>
      <c r="CX18" s="275">
        <v>680</v>
      </c>
      <c r="CY18" s="275">
        <v>8632586066.220005</v>
      </c>
      <c r="CZ18" s="275">
        <v>8481612705</v>
      </c>
      <c r="DA18" s="275">
        <v>320</v>
      </c>
      <c r="DB18" s="275">
        <v>14179045685.879999</v>
      </c>
      <c r="DC18" s="275">
        <v>14389915411</v>
      </c>
      <c r="DD18" s="275">
        <v>360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541</v>
      </c>
      <c r="L19" s="235" t="s">
        <v>542</v>
      </c>
      <c r="M19" s="237" t="s">
        <v>539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589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589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589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589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589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589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539</v>
      </c>
      <c r="BQ19" s="264" t="s">
        <v>567</v>
      </c>
      <c r="BR19" s="264" t="s">
        <v>568</v>
      </c>
      <c r="BS19" s="245"/>
      <c r="BT19" s="265" t="s">
        <v>632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661</v>
      </c>
      <c r="CT19" s="275">
        <v>49</v>
      </c>
      <c r="CU19" s="275" t="s">
        <v>658</v>
      </c>
      <c r="CV19" s="275">
        <v>13081156144.090012</v>
      </c>
      <c r="CW19" s="275">
        <v>13272682805</v>
      </c>
      <c r="CX19" s="275">
        <v>2420</v>
      </c>
      <c r="CY19" s="275">
        <v>80894692971.029999</v>
      </c>
      <c r="CZ19" s="275">
        <v>79144548153</v>
      </c>
      <c r="DA19" s="275">
        <v>1278</v>
      </c>
      <c r="DB19" s="275">
        <v>67813536826.939987</v>
      </c>
      <c r="DC19" s="275">
        <v>65871865348</v>
      </c>
      <c r="DD19" s="275">
        <v>1142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543</v>
      </c>
      <c r="L20" s="234" t="s">
        <v>544</v>
      </c>
      <c r="M20" s="238">
        <v>206624551109.29999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124228997.34999999</v>
      </c>
      <c r="U20" s="258">
        <v>10644</v>
      </c>
      <c r="V20" s="258">
        <v>25</v>
      </c>
      <c r="W20" s="258">
        <v>882849</v>
      </c>
      <c r="X20" s="258">
        <v>0</v>
      </c>
      <c r="Y20" s="245"/>
      <c r="Z20" s="253" t="s">
        <v>590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590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590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590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590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590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204076257269.87003</v>
      </c>
      <c r="BQ20" s="263">
        <v>1778805</v>
      </c>
      <c r="BR20" s="263">
        <v>1657</v>
      </c>
      <c r="BS20" s="245"/>
      <c r="BT20" s="265" t="s">
        <v>633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637</v>
      </c>
      <c r="CE20" s="357" t="s">
        <v>639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661</v>
      </c>
      <c r="CT20" s="275">
        <v>7</v>
      </c>
      <c r="CU20" s="275" t="s">
        <v>659</v>
      </c>
      <c r="CV20" s="275">
        <v>-818570082.97000003</v>
      </c>
      <c r="CW20" s="275">
        <v>-882700000</v>
      </c>
      <c r="CX20" s="275">
        <v>15</v>
      </c>
      <c r="CY20" s="275">
        <v>272684283.23000002</v>
      </c>
      <c r="CZ20" s="275">
        <v>250300000</v>
      </c>
      <c r="DA20" s="275">
        <v>3</v>
      </c>
      <c r="DB20" s="275">
        <v>1091254366.2</v>
      </c>
      <c r="DC20" s="275">
        <v>1133000000</v>
      </c>
      <c r="DD20" s="275">
        <v>12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545</v>
      </c>
      <c r="L21" s="234" t="s">
        <v>544</v>
      </c>
      <c r="M21" s="238">
        <v>252099717848.47</v>
      </c>
      <c r="O21" s="239"/>
      <c r="P21" s="239"/>
      <c r="Q21" s="239"/>
      <c r="S21" s="253" t="s">
        <v>449</v>
      </c>
      <c r="T21" s="258">
        <v>0</v>
      </c>
      <c r="U21" s="258">
        <v>0</v>
      </c>
      <c r="V21" s="258">
        <v>0</v>
      </c>
      <c r="W21" s="258">
        <v>0</v>
      </c>
      <c r="X21" s="258">
        <v>0</v>
      </c>
      <c r="Y21" s="245"/>
      <c r="Z21" s="253" t="s">
        <v>591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591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591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591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591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591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634</v>
      </c>
      <c r="BU21" s="265">
        <v>323</v>
      </c>
      <c r="BV21" s="265">
        <v>6</v>
      </c>
      <c r="BW21" s="265">
        <v>12</v>
      </c>
      <c r="BX21" s="265">
        <v>0</v>
      </c>
      <c r="BY21" s="265">
        <v>4</v>
      </c>
      <c r="BZ21" s="265">
        <v>321</v>
      </c>
      <c r="CA21" s="265">
        <v>263</v>
      </c>
      <c r="CB21" s="265">
        <v>60</v>
      </c>
      <c r="CC21" s="355"/>
      <c r="CD21" s="359">
        <v>3754665841047570</v>
      </c>
      <c r="CE21" s="360">
        <v>5769296161597.0234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543</v>
      </c>
      <c r="L22" s="234" t="s">
        <v>546</v>
      </c>
      <c r="M22" s="238">
        <v>216856944328.75003</v>
      </c>
      <c r="O22" s="239"/>
      <c r="P22" s="239"/>
      <c r="Q22" s="239"/>
      <c r="S22" s="253" t="s">
        <v>447</v>
      </c>
      <c r="T22" s="258">
        <v>52054881.170000002</v>
      </c>
      <c r="U22" s="258">
        <v>24650</v>
      </c>
      <c r="V22" s="258">
        <v>39</v>
      </c>
      <c r="W22" s="258">
        <v>1252151</v>
      </c>
      <c r="X22" s="258">
        <v>0</v>
      </c>
      <c r="Y22" s="245"/>
      <c r="Z22" s="253" t="s">
        <v>592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592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592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592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592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592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539</v>
      </c>
      <c r="BQ22" s="264" t="s">
        <v>567</v>
      </c>
      <c r="BR22" s="264" t="s">
        <v>568</v>
      </c>
      <c r="BS22" s="245"/>
      <c r="BT22" s="245" t="s">
        <v>635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556</v>
      </c>
      <c r="F23" s="227" t="s">
        <v>444</v>
      </c>
      <c r="G23" s="224" t="s">
        <v>226</v>
      </c>
      <c r="H23" s="224" t="s">
        <v>547</v>
      </c>
      <c r="I23" s="165"/>
      <c r="J23" s="152" t="str">
        <f>K23&amp;L23</f>
        <v>PSell</v>
      </c>
      <c r="K23" s="234" t="s">
        <v>545</v>
      </c>
      <c r="L23" s="234" t="s">
        <v>546</v>
      </c>
      <c r="M23" s="238">
        <v>241867324629.01999</v>
      </c>
      <c r="N23" s="163" t="s">
        <v>445</v>
      </c>
      <c r="O23" s="242" t="s">
        <v>226</v>
      </c>
      <c r="P23" s="242" t="s">
        <v>547</v>
      </c>
      <c r="Q23" s="239"/>
      <c r="S23" s="253" t="s">
        <v>571</v>
      </c>
      <c r="T23" s="258">
        <v>0</v>
      </c>
      <c r="U23" s="258">
        <v>0</v>
      </c>
      <c r="V23" s="258">
        <v>0</v>
      </c>
      <c r="W23" s="258">
        <v>0</v>
      </c>
      <c r="X23" s="258">
        <v>1</v>
      </c>
      <c r="Y23" s="245"/>
      <c r="Z23" s="253" t="s">
        <v>593</v>
      </c>
      <c r="AA23" s="253">
        <v>0</v>
      </c>
      <c r="AB23" s="253">
        <v>0</v>
      </c>
      <c r="AC23" s="253">
        <v>0</v>
      </c>
      <c r="AD23" s="253">
        <v>880</v>
      </c>
      <c r="AE23" s="253">
        <v>0</v>
      </c>
      <c r="AF23" s="253"/>
      <c r="AG23" s="253" t="s">
        <v>593</v>
      </c>
      <c r="AH23" s="253">
        <v>0</v>
      </c>
      <c r="AI23" s="253">
        <v>0</v>
      </c>
      <c r="AJ23" s="253">
        <v>0</v>
      </c>
      <c r="AK23" s="253">
        <v>40</v>
      </c>
      <c r="AL23" s="253">
        <v>0</v>
      </c>
      <c r="AM23" s="245"/>
      <c r="AN23" s="253" t="s">
        <v>593</v>
      </c>
      <c r="AO23" s="253">
        <v>765500</v>
      </c>
      <c r="AP23" s="253">
        <v>70</v>
      </c>
      <c r="AQ23" s="253">
        <v>7</v>
      </c>
      <c r="AR23" s="253">
        <v>840</v>
      </c>
      <c r="AS23" s="253">
        <v>0</v>
      </c>
      <c r="AT23" s="245"/>
      <c r="AU23" s="253" t="s">
        <v>593</v>
      </c>
      <c r="AV23" s="253">
        <v>0</v>
      </c>
      <c r="AW23" s="253">
        <v>0</v>
      </c>
      <c r="AX23" s="253">
        <v>0</v>
      </c>
      <c r="AY23" s="253">
        <v>40</v>
      </c>
      <c r="AZ23" s="253">
        <v>0</v>
      </c>
      <c r="BA23" s="245"/>
      <c r="BB23" s="253" t="s">
        <v>593</v>
      </c>
      <c r="BC23" s="253">
        <v>0</v>
      </c>
      <c r="BD23" s="253">
        <v>0</v>
      </c>
      <c r="BE23" s="253">
        <v>0</v>
      </c>
      <c r="BF23" s="253">
        <v>630</v>
      </c>
      <c r="BG23" s="253">
        <v>0</v>
      </c>
      <c r="BH23" s="247" t="s">
        <v>593</v>
      </c>
      <c r="BI23" s="253">
        <v>0</v>
      </c>
      <c r="BJ23" s="253">
        <v>0</v>
      </c>
      <c r="BK23" s="253">
        <v>0</v>
      </c>
      <c r="BL23" s="253">
        <v>30</v>
      </c>
      <c r="BM23" s="253">
        <v>0</v>
      </c>
      <c r="BN23" s="253"/>
      <c r="BO23" s="247"/>
      <c r="BP23" s="263">
        <v>3001653136.9200001</v>
      </c>
      <c r="BQ23" s="263">
        <v>28655</v>
      </c>
      <c r="BR23" s="263">
        <v>74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69833.830442539998</v>
      </c>
      <c r="I24" s="164"/>
      <c r="K24" s="231"/>
      <c r="L24" s="228"/>
      <c r="M24" s="228"/>
      <c r="O24" s="241" t="s">
        <v>254</v>
      </c>
      <c r="P24" s="241">
        <v>65928.295543500004</v>
      </c>
      <c r="Q24" s="239"/>
      <c r="S24" s="253" t="s">
        <v>451</v>
      </c>
      <c r="T24" s="258">
        <v>63669</v>
      </c>
      <c r="U24" s="258">
        <v>19</v>
      </c>
      <c r="V24" s="258">
        <v>1</v>
      </c>
      <c r="W24" s="258">
        <v>152359</v>
      </c>
      <c r="X24" s="258">
        <v>1</v>
      </c>
      <c r="Y24" s="245"/>
      <c r="Z24" s="253" t="s">
        <v>594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594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594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594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594</v>
      </c>
      <c r="BC24" s="253">
        <v>0</v>
      </c>
      <c r="BD24" s="253">
        <v>0</v>
      </c>
      <c r="BE24" s="253">
        <v>0</v>
      </c>
      <c r="BF24" s="253">
        <v>0</v>
      </c>
      <c r="BG24" s="253">
        <v>0</v>
      </c>
      <c r="BH24" s="247" t="s">
        <v>594</v>
      </c>
      <c r="BI24" s="253">
        <v>0</v>
      </c>
      <c r="BJ24" s="253">
        <v>0</v>
      </c>
      <c r="BK24" s="253">
        <v>0</v>
      </c>
      <c r="BL24" s="253">
        <v>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10922.48538584</v>
      </c>
      <c r="I25" s="164"/>
      <c r="K25" s="231"/>
      <c r="L25" s="228"/>
      <c r="M25" s="228"/>
      <c r="O25" s="241" t="s">
        <v>271</v>
      </c>
      <c r="P25" s="241">
        <v>10747.431764659999</v>
      </c>
      <c r="Q25" s="239"/>
      <c r="S25" s="253" t="s">
        <v>448</v>
      </c>
      <c r="T25" s="258">
        <v>0</v>
      </c>
      <c r="U25" s="258">
        <v>9778</v>
      </c>
      <c r="V25" s="258">
        <v>144</v>
      </c>
      <c r="W25" s="258">
        <v>597447</v>
      </c>
      <c r="X25" s="258">
        <v>1</v>
      </c>
      <c r="Y25" s="245"/>
      <c r="Z25" s="253" t="s">
        <v>595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595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595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595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595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595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569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11215.87735601</v>
      </c>
      <c r="I26" s="164"/>
      <c r="J26" s="157"/>
      <c r="K26" s="232"/>
      <c r="L26" s="228"/>
      <c r="M26" s="228"/>
      <c r="O26" s="241" t="s">
        <v>272</v>
      </c>
      <c r="P26" s="241">
        <v>11201.579627790001</v>
      </c>
      <c r="Q26" s="239"/>
      <c r="S26" s="253" t="s">
        <v>182</v>
      </c>
      <c r="T26" s="258">
        <v>21982662.27</v>
      </c>
      <c r="U26" s="258">
        <v>119987</v>
      </c>
      <c r="V26" s="258">
        <v>12</v>
      </c>
      <c r="W26" s="258">
        <v>1463781</v>
      </c>
      <c r="X26" s="258">
        <v>1</v>
      </c>
      <c r="Y26" s="245"/>
      <c r="Z26" s="253" t="s">
        <v>596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596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596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596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596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596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1259929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26083.358102530001</v>
      </c>
      <c r="I27" s="164"/>
      <c r="J27" s="157"/>
      <c r="K27" s="231"/>
      <c r="L27" s="228"/>
      <c r="M27" s="228"/>
      <c r="O27" s="241" t="s">
        <v>273</v>
      </c>
      <c r="P27" s="241">
        <v>25399.09237884</v>
      </c>
      <c r="Q27" s="239"/>
      <c r="S27" s="253" t="s">
        <v>446</v>
      </c>
      <c r="T27" s="258">
        <v>10638787986.1731</v>
      </c>
      <c r="U27" s="258">
        <v>27031</v>
      </c>
      <c r="V27" s="258">
        <v>9692</v>
      </c>
      <c r="W27" s="258">
        <v>559031</v>
      </c>
      <c r="X27" s="258">
        <v>1</v>
      </c>
      <c r="Y27" s="245"/>
      <c r="Z27" s="253" t="s">
        <v>597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597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597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597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597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597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642</v>
      </c>
      <c r="CT27" s="275" t="s">
        <v>643</v>
      </c>
      <c r="CU27" s="275" t="s">
        <v>644</v>
      </c>
      <c r="CV27" s="275" t="s">
        <v>645</v>
      </c>
      <c r="CW27" s="275" t="s">
        <v>646</v>
      </c>
      <c r="CX27" s="275" t="s">
        <v>647</v>
      </c>
      <c r="CY27" s="275" t="s">
        <v>648</v>
      </c>
      <c r="CZ27" s="275" t="s">
        <v>649</v>
      </c>
      <c r="DA27" s="275" t="s">
        <v>650</v>
      </c>
      <c r="DB27" s="275" t="s">
        <v>651</v>
      </c>
      <c r="DC27" s="275" t="s">
        <v>652</v>
      </c>
      <c r="DD27" s="275" t="s">
        <v>653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3170.2200355999998</v>
      </c>
      <c r="I28" s="164"/>
      <c r="J28" s="157"/>
      <c r="K28" s="231"/>
      <c r="L28" s="233"/>
      <c r="M28" s="236"/>
      <c r="O28" s="241" t="s">
        <v>274</v>
      </c>
      <c r="P28" s="241">
        <v>3176.0878020199998</v>
      </c>
      <c r="Q28" s="239"/>
      <c r="S28" s="245" t="s">
        <v>449</v>
      </c>
      <c r="T28" s="245">
        <v>35560509.634000003</v>
      </c>
      <c r="U28" s="245">
        <v>37645</v>
      </c>
      <c r="V28" s="245">
        <v>8</v>
      </c>
      <c r="W28" s="245">
        <v>1831288</v>
      </c>
      <c r="X28" s="245">
        <v>1</v>
      </c>
      <c r="Y28" s="245"/>
      <c r="Z28" s="253" t="s">
        <v>598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598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598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598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598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598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569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44</v>
      </c>
      <c r="CU28" s="275" t="s">
        <v>654</v>
      </c>
      <c r="CV28" s="275">
        <v>0</v>
      </c>
      <c r="CW28" s="275">
        <v>21769189230</v>
      </c>
      <c r="CX28" s="275">
        <v>2388</v>
      </c>
      <c r="CY28" s="275">
        <v>0</v>
      </c>
      <c r="CZ28" s="275">
        <v>99031353608</v>
      </c>
      <c r="DA28" s="275">
        <v>1285</v>
      </c>
      <c r="DB28" s="275">
        <v>0</v>
      </c>
      <c r="DC28" s="275">
        <v>77262164378</v>
      </c>
      <c r="DD28" s="275">
        <v>1103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3070.7212517399998</v>
      </c>
      <c r="I29" s="164"/>
      <c r="J29" s="157"/>
      <c r="K29" s="231"/>
      <c r="L29" s="228"/>
      <c r="M29" s="228"/>
      <c r="O29" s="241" t="s">
        <v>275</v>
      </c>
      <c r="P29" s="241">
        <v>3041.7707586199999</v>
      </c>
      <c r="Q29" s="239"/>
      <c r="S29" s="245" t="s">
        <v>450</v>
      </c>
      <c r="T29" s="245">
        <v>0</v>
      </c>
      <c r="U29" s="245">
        <v>36513</v>
      </c>
      <c r="V29" s="245">
        <v>8</v>
      </c>
      <c r="W29" s="245">
        <v>1762120</v>
      </c>
      <c r="X29" s="245">
        <v>1</v>
      </c>
      <c r="Y29" s="245"/>
      <c r="Z29" s="253" t="s">
        <v>599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599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599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599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599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599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98005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2</v>
      </c>
      <c r="CU29" s="275" t="s">
        <v>662</v>
      </c>
      <c r="CV29" s="275">
        <v>294888623.24000001</v>
      </c>
      <c r="CW29" s="275">
        <v>300110000</v>
      </c>
      <c r="CX29" s="275">
        <v>2</v>
      </c>
      <c r="CY29" s="275">
        <v>294888623.24000001</v>
      </c>
      <c r="CZ29" s="275">
        <v>300110000</v>
      </c>
      <c r="DA29" s="275">
        <v>2</v>
      </c>
      <c r="DB29" s="275">
        <v>0</v>
      </c>
      <c r="DC29" s="275">
        <v>0</v>
      </c>
      <c r="DD29" s="275">
        <v>0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3518.39794446</v>
      </c>
      <c r="I30" s="164"/>
      <c r="J30" s="157"/>
      <c r="K30" s="231"/>
      <c r="L30" s="228"/>
      <c r="M30" s="228"/>
      <c r="O30" s="241" t="s">
        <v>93</v>
      </c>
      <c r="P30" s="241">
        <v>3517.8261182900001</v>
      </c>
      <c r="Q30" s="239"/>
      <c r="S30" s="254" t="s">
        <v>447</v>
      </c>
      <c r="T30" s="257">
        <v>265152226.5</v>
      </c>
      <c r="U30" s="257">
        <v>10203</v>
      </c>
      <c r="V30" s="257">
        <v>146</v>
      </c>
      <c r="W30" s="257">
        <v>812880</v>
      </c>
      <c r="X30" s="257">
        <v>1</v>
      </c>
      <c r="Y30" s="245"/>
      <c r="Z30" s="253" t="s">
        <v>600</v>
      </c>
      <c r="AA30" s="253">
        <v>4485392.92</v>
      </c>
      <c r="AB30" s="253">
        <v>702</v>
      </c>
      <c r="AC30" s="253">
        <v>65</v>
      </c>
      <c r="AD30" s="253">
        <v>27059</v>
      </c>
      <c r="AE30" s="253">
        <v>0</v>
      </c>
      <c r="AF30" s="253"/>
      <c r="AG30" s="253" t="s">
        <v>600</v>
      </c>
      <c r="AH30" s="253">
        <v>0</v>
      </c>
      <c r="AI30" s="253">
        <v>0</v>
      </c>
      <c r="AJ30" s="253">
        <v>0</v>
      </c>
      <c r="AK30" s="253">
        <v>1429</v>
      </c>
      <c r="AL30" s="253">
        <v>0</v>
      </c>
      <c r="AM30" s="245"/>
      <c r="AN30" s="253" t="s">
        <v>600</v>
      </c>
      <c r="AO30" s="253">
        <v>5307102.96</v>
      </c>
      <c r="AP30" s="253">
        <v>859</v>
      </c>
      <c r="AQ30" s="253">
        <v>63</v>
      </c>
      <c r="AR30" s="253">
        <v>46303</v>
      </c>
      <c r="AS30" s="253">
        <v>0</v>
      </c>
      <c r="AT30" s="245"/>
      <c r="AU30" s="253" t="s">
        <v>600</v>
      </c>
      <c r="AV30" s="253">
        <v>3300</v>
      </c>
      <c r="AW30" s="253">
        <v>1</v>
      </c>
      <c r="AX30" s="253">
        <v>1</v>
      </c>
      <c r="AY30" s="253">
        <v>946</v>
      </c>
      <c r="AZ30" s="253">
        <v>0</v>
      </c>
      <c r="BA30" s="245"/>
      <c r="BB30" s="253" t="s">
        <v>600</v>
      </c>
      <c r="BC30" s="253">
        <v>17888674.16</v>
      </c>
      <c r="BD30" s="253">
        <v>1516</v>
      </c>
      <c r="BE30" s="253">
        <v>72</v>
      </c>
      <c r="BF30" s="253">
        <v>32263</v>
      </c>
      <c r="BG30" s="253">
        <v>0</v>
      </c>
      <c r="BH30" s="247" t="s">
        <v>600</v>
      </c>
      <c r="BI30" s="253">
        <v>1544382.7</v>
      </c>
      <c r="BJ30" s="253">
        <v>133</v>
      </c>
      <c r="BK30" s="253">
        <v>6</v>
      </c>
      <c r="BL30" s="253">
        <v>2245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22</v>
      </c>
      <c r="CU30" s="275" t="s">
        <v>655</v>
      </c>
      <c r="CV30" s="275">
        <v>74497162557.770096</v>
      </c>
      <c r="CW30" s="275">
        <v>91099262000</v>
      </c>
      <c r="CX30" s="275">
        <v>4425</v>
      </c>
      <c r="CY30" s="275">
        <v>278453554151.27002</v>
      </c>
      <c r="CZ30" s="275">
        <v>289908135000</v>
      </c>
      <c r="DA30" s="275">
        <v>3193</v>
      </c>
      <c r="DB30" s="275">
        <v>203956391593.5</v>
      </c>
      <c r="DC30" s="275">
        <v>198808873000</v>
      </c>
      <c r="DD30" s="275">
        <v>1232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1058.9198395000001</v>
      </c>
      <c r="I31" s="164"/>
      <c r="J31" s="158"/>
      <c r="K31" s="229"/>
      <c r="L31" s="228"/>
      <c r="M31" s="228"/>
      <c r="O31" s="241" t="s">
        <v>63</v>
      </c>
      <c r="P31" s="241">
        <v>1059.7588337699999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601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601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601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601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601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601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539</v>
      </c>
      <c r="BQ31" s="264" t="s">
        <v>567</v>
      </c>
      <c r="BR31" s="264" t="s">
        <v>568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22</v>
      </c>
      <c r="CU31" s="275" t="s">
        <v>656</v>
      </c>
      <c r="CV31" s="275">
        <v>-77011925486.140335</v>
      </c>
      <c r="CW31" s="275">
        <v>-93475762000</v>
      </c>
      <c r="CX31" s="275">
        <v>4373</v>
      </c>
      <c r="CY31" s="275">
        <v>198597505734.17026</v>
      </c>
      <c r="CZ31" s="275">
        <v>193437873000</v>
      </c>
      <c r="DA31" s="275">
        <v>1210</v>
      </c>
      <c r="DB31" s="275">
        <v>275609431220.31006</v>
      </c>
      <c r="DC31" s="275">
        <v>286913635000</v>
      </c>
      <c r="DD31" s="275">
        <v>3163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17895.237974250002</v>
      </c>
      <c r="I32" s="164"/>
      <c r="J32" s="157"/>
      <c r="K32" s="229"/>
      <c r="L32" s="228"/>
      <c r="M32" s="228"/>
      <c r="O32" s="241" t="s">
        <v>276</v>
      </c>
      <c r="P32" s="241">
        <v>17370.12674412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602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602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602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602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602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602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932530095810.93005</v>
      </c>
      <c r="BQ32" s="263">
        <v>8331067</v>
      </c>
      <c r="BR32" s="263">
        <v>8738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378</v>
      </c>
      <c r="CU32" s="275" t="s">
        <v>657</v>
      </c>
      <c r="CV32" s="275">
        <v>-25404997536.350033</v>
      </c>
      <c r="CW32" s="275">
        <v>-23443116751</v>
      </c>
      <c r="CX32" s="275">
        <v>5062</v>
      </c>
      <c r="CY32" s="275">
        <v>58411351375.760033</v>
      </c>
      <c r="CZ32" s="275">
        <v>57843774000</v>
      </c>
      <c r="DA32" s="275">
        <v>2874</v>
      </c>
      <c r="DB32" s="275">
        <v>83816348912.110001</v>
      </c>
      <c r="DC32" s="275">
        <v>81286890751</v>
      </c>
      <c r="DD32" s="275">
        <v>2188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15.53558694</v>
      </c>
      <c r="I33" s="164"/>
      <c r="J33" s="157"/>
      <c r="K33" s="228"/>
      <c r="L33" s="228"/>
      <c r="M33" s="228"/>
      <c r="O33" s="241" t="s">
        <v>106</v>
      </c>
      <c r="P33" s="241">
        <v>14.97183203</v>
      </c>
      <c r="Q33" s="239"/>
      <c r="R33" s="153" t="s">
        <v>454</v>
      </c>
      <c r="S33" s="253" t="s">
        <v>565</v>
      </c>
      <c r="T33" s="258" t="s">
        <v>566</v>
      </c>
      <c r="U33" s="258" t="s">
        <v>567</v>
      </c>
      <c r="V33" s="258" t="s">
        <v>568</v>
      </c>
      <c r="W33" s="258" t="s">
        <v>569</v>
      </c>
      <c r="X33" s="258" t="s">
        <v>570</v>
      </c>
      <c r="Y33" s="245"/>
      <c r="Z33" s="253" t="s">
        <v>603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603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603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603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603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603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131</v>
      </c>
      <c r="CU33" s="275" t="s">
        <v>658</v>
      </c>
      <c r="CV33" s="275">
        <v>74403242115.030106</v>
      </c>
      <c r="CW33" s="275">
        <v>77230813458</v>
      </c>
      <c r="CX33" s="275">
        <v>19446</v>
      </c>
      <c r="CY33" s="275">
        <v>548734357413.54059</v>
      </c>
      <c r="CZ33" s="275">
        <v>528257225100</v>
      </c>
      <c r="DA33" s="275">
        <v>10634</v>
      </c>
      <c r="DB33" s="275">
        <v>474331115298.50952</v>
      </c>
      <c r="DC33" s="275">
        <v>451026411642</v>
      </c>
      <c r="DD33" s="275">
        <v>8812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9747.3577827000008</v>
      </c>
      <c r="I34" s="164"/>
      <c r="J34" s="157"/>
      <c r="K34" s="228"/>
      <c r="L34" s="228"/>
      <c r="M34" s="228"/>
      <c r="O34" s="241" t="s">
        <v>108</v>
      </c>
      <c r="P34" s="241">
        <v>10063.671101870001</v>
      </c>
      <c r="Q34" s="239"/>
      <c r="R34" s="157"/>
      <c r="S34" s="253" t="s">
        <v>571</v>
      </c>
      <c r="T34" s="258">
        <v>0</v>
      </c>
      <c r="U34" s="258">
        <v>0</v>
      </c>
      <c r="V34" s="258">
        <v>0</v>
      </c>
      <c r="W34" s="258">
        <v>0</v>
      </c>
      <c r="X34" s="258">
        <v>0</v>
      </c>
      <c r="Y34" s="245"/>
      <c r="Z34" s="253" t="s">
        <v>604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604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604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604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604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604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539</v>
      </c>
      <c r="BQ34" s="264" t="s">
        <v>567</v>
      </c>
      <c r="BR34" s="264" t="s">
        <v>568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23</v>
      </c>
      <c r="CU34" s="275" t="s">
        <v>659</v>
      </c>
      <c r="CV34" s="275">
        <v>-5972235968.8400002</v>
      </c>
      <c r="CW34" s="275">
        <v>-6429838848</v>
      </c>
      <c r="CX34" s="275">
        <v>497</v>
      </c>
      <c r="CY34" s="275">
        <v>17225431697.560001</v>
      </c>
      <c r="CZ34" s="275">
        <v>18475477232</v>
      </c>
      <c r="DA34" s="275">
        <v>200</v>
      </c>
      <c r="DB34" s="275">
        <v>23197667666.399975</v>
      </c>
      <c r="DC34" s="275">
        <v>24905316080</v>
      </c>
      <c r="DD34" s="275">
        <v>297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66655.637732169998</v>
      </c>
      <c r="I35" s="164"/>
      <c r="J35" s="157"/>
      <c r="K35" s="228"/>
      <c r="L35" s="228"/>
      <c r="M35" s="228"/>
      <c r="O35" s="241" t="s">
        <v>279</v>
      </c>
      <c r="P35" s="241">
        <v>67919.578443510007</v>
      </c>
      <c r="Q35" s="239"/>
      <c r="R35" s="157"/>
      <c r="S35" s="253" t="s">
        <v>451</v>
      </c>
      <c r="T35" s="258">
        <v>92746678.859999999</v>
      </c>
      <c r="U35" s="258">
        <v>140157</v>
      </c>
      <c r="V35" s="258">
        <v>113</v>
      </c>
      <c r="W35" s="258">
        <v>183039</v>
      </c>
      <c r="X35" s="258">
        <v>0</v>
      </c>
      <c r="Y35" s="245"/>
      <c r="Z35" s="253" t="s">
        <v>605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605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605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605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605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605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23623342410.119999</v>
      </c>
      <c r="BQ35" s="263">
        <v>233009</v>
      </c>
      <c r="BR35" s="263">
        <v>466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14950.362207759999</v>
      </c>
      <c r="I36" s="164"/>
      <c r="J36" s="157"/>
      <c r="K36" s="228"/>
      <c r="L36" s="228"/>
      <c r="M36" s="228"/>
      <c r="O36" s="241" t="s">
        <v>280</v>
      </c>
      <c r="P36" s="241">
        <v>14868.138742839999</v>
      </c>
      <c r="Q36" s="239"/>
      <c r="R36" s="157"/>
      <c r="S36" s="253" t="s">
        <v>448</v>
      </c>
      <c r="T36" s="258">
        <v>0</v>
      </c>
      <c r="U36" s="258">
        <v>0</v>
      </c>
      <c r="V36" s="258">
        <v>0</v>
      </c>
      <c r="W36" s="258">
        <v>0</v>
      </c>
      <c r="X36" s="258">
        <v>0</v>
      </c>
      <c r="Y36" s="245"/>
      <c r="Z36" s="253" t="s">
        <v>606</v>
      </c>
      <c r="AA36" s="253">
        <v>9600597.4000000004</v>
      </c>
      <c r="AB36" s="253">
        <v>1564</v>
      </c>
      <c r="AC36" s="253">
        <v>136</v>
      </c>
      <c r="AD36" s="253">
        <v>25417</v>
      </c>
      <c r="AE36" s="253">
        <v>0</v>
      </c>
      <c r="AF36" s="253"/>
      <c r="AG36" s="253" t="s">
        <v>606</v>
      </c>
      <c r="AH36" s="253">
        <v>695127.4</v>
      </c>
      <c r="AI36" s="253">
        <v>123</v>
      </c>
      <c r="AJ36" s="253">
        <v>4</v>
      </c>
      <c r="AK36" s="253">
        <v>1711</v>
      </c>
      <c r="AL36" s="253">
        <v>0</v>
      </c>
      <c r="AM36" s="245"/>
      <c r="AN36" s="253" t="s">
        <v>606</v>
      </c>
      <c r="AO36" s="253">
        <v>2533742.7000000002</v>
      </c>
      <c r="AP36" s="253">
        <v>389</v>
      </c>
      <c r="AQ36" s="253">
        <v>70</v>
      </c>
      <c r="AR36" s="253">
        <v>15846</v>
      </c>
      <c r="AS36" s="253">
        <v>0</v>
      </c>
      <c r="AT36" s="245"/>
      <c r="AU36" s="253" t="s">
        <v>606</v>
      </c>
      <c r="AV36" s="253">
        <v>16580</v>
      </c>
      <c r="AW36" s="253">
        <v>2</v>
      </c>
      <c r="AX36" s="253">
        <v>2</v>
      </c>
      <c r="AY36" s="253">
        <v>444</v>
      </c>
      <c r="AZ36" s="253">
        <v>0</v>
      </c>
      <c r="BA36" s="245"/>
      <c r="BB36" s="253" t="s">
        <v>606</v>
      </c>
      <c r="BC36" s="253">
        <v>27958234.859999999</v>
      </c>
      <c r="BD36" s="253">
        <v>3109</v>
      </c>
      <c r="BE36" s="253">
        <v>159</v>
      </c>
      <c r="BF36" s="253">
        <v>84078</v>
      </c>
      <c r="BG36" s="253">
        <v>0</v>
      </c>
      <c r="BH36" s="247" t="s">
        <v>606</v>
      </c>
      <c r="BI36" s="253">
        <v>88425</v>
      </c>
      <c r="BJ36" s="253">
        <v>6</v>
      </c>
      <c r="BK36" s="253">
        <v>2</v>
      </c>
      <c r="BL36" s="253">
        <v>4327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29826.593509369999</v>
      </c>
      <c r="I37" s="164"/>
      <c r="J37" s="157"/>
      <c r="K37" s="228"/>
      <c r="L37" s="228"/>
      <c r="M37" s="228"/>
      <c r="O37" s="241" t="s">
        <v>281</v>
      </c>
      <c r="P37" s="241">
        <v>30561.07523142</v>
      </c>
      <c r="Q37" s="239"/>
      <c r="R37" s="157"/>
      <c r="S37" s="253" t="s">
        <v>446</v>
      </c>
      <c r="T37" s="258">
        <v>2807861102.25</v>
      </c>
      <c r="U37" s="258">
        <v>455149</v>
      </c>
      <c r="V37" s="258">
        <v>705</v>
      </c>
      <c r="W37" s="258">
        <v>801216</v>
      </c>
      <c r="X37" s="258">
        <v>0</v>
      </c>
      <c r="Y37" s="245"/>
      <c r="Z37" s="253" t="s">
        <v>607</v>
      </c>
      <c r="AA37" s="253">
        <v>137138009.81999999</v>
      </c>
      <c r="AB37" s="253">
        <v>14839</v>
      </c>
      <c r="AC37" s="253">
        <v>1452</v>
      </c>
      <c r="AD37" s="253">
        <v>472324</v>
      </c>
      <c r="AE37" s="253">
        <v>0</v>
      </c>
      <c r="AF37" s="253"/>
      <c r="AG37" s="253" t="s">
        <v>607</v>
      </c>
      <c r="AH37" s="253">
        <v>3328030.21</v>
      </c>
      <c r="AI37" s="253">
        <v>329</v>
      </c>
      <c r="AJ37" s="253">
        <v>54</v>
      </c>
      <c r="AK37" s="253">
        <v>25184</v>
      </c>
      <c r="AL37" s="253">
        <v>0</v>
      </c>
      <c r="AM37" s="245"/>
      <c r="AN37" s="253" t="s">
        <v>607</v>
      </c>
      <c r="AO37" s="253">
        <v>89972357.219999999</v>
      </c>
      <c r="AP37" s="253">
        <v>11960</v>
      </c>
      <c r="AQ37" s="253">
        <v>1211</v>
      </c>
      <c r="AR37" s="253">
        <v>651157</v>
      </c>
      <c r="AS37" s="253">
        <v>0</v>
      </c>
      <c r="AT37" s="245"/>
      <c r="AU37" s="253" t="s">
        <v>607</v>
      </c>
      <c r="AV37" s="253">
        <v>5001090.4000000004</v>
      </c>
      <c r="AW37" s="253">
        <v>536</v>
      </c>
      <c r="AX37" s="253">
        <v>28</v>
      </c>
      <c r="AY37" s="253">
        <v>17224</v>
      </c>
      <c r="AZ37" s="253">
        <v>0</v>
      </c>
      <c r="BA37" s="245"/>
      <c r="BB37" s="253" t="s">
        <v>607</v>
      </c>
      <c r="BC37" s="253">
        <v>141253522.12</v>
      </c>
      <c r="BD37" s="253">
        <v>12317</v>
      </c>
      <c r="BE37" s="253">
        <v>1369</v>
      </c>
      <c r="BF37" s="253">
        <v>397670</v>
      </c>
      <c r="BG37" s="253">
        <v>0</v>
      </c>
      <c r="BH37" s="247" t="s">
        <v>607</v>
      </c>
      <c r="BI37" s="253">
        <v>1674763</v>
      </c>
      <c r="BJ37" s="253">
        <v>132</v>
      </c>
      <c r="BK37" s="253">
        <v>28</v>
      </c>
      <c r="BL37" s="253">
        <v>21715</v>
      </c>
      <c r="BM37" s="253">
        <v>0</v>
      </c>
      <c r="BN37" s="253"/>
      <c r="BO37" s="256" t="s">
        <v>473</v>
      </c>
      <c r="BP37" s="264" t="s">
        <v>539</v>
      </c>
      <c r="BQ37" s="264" t="s">
        <v>567</v>
      </c>
      <c r="BR37" s="264" t="s">
        <v>568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51314.99702422</v>
      </c>
      <c r="I38" s="164"/>
      <c r="J38" s="157"/>
      <c r="K38" s="228"/>
      <c r="L38" s="228"/>
      <c r="M38" s="228"/>
      <c r="O38" s="241" t="s">
        <v>56</v>
      </c>
      <c r="P38" s="241">
        <v>51516.062929259999</v>
      </c>
      <c r="Q38" s="239"/>
      <c r="R38" s="157"/>
      <c r="S38" s="253" t="s">
        <v>449</v>
      </c>
      <c r="T38" s="258">
        <v>0</v>
      </c>
      <c r="U38" s="258">
        <v>0</v>
      </c>
      <c r="V38" s="258">
        <v>0</v>
      </c>
      <c r="W38" s="258">
        <v>0</v>
      </c>
      <c r="X38" s="258">
        <v>0</v>
      </c>
      <c r="Y38" s="245"/>
      <c r="Z38" s="253" t="s">
        <v>608</v>
      </c>
      <c r="AA38" s="253">
        <v>18256098</v>
      </c>
      <c r="AB38" s="253">
        <v>2745</v>
      </c>
      <c r="AC38" s="253">
        <v>188</v>
      </c>
      <c r="AD38" s="253">
        <v>228127</v>
      </c>
      <c r="AE38" s="253">
        <v>0</v>
      </c>
      <c r="AF38" s="253"/>
      <c r="AG38" s="253" t="s">
        <v>608</v>
      </c>
      <c r="AH38" s="253">
        <v>538099.80000000005</v>
      </c>
      <c r="AI38" s="253">
        <v>46</v>
      </c>
      <c r="AJ38" s="253">
        <v>11</v>
      </c>
      <c r="AK38" s="253">
        <v>10897</v>
      </c>
      <c r="AL38" s="253">
        <v>0</v>
      </c>
      <c r="AM38" s="245"/>
      <c r="AN38" s="253" t="s">
        <v>608</v>
      </c>
      <c r="AO38" s="253">
        <v>25972373.440000001</v>
      </c>
      <c r="AP38" s="253">
        <v>4307</v>
      </c>
      <c r="AQ38" s="253">
        <v>223</v>
      </c>
      <c r="AR38" s="253">
        <v>374861</v>
      </c>
      <c r="AS38" s="253">
        <v>0</v>
      </c>
      <c r="AT38" s="245"/>
      <c r="AU38" s="253" t="s">
        <v>608</v>
      </c>
      <c r="AV38" s="253">
        <v>0</v>
      </c>
      <c r="AW38" s="253">
        <v>0</v>
      </c>
      <c r="AX38" s="253">
        <v>0</v>
      </c>
      <c r="AY38" s="253">
        <v>9770</v>
      </c>
      <c r="AZ38" s="253">
        <v>0</v>
      </c>
      <c r="BA38" s="245"/>
      <c r="BB38" s="253" t="s">
        <v>608</v>
      </c>
      <c r="BC38" s="253">
        <v>29036158.949999999</v>
      </c>
      <c r="BD38" s="253">
        <v>2863</v>
      </c>
      <c r="BE38" s="253">
        <v>399</v>
      </c>
      <c r="BF38" s="253">
        <v>91409</v>
      </c>
      <c r="BG38" s="253">
        <v>0</v>
      </c>
      <c r="BH38" s="247" t="s">
        <v>608</v>
      </c>
      <c r="BI38" s="253">
        <v>1053049</v>
      </c>
      <c r="BJ38" s="253">
        <v>126</v>
      </c>
      <c r="BK38" s="253">
        <v>13</v>
      </c>
      <c r="BL38" s="253">
        <v>5419</v>
      </c>
      <c r="BM38" s="253">
        <v>0</v>
      </c>
      <c r="BN38" s="253"/>
      <c r="BO38" s="247"/>
      <c r="BP38" s="263">
        <v>775191514680.72998</v>
      </c>
      <c r="BQ38" s="263">
        <v>6770707</v>
      </c>
      <c r="BR38" s="263">
        <v>6870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70704.462902800005</v>
      </c>
      <c r="I39" s="164"/>
      <c r="J39" s="157"/>
      <c r="K39" s="228"/>
      <c r="L39" s="228"/>
      <c r="M39" s="228"/>
      <c r="O39" s="241" t="s">
        <v>45</v>
      </c>
      <c r="P39" s="241">
        <v>70472.237597900006</v>
      </c>
      <c r="Q39" s="239"/>
      <c r="R39" s="157"/>
      <c r="S39" s="253" t="s">
        <v>447</v>
      </c>
      <c r="T39" s="258">
        <v>433912701.60000002</v>
      </c>
      <c r="U39" s="258">
        <v>442658</v>
      </c>
      <c r="V39" s="258">
        <v>382</v>
      </c>
      <c r="W39" s="258">
        <v>1010675</v>
      </c>
      <c r="X39" s="258">
        <v>0</v>
      </c>
      <c r="Y39" s="245"/>
      <c r="Z39" s="253" t="s">
        <v>609</v>
      </c>
      <c r="AA39" s="253">
        <v>0</v>
      </c>
      <c r="AB39" s="253">
        <v>0</v>
      </c>
      <c r="AC39" s="253">
        <v>0</v>
      </c>
      <c r="AD39" s="253">
        <v>0</v>
      </c>
      <c r="AE39" s="253">
        <v>1</v>
      </c>
      <c r="AF39" s="253"/>
      <c r="AG39" s="253" t="s">
        <v>609</v>
      </c>
      <c r="AH39" s="253">
        <v>0</v>
      </c>
      <c r="AI39" s="253">
        <v>0</v>
      </c>
      <c r="AJ39" s="253">
        <v>0</v>
      </c>
      <c r="AK39" s="253">
        <v>0</v>
      </c>
      <c r="AL39" s="253">
        <v>1</v>
      </c>
      <c r="AM39" s="245"/>
      <c r="AN39" s="253" t="s">
        <v>609</v>
      </c>
      <c r="AO39" s="253">
        <v>0</v>
      </c>
      <c r="AP39" s="253">
        <v>0</v>
      </c>
      <c r="AQ39" s="253">
        <v>0</v>
      </c>
      <c r="AR39" s="253">
        <v>0</v>
      </c>
      <c r="AS39" s="253">
        <v>1</v>
      </c>
      <c r="AT39" s="245"/>
      <c r="AU39" s="253" t="s">
        <v>609</v>
      </c>
      <c r="AV39" s="253">
        <v>0</v>
      </c>
      <c r="AW39" s="253">
        <v>0</v>
      </c>
      <c r="AX39" s="253">
        <v>0</v>
      </c>
      <c r="AY39" s="253">
        <v>0</v>
      </c>
      <c r="AZ39" s="253">
        <v>1</v>
      </c>
      <c r="BA39" s="245"/>
      <c r="BB39" s="253" t="s">
        <v>609</v>
      </c>
      <c r="BC39" s="253">
        <v>92000</v>
      </c>
      <c r="BD39" s="253">
        <v>2</v>
      </c>
      <c r="BE39" s="253">
        <v>2</v>
      </c>
      <c r="BF39" s="253">
        <v>80</v>
      </c>
      <c r="BG39" s="253">
        <v>1</v>
      </c>
      <c r="BH39" s="247" t="s">
        <v>609</v>
      </c>
      <c r="BI39" s="253">
        <v>0</v>
      </c>
      <c r="BJ39" s="253">
        <v>0</v>
      </c>
      <c r="BK39" s="253">
        <v>0</v>
      </c>
      <c r="BL39" s="253">
        <v>4</v>
      </c>
      <c r="BM39" s="253">
        <v>1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55180.710791359998</v>
      </c>
      <c r="I40" s="164"/>
      <c r="J40" s="157"/>
      <c r="K40" s="228"/>
      <c r="L40" s="228"/>
      <c r="M40" s="228"/>
      <c r="O40" s="241" t="s">
        <v>47</v>
      </c>
      <c r="P40" s="241">
        <v>56276.346002650003</v>
      </c>
      <c r="Q40" s="239"/>
      <c r="R40" s="157"/>
      <c r="S40" s="253" t="s">
        <v>571</v>
      </c>
      <c r="T40" s="258">
        <v>0</v>
      </c>
      <c r="U40" s="258">
        <v>0</v>
      </c>
      <c r="V40" s="258">
        <v>0</v>
      </c>
      <c r="W40" s="258">
        <v>0</v>
      </c>
      <c r="X40" s="258">
        <v>1</v>
      </c>
      <c r="Y40" s="245"/>
      <c r="Z40" s="253" t="s">
        <v>572</v>
      </c>
      <c r="AA40" s="253">
        <v>3085444897.1300001</v>
      </c>
      <c r="AB40" s="253">
        <v>14890</v>
      </c>
      <c r="AC40" s="253">
        <v>2775</v>
      </c>
      <c r="AD40" s="253">
        <v>230550</v>
      </c>
      <c r="AE40" s="253">
        <v>1</v>
      </c>
      <c r="AF40" s="253"/>
      <c r="AG40" s="253" t="s">
        <v>572</v>
      </c>
      <c r="AH40" s="253">
        <v>163333087.69999999</v>
      </c>
      <c r="AI40" s="253">
        <v>780</v>
      </c>
      <c r="AJ40" s="253">
        <v>67</v>
      </c>
      <c r="AK40" s="253">
        <v>10528</v>
      </c>
      <c r="AL40" s="253">
        <v>1</v>
      </c>
      <c r="AM40" s="245"/>
      <c r="AN40" s="253" t="s">
        <v>572</v>
      </c>
      <c r="AO40" s="253">
        <v>4852652602.6949997</v>
      </c>
      <c r="AP40" s="253">
        <v>24318</v>
      </c>
      <c r="AQ40" s="253">
        <v>3808</v>
      </c>
      <c r="AR40" s="253">
        <v>222922</v>
      </c>
      <c r="AS40" s="253">
        <v>1</v>
      </c>
      <c r="AT40" s="245"/>
      <c r="AU40" s="253" t="s">
        <v>572</v>
      </c>
      <c r="AV40" s="253">
        <v>187925775.245</v>
      </c>
      <c r="AW40" s="253">
        <v>917</v>
      </c>
      <c r="AX40" s="253">
        <v>227</v>
      </c>
      <c r="AY40" s="253">
        <v>9787</v>
      </c>
      <c r="AZ40" s="253">
        <v>1</v>
      </c>
      <c r="BA40" s="245"/>
      <c r="BB40" s="253" t="s">
        <v>572</v>
      </c>
      <c r="BC40" s="253">
        <v>5254289858.2550001</v>
      </c>
      <c r="BD40" s="253">
        <v>25381</v>
      </c>
      <c r="BE40" s="253">
        <v>2775</v>
      </c>
      <c r="BF40" s="253">
        <v>230384</v>
      </c>
      <c r="BG40" s="253">
        <v>1</v>
      </c>
      <c r="BH40" s="247" t="s">
        <v>572</v>
      </c>
      <c r="BI40" s="253">
        <v>222571544.13999999</v>
      </c>
      <c r="BJ40" s="253">
        <v>1065</v>
      </c>
      <c r="BK40" s="253">
        <v>235</v>
      </c>
      <c r="BL40" s="253">
        <v>10011</v>
      </c>
      <c r="BM40" s="253">
        <v>1</v>
      </c>
      <c r="BN40" s="253"/>
      <c r="BO40" s="256" t="s">
        <v>474</v>
      </c>
      <c r="BP40" s="264" t="s">
        <v>539</v>
      </c>
      <c r="BQ40" s="264" t="s">
        <v>567</v>
      </c>
      <c r="BR40" s="264" t="s">
        <v>568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57432.461255210001</v>
      </c>
      <c r="I41" s="164"/>
      <c r="J41" s="157"/>
      <c r="K41" s="228"/>
      <c r="L41" s="228"/>
      <c r="M41" s="228"/>
      <c r="O41" s="241" t="s">
        <v>43</v>
      </c>
      <c r="P41" s="241">
        <v>57610.982370559999</v>
      </c>
      <c r="Q41" s="239"/>
      <c r="R41" s="157"/>
      <c r="S41" s="253" t="s">
        <v>451</v>
      </c>
      <c r="T41" s="258">
        <v>7026530227.8809996</v>
      </c>
      <c r="U41" s="258">
        <v>370629</v>
      </c>
      <c r="V41" s="258">
        <v>182</v>
      </c>
      <c r="W41" s="258">
        <v>148859</v>
      </c>
      <c r="X41" s="258">
        <v>1</v>
      </c>
      <c r="Y41" s="245"/>
      <c r="Z41" s="253" t="s">
        <v>573</v>
      </c>
      <c r="AA41" s="253">
        <v>0</v>
      </c>
      <c r="AB41" s="253">
        <v>0</v>
      </c>
      <c r="AC41" s="253">
        <v>0</v>
      </c>
      <c r="AD41" s="253">
        <v>0</v>
      </c>
      <c r="AE41" s="253">
        <v>1</v>
      </c>
      <c r="AF41" s="253"/>
      <c r="AG41" s="253" t="s">
        <v>573</v>
      </c>
      <c r="AH41" s="253">
        <v>0</v>
      </c>
      <c r="AI41" s="253">
        <v>0</v>
      </c>
      <c r="AJ41" s="253">
        <v>0</v>
      </c>
      <c r="AK41" s="253">
        <v>0</v>
      </c>
      <c r="AL41" s="253">
        <v>1</v>
      </c>
      <c r="AM41" s="245"/>
      <c r="AN41" s="253" t="s">
        <v>573</v>
      </c>
      <c r="AO41" s="253">
        <v>0</v>
      </c>
      <c r="AP41" s="253">
        <v>0</v>
      </c>
      <c r="AQ41" s="253">
        <v>0</v>
      </c>
      <c r="AR41" s="253">
        <v>0</v>
      </c>
      <c r="AS41" s="253">
        <v>1</v>
      </c>
      <c r="AT41" s="245"/>
      <c r="AU41" s="253" t="s">
        <v>573</v>
      </c>
      <c r="AV41" s="253">
        <v>0</v>
      </c>
      <c r="AW41" s="253">
        <v>0</v>
      </c>
      <c r="AX41" s="253">
        <v>0</v>
      </c>
      <c r="AY41" s="253">
        <v>0</v>
      </c>
      <c r="AZ41" s="253">
        <v>1</v>
      </c>
      <c r="BA41" s="245"/>
      <c r="BB41" s="253" t="s">
        <v>574</v>
      </c>
      <c r="BC41" s="253">
        <v>104024415.56</v>
      </c>
      <c r="BD41" s="253">
        <v>1612</v>
      </c>
      <c r="BE41" s="253">
        <v>23</v>
      </c>
      <c r="BF41" s="253">
        <v>3326</v>
      </c>
      <c r="BG41" s="253">
        <v>1</v>
      </c>
      <c r="BH41" s="247" t="s">
        <v>574</v>
      </c>
      <c r="BI41" s="253">
        <v>0</v>
      </c>
      <c r="BJ41" s="253">
        <v>0</v>
      </c>
      <c r="BK41" s="253">
        <v>0</v>
      </c>
      <c r="BL41" s="253">
        <v>35</v>
      </c>
      <c r="BM41" s="253">
        <v>1</v>
      </c>
      <c r="BN41" s="253"/>
      <c r="BO41" s="245"/>
      <c r="BP41" s="263">
        <v>9766460164.8299999</v>
      </c>
      <c r="BQ41" s="263">
        <v>97037</v>
      </c>
      <c r="BR41" s="263">
        <v>220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7083.5771431599997</v>
      </c>
      <c r="I42" s="164"/>
      <c r="J42" s="157"/>
      <c r="K42" s="228"/>
      <c r="L42" s="228"/>
      <c r="M42" s="228"/>
      <c r="O42" s="241" t="s">
        <v>49</v>
      </c>
      <c r="P42" s="241">
        <v>7314.7427970999997</v>
      </c>
      <c r="Q42" s="239"/>
      <c r="R42" s="157"/>
      <c r="S42" s="253" t="s">
        <v>448</v>
      </c>
      <c r="T42" s="258">
        <v>6153014.7199999997</v>
      </c>
      <c r="U42" s="258">
        <v>1174818</v>
      </c>
      <c r="V42" s="258">
        <v>6683</v>
      </c>
      <c r="W42" s="258">
        <v>555916</v>
      </c>
      <c r="X42" s="258">
        <v>1</v>
      </c>
      <c r="Y42" s="245"/>
      <c r="Z42" s="253" t="s">
        <v>574</v>
      </c>
      <c r="AA42" s="253">
        <v>109166856.34999999</v>
      </c>
      <c r="AB42" s="253">
        <v>1083</v>
      </c>
      <c r="AC42" s="253">
        <v>92</v>
      </c>
      <c r="AD42" s="253">
        <v>52468</v>
      </c>
      <c r="AE42" s="253">
        <v>1</v>
      </c>
      <c r="AF42" s="253"/>
      <c r="AG42" s="253" t="s">
        <v>574</v>
      </c>
      <c r="AH42" s="253">
        <v>0</v>
      </c>
      <c r="AI42" s="253">
        <v>0</v>
      </c>
      <c r="AJ42" s="253">
        <v>0</v>
      </c>
      <c r="AK42" s="253">
        <v>2149</v>
      </c>
      <c r="AL42" s="253">
        <v>1</v>
      </c>
      <c r="AM42" s="245"/>
      <c r="AN42" s="253" t="s">
        <v>574</v>
      </c>
      <c r="AO42" s="253">
        <v>897819155.52999997</v>
      </c>
      <c r="AP42" s="253">
        <v>8991</v>
      </c>
      <c r="AQ42" s="253">
        <v>118</v>
      </c>
      <c r="AR42" s="253">
        <v>56920</v>
      </c>
      <c r="AS42" s="253">
        <v>1</v>
      </c>
      <c r="AT42" s="245"/>
      <c r="AU42" s="253" t="s">
        <v>574</v>
      </c>
      <c r="AV42" s="253">
        <v>0</v>
      </c>
      <c r="AW42" s="253">
        <v>0</v>
      </c>
      <c r="AX42" s="253">
        <v>0</v>
      </c>
      <c r="AY42" s="253">
        <v>2807</v>
      </c>
      <c r="AZ42" s="253">
        <v>1</v>
      </c>
      <c r="BA42" s="245"/>
      <c r="BB42" s="253" t="s">
        <v>575</v>
      </c>
      <c r="BC42" s="253">
        <v>5808490.9000000004</v>
      </c>
      <c r="BD42" s="253">
        <v>117</v>
      </c>
      <c r="BE42" s="253">
        <v>20</v>
      </c>
      <c r="BF42" s="253">
        <v>1399</v>
      </c>
      <c r="BG42" s="253">
        <v>1</v>
      </c>
      <c r="BH42" s="247" t="s">
        <v>575</v>
      </c>
      <c r="BI42" s="253">
        <v>521500</v>
      </c>
      <c r="BJ42" s="253">
        <v>10</v>
      </c>
      <c r="BK42" s="253">
        <v>1</v>
      </c>
      <c r="BL42" s="253">
        <v>46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548</v>
      </c>
      <c r="H43" s="223">
        <v>57256.018973370003</v>
      </c>
      <c r="I43" s="164"/>
      <c r="J43" s="157"/>
      <c r="K43" s="228"/>
      <c r="L43" s="228"/>
      <c r="M43" s="228"/>
      <c r="O43" s="241" t="s">
        <v>548</v>
      </c>
      <c r="P43" s="241">
        <v>57455.33607772</v>
      </c>
      <c r="Q43" s="239"/>
      <c r="S43" s="245" t="s">
        <v>182</v>
      </c>
      <c r="T43" s="245">
        <v>63461991.204999998</v>
      </c>
      <c r="U43" s="245">
        <v>406683</v>
      </c>
      <c r="V43" s="245">
        <v>258</v>
      </c>
      <c r="W43" s="245">
        <v>820452</v>
      </c>
      <c r="X43" s="245">
        <v>1</v>
      </c>
      <c r="Y43" s="245"/>
      <c r="Z43" s="253" t="s">
        <v>575</v>
      </c>
      <c r="AA43" s="253">
        <v>0</v>
      </c>
      <c r="AB43" s="253">
        <v>0</v>
      </c>
      <c r="AC43" s="253">
        <v>0</v>
      </c>
      <c r="AD43" s="253">
        <v>0</v>
      </c>
      <c r="AE43" s="253">
        <v>1</v>
      </c>
      <c r="AF43" s="253"/>
      <c r="AG43" s="253" t="s">
        <v>575</v>
      </c>
      <c r="AH43" s="253">
        <v>0</v>
      </c>
      <c r="AI43" s="253">
        <v>0</v>
      </c>
      <c r="AJ43" s="253">
        <v>0</v>
      </c>
      <c r="AK43" s="253">
        <v>0</v>
      </c>
      <c r="AL43" s="253">
        <v>1</v>
      </c>
      <c r="AM43" s="245"/>
      <c r="AN43" s="253" t="s">
        <v>575</v>
      </c>
      <c r="AO43" s="253">
        <v>0</v>
      </c>
      <c r="AP43" s="253">
        <v>0</v>
      </c>
      <c r="AQ43" s="253">
        <v>0</v>
      </c>
      <c r="AR43" s="253">
        <v>0</v>
      </c>
      <c r="AS43" s="253">
        <v>1</v>
      </c>
      <c r="AT43" s="245"/>
      <c r="AU43" s="253" t="s">
        <v>575</v>
      </c>
      <c r="AV43" s="253">
        <v>0</v>
      </c>
      <c r="AW43" s="253">
        <v>0</v>
      </c>
      <c r="AX43" s="253">
        <v>0</v>
      </c>
      <c r="AY43" s="253">
        <v>0</v>
      </c>
      <c r="AZ43" s="253">
        <v>1</v>
      </c>
      <c r="BA43" s="245"/>
      <c r="BB43" s="253" t="s">
        <v>576</v>
      </c>
      <c r="BC43" s="253">
        <v>927400</v>
      </c>
      <c r="BD43" s="253">
        <v>50</v>
      </c>
      <c r="BE43" s="253">
        <v>2</v>
      </c>
      <c r="BF43" s="253">
        <v>500</v>
      </c>
      <c r="BG43" s="253">
        <v>1</v>
      </c>
      <c r="BH43" s="247" t="s">
        <v>576</v>
      </c>
      <c r="BI43" s="253">
        <v>0</v>
      </c>
      <c r="BJ43" s="253">
        <v>0</v>
      </c>
      <c r="BK43" s="253">
        <v>0</v>
      </c>
      <c r="BL43" s="253">
        <v>10</v>
      </c>
      <c r="BM43" s="253">
        <v>1</v>
      </c>
      <c r="BN43" s="253"/>
      <c r="BO43" s="252" t="s">
        <v>488</v>
      </c>
      <c r="BP43" s="264" t="s">
        <v>569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549</v>
      </c>
      <c r="H44" s="223">
        <v>55833.992391899999</v>
      </c>
      <c r="I44" s="164"/>
      <c r="J44" s="157"/>
      <c r="K44" s="228"/>
      <c r="L44" s="228"/>
      <c r="M44" s="228"/>
      <c r="O44" s="241" t="s">
        <v>549</v>
      </c>
      <c r="P44" s="241">
        <v>55977.855026429999</v>
      </c>
      <c r="Q44" s="239"/>
      <c r="S44" s="245" t="s">
        <v>446</v>
      </c>
      <c r="T44" s="245">
        <v>877989308426.58655</v>
      </c>
      <c r="U44" s="245">
        <v>2776704</v>
      </c>
      <c r="V44" s="245">
        <v>320187</v>
      </c>
      <c r="W44" s="245">
        <v>568490</v>
      </c>
      <c r="X44" s="245">
        <v>1</v>
      </c>
      <c r="Y44" s="245"/>
      <c r="Z44" s="253" t="s">
        <v>576</v>
      </c>
      <c r="AA44" s="253">
        <v>0</v>
      </c>
      <c r="AB44" s="253">
        <v>0</v>
      </c>
      <c r="AC44" s="253">
        <v>0</v>
      </c>
      <c r="AD44" s="253">
        <v>0</v>
      </c>
      <c r="AE44" s="253">
        <v>1</v>
      </c>
      <c r="AF44" s="253"/>
      <c r="AG44" s="253" t="s">
        <v>576</v>
      </c>
      <c r="AH44" s="253">
        <v>0</v>
      </c>
      <c r="AI44" s="253">
        <v>0</v>
      </c>
      <c r="AJ44" s="253">
        <v>0</v>
      </c>
      <c r="AK44" s="253">
        <v>0</v>
      </c>
      <c r="AL44" s="253">
        <v>1</v>
      </c>
      <c r="AM44" s="245"/>
      <c r="AN44" s="253" t="s">
        <v>576</v>
      </c>
      <c r="AO44" s="253">
        <v>0</v>
      </c>
      <c r="AP44" s="253">
        <v>0</v>
      </c>
      <c r="AQ44" s="253">
        <v>0</v>
      </c>
      <c r="AR44" s="253">
        <v>0</v>
      </c>
      <c r="AS44" s="253">
        <v>1</v>
      </c>
      <c r="AT44" s="245"/>
      <c r="AU44" s="253" t="s">
        <v>576</v>
      </c>
      <c r="AV44" s="253">
        <v>0</v>
      </c>
      <c r="AW44" s="253">
        <v>0</v>
      </c>
      <c r="AX44" s="253">
        <v>0</v>
      </c>
      <c r="AY44" s="253">
        <v>0</v>
      </c>
      <c r="AZ44" s="253">
        <v>1</v>
      </c>
      <c r="BA44" s="245"/>
      <c r="BB44" s="253" t="s">
        <v>577</v>
      </c>
      <c r="BC44" s="253">
        <v>12006830.625</v>
      </c>
      <c r="BD44" s="253">
        <v>236</v>
      </c>
      <c r="BE44" s="253">
        <v>15</v>
      </c>
      <c r="BF44" s="253">
        <v>3478</v>
      </c>
      <c r="BG44" s="253">
        <v>1</v>
      </c>
      <c r="BH44" s="247" t="s">
        <v>577</v>
      </c>
      <c r="BI44" s="253">
        <v>3375937.5</v>
      </c>
      <c r="BJ44" s="253">
        <v>65</v>
      </c>
      <c r="BK44" s="253">
        <v>1</v>
      </c>
      <c r="BL44" s="253">
        <v>50</v>
      </c>
      <c r="BM44" s="253">
        <v>1</v>
      </c>
      <c r="BN44" s="253"/>
      <c r="BO44" s="247"/>
      <c r="BP44" s="263">
        <v>1145369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4211.1209305100001</v>
      </c>
      <c r="I45" s="164"/>
      <c r="J45" s="157"/>
      <c r="K45" s="228"/>
      <c r="L45" s="228"/>
      <c r="M45" s="228"/>
      <c r="O45" s="241" t="s">
        <v>282</v>
      </c>
      <c r="P45" s="241">
        <v>4040.2410281500001</v>
      </c>
      <c r="Q45" s="239"/>
      <c r="S45" s="254" t="s">
        <v>449</v>
      </c>
      <c r="T45" s="257">
        <v>4618410407.2532997</v>
      </c>
      <c r="U45" s="257">
        <v>6452596</v>
      </c>
      <c r="V45" s="257">
        <v>388</v>
      </c>
      <c r="W45" s="257">
        <v>1967894</v>
      </c>
      <c r="X45" s="257">
        <v>1</v>
      </c>
      <c r="Y45" s="245"/>
      <c r="Z45" s="253" t="s">
        <v>577</v>
      </c>
      <c r="AA45" s="253">
        <v>2508450</v>
      </c>
      <c r="AB45" s="253">
        <v>60</v>
      </c>
      <c r="AC45" s="253">
        <v>8</v>
      </c>
      <c r="AD45" s="253">
        <v>2085</v>
      </c>
      <c r="AE45" s="253">
        <v>1</v>
      </c>
      <c r="AF45" s="253"/>
      <c r="AG45" s="253" t="s">
        <v>577</v>
      </c>
      <c r="AH45" s="253">
        <v>0</v>
      </c>
      <c r="AI45" s="253">
        <v>0</v>
      </c>
      <c r="AJ45" s="253">
        <v>0</v>
      </c>
      <c r="AK45" s="253">
        <v>90</v>
      </c>
      <c r="AL45" s="253">
        <v>1</v>
      </c>
      <c r="AM45" s="245"/>
      <c r="AN45" s="253" t="s">
        <v>577</v>
      </c>
      <c r="AO45" s="253">
        <v>6767850</v>
      </c>
      <c r="AP45" s="253">
        <v>150</v>
      </c>
      <c r="AQ45" s="253">
        <v>30</v>
      </c>
      <c r="AR45" s="253">
        <v>1950</v>
      </c>
      <c r="AS45" s="253">
        <v>1</v>
      </c>
      <c r="AT45" s="245"/>
      <c r="AU45" s="253" t="s">
        <v>577</v>
      </c>
      <c r="AV45" s="253">
        <v>0</v>
      </c>
      <c r="AW45" s="253">
        <v>0</v>
      </c>
      <c r="AX45" s="253">
        <v>0</v>
      </c>
      <c r="AY45" s="253">
        <v>106</v>
      </c>
      <c r="AZ45" s="253">
        <v>1</v>
      </c>
      <c r="BA45" s="245"/>
      <c r="BB45" s="253" t="s">
        <v>578</v>
      </c>
      <c r="BC45" s="253">
        <v>9943495.75</v>
      </c>
      <c r="BD45" s="253">
        <v>109</v>
      </c>
      <c r="BE45" s="253">
        <v>7</v>
      </c>
      <c r="BF45" s="253">
        <v>4699</v>
      </c>
      <c r="BG45" s="253">
        <v>1</v>
      </c>
      <c r="BH45" s="247" t="s">
        <v>578</v>
      </c>
      <c r="BI45" s="253">
        <v>0</v>
      </c>
      <c r="BJ45" s="253">
        <v>0</v>
      </c>
      <c r="BK45" s="253">
        <v>0</v>
      </c>
      <c r="BL45" s="253">
        <v>230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41528.223238320003</v>
      </c>
      <c r="I46" s="164"/>
      <c r="J46" s="157"/>
      <c r="K46" s="228"/>
      <c r="L46" s="228"/>
      <c r="M46" s="228"/>
      <c r="O46" s="241" t="s">
        <v>61</v>
      </c>
      <c r="P46" s="241">
        <v>42130.25134422</v>
      </c>
      <c r="Q46" s="239"/>
      <c r="S46" s="253" t="s">
        <v>450</v>
      </c>
      <c r="T46" s="258">
        <v>49597556.772</v>
      </c>
      <c r="U46" s="258">
        <v>5928605</v>
      </c>
      <c r="V46" s="258">
        <v>386</v>
      </c>
      <c r="W46" s="258">
        <v>1898365</v>
      </c>
      <c r="X46" s="258">
        <v>1</v>
      </c>
      <c r="Y46" s="245"/>
      <c r="Z46" s="253" t="s">
        <v>578</v>
      </c>
      <c r="AA46" s="253">
        <v>20799629</v>
      </c>
      <c r="AB46" s="253">
        <v>223</v>
      </c>
      <c r="AC46" s="253">
        <v>14</v>
      </c>
      <c r="AD46" s="253">
        <v>4203</v>
      </c>
      <c r="AE46" s="253">
        <v>1</v>
      </c>
      <c r="AF46" s="253"/>
      <c r="AG46" s="253" t="s">
        <v>578</v>
      </c>
      <c r="AH46" s="253">
        <v>656250</v>
      </c>
      <c r="AI46" s="253">
        <v>7</v>
      </c>
      <c r="AJ46" s="253">
        <v>1</v>
      </c>
      <c r="AK46" s="253">
        <v>102</v>
      </c>
      <c r="AL46" s="253">
        <v>1</v>
      </c>
      <c r="AM46" s="245"/>
      <c r="AN46" s="253" t="s">
        <v>578</v>
      </c>
      <c r="AO46" s="253">
        <v>9508365</v>
      </c>
      <c r="AP46" s="253">
        <v>90</v>
      </c>
      <c r="AQ46" s="253">
        <v>1</v>
      </c>
      <c r="AR46" s="253">
        <v>5160</v>
      </c>
      <c r="AS46" s="253">
        <v>1</v>
      </c>
      <c r="AT46" s="245"/>
      <c r="AU46" s="253" t="s">
        <v>578</v>
      </c>
      <c r="AV46" s="253">
        <v>0</v>
      </c>
      <c r="AW46" s="253">
        <v>0</v>
      </c>
      <c r="AX46" s="253">
        <v>0</v>
      </c>
      <c r="AY46" s="253">
        <v>310</v>
      </c>
      <c r="AZ46" s="253">
        <v>1</v>
      </c>
      <c r="BA46" s="245"/>
      <c r="BB46" s="253" t="s">
        <v>579</v>
      </c>
      <c r="BC46" s="253">
        <v>0</v>
      </c>
      <c r="BD46" s="253">
        <v>0</v>
      </c>
      <c r="BE46" s="253">
        <v>0</v>
      </c>
      <c r="BF46" s="253">
        <v>0</v>
      </c>
      <c r="BG46" s="253">
        <v>1</v>
      </c>
      <c r="BH46" s="247" t="s">
        <v>579</v>
      </c>
      <c r="BI46" s="253">
        <v>0</v>
      </c>
      <c r="BJ46" s="253">
        <v>0</v>
      </c>
      <c r="BK46" s="253">
        <v>0</v>
      </c>
      <c r="BL46" s="253">
        <v>0</v>
      </c>
      <c r="BM46" s="253">
        <v>1</v>
      </c>
      <c r="BN46" s="253"/>
      <c r="BO46" s="260" t="s">
        <v>489</v>
      </c>
      <c r="BP46" s="264" t="s">
        <v>569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73638.482899929993</v>
      </c>
      <c r="I47" s="164"/>
      <c r="J47" s="159"/>
      <c r="K47" s="228"/>
      <c r="L47" s="228"/>
      <c r="M47" s="228"/>
      <c r="O47" s="241" t="s">
        <v>65</v>
      </c>
      <c r="P47" s="241">
        <v>75341.779804349993</v>
      </c>
      <c r="Q47" s="239"/>
      <c r="S47" s="253" t="s">
        <v>447</v>
      </c>
      <c r="T47" s="258">
        <v>15321263042.535</v>
      </c>
      <c r="U47" s="258">
        <v>1593749</v>
      </c>
      <c r="V47" s="258">
        <v>6996</v>
      </c>
      <c r="W47" s="258">
        <v>747052</v>
      </c>
      <c r="X47" s="258">
        <v>1</v>
      </c>
      <c r="Y47" s="245"/>
      <c r="Z47" s="253" t="s">
        <v>579</v>
      </c>
      <c r="AA47" s="253">
        <v>2552400</v>
      </c>
      <c r="AB47" s="253">
        <v>36</v>
      </c>
      <c r="AC47" s="253">
        <v>6</v>
      </c>
      <c r="AD47" s="253">
        <v>216</v>
      </c>
      <c r="AE47" s="253">
        <v>1</v>
      </c>
      <c r="AF47" s="253"/>
      <c r="AG47" s="253" t="s">
        <v>579</v>
      </c>
      <c r="AH47" s="253">
        <v>0</v>
      </c>
      <c r="AI47" s="253">
        <v>0</v>
      </c>
      <c r="AJ47" s="253">
        <v>0</v>
      </c>
      <c r="AK47" s="253">
        <v>36</v>
      </c>
      <c r="AL47" s="253">
        <v>1</v>
      </c>
      <c r="AM47" s="245"/>
      <c r="AN47" s="253" t="s">
        <v>579</v>
      </c>
      <c r="AO47" s="253">
        <v>0</v>
      </c>
      <c r="AP47" s="253">
        <v>0</v>
      </c>
      <c r="AQ47" s="253">
        <v>0</v>
      </c>
      <c r="AR47" s="253">
        <v>0</v>
      </c>
      <c r="AS47" s="253">
        <v>1</v>
      </c>
      <c r="AT47" s="245"/>
      <c r="AU47" s="253" t="s">
        <v>579</v>
      </c>
      <c r="AV47" s="253">
        <v>0</v>
      </c>
      <c r="AW47" s="253">
        <v>0</v>
      </c>
      <c r="AX47" s="253">
        <v>0</v>
      </c>
      <c r="AY47" s="253">
        <v>0</v>
      </c>
      <c r="AZ47" s="253">
        <v>1</v>
      </c>
      <c r="BA47" s="245"/>
      <c r="BB47" s="253" t="s">
        <v>580</v>
      </c>
      <c r="BC47" s="253">
        <v>3611331515.0100002</v>
      </c>
      <c r="BD47" s="253">
        <v>16934</v>
      </c>
      <c r="BE47" s="253">
        <v>1586</v>
      </c>
      <c r="BF47" s="253">
        <v>377008</v>
      </c>
      <c r="BG47" s="253">
        <v>1</v>
      </c>
      <c r="BH47" s="247" t="s">
        <v>580</v>
      </c>
      <c r="BI47" s="253">
        <v>52879458.990000002</v>
      </c>
      <c r="BJ47" s="253">
        <v>250</v>
      </c>
      <c r="BK47" s="253">
        <v>34</v>
      </c>
      <c r="BL47" s="253">
        <v>18298</v>
      </c>
      <c r="BM47" s="253">
        <v>1</v>
      </c>
      <c r="BN47" s="253"/>
      <c r="BO47" s="247"/>
      <c r="BP47" s="263">
        <v>49751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67</v>
      </c>
      <c r="H48" s="223">
        <v>17171.949690400001</v>
      </c>
      <c r="I48" s="164"/>
      <c r="J48" s="159"/>
      <c r="K48" s="228"/>
      <c r="L48" s="228"/>
      <c r="M48" s="228"/>
      <c r="O48" s="241" t="s">
        <v>67</v>
      </c>
      <c r="P48" s="241">
        <v>16139.245844020001</v>
      </c>
      <c r="Q48" s="239"/>
      <c r="S48" s="253"/>
      <c r="T48" s="258"/>
      <c r="U48" s="258"/>
      <c r="V48" s="258"/>
      <c r="W48" s="258"/>
      <c r="X48" s="258"/>
      <c r="Y48" s="245"/>
      <c r="Z48" s="253" t="s">
        <v>580</v>
      </c>
      <c r="AA48" s="253">
        <v>1637121847.51</v>
      </c>
      <c r="AB48" s="253">
        <v>8221</v>
      </c>
      <c r="AC48" s="253">
        <v>690</v>
      </c>
      <c r="AD48" s="253">
        <v>333313</v>
      </c>
      <c r="AE48" s="253">
        <v>1</v>
      </c>
      <c r="AF48" s="253"/>
      <c r="AG48" s="253" t="s">
        <v>580</v>
      </c>
      <c r="AH48" s="253">
        <v>97753756.950000003</v>
      </c>
      <c r="AI48" s="253">
        <v>486</v>
      </c>
      <c r="AJ48" s="253">
        <v>23</v>
      </c>
      <c r="AK48" s="253">
        <v>15698</v>
      </c>
      <c r="AL48" s="253">
        <v>1</v>
      </c>
      <c r="AM48" s="245"/>
      <c r="AN48" s="253" t="s">
        <v>580</v>
      </c>
      <c r="AO48" s="253">
        <v>7970491756.6300001</v>
      </c>
      <c r="AP48" s="253">
        <v>40277</v>
      </c>
      <c r="AQ48" s="253">
        <v>1148</v>
      </c>
      <c r="AR48" s="253">
        <v>317548</v>
      </c>
      <c r="AS48" s="253">
        <v>1</v>
      </c>
      <c r="AT48" s="245"/>
      <c r="AU48" s="253" t="s">
        <v>580</v>
      </c>
      <c r="AV48" s="253">
        <v>159936761.18000001</v>
      </c>
      <c r="AW48" s="253">
        <v>791</v>
      </c>
      <c r="AX48" s="253">
        <v>30</v>
      </c>
      <c r="AY48" s="253">
        <v>15432</v>
      </c>
      <c r="AZ48" s="253">
        <v>1</v>
      </c>
      <c r="BA48" s="245"/>
      <c r="BB48" s="253" t="s">
        <v>581</v>
      </c>
      <c r="BC48" s="253">
        <v>165001761.09999999</v>
      </c>
      <c r="BD48" s="253">
        <v>8371</v>
      </c>
      <c r="BE48" s="253">
        <v>194</v>
      </c>
      <c r="BF48" s="253">
        <v>53772</v>
      </c>
      <c r="BG48" s="253">
        <v>1</v>
      </c>
      <c r="BH48" s="247" t="s">
        <v>581</v>
      </c>
      <c r="BI48" s="253">
        <v>464187.5</v>
      </c>
      <c r="BJ48" s="253">
        <v>25</v>
      </c>
      <c r="BK48" s="253">
        <v>2</v>
      </c>
      <c r="BL48" s="253">
        <v>3169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78438.378193080003</v>
      </c>
      <c r="I49" s="164"/>
      <c r="J49" s="159"/>
      <c r="K49" s="228"/>
      <c r="L49" s="228"/>
      <c r="M49" s="228"/>
      <c r="O49" s="241" t="s">
        <v>69</v>
      </c>
      <c r="P49" s="241">
        <v>78390.822911580006</v>
      </c>
      <c r="Q49" s="239"/>
      <c r="S49" s="253"/>
      <c r="T49" s="258"/>
      <c r="U49" s="258"/>
      <c r="V49" s="258"/>
      <c r="W49" s="258"/>
      <c r="X49" s="258"/>
      <c r="Y49" s="245"/>
      <c r="Z49" s="253" t="s">
        <v>581</v>
      </c>
      <c r="AA49" s="253">
        <v>92316236.700000003</v>
      </c>
      <c r="AB49" s="253">
        <v>5112</v>
      </c>
      <c r="AC49" s="253">
        <v>283</v>
      </c>
      <c r="AD49" s="253">
        <v>53615</v>
      </c>
      <c r="AE49" s="253">
        <v>1</v>
      </c>
      <c r="AF49" s="253"/>
      <c r="AG49" s="253" t="s">
        <v>581</v>
      </c>
      <c r="AH49" s="253">
        <v>6147112.7000000002</v>
      </c>
      <c r="AI49" s="253">
        <v>328</v>
      </c>
      <c r="AJ49" s="253">
        <v>7</v>
      </c>
      <c r="AK49" s="253">
        <v>2364</v>
      </c>
      <c r="AL49" s="253">
        <v>1</v>
      </c>
      <c r="AM49" s="245"/>
      <c r="AN49" s="253" t="s">
        <v>581</v>
      </c>
      <c r="AO49" s="253">
        <v>91496603.25</v>
      </c>
      <c r="AP49" s="253">
        <v>4770</v>
      </c>
      <c r="AQ49" s="253">
        <v>204</v>
      </c>
      <c r="AR49" s="253">
        <v>32054</v>
      </c>
      <c r="AS49" s="253">
        <v>1</v>
      </c>
      <c r="AT49" s="245"/>
      <c r="AU49" s="253" t="s">
        <v>581</v>
      </c>
      <c r="AV49" s="253">
        <v>1508025</v>
      </c>
      <c r="AW49" s="253">
        <v>82</v>
      </c>
      <c r="AX49" s="253">
        <v>4</v>
      </c>
      <c r="AY49" s="253">
        <v>2044</v>
      </c>
      <c r="AZ49" s="253">
        <v>1</v>
      </c>
      <c r="BA49" s="245"/>
      <c r="BB49" s="253" t="s">
        <v>582</v>
      </c>
      <c r="BC49" s="253">
        <v>518850</v>
      </c>
      <c r="BD49" s="253">
        <v>15</v>
      </c>
      <c r="BE49" s="253">
        <v>2</v>
      </c>
      <c r="BF49" s="253">
        <v>75</v>
      </c>
      <c r="BG49" s="253">
        <v>1</v>
      </c>
      <c r="BH49" s="247" t="s">
        <v>582</v>
      </c>
      <c r="BI49" s="253">
        <v>0</v>
      </c>
      <c r="BJ49" s="253">
        <v>0</v>
      </c>
      <c r="BK49" s="253">
        <v>0</v>
      </c>
      <c r="BL49" s="253">
        <v>0</v>
      </c>
      <c r="BM49" s="253">
        <v>1</v>
      </c>
      <c r="BN49" s="253"/>
      <c r="BO49" s="256" t="s">
        <v>491</v>
      </c>
      <c r="BP49" s="264" t="s">
        <v>539</v>
      </c>
      <c r="BQ49" s="264" t="s">
        <v>567</v>
      </c>
      <c r="BR49" s="264" t="s">
        <v>568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1003.55771925</v>
      </c>
      <c r="I50" s="164"/>
      <c r="J50" s="159"/>
      <c r="K50" s="228"/>
      <c r="L50" s="228"/>
      <c r="M50" s="228"/>
      <c r="O50" s="241" t="s">
        <v>115</v>
      </c>
      <c r="P50" s="241">
        <v>1011.52017953</v>
      </c>
      <c r="Q50" s="239"/>
      <c r="R50" s="153" t="s">
        <v>455</v>
      </c>
      <c r="S50" s="253" t="s">
        <v>565</v>
      </c>
      <c r="T50" s="258" t="s">
        <v>566</v>
      </c>
      <c r="U50" s="258" t="s">
        <v>567</v>
      </c>
      <c r="V50" s="258" t="s">
        <v>568</v>
      </c>
      <c r="W50" s="258" t="s">
        <v>569</v>
      </c>
      <c r="X50" s="258" t="s">
        <v>570</v>
      </c>
      <c r="Y50" s="245"/>
      <c r="Z50" s="253" t="s">
        <v>582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582</v>
      </c>
      <c r="AH50" s="253">
        <v>0</v>
      </c>
      <c r="AI50" s="253">
        <v>0</v>
      </c>
      <c r="AJ50" s="253">
        <v>0</v>
      </c>
      <c r="AK50" s="253">
        <v>0</v>
      </c>
      <c r="AL50" s="253">
        <v>1</v>
      </c>
      <c r="AM50" s="245"/>
      <c r="AN50" s="253" t="s">
        <v>582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582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 t="s">
        <v>583</v>
      </c>
      <c r="BC50" s="253">
        <v>1780920</v>
      </c>
      <c r="BD50" s="253">
        <v>28</v>
      </c>
      <c r="BE50" s="253">
        <v>7</v>
      </c>
      <c r="BF50" s="253">
        <v>20254</v>
      </c>
      <c r="BG50" s="253">
        <v>1</v>
      </c>
      <c r="BH50" s="247" t="s">
        <v>583</v>
      </c>
      <c r="BI50" s="253">
        <v>263300</v>
      </c>
      <c r="BJ50" s="253">
        <v>4</v>
      </c>
      <c r="BK50" s="253">
        <v>1</v>
      </c>
      <c r="BL50" s="253">
        <v>960</v>
      </c>
      <c r="BM50" s="253">
        <v>1</v>
      </c>
      <c r="BN50" s="253"/>
      <c r="BO50" s="247"/>
      <c r="BP50" s="263">
        <v>23153800182.200001</v>
      </c>
      <c r="BQ50" s="263">
        <v>1696154</v>
      </c>
      <c r="BR50" s="263">
        <v>3601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306.77191505000002</v>
      </c>
      <c r="I51" s="164"/>
      <c r="J51" s="157"/>
      <c r="K51" s="228"/>
      <c r="L51" s="228"/>
      <c r="M51" s="228"/>
      <c r="O51" s="241" t="s">
        <v>283</v>
      </c>
      <c r="P51" s="241">
        <v>325.44454116999998</v>
      </c>
      <c r="Q51" s="239"/>
      <c r="S51" s="253" t="s">
        <v>451</v>
      </c>
      <c r="T51" s="258">
        <v>0</v>
      </c>
      <c r="U51" s="258">
        <v>0</v>
      </c>
      <c r="V51" s="258">
        <v>0</v>
      </c>
      <c r="W51" s="258">
        <v>183039</v>
      </c>
      <c r="X51" s="258">
        <v>0</v>
      </c>
      <c r="Y51" s="245"/>
      <c r="Z51" s="253" t="s">
        <v>583</v>
      </c>
      <c r="AA51" s="253">
        <v>5610499.9800000004</v>
      </c>
      <c r="AB51" s="253">
        <v>60</v>
      </c>
      <c r="AC51" s="253">
        <v>8</v>
      </c>
      <c r="AD51" s="253">
        <v>254</v>
      </c>
      <c r="AE51" s="253">
        <v>1</v>
      </c>
      <c r="AF51" s="253"/>
      <c r="AG51" s="253" t="s">
        <v>583</v>
      </c>
      <c r="AH51" s="253">
        <v>0</v>
      </c>
      <c r="AI51" s="253">
        <v>0</v>
      </c>
      <c r="AJ51" s="253">
        <v>0</v>
      </c>
      <c r="AK51" s="253">
        <v>2</v>
      </c>
      <c r="AL51" s="253">
        <v>1</v>
      </c>
      <c r="AM51" s="245"/>
      <c r="AN51" s="253" t="s">
        <v>583</v>
      </c>
      <c r="AO51" s="253">
        <v>32216817.440000001</v>
      </c>
      <c r="AP51" s="253">
        <v>372</v>
      </c>
      <c r="AQ51" s="253">
        <v>23</v>
      </c>
      <c r="AR51" s="253">
        <v>656</v>
      </c>
      <c r="AS51" s="253">
        <v>1</v>
      </c>
      <c r="AT51" s="245"/>
      <c r="AU51" s="253" t="s">
        <v>583</v>
      </c>
      <c r="AV51" s="253">
        <v>0</v>
      </c>
      <c r="AW51" s="253">
        <v>0</v>
      </c>
      <c r="AX51" s="253">
        <v>0</v>
      </c>
      <c r="AY51" s="253">
        <v>60</v>
      </c>
      <c r="AZ51" s="253">
        <v>1</v>
      </c>
      <c r="BA51" s="245"/>
      <c r="BB51" s="253" t="s">
        <v>584</v>
      </c>
      <c r="BC51" s="253">
        <v>0</v>
      </c>
      <c r="BD51" s="253">
        <v>0</v>
      </c>
      <c r="BE51" s="253">
        <v>0</v>
      </c>
      <c r="BF51" s="253">
        <v>714</v>
      </c>
      <c r="BG51" s="253">
        <v>1</v>
      </c>
      <c r="BH51" s="247" t="s">
        <v>584</v>
      </c>
      <c r="BI51" s="253">
        <v>0</v>
      </c>
      <c r="BJ51" s="253">
        <v>0</v>
      </c>
      <c r="BK51" s="253">
        <v>0</v>
      </c>
      <c r="BL51" s="253">
        <v>34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20.22442616</v>
      </c>
      <c r="I52" s="164"/>
      <c r="J52" s="157"/>
      <c r="K52" s="228"/>
      <c r="L52" s="228"/>
      <c r="M52" s="228"/>
      <c r="O52" s="241" t="s">
        <v>284</v>
      </c>
      <c r="P52" s="241">
        <v>22.076869349999999</v>
      </c>
      <c r="Q52" s="239"/>
      <c r="S52" s="253" t="s">
        <v>448</v>
      </c>
      <c r="T52" s="258">
        <v>0</v>
      </c>
      <c r="U52" s="258">
        <v>0</v>
      </c>
      <c r="V52" s="258">
        <v>0</v>
      </c>
      <c r="W52" s="258">
        <v>0</v>
      </c>
      <c r="X52" s="258">
        <v>0</v>
      </c>
      <c r="Y52" s="245"/>
      <c r="Z52" s="253" t="s">
        <v>584</v>
      </c>
      <c r="AA52" s="253">
        <v>120634689.3</v>
      </c>
      <c r="AB52" s="253">
        <v>3295</v>
      </c>
      <c r="AC52" s="253">
        <v>6</v>
      </c>
      <c r="AD52" s="253">
        <v>36747</v>
      </c>
      <c r="AE52" s="253">
        <v>1</v>
      </c>
      <c r="AF52" s="253"/>
      <c r="AG52" s="253" t="s">
        <v>584</v>
      </c>
      <c r="AH52" s="253">
        <v>0</v>
      </c>
      <c r="AI52" s="253">
        <v>0</v>
      </c>
      <c r="AJ52" s="253">
        <v>0</v>
      </c>
      <c r="AK52" s="253">
        <v>1213</v>
      </c>
      <c r="AL52" s="253">
        <v>1</v>
      </c>
      <c r="AM52" s="245"/>
      <c r="AN52" s="253" t="s">
        <v>584</v>
      </c>
      <c r="AO52" s="253">
        <v>116050</v>
      </c>
      <c r="AP52" s="253">
        <v>3</v>
      </c>
      <c r="AQ52" s="253">
        <v>3</v>
      </c>
      <c r="AR52" s="253">
        <v>43805</v>
      </c>
      <c r="AS52" s="253">
        <v>1</v>
      </c>
      <c r="AT52" s="245"/>
      <c r="AU52" s="253" t="s">
        <v>584</v>
      </c>
      <c r="AV52" s="253">
        <v>0</v>
      </c>
      <c r="AW52" s="253">
        <v>0</v>
      </c>
      <c r="AX52" s="253">
        <v>0</v>
      </c>
      <c r="AY52" s="253">
        <v>2088</v>
      </c>
      <c r="AZ52" s="253">
        <v>1</v>
      </c>
      <c r="BA52" s="245"/>
      <c r="BB52" s="253" t="s">
        <v>613</v>
      </c>
      <c r="BC52" s="253">
        <v>0</v>
      </c>
      <c r="BD52" s="253">
        <v>0</v>
      </c>
      <c r="BE52" s="253">
        <v>0</v>
      </c>
      <c r="BF52" s="253">
        <v>0</v>
      </c>
      <c r="BG52" s="253">
        <v>1</v>
      </c>
      <c r="BH52" s="247" t="s">
        <v>613</v>
      </c>
      <c r="BI52" s="253">
        <v>0</v>
      </c>
      <c r="BJ52" s="253">
        <v>0</v>
      </c>
      <c r="BK52" s="253">
        <v>0</v>
      </c>
      <c r="BL52" s="253">
        <v>0</v>
      </c>
      <c r="BM52" s="253">
        <v>1</v>
      </c>
      <c r="BN52" s="253"/>
      <c r="BO52" s="259" t="s">
        <v>492</v>
      </c>
      <c r="BP52" s="264" t="s">
        <v>539</v>
      </c>
      <c r="BQ52" s="264" t="s">
        <v>567</v>
      </c>
      <c r="BR52" s="264" t="s">
        <v>568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358.04251913000002</v>
      </c>
      <c r="I53" s="164"/>
      <c r="J53" s="157"/>
      <c r="K53" s="228"/>
      <c r="L53" s="228"/>
      <c r="M53" s="228"/>
      <c r="O53" s="241" t="s">
        <v>285</v>
      </c>
      <c r="P53" s="241">
        <v>364.04310069000002</v>
      </c>
      <c r="Q53" s="239"/>
      <c r="S53" s="253" t="s">
        <v>446</v>
      </c>
      <c r="T53" s="258">
        <v>72794377</v>
      </c>
      <c r="U53" s="258">
        <v>8285</v>
      </c>
      <c r="V53" s="258">
        <v>13</v>
      </c>
      <c r="W53" s="258">
        <v>801216</v>
      </c>
      <c r="X53" s="258">
        <v>0</v>
      </c>
      <c r="Y53" s="245"/>
      <c r="Z53" s="253" t="s">
        <v>585</v>
      </c>
      <c r="AA53" s="253">
        <v>0</v>
      </c>
      <c r="AB53" s="253">
        <v>0</v>
      </c>
      <c r="AC53" s="253">
        <v>0</v>
      </c>
      <c r="AD53" s="253">
        <v>0</v>
      </c>
      <c r="AE53" s="253">
        <v>1</v>
      </c>
      <c r="AF53" s="253"/>
      <c r="AG53" s="253" t="s">
        <v>585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585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585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585</v>
      </c>
      <c r="BC53" s="253">
        <v>0</v>
      </c>
      <c r="BD53" s="253">
        <v>0</v>
      </c>
      <c r="BE53" s="253">
        <v>0</v>
      </c>
      <c r="BF53" s="253">
        <v>0</v>
      </c>
      <c r="BG53" s="253">
        <v>1</v>
      </c>
      <c r="BH53" s="247" t="s">
        <v>585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20541745391.799999</v>
      </c>
      <c r="BQ53" s="263">
        <v>1116956</v>
      </c>
      <c r="BR53" s="263">
        <v>172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269.95977583000001</v>
      </c>
      <c r="I54" s="164"/>
      <c r="J54" s="157"/>
      <c r="K54" s="228"/>
      <c r="L54" s="228"/>
      <c r="M54" s="228"/>
      <c r="O54" s="241" t="s">
        <v>286</v>
      </c>
      <c r="P54" s="241">
        <v>278.06216241999999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586</v>
      </c>
      <c r="AA54" s="253">
        <v>86318350.219999999</v>
      </c>
      <c r="AB54" s="253">
        <v>522</v>
      </c>
      <c r="AC54" s="253">
        <v>6</v>
      </c>
      <c r="AD54" s="253">
        <v>23876</v>
      </c>
      <c r="AE54" s="253">
        <v>1</v>
      </c>
      <c r="AF54" s="253"/>
      <c r="AG54" s="253" t="s">
        <v>586</v>
      </c>
      <c r="AH54" s="253">
        <v>0</v>
      </c>
      <c r="AI54" s="253">
        <v>0</v>
      </c>
      <c r="AJ54" s="253">
        <v>0</v>
      </c>
      <c r="AK54" s="253">
        <v>814</v>
      </c>
      <c r="AL54" s="253">
        <v>1</v>
      </c>
      <c r="AM54" s="245"/>
      <c r="AN54" s="253" t="s">
        <v>586</v>
      </c>
      <c r="AO54" s="253">
        <v>28574664.399999999</v>
      </c>
      <c r="AP54" s="253">
        <v>164</v>
      </c>
      <c r="AQ54" s="253">
        <v>24</v>
      </c>
      <c r="AR54" s="253">
        <v>29201</v>
      </c>
      <c r="AS54" s="253">
        <v>1</v>
      </c>
      <c r="AT54" s="245"/>
      <c r="AU54" s="253" t="s">
        <v>586</v>
      </c>
      <c r="AV54" s="253">
        <v>0</v>
      </c>
      <c r="AW54" s="253">
        <v>0</v>
      </c>
      <c r="AX54" s="253">
        <v>0</v>
      </c>
      <c r="AY54" s="253">
        <v>1333</v>
      </c>
      <c r="AZ54" s="253">
        <v>1</v>
      </c>
      <c r="BA54" s="245"/>
      <c r="BB54" s="253" t="s">
        <v>586</v>
      </c>
      <c r="BC54" s="253">
        <v>89534079.938999996</v>
      </c>
      <c r="BD54" s="253">
        <v>550</v>
      </c>
      <c r="BE54" s="253">
        <v>21</v>
      </c>
      <c r="BF54" s="253">
        <v>15227</v>
      </c>
      <c r="BG54" s="253">
        <v>1</v>
      </c>
      <c r="BH54" s="247" t="s">
        <v>586</v>
      </c>
      <c r="BI54" s="253">
        <v>2505450</v>
      </c>
      <c r="BJ54" s="253">
        <v>15</v>
      </c>
      <c r="BK54" s="253">
        <v>2</v>
      </c>
      <c r="BL54" s="253">
        <v>491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200.9991876</v>
      </c>
      <c r="I55" s="164"/>
      <c r="J55" s="157"/>
      <c r="K55" s="228"/>
      <c r="L55" s="228"/>
      <c r="M55" s="228"/>
      <c r="O55" s="241" t="s">
        <v>287</v>
      </c>
      <c r="P55" s="241">
        <v>202.9219075</v>
      </c>
      <c r="Q55" s="239"/>
      <c r="S55" s="253" t="s">
        <v>447</v>
      </c>
      <c r="T55" s="258">
        <v>15055410.24</v>
      </c>
      <c r="U55" s="258">
        <v>1170</v>
      </c>
      <c r="V55" s="258">
        <v>13</v>
      </c>
      <c r="W55" s="258">
        <v>1010675</v>
      </c>
      <c r="X55" s="258">
        <v>0</v>
      </c>
      <c r="Y55" s="245"/>
      <c r="Z55" s="253" t="s">
        <v>587</v>
      </c>
      <c r="AA55" s="253">
        <v>6728119.96</v>
      </c>
      <c r="AB55" s="253">
        <v>54</v>
      </c>
      <c r="AC55" s="253">
        <v>10</v>
      </c>
      <c r="AD55" s="253">
        <v>1006</v>
      </c>
      <c r="AE55" s="253">
        <v>1</v>
      </c>
      <c r="AF55" s="253"/>
      <c r="AG55" s="253" t="s">
        <v>587</v>
      </c>
      <c r="AH55" s="253">
        <v>0</v>
      </c>
      <c r="AI55" s="253">
        <v>0</v>
      </c>
      <c r="AJ55" s="253">
        <v>0</v>
      </c>
      <c r="AK55" s="253">
        <v>58</v>
      </c>
      <c r="AL55" s="253">
        <v>1</v>
      </c>
      <c r="AM55" s="245"/>
      <c r="AN55" s="253" t="s">
        <v>587</v>
      </c>
      <c r="AO55" s="253">
        <v>1287100</v>
      </c>
      <c r="AP55" s="253">
        <v>10</v>
      </c>
      <c r="AQ55" s="253">
        <v>2</v>
      </c>
      <c r="AR55" s="253">
        <v>841</v>
      </c>
      <c r="AS55" s="253">
        <v>1</v>
      </c>
      <c r="AT55" s="245"/>
      <c r="AU55" s="253" t="s">
        <v>587</v>
      </c>
      <c r="AV55" s="253">
        <v>0</v>
      </c>
      <c r="AW55" s="253">
        <v>0</v>
      </c>
      <c r="AX55" s="253">
        <v>0</v>
      </c>
      <c r="AY55" s="253">
        <v>36</v>
      </c>
      <c r="AZ55" s="253">
        <v>1</v>
      </c>
      <c r="BA55" s="245"/>
      <c r="BB55" s="253" t="s">
        <v>587</v>
      </c>
      <c r="BC55" s="253">
        <v>22759420.149999999</v>
      </c>
      <c r="BD55" s="253">
        <v>184</v>
      </c>
      <c r="BE55" s="253">
        <v>34</v>
      </c>
      <c r="BF55" s="253">
        <v>1584</v>
      </c>
      <c r="BG55" s="253">
        <v>1</v>
      </c>
      <c r="BH55" s="247" t="s">
        <v>587</v>
      </c>
      <c r="BI55" s="253">
        <v>0</v>
      </c>
      <c r="BJ55" s="253">
        <v>0</v>
      </c>
      <c r="BK55" s="253">
        <v>0</v>
      </c>
      <c r="BL55" s="253">
        <v>49</v>
      </c>
      <c r="BM55" s="253">
        <v>1</v>
      </c>
      <c r="BN55" s="253"/>
      <c r="BO55" s="256" t="s">
        <v>493</v>
      </c>
      <c r="BP55" s="264" t="s">
        <v>620</v>
      </c>
      <c r="BQ55" s="264" t="s">
        <v>569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465.15919366999998</v>
      </c>
      <c r="I56" s="164"/>
      <c r="J56" s="157"/>
      <c r="K56" s="228"/>
      <c r="L56" s="228"/>
      <c r="M56" s="228"/>
      <c r="O56" s="241" t="s">
        <v>288</v>
      </c>
      <c r="P56" s="241">
        <v>473.03612378000003</v>
      </c>
      <c r="Q56" s="239"/>
      <c r="S56" s="253" t="s">
        <v>571</v>
      </c>
      <c r="T56" s="258">
        <v>0</v>
      </c>
      <c r="U56" s="258">
        <v>0</v>
      </c>
      <c r="V56" s="258">
        <v>0</v>
      </c>
      <c r="W56" s="258">
        <v>0</v>
      </c>
      <c r="X56" s="258">
        <v>1</v>
      </c>
      <c r="Y56" s="245"/>
      <c r="Z56" s="253" t="s">
        <v>588</v>
      </c>
      <c r="AA56" s="253">
        <v>22637624.954999998</v>
      </c>
      <c r="AB56" s="253">
        <v>168</v>
      </c>
      <c r="AC56" s="253">
        <v>10</v>
      </c>
      <c r="AD56" s="253">
        <v>845</v>
      </c>
      <c r="AE56" s="253">
        <v>1</v>
      </c>
      <c r="AF56" s="253"/>
      <c r="AG56" s="253" t="s">
        <v>588</v>
      </c>
      <c r="AH56" s="253">
        <v>4229000</v>
      </c>
      <c r="AI56" s="253">
        <v>30</v>
      </c>
      <c r="AJ56" s="253">
        <v>2</v>
      </c>
      <c r="AK56" s="253">
        <v>123</v>
      </c>
      <c r="AL56" s="253">
        <v>1</v>
      </c>
      <c r="AM56" s="245"/>
      <c r="AN56" s="253" t="s">
        <v>588</v>
      </c>
      <c r="AO56" s="253">
        <v>41796280.020000003</v>
      </c>
      <c r="AP56" s="253">
        <v>330</v>
      </c>
      <c r="AQ56" s="253">
        <v>15</v>
      </c>
      <c r="AR56" s="253">
        <v>868</v>
      </c>
      <c r="AS56" s="253">
        <v>1</v>
      </c>
      <c r="AT56" s="245"/>
      <c r="AU56" s="253" t="s">
        <v>588</v>
      </c>
      <c r="AV56" s="253">
        <v>0</v>
      </c>
      <c r="AW56" s="253">
        <v>0</v>
      </c>
      <c r="AX56" s="253">
        <v>0</v>
      </c>
      <c r="AY56" s="253">
        <v>3</v>
      </c>
      <c r="AZ56" s="253">
        <v>1</v>
      </c>
      <c r="BA56" s="245"/>
      <c r="BB56" s="253" t="s">
        <v>588</v>
      </c>
      <c r="BC56" s="253">
        <v>10895460</v>
      </c>
      <c r="BD56" s="253">
        <v>88</v>
      </c>
      <c r="BE56" s="253">
        <v>11</v>
      </c>
      <c r="BF56" s="253">
        <v>1179</v>
      </c>
      <c r="BG56" s="253">
        <v>1</v>
      </c>
      <c r="BH56" s="247" t="s">
        <v>588</v>
      </c>
      <c r="BI56" s="253">
        <v>0</v>
      </c>
      <c r="BJ56" s="253">
        <v>0</v>
      </c>
      <c r="BK56" s="253">
        <v>0</v>
      </c>
      <c r="BL56" s="253">
        <v>60</v>
      </c>
      <c r="BM56" s="253">
        <v>1</v>
      </c>
      <c r="BN56" s="253"/>
      <c r="BO56" s="247"/>
      <c r="BP56" s="263" t="s">
        <v>621</v>
      </c>
      <c r="BQ56" s="263">
        <v>3494089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8102.0580989600003</v>
      </c>
      <c r="I57" s="164"/>
      <c r="J57" s="157"/>
      <c r="K57" s="228"/>
      <c r="L57" s="228"/>
      <c r="M57" s="228"/>
      <c r="O57" s="241" t="s">
        <v>289</v>
      </c>
      <c r="P57" s="241">
        <v>8099.33080617</v>
      </c>
      <c r="Q57" s="239"/>
      <c r="S57" s="253" t="s">
        <v>451</v>
      </c>
      <c r="T57" s="258">
        <v>128790150</v>
      </c>
      <c r="U57" s="258">
        <v>250</v>
      </c>
      <c r="V57" s="258">
        <v>10</v>
      </c>
      <c r="W57" s="258">
        <v>148859</v>
      </c>
      <c r="X57" s="258">
        <v>1</v>
      </c>
      <c r="Y57" s="245"/>
      <c r="Z57" s="253" t="s">
        <v>589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589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589</v>
      </c>
      <c r="AO57" s="253">
        <v>0</v>
      </c>
      <c r="AP57" s="253">
        <v>0</v>
      </c>
      <c r="AQ57" s="253">
        <v>0</v>
      </c>
      <c r="AR57" s="253">
        <v>0</v>
      </c>
      <c r="AS57" s="253">
        <v>1</v>
      </c>
      <c r="AT57" s="245"/>
      <c r="AU57" s="253" t="s">
        <v>589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589</v>
      </c>
      <c r="BC57" s="253">
        <v>0</v>
      </c>
      <c r="BD57" s="253">
        <v>0</v>
      </c>
      <c r="BE57" s="253">
        <v>0</v>
      </c>
      <c r="BF57" s="253">
        <v>0</v>
      </c>
      <c r="BG57" s="253">
        <v>1</v>
      </c>
      <c r="BH57" s="247" t="s">
        <v>589</v>
      </c>
      <c r="BI57" s="253">
        <v>0</v>
      </c>
      <c r="BJ57" s="253">
        <v>0</v>
      </c>
      <c r="BK57" s="253">
        <v>0</v>
      </c>
      <c r="BL57" s="253">
        <v>0</v>
      </c>
      <c r="BM57" s="253">
        <v>1</v>
      </c>
      <c r="BN57" s="253"/>
      <c r="BO57" s="247"/>
      <c r="BP57" s="263" t="s">
        <v>622</v>
      </c>
      <c r="BQ57" s="263">
        <v>1216666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824.93302000000006</v>
      </c>
      <c r="I58" s="164"/>
      <c r="J58" s="157"/>
      <c r="K58" s="228"/>
      <c r="L58" s="228"/>
      <c r="M58" s="228"/>
      <c r="O58" s="241" t="s">
        <v>290</v>
      </c>
      <c r="P58" s="241">
        <v>823.16117855000005</v>
      </c>
      <c r="Q58" s="239"/>
      <c r="S58" s="245" t="s">
        <v>448</v>
      </c>
      <c r="T58" s="245">
        <v>0</v>
      </c>
      <c r="U58" s="245">
        <v>11548</v>
      </c>
      <c r="V58" s="245">
        <v>240</v>
      </c>
      <c r="W58" s="245">
        <v>555916</v>
      </c>
      <c r="X58" s="245">
        <v>1</v>
      </c>
      <c r="Y58" s="245"/>
      <c r="Z58" s="253" t="s">
        <v>610</v>
      </c>
      <c r="AA58" s="253">
        <v>0</v>
      </c>
      <c r="AB58" s="253">
        <v>0</v>
      </c>
      <c r="AC58" s="253">
        <v>0</v>
      </c>
      <c r="AD58" s="253">
        <v>0</v>
      </c>
      <c r="AE58" s="253">
        <v>1</v>
      </c>
      <c r="AF58" s="253"/>
      <c r="AG58" s="253" t="s">
        <v>610</v>
      </c>
      <c r="AH58" s="253">
        <v>0</v>
      </c>
      <c r="AI58" s="253">
        <v>0</v>
      </c>
      <c r="AJ58" s="253">
        <v>0</v>
      </c>
      <c r="AK58" s="253">
        <v>0</v>
      </c>
      <c r="AL58" s="253">
        <v>1</v>
      </c>
      <c r="AM58" s="245"/>
      <c r="AN58" s="253" t="s">
        <v>610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610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610</v>
      </c>
      <c r="BC58" s="253">
        <v>0</v>
      </c>
      <c r="BD58" s="253">
        <v>0</v>
      </c>
      <c r="BE58" s="253">
        <v>0</v>
      </c>
      <c r="BF58" s="253">
        <v>0</v>
      </c>
      <c r="BG58" s="253">
        <v>1</v>
      </c>
      <c r="BH58" s="247" t="s">
        <v>610</v>
      </c>
      <c r="BI58" s="253">
        <v>0</v>
      </c>
      <c r="BJ58" s="253">
        <v>0</v>
      </c>
      <c r="BK58" s="253">
        <v>0</v>
      </c>
      <c r="BL58" s="253">
        <v>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523.13798164000002</v>
      </c>
      <c r="I59" s="164"/>
      <c r="J59" s="157"/>
      <c r="K59" s="228"/>
      <c r="L59" s="228"/>
      <c r="M59" s="228"/>
      <c r="O59" s="241" t="s">
        <v>95</v>
      </c>
      <c r="P59" s="241">
        <v>526.24810286000002</v>
      </c>
      <c r="Q59" s="239"/>
      <c r="S59" s="245" t="s">
        <v>182</v>
      </c>
      <c r="T59" s="245">
        <v>9419666</v>
      </c>
      <c r="U59" s="245">
        <v>8100</v>
      </c>
      <c r="V59" s="245">
        <v>4</v>
      </c>
      <c r="W59" s="245">
        <v>820452</v>
      </c>
      <c r="X59" s="245">
        <v>1</v>
      </c>
      <c r="Y59" s="245"/>
      <c r="Z59" s="253" t="s">
        <v>611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611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611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611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611</v>
      </c>
      <c r="BC59" s="253">
        <v>0</v>
      </c>
      <c r="BD59" s="253">
        <v>0</v>
      </c>
      <c r="BE59" s="253">
        <v>0</v>
      </c>
      <c r="BF59" s="253">
        <v>0</v>
      </c>
      <c r="BG59" s="253">
        <v>1</v>
      </c>
      <c r="BH59" s="247" t="s">
        <v>611</v>
      </c>
      <c r="BI59" s="253">
        <v>0</v>
      </c>
      <c r="BJ59" s="253">
        <v>0</v>
      </c>
      <c r="BK59" s="253">
        <v>0</v>
      </c>
      <c r="BL59" s="253">
        <v>0</v>
      </c>
      <c r="BM59" s="253">
        <v>1</v>
      </c>
      <c r="BN59" s="253"/>
      <c r="BO59" s="256" t="s">
        <v>475</v>
      </c>
      <c r="BP59" s="264" t="s">
        <v>539</v>
      </c>
      <c r="BQ59" s="264" t="s">
        <v>567</v>
      </c>
      <c r="BR59" s="264" t="s">
        <v>568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424.14257063999997</v>
      </c>
      <c r="I60" s="164"/>
      <c r="J60" s="157"/>
      <c r="K60" s="228"/>
      <c r="L60" s="228"/>
      <c r="M60" s="228"/>
      <c r="O60" s="241" t="s">
        <v>97</v>
      </c>
      <c r="P60" s="241">
        <v>432.78604201000002</v>
      </c>
      <c r="Q60" s="239"/>
      <c r="S60" s="254" t="s">
        <v>446</v>
      </c>
      <c r="T60" s="257">
        <v>26944224452.8242</v>
      </c>
      <c r="U60" s="257">
        <v>68746</v>
      </c>
      <c r="V60" s="257">
        <v>14536</v>
      </c>
      <c r="W60" s="257">
        <v>568490</v>
      </c>
      <c r="X60" s="257">
        <v>1</v>
      </c>
      <c r="Y60" s="245"/>
      <c r="Z60" s="253" t="s">
        <v>590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590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590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590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590</v>
      </c>
      <c r="BC60" s="253">
        <v>0</v>
      </c>
      <c r="BD60" s="253">
        <v>0</v>
      </c>
      <c r="BE60" s="253">
        <v>0</v>
      </c>
      <c r="BF60" s="253">
        <v>0</v>
      </c>
      <c r="BG60" s="253">
        <v>1</v>
      </c>
      <c r="BH60" s="247" t="s">
        <v>590</v>
      </c>
      <c r="BI60" s="253">
        <v>0</v>
      </c>
      <c r="BJ60" s="253">
        <v>0</v>
      </c>
      <c r="BK60" s="253">
        <v>0</v>
      </c>
      <c r="BL60" s="253">
        <v>0</v>
      </c>
      <c r="BM60" s="253">
        <v>1</v>
      </c>
      <c r="BN60" s="253"/>
      <c r="BO60" s="247"/>
      <c r="BP60" s="263">
        <v>310293714855.72894</v>
      </c>
      <c r="BQ60" s="263">
        <v>23707552</v>
      </c>
      <c r="BR60" s="263">
        <v>27500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80852.126475790006</v>
      </c>
      <c r="I61" s="164"/>
      <c r="J61" s="157"/>
      <c r="K61" s="228"/>
      <c r="L61" s="228"/>
      <c r="M61" s="228"/>
      <c r="O61" s="241" t="s">
        <v>293</v>
      </c>
      <c r="P61" s="241">
        <v>82532.913573130005</v>
      </c>
      <c r="Q61" s="239"/>
      <c r="R61" s="157"/>
      <c r="S61" s="253" t="s">
        <v>449</v>
      </c>
      <c r="T61" s="258">
        <v>8529390.9199999999</v>
      </c>
      <c r="U61" s="258">
        <v>6034</v>
      </c>
      <c r="V61" s="258">
        <v>6</v>
      </c>
      <c r="W61" s="258">
        <v>1967894</v>
      </c>
      <c r="X61" s="258">
        <v>1</v>
      </c>
      <c r="Y61" s="245"/>
      <c r="Z61" s="253" t="s">
        <v>591</v>
      </c>
      <c r="AA61" s="253">
        <v>3641000</v>
      </c>
      <c r="AB61" s="253">
        <v>30</v>
      </c>
      <c r="AC61" s="253">
        <v>3</v>
      </c>
      <c r="AD61" s="253">
        <v>5104</v>
      </c>
      <c r="AE61" s="253">
        <v>1</v>
      </c>
      <c r="AF61" s="253"/>
      <c r="AG61" s="253" t="s">
        <v>591</v>
      </c>
      <c r="AH61" s="253">
        <v>0</v>
      </c>
      <c r="AI61" s="253">
        <v>0</v>
      </c>
      <c r="AJ61" s="253">
        <v>0</v>
      </c>
      <c r="AK61" s="253">
        <v>217</v>
      </c>
      <c r="AL61" s="253">
        <v>1</v>
      </c>
      <c r="AM61" s="245"/>
      <c r="AN61" s="253" t="s">
        <v>591</v>
      </c>
      <c r="AO61" s="253">
        <v>9136900.0099999998</v>
      </c>
      <c r="AP61" s="253">
        <v>70</v>
      </c>
      <c r="AQ61" s="253">
        <v>1</v>
      </c>
      <c r="AR61" s="253">
        <v>4137</v>
      </c>
      <c r="AS61" s="253">
        <v>1</v>
      </c>
      <c r="AT61" s="245"/>
      <c r="AU61" s="253" t="s">
        <v>591</v>
      </c>
      <c r="AV61" s="253">
        <v>0</v>
      </c>
      <c r="AW61" s="253">
        <v>0</v>
      </c>
      <c r="AX61" s="253">
        <v>0</v>
      </c>
      <c r="AY61" s="253">
        <v>247</v>
      </c>
      <c r="AZ61" s="253">
        <v>1</v>
      </c>
      <c r="BA61" s="245"/>
      <c r="BB61" s="253" t="s">
        <v>591</v>
      </c>
      <c r="BC61" s="253">
        <v>0</v>
      </c>
      <c r="BD61" s="253">
        <v>0</v>
      </c>
      <c r="BE61" s="253">
        <v>0</v>
      </c>
      <c r="BF61" s="253">
        <v>5775</v>
      </c>
      <c r="BG61" s="253">
        <v>1</v>
      </c>
      <c r="BH61" s="247" t="s">
        <v>591</v>
      </c>
      <c r="BI61" s="253">
        <v>0</v>
      </c>
      <c r="BJ61" s="253">
        <v>0</v>
      </c>
      <c r="BK61" s="253">
        <v>0</v>
      </c>
      <c r="BL61" s="253">
        <v>275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23001.368609730001</v>
      </c>
      <c r="I62" s="164"/>
      <c r="J62" s="157"/>
      <c r="K62" s="228"/>
      <c r="L62" s="228"/>
      <c r="M62" s="228"/>
      <c r="O62" s="241" t="s">
        <v>99</v>
      </c>
      <c r="P62" s="241">
        <v>23330.073971130001</v>
      </c>
      <c r="Q62" s="239"/>
      <c r="R62" s="157"/>
      <c r="S62" s="253" t="s">
        <v>450</v>
      </c>
      <c r="T62" s="258">
        <v>0</v>
      </c>
      <c r="U62" s="258">
        <v>5129</v>
      </c>
      <c r="V62" s="258">
        <v>6</v>
      </c>
      <c r="W62" s="258">
        <v>1898365</v>
      </c>
      <c r="X62" s="258">
        <v>1</v>
      </c>
      <c r="Y62" s="245"/>
      <c r="Z62" s="253" t="s">
        <v>592</v>
      </c>
      <c r="AA62" s="253">
        <v>7123400</v>
      </c>
      <c r="AB62" s="253">
        <v>80</v>
      </c>
      <c r="AC62" s="253">
        <v>6</v>
      </c>
      <c r="AD62" s="253">
        <v>10</v>
      </c>
      <c r="AE62" s="253">
        <v>1</v>
      </c>
      <c r="AF62" s="253"/>
      <c r="AG62" s="253" t="s">
        <v>592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592</v>
      </c>
      <c r="AO62" s="253">
        <v>0</v>
      </c>
      <c r="AP62" s="253">
        <v>0</v>
      </c>
      <c r="AQ62" s="253">
        <v>0</v>
      </c>
      <c r="AR62" s="253">
        <v>0</v>
      </c>
      <c r="AS62" s="253">
        <v>1</v>
      </c>
      <c r="AT62" s="245"/>
      <c r="AU62" s="253" t="s">
        <v>592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592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592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539</v>
      </c>
      <c r="BQ62" s="264" t="s">
        <v>567</v>
      </c>
      <c r="BR62" s="264" t="s">
        <v>568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242.34973167000001</v>
      </c>
      <c r="I63" s="164"/>
      <c r="J63" s="157"/>
      <c r="K63" s="228"/>
      <c r="L63" s="228"/>
      <c r="M63" s="228"/>
      <c r="O63" s="241" t="s">
        <v>294</v>
      </c>
      <c r="P63" s="241">
        <v>239.01891753999999</v>
      </c>
      <c r="Q63" s="239"/>
      <c r="R63" s="153" t="s">
        <v>456</v>
      </c>
      <c r="S63" s="253" t="s">
        <v>565</v>
      </c>
      <c r="T63" s="258" t="s">
        <v>566</v>
      </c>
      <c r="U63" s="258" t="s">
        <v>567</v>
      </c>
      <c r="V63" s="258" t="s">
        <v>568</v>
      </c>
      <c r="W63" s="258" t="s">
        <v>569</v>
      </c>
      <c r="X63" s="258" t="s">
        <v>570</v>
      </c>
      <c r="Y63" s="245"/>
      <c r="Z63" s="253" t="s">
        <v>593</v>
      </c>
      <c r="AA63" s="253">
        <v>21844700.026000001</v>
      </c>
      <c r="AB63" s="253">
        <v>199</v>
      </c>
      <c r="AC63" s="253">
        <v>18</v>
      </c>
      <c r="AD63" s="253">
        <v>2280</v>
      </c>
      <c r="AE63" s="253">
        <v>1</v>
      </c>
      <c r="AF63" s="253"/>
      <c r="AG63" s="253" t="s">
        <v>593</v>
      </c>
      <c r="AH63" s="253">
        <v>0</v>
      </c>
      <c r="AI63" s="253">
        <v>0</v>
      </c>
      <c r="AJ63" s="253">
        <v>0</v>
      </c>
      <c r="AK63" s="253">
        <v>12</v>
      </c>
      <c r="AL63" s="253">
        <v>1</v>
      </c>
      <c r="AM63" s="245"/>
      <c r="AN63" s="253" t="s">
        <v>593</v>
      </c>
      <c r="AO63" s="253">
        <v>26728789.914000001</v>
      </c>
      <c r="AP63" s="253">
        <v>224</v>
      </c>
      <c r="AQ63" s="253">
        <v>24</v>
      </c>
      <c r="AR63" s="253">
        <v>1290</v>
      </c>
      <c r="AS63" s="253">
        <v>1</v>
      </c>
      <c r="AT63" s="245"/>
      <c r="AU63" s="253" t="s">
        <v>593</v>
      </c>
      <c r="AV63" s="253">
        <v>237400</v>
      </c>
      <c r="AW63" s="253">
        <v>2</v>
      </c>
      <c r="AX63" s="253">
        <v>2</v>
      </c>
      <c r="AY63" s="253">
        <v>187</v>
      </c>
      <c r="AZ63" s="253">
        <v>1</v>
      </c>
      <c r="BA63" s="245"/>
      <c r="BB63" s="253" t="s">
        <v>593</v>
      </c>
      <c r="BC63" s="253">
        <v>1224230</v>
      </c>
      <c r="BD63" s="253">
        <v>10</v>
      </c>
      <c r="BE63" s="253">
        <v>9</v>
      </c>
      <c r="BF63" s="253">
        <v>976</v>
      </c>
      <c r="BG63" s="253">
        <v>1</v>
      </c>
      <c r="BH63" s="247" t="s">
        <v>593</v>
      </c>
      <c r="BI63" s="253">
        <v>247130</v>
      </c>
      <c r="BJ63" s="253">
        <v>2</v>
      </c>
      <c r="BK63" s="253">
        <v>1</v>
      </c>
      <c r="BL63" s="253">
        <v>45</v>
      </c>
      <c r="BM63" s="253">
        <v>1</v>
      </c>
      <c r="BN63" s="253"/>
      <c r="BO63" s="251"/>
      <c r="BP63" s="263">
        <v>236708710658.82498</v>
      </c>
      <c r="BQ63" s="263">
        <v>13351815</v>
      </c>
      <c r="BR63" s="263">
        <v>1718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181.77878336000001</v>
      </c>
      <c r="I64" s="164"/>
      <c r="J64" s="3"/>
      <c r="K64" s="228"/>
      <c r="L64" s="228"/>
      <c r="M64" s="228"/>
      <c r="O64" s="241" t="s">
        <v>297</v>
      </c>
      <c r="P64" s="241">
        <v>180.40812491</v>
      </c>
      <c r="Q64" s="239"/>
      <c r="R64" s="157"/>
      <c r="S64" s="253" t="s">
        <v>451</v>
      </c>
      <c r="T64" s="258">
        <v>70331477.280000001</v>
      </c>
      <c r="U64" s="258">
        <v>89707</v>
      </c>
      <c r="V64" s="258">
        <v>50</v>
      </c>
      <c r="W64" s="258">
        <v>277130</v>
      </c>
      <c r="X64" s="258">
        <v>0</v>
      </c>
      <c r="Y64" s="245"/>
      <c r="Z64" s="253" t="s">
        <v>594</v>
      </c>
      <c r="AA64" s="253">
        <v>35435150.100000001</v>
      </c>
      <c r="AB64" s="253">
        <v>429</v>
      </c>
      <c r="AC64" s="253">
        <v>26</v>
      </c>
      <c r="AD64" s="253">
        <v>35</v>
      </c>
      <c r="AE64" s="253">
        <v>1</v>
      </c>
      <c r="AF64" s="253"/>
      <c r="AG64" s="253" t="s">
        <v>594</v>
      </c>
      <c r="AH64" s="253">
        <v>3334000</v>
      </c>
      <c r="AI64" s="253">
        <v>40</v>
      </c>
      <c r="AJ64" s="253">
        <v>2</v>
      </c>
      <c r="AK64" s="253">
        <v>0</v>
      </c>
      <c r="AL64" s="253">
        <v>1</v>
      </c>
      <c r="AM64" s="245"/>
      <c r="AN64" s="253" t="s">
        <v>594</v>
      </c>
      <c r="AO64" s="253">
        <v>2786470</v>
      </c>
      <c r="AP64" s="253">
        <v>31</v>
      </c>
      <c r="AQ64" s="253">
        <v>4</v>
      </c>
      <c r="AR64" s="253">
        <v>101</v>
      </c>
      <c r="AS64" s="253">
        <v>1</v>
      </c>
      <c r="AT64" s="245"/>
      <c r="AU64" s="253" t="s">
        <v>594</v>
      </c>
      <c r="AV64" s="253">
        <v>85470</v>
      </c>
      <c r="AW64" s="253">
        <v>1</v>
      </c>
      <c r="AX64" s="253">
        <v>1</v>
      </c>
      <c r="AY64" s="253">
        <v>11</v>
      </c>
      <c r="AZ64" s="253">
        <v>1</v>
      </c>
      <c r="BA64" s="245"/>
      <c r="BB64" s="253" t="s">
        <v>594</v>
      </c>
      <c r="BC64" s="253">
        <v>816270</v>
      </c>
      <c r="BD64" s="253">
        <v>9</v>
      </c>
      <c r="BE64" s="253">
        <v>9</v>
      </c>
      <c r="BF64" s="253">
        <v>435</v>
      </c>
      <c r="BG64" s="253">
        <v>1</v>
      </c>
      <c r="BH64" s="247" t="s">
        <v>594</v>
      </c>
      <c r="BI64" s="253">
        <v>0</v>
      </c>
      <c r="BJ64" s="253">
        <v>0</v>
      </c>
      <c r="BK64" s="253">
        <v>0</v>
      </c>
      <c r="BL64" s="253">
        <v>20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13767.68915041</v>
      </c>
      <c r="I65" s="164"/>
      <c r="J65" s="3"/>
      <c r="K65" s="228"/>
      <c r="L65" s="228"/>
      <c r="M65" s="228"/>
      <c r="O65" s="241" t="s">
        <v>298</v>
      </c>
      <c r="P65" s="241">
        <v>13543.289314989999</v>
      </c>
      <c r="Q65" s="239"/>
      <c r="R65" s="157"/>
      <c r="S65" s="253" t="s">
        <v>446</v>
      </c>
      <c r="T65" s="258">
        <v>1272165233.97</v>
      </c>
      <c r="U65" s="258">
        <v>296873</v>
      </c>
      <c r="V65" s="258">
        <v>567</v>
      </c>
      <c r="W65" s="258">
        <v>926852</v>
      </c>
      <c r="X65" s="258">
        <v>0</v>
      </c>
      <c r="Y65" s="245"/>
      <c r="Z65" s="253" t="s">
        <v>595</v>
      </c>
      <c r="AA65" s="253">
        <v>24849425.25</v>
      </c>
      <c r="AB65" s="253">
        <v>236</v>
      </c>
      <c r="AC65" s="253">
        <v>14</v>
      </c>
      <c r="AD65" s="253">
        <v>10737</v>
      </c>
      <c r="AE65" s="253">
        <v>1</v>
      </c>
      <c r="AF65" s="253"/>
      <c r="AG65" s="253" t="s">
        <v>595</v>
      </c>
      <c r="AH65" s="253">
        <v>0</v>
      </c>
      <c r="AI65" s="253">
        <v>0</v>
      </c>
      <c r="AJ65" s="253">
        <v>0</v>
      </c>
      <c r="AK65" s="253">
        <v>373</v>
      </c>
      <c r="AL65" s="253">
        <v>1</v>
      </c>
      <c r="AM65" s="245"/>
      <c r="AN65" s="253" t="s">
        <v>595</v>
      </c>
      <c r="AO65" s="253">
        <v>8278775</v>
      </c>
      <c r="AP65" s="253">
        <v>73</v>
      </c>
      <c r="AQ65" s="253">
        <v>7</v>
      </c>
      <c r="AR65" s="253">
        <v>13258</v>
      </c>
      <c r="AS65" s="253">
        <v>1</v>
      </c>
      <c r="AT65" s="245"/>
      <c r="AU65" s="253" t="s">
        <v>595</v>
      </c>
      <c r="AV65" s="253">
        <v>0</v>
      </c>
      <c r="AW65" s="253">
        <v>0</v>
      </c>
      <c r="AX65" s="253">
        <v>0</v>
      </c>
      <c r="AY65" s="253">
        <v>594</v>
      </c>
      <c r="AZ65" s="253">
        <v>1</v>
      </c>
      <c r="BA65" s="245"/>
      <c r="BB65" s="253" t="s">
        <v>614</v>
      </c>
      <c r="BC65" s="253">
        <v>0</v>
      </c>
      <c r="BD65" s="253">
        <v>0</v>
      </c>
      <c r="BE65" s="253">
        <v>0</v>
      </c>
      <c r="BF65" s="253">
        <v>0</v>
      </c>
      <c r="BG65" s="253">
        <v>1</v>
      </c>
      <c r="BH65" s="247" t="s">
        <v>614</v>
      </c>
      <c r="BI65" s="253">
        <v>0</v>
      </c>
      <c r="BJ65" s="253">
        <v>0</v>
      </c>
      <c r="BK65" s="253">
        <v>0</v>
      </c>
      <c r="BL65" s="253">
        <v>0</v>
      </c>
      <c r="BM65" s="253">
        <v>1</v>
      </c>
      <c r="BN65" s="253"/>
      <c r="BO65" s="256" t="s">
        <v>476</v>
      </c>
      <c r="BP65" s="264" t="s">
        <v>539</v>
      </c>
      <c r="BQ65" s="264" t="s">
        <v>567</v>
      </c>
      <c r="BR65" s="264" t="s">
        <v>568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4011.3805727899999</v>
      </c>
      <c r="I66" s="164"/>
      <c r="J66" s="3"/>
      <c r="K66" s="228"/>
      <c r="L66" s="228"/>
      <c r="M66" s="228"/>
      <c r="O66" s="241" t="s">
        <v>299</v>
      </c>
      <c r="P66" s="241">
        <v>4468.0979994500003</v>
      </c>
      <c r="Q66" s="239"/>
      <c r="R66" s="157"/>
      <c r="S66" s="253" t="s">
        <v>449</v>
      </c>
      <c r="T66" s="258">
        <v>0</v>
      </c>
      <c r="U66" s="258">
        <v>0</v>
      </c>
      <c r="V66" s="258">
        <v>0</v>
      </c>
      <c r="W66" s="258">
        <v>0</v>
      </c>
      <c r="X66" s="258">
        <v>0</v>
      </c>
      <c r="Y66" s="245"/>
      <c r="Z66" s="253" t="s">
        <v>596</v>
      </c>
      <c r="AA66" s="253">
        <v>2855300</v>
      </c>
      <c r="AB66" s="253">
        <v>36</v>
      </c>
      <c r="AC66" s="253">
        <v>19</v>
      </c>
      <c r="AD66" s="253">
        <v>910</v>
      </c>
      <c r="AE66" s="253">
        <v>1</v>
      </c>
      <c r="AF66" s="253"/>
      <c r="AG66" s="253" t="s">
        <v>596</v>
      </c>
      <c r="AH66" s="253">
        <v>0</v>
      </c>
      <c r="AI66" s="253">
        <v>0</v>
      </c>
      <c r="AJ66" s="253">
        <v>0</v>
      </c>
      <c r="AK66" s="253">
        <v>43</v>
      </c>
      <c r="AL66" s="253">
        <v>1</v>
      </c>
      <c r="AM66" s="245"/>
      <c r="AN66" s="253" t="s">
        <v>596</v>
      </c>
      <c r="AO66" s="253">
        <v>1407275</v>
      </c>
      <c r="AP66" s="253">
        <v>17</v>
      </c>
      <c r="AQ66" s="253">
        <v>5</v>
      </c>
      <c r="AR66" s="253">
        <v>703</v>
      </c>
      <c r="AS66" s="253">
        <v>1</v>
      </c>
      <c r="AT66" s="245"/>
      <c r="AU66" s="253" t="s">
        <v>596</v>
      </c>
      <c r="AV66" s="253">
        <v>403875</v>
      </c>
      <c r="AW66" s="253">
        <v>5</v>
      </c>
      <c r="AX66" s="253">
        <v>1</v>
      </c>
      <c r="AY66" s="253">
        <v>41</v>
      </c>
      <c r="AZ66" s="253">
        <v>1</v>
      </c>
      <c r="BA66" s="245"/>
      <c r="BB66" s="253" t="s">
        <v>615</v>
      </c>
      <c r="BC66" s="253">
        <v>0</v>
      </c>
      <c r="BD66" s="253">
        <v>0</v>
      </c>
      <c r="BE66" s="253">
        <v>0</v>
      </c>
      <c r="BF66" s="253">
        <v>0</v>
      </c>
      <c r="BG66" s="253">
        <v>1</v>
      </c>
      <c r="BH66" s="247" t="s">
        <v>615</v>
      </c>
      <c r="BI66" s="253">
        <v>0</v>
      </c>
      <c r="BJ66" s="253">
        <v>0</v>
      </c>
      <c r="BK66" s="253">
        <v>0</v>
      </c>
      <c r="BL66" s="253">
        <v>0</v>
      </c>
      <c r="BM66" s="253">
        <v>1</v>
      </c>
      <c r="BN66" s="253"/>
      <c r="BO66" s="247"/>
      <c r="BP66" s="263">
        <v>383987454383</v>
      </c>
      <c r="BQ66" s="263">
        <v>28349532</v>
      </c>
      <c r="BR66" s="263">
        <v>38455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172.03507192000001</v>
      </c>
      <c r="I67" s="164"/>
      <c r="J67" s="3"/>
      <c r="K67" s="228"/>
      <c r="L67" s="228"/>
      <c r="M67" s="228"/>
      <c r="O67" s="241" t="s">
        <v>300</v>
      </c>
      <c r="P67" s="241">
        <v>166.89357063</v>
      </c>
      <c r="Q67" s="239"/>
      <c r="R67" s="157"/>
      <c r="S67" s="253" t="s">
        <v>447</v>
      </c>
      <c r="T67" s="258">
        <v>299868324.83999997</v>
      </c>
      <c r="U67" s="258">
        <v>330964</v>
      </c>
      <c r="V67" s="258">
        <v>370</v>
      </c>
      <c r="W67" s="258">
        <v>2240696</v>
      </c>
      <c r="X67" s="258">
        <v>0</v>
      </c>
      <c r="Y67" s="245"/>
      <c r="Z67" s="253" t="s">
        <v>597</v>
      </c>
      <c r="AA67" s="253">
        <v>18479320</v>
      </c>
      <c r="AB67" s="253">
        <v>138</v>
      </c>
      <c r="AC67" s="253">
        <v>19</v>
      </c>
      <c r="AD67" s="253">
        <v>748</v>
      </c>
      <c r="AE67" s="253">
        <v>1</v>
      </c>
      <c r="AF67" s="253"/>
      <c r="AG67" s="253" t="s">
        <v>597</v>
      </c>
      <c r="AH67" s="253">
        <v>265700</v>
      </c>
      <c r="AI67" s="253">
        <v>2</v>
      </c>
      <c r="AJ67" s="253">
        <v>1</v>
      </c>
      <c r="AK67" s="253">
        <v>102</v>
      </c>
      <c r="AL67" s="253">
        <v>1</v>
      </c>
      <c r="AM67" s="245"/>
      <c r="AN67" s="253" t="s">
        <v>597</v>
      </c>
      <c r="AO67" s="253">
        <v>25086590.07</v>
      </c>
      <c r="AP67" s="253">
        <v>197</v>
      </c>
      <c r="AQ67" s="253">
        <v>15</v>
      </c>
      <c r="AR67" s="253">
        <v>589</v>
      </c>
      <c r="AS67" s="253">
        <v>1</v>
      </c>
      <c r="AT67" s="245"/>
      <c r="AU67" s="253" t="s">
        <v>597</v>
      </c>
      <c r="AV67" s="253">
        <v>0</v>
      </c>
      <c r="AW67" s="253">
        <v>0</v>
      </c>
      <c r="AX67" s="253">
        <v>0</v>
      </c>
      <c r="AY67" s="253">
        <v>21</v>
      </c>
      <c r="AZ67" s="253">
        <v>1</v>
      </c>
      <c r="BA67" s="245"/>
      <c r="BB67" s="253" t="s">
        <v>595</v>
      </c>
      <c r="BC67" s="253">
        <v>0</v>
      </c>
      <c r="BD67" s="253">
        <v>0</v>
      </c>
      <c r="BE67" s="253">
        <v>0</v>
      </c>
      <c r="BF67" s="253">
        <v>420</v>
      </c>
      <c r="BG67" s="253">
        <v>1</v>
      </c>
      <c r="BH67" s="247" t="s">
        <v>595</v>
      </c>
      <c r="BI67" s="253">
        <v>0</v>
      </c>
      <c r="BJ67" s="253">
        <v>0</v>
      </c>
      <c r="BK67" s="253">
        <v>0</v>
      </c>
      <c r="BL67" s="253">
        <v>20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43291</v>
      </c>
      <c r="D68" s="190">
        <v>26194.538005999999</v>
      </c>
      <c r="E68" s="223">
        <v>1</v>
      </c>
      <c r="F68" s="213"/>
      <c r="G68" s="223" t="s">
        <v>301</v>
      </c>
      <c r="H68" s="223">
        <v>1854.5776375800001</v>
      </c>
      <c r="I68" s="164"/>
      <c r="J68" s="3"/>
      <c r="K68" s="228"/>
      <c r="L68" s="228"/>
      <c r="M68" s="228"/>
      <c r="O68" s="241" t="s">
        <v>301</v>
      </c>
      <c r="P68" s="241">
        <v>1874.64445284</v>
      </c>
      <c r="Q68" s="239"/>
      <c r="R68" s="157"/>
      <c r="S68" s="253" t="s">
        <v>571</v>
      </c>
      <c r="T68" s="258">
        <v>0</v>
      </c>
      <c r="U68" s="258">
        <v>0</v>
      </c>
      <c r="V68" s="258">
        <v>0</v>
      </c>
      <c r="W68" s="258">
        <v>0</v>
      </c>
      <c r="X68" s="258">
        <v>1</v>
      </c>
      <c r="Y68" s="245"/>
      <c r="Z68" s="253" t="s">
        <v>598</v>
      </c>
      <c r="AA68" s="253">
        <v>2280000</v>
      </c>
      <c r="AB68" s="253">
        <v>10</v>
      </c>
      <c r="AC68" s="253">
        <v>2</v>
      </c>
      <c r="AD68" s="253">
        <v>880</v>
      </c>
      <c r="AE68" s="253">
        <v>1</v>
      </c>
      <c r="AF68" s="253"/>
      <c r="AG68" s="253" t="s">
        <v>598</v>
      </c>
      <c r="AH68" s="253">
        <v>0</v>
      </c>
      <c r="AI68" s="253">
        <v>0</v>
      </c>
      <c r="AJ68" s="253">
        <v>0</v>
      </c>
      <c r="AK68" s="253">
        <v>40</v>
      </c>
      <c r="AL68" s="253">
        <v>1</v>
      </c>
      <c r="AM68" s="245"/>
      <c r="AN68" s="253" t="s">
        <v>598</v>
      </c>
      <c r="AO68" s="253">
        <v>0</v>
      </c>
      <c r="AP68" s="253">
        <v>0</v>
      </c>
      <c r="AQ68" s="253">
        <v>0</v>
      </c>
      <c r="AR68" s="253">
        <v>840</v>
      </c>
      <c r="AS68" s="253">
        <v>1</v>
      </c>
      <c r="AT68" s="245"/>
      <c r="AU68" s="253" t="s">
        <v>598</v>
      </c>
      <c r="AV68" s="253">
        <v>0</v>
      </c>
      <c r="AW68" s="253">
        <v>0</v>
      </c>
      <c r="AX68" s="253">
        <v>0</v>
      </c>
      <c r="AY68" s="253">
        <v>40</v>
      </c>
      <c r="AZ68" s="253">
        <v>1</v>
      </c>
      <c r="BA68" s="245"/>
      <c r="BB68" s="253" t="s">
        <v>596</v>
      </c>
      <c r="BC68" s="253">
        <v>2048126</v>
      </c>
      <c r="BD68" s="253">
        <v>25</v>
      </c>
      <c r="BE68" s="253">
        <v>11</v>
      </c>
      <c r="BF68" s="253">
        <v>485</v>
      </c>
      <c r="BG68" s="253">
        <v>1</v>
      </c>
      <c r="BH68" s="247" t="s">
        <v>596</v>
      </c>
      <c r="BI68" s="253">
        <v>595000</v>
      </c>
      <c r="BJ68" s="253">
        <v>7</v>
      </c>
      <c r="BK68" s="253">
        <v>1</v>
      </c>
      <c r="BL68" s="253">
        <v>22</v>
      </c>
      <c r="BM68" s="253">
        <v>1</v>
      </c>
      <c r="BN68" s="253"/>
      <c r="BO68" s="256" t="s">
        <v>477</v>
      </c>
      <c r="BP68" s="264" t="s">
        <v>539</v>
      </c>
      <c r="BQ68" s="264" t="s">
        <v>567</v>
      </c>
      <c r="BR68" s="264" t="s">
        <v>568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13042.447</v>
      </c>
      <c r="I69" s="164"/>
      <c r="J69" s="3"/>
      <c r="K69" s="228"/>
      <c r="L69" s="228"/>
      <c r="M69" s="228"/>
      <c r="O69" s="241" t="s">
        <v>303</v>
      </c>
      <c r="P69" s="241">
        <v>13011.721600000001</v>
      </c>
      <c r="Q69" s="239"/>
      <c r="R69" s="157"/>
      <c r="S69" s="253" t="s">
        <v>451</v>
      </c>
      <c r="T69" s="258">
        <v>2241752507.7470002</v>
      </c>
      <c r="U69" s="258">
        <v>30652</v>
      </c>
      <c r="V69" s="258">
        <v>144</v>
      </c>
      <c r="W69" s="258">
        <v>303759</v>
      </c>
      <c r="X69" s="258">
        <v>1</v>
      </c>
      <c r="Y69" s="245"/>
      <c r="Z69" s="253" t="s">
        <v>599</v>
      </c>
      <c r="AA69" s="253">
        <v>2840000</v>
      </c>
      <c r="AB69" s="253">
        <v>8</v>
      </c>
      <c r="AC69" s="253">
        <v>2</v>
      </c>
      <c r="AD69" s="253">
        <v>164</v>
      </c>
      <c r="AE69" s="253">
        <v>1</v>
      </c>
      <c r="AF69" s="253"/>
      <c r="AG69" s="253" t="s">
        <v>599</v>
      </c>
      <c r="AH69" s="253">
        <v>0</v>
      </c>
      <c r="AI69" s="253">
        <v>0</v>
      </c>
      <c r="AJ69" s="253">
        <v>0</v>
      </c>
      <c r="AK69" s="253">
        <v>7</v>
      </c>
      <c r="AL69" s="253">
        <v>1</v>
      </c>
      <c r="AM69" s="245"/>
      <c r="AN69" s="253" t="s">
        <v>599</v>
      </c>
      <c r="AO69" s="253">
        <v>15963950</v>
      </c>
      <c r="AP69" s="253">
        <v>50</v>
      </c>
      <c r="AQ69" s="253">
        <v>9</v>
      </c>
      <c r="AR69" s="253">
        <v>575</v>
      </c>
      <c r="AS69" s="253">
        <v>1</v>
      </c>
      <c r="AT69" s="245"/>
      <c r="AU69" s="253" t="s">
        <v>599</v>
      </c>
      <c r="AV69" s="253">
        <v>0</v>
      </c>
      <c r="AW69" s="253">
        <v>0</v>
      </c>
      <c r="AX69" s="253">
        <v>0</v>
      </c>
      <c r="AY69" s="253">
        <v>30</v>
      </c>
      <c r="AZ69" s="253">
        <v>1</v>
      </c>
      <c r="BA69" s="245"/>
      <c r="BB69" s="253" t="s">
        <v>597</v>
      </c>
      <c r="BC69" s="253">
        <v>5916410</v>
      </c>
      <c r="BD69" s="253">
        <v>48</v>
      </c>
      <c r="BE69" s="253">
        <v>7</v>
      </c>
      <c r="BF69" s="253">
        <v>238</v>
      </c>
      <c r="BG69" s="253">
        <v>1</v>
      </c>
      <c r="BH69" s="247" t="s">
        <v>597</v>
      </c>
      <c r="BI69" s="253">
        <v>576250</v>
      </c>
      <c r="BJ69" s="253">
        <v>5</v>
      </c>
      <c r="BK69" s="253">
        <v>1</v>
      </c>
      <c r="BL69" s="253">
        <v>22</v>
      </c>
      <c r="BM69" s="253">
        <v>1</v>
      </c>
      <c r="BN69" s="253"/>
      <c r="BO69" s="247"/>
      <c r="BP69" s="263">
        <v>111665866159.8</v>
      </c>
      <c r="BQ69" s="263">
        <v>8025120</v>
      </c>
      <c r="BR69" s="263">
        <v>1673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23518.121285950001</v>
      </c>
      <c r="I70" s="164"/>
      <c r="J70" s="3"/>
      <c r="K70" s="228"/>
      <c r="L70" s="228"/>
      <c r="M70" s="228"/>
      <c r="O70" s="241" t="s">
        <v>304</v>
      </c>
      <c r="P70" s="241">
        <v>23056.302130259999</v>
      </c>
      <c r="Q70" s="239"/>
      <c r="R70" s="157"/>
      <c r="S70" s="253" t="s">
        <v>448</v>
      </c>
      <c r="T70" s="258">
        <v>47069448</v>
      </c>
      <c r="U70" s="258">
        <v>178329</v>
      </c>
      <c r="V70" s="258">
        <v>3557</v>
      </c>
      <c r="W70" s="258">
        <v>874404</v>
      </c>
      <c r="X70" s="258">
        <v>1</v>
      </c>
      <c r="Y70" s="245"/>
      <c r="Z70" s="253" t="s">
        <v>600</v>
      </c>
      <c r="AA70" s="253">
        <v>5540034603.7749996</v>
      </c>
      <c r="AB70" s="253">
        <v>24968</v>
      </c>
      <c r="AC70" s="253">
        <v>2948</v>
      </c>
      <c r="AD70" s="253">
        <v>484527</v>
      </c>
      <c r="AE70" s="253">
        <v>1</v>
      </c>
      <c r="AF70" s="253"/>
      <c r="AG70" s="253" t="s">
        <v>600</v>
      </c>
      <c r="AH70" s="253">
        <v>318462408.48000002</v>
      </c>
      <c r="AI70" s="253">
        <v>1422</v>
      </c>
      <c r="AJ70" s="253">
        <v>129</v>
      </c>
      <c r="AK70" s="253">
        <v>21844</v>
      </c>
      <c r="AL70" s="253">
        <v>1</v>
      </c>
      <c r="AM70" s="245"/>
      <c r="AN70" s="253" t="s">
        <v>600</v>
      </c>
      <c r="AO70" s="253">
        <v>9803288087.9150009</v>
      </c>
      <c r="AP70" s="253">
        <v>43766</v>
      </c>
      <c r="AQ70" s="253">
        <v>4471</v>
      </c>
      <c r="AR70" s="253">
        <v>448682</v>
      </c>
      <c r="AS70" s="253">
        <v>1</v>
      </c>
      <c r="AT70" s="245"/>
      <c r="AU70" s="253" t="s">
        <v>600</v>
      </c>
      <c r="AV70" s="253">
        <v>397594754.39999998</v>
      </c>
      <c r="AW70" s="253">
        <v>1826</v>
      </c>
      <c r="AX70" s="253">
        <v>197</v>
      </c>
      <c r="AY70" s="253">
        <v>20878</v>
      </c>
      <c r="AZ70" s="253">
        <v>1</v>
      </c>
      <c r="BA70" s="245"/>
      <c r="BB70" s="253" t="s">
        <v>598</v>
      </c>
      <c r="BC70" s="253">
        <v>42922934</v>
      </c>
      <c r="BD70" s="253">
        <v>122</v>
      </c>
      <c r="BE70" s="253">
        <v>4</v>
      </c>
      <c r="BF70" s="253">
        <v>636</v>
      </c>
      <c r="BG70" s="253">
        <v>1</v>
      </c>
      <c r="BH70" s="247" t="s">
        <v>598</v>
      </c>
      <c r="BI70" s="253">
        <v>0</v>
      </c>
      <c r="BJ70" s="253">
        <v>0</v>
      </c>
      <c r="BK70" s="253">
        <v>0</v>
      </c>
      <c r="BL70" s="253">
        <v>62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26739.870595429999</v>
      </c>
      <c r="I71" s="164"/>
      <c r="J71" s="3"/>
      <c r="K71" s="228"/>
      <c r="L71" s="228"/>
      <c r="M71" s="228"/>
      <c r="O71" s="241" t="s">
        <v>58</v>
      </c>
      <c r="P71" s="241">
        <v>26498.361235659999</v>
      </c>
      <c r="Q71" s="239"/>
      <c r="R71" s="157"/>
      <c r="S71" s="253" t="s">
        <v>182</v>
      </c>
      <c r="T71" s="258">
        <v>42141361.876000002</v>
      </c>
      <c r="U71" s="258">
        <v>469584</v>
      </c>
      <c r="V71" s="258">
        <v>209</v>
      </c>
      <c r="W71" s="258">
        <v>2087844</v>
      </c>
      <c r="X71" s="258">
        <v>1</v>
      </c>
      <c r="Y71" s="245"/>
      <c r="Z71" s="253" t="s">
        <v>612</v>
      </c>
      <c r="AA71" s="253">
        <v>0</v>
      </c>
      <c r="AB71" s="253">
        <v>0</v>
      </c>
      <c r="AC71" s="253">
        <v>0</v>
      </c>
      <c r="AD71" s="253">
        <v>0</v>
      </c>
      <c r="AE71" s="253">
        <v>1</v>
      </c>
      <c r="AF71" s="253"/>
      <c r="AG71" s="253" t="s">
        <v>612</v>
      </c>
      <c r="AH71" s="253">
        <v>0</v>
      </c>
      <c r="AI71" s="253">
        <v>0</v>
      </c>
      <c r="AJ71" s="253">
        <v>0</v>
      </c>
      <c r="AK71" s="253">
        <v>0</v>
      </c>
      <c r="AL71" s="253">
        <v>1</v>
      </c>
      <c r="AM71" s="245"/>
      <c r="AN71" s="253" t="s">
        <v>612</v>
      </c>
      <c r="AO71" s="253">
        <v>0</v>
      </c>
      <c r="AP71" s="253">
        <v>0</v>
      </c>
      <c r="AQ71" s="253">
        <v>0</v>
      </c>
      <c r="AR71" s="253">
        <v>0</v>
      </c>
      <c r="AS71" s="253">
        <v>1</v>
      </c>
      <c r="AT71" s="245"/>
      <c r="AU71" s="253" t="s">
        <v>612</v>
      </c>
      <c r="AV71" s="253">
        <v>0</v>
      </c>
      <c r="AW71" s="253">
        <v>0</v>
      </c>
      <c r="AX71" s="253">
        <v>0</v>
      </c>
      <c r="AY71" s="253">
        <v>0</v>
      </c>
      <c r="AZ71" s="253">
        <v>1</v>
      </c>
      <c r="BA71" s="245"/>
      <c r="BB71" s="253" t="s">
        <v>599</v>
      </c>
      <c r="BC71" s="253">
        <v>1045000</v>
      </c>
      <c r="BD71" s="253">
        <v>4</v>
      </c>
      <c r="BE71" s="253">
        <v>4</v>
      </c>
      <c r="BF71" s="253">
        <v>238</v>
      </c>
      <c r="BG71" s="253">
        <v>1</v>
      </c>
      <c r="BH71" s="247" t="s">
        <v>599</v>
      </c>
      <c r="BI71" s="253">
        <v>0</v>
      </c>
      <c r="BJ71" s="253">
        <v>0</v>
      </c>
      <c r="BK71" s="253">
        <v>0</v>
      </c>
      <c r="BL71" s="253">
        <v>9</v>
      </c>
      <c r="BM71" s="253">
        <v>1</v>
      </c>
      <c r="BN71" s="253"/>
      <c r="BO71" s="256" t="s">
        <v>494</v>
      </c>
      <c r="BP71" s="264" t="s">
        <v>620</v>
      </c>
      <c r="BQ71" s="264" t="s">
        <v>569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28805.466750629999</v>
      </c>
      <c r="I72" s="164"/>
      <c r="J72" s="3"/>
      <c r="K72" s="228"/>
      <c r="L72" s="228"/>
      <c r="M72" s="228"/>
      <c r="O72" s="241" t="s">
        <v>51</v>
      </c>
      <c r="P72" s="241">
        <v>28667.222807689999</v>
      </c>
      <c r="Q72" s="239"/>
      <c r="R72" s="157"/>
      <c r="S72" s="253" t="s">
        <v>446</v>
      </c>
      <c r="T72" s="258">
        <v>306518015640.89606</v>
      </c>
      <c r="U72" s="258">
        <v>946679</v>
      </c>
      <c r="V72" s="258">
        <v>262406</v>
      </c>
      <c r="W72" s="258">
        <v>666947</v>
      </c>
      <c r="X72" s="258">
        <v>1</v>
      </c>
      <c r="Y72" s="245"/>
      <c r="Z72" s="253" t="s">
        <v>601</v>
      </c>
      <c r="AA72" s="253">
        <v>255092899.96000001</v>
      </c>
      <c r="AB72" s="253">
        <v>595</v>
      </c>
      <c r="AC72" s="253">
        <v>114</v>
      </c>
      <c r="AD72" s="253">
        <v>10669</v>
      </c>
      <c r="AE72" s="253">
        <v>1</v>
      </c>
      <c r="AF72" s="253"/>
      <c r="AG72" s="253" t="s">
        <v>601</v>
      </c>
      <c r="AH72" s="253">
        <v>2267100</v>
      </c>
      <c r="AI72" s="253">
        <v>5</v>
      </c>
      <c r="AJ72" s="253">
        <v>3</v>
      </c>
      <c r="AK72" s="253">
        <v>482</v>
      </c>
      <c r="AL72" s="253">
        <v>1</v>
      </c>
      <c r="AM72" s="245"/>
      <c r="AN72" s="253" t="s">
        <v>601</v>
      </c>
      <c r="AO72" s="253">
        <v>1085309402.1800001</v>
      </c>
      <c r="AP72" s="253">
        <v>2396</v>
      </c>
      <c r="AQ72" s="253">
        <v>193</v>
      </c>
      <c r="AR72" s="253">
        <v>12161</v>
      </c>
      <c r="AS72" s="253">
        <v>1</v>
      </c>
      <c r="AT72" s="245"/>
      <c r="AU72" s="253" t="s">
        <v>601</v>
      </c>
      <c r="AV72" s="253">
        <v>0</v>
      </c>
      <c r="AW72" s="253">
        <v>0</v>
      </c>
      <c r="AX72" s="253">
        <v>0</v>
      </c>
      <c r="AY72" s="253">
        <v>510</v>
      </c>
      <c r="AZ72" s="253">
        <v>1</v>
      </c>
      <c r="BA72" s="245"/>
      <c r="BB72" s="253" t="s">
        <v>600</v>
      </c>
      <c r="BC72" s="253">
        <v>5579882847.6850004</v>
      </c>
      <c r="BD72" s="253">
        <v>22821</v>
      </c>
      <c r="BE72" s="253">
        <v>2723</v>
      </c>
      <c r="BF72" s="253">
        <v>331735</v>
      </c>
      <c r="BG72" s="253">
        <v>1</v>
      </c>
      <c r="BH72" s="247" t="s">
        <v>600</v>
      </c>
      <c r="BI72" s="253">
        <v>194205470.095</v>
      </c>
      <c r="BJ72" s="253">
        <v>805</v>
      </c>
      <c r="BK72" s="253">
        <v>63</v>
      </c>
      <c r="BL72" s="253">
        <v>15644</v>
      </c>
      <c r="BM72" s="253">
        <v>1</v>
      </c>
      <c r="BN72" s="253"/>
      <c r="BO72" s="247"/>
      <c r="BP72" s="263" t="s">
        <v>621</v>
      </c>
      <c r="BQ72" s="263">
        <v>2340634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15213.93</v>
      </c>
      <c r="I73" s="164"/>
      <c r="J73" s="3"/>
      <c r="K73" s="228"/>
      <c r="L73" s="228"/>
      <c r="M73" s="228"/>
      <c r="O73" s="241" t="s">
        <v>305</v>
      </c>
      <c r="P73" s="241">
        <v>15401.45</v>
      </c>
      <c r="Q73" s="239"/>
      <c r="R73" s="157"/>
      <c r="S73" s="247" t="s">
        <v>449</v>
      </c>
      <c r="T73" s="247">
        <v>102025262.251</v>
      </c>
      <c r="U73" s="247">
        <v>174598</v>
      </c>
      <c r="V73" s="247">
        <v>81</v>
      </c>
      <c r="W73" s="247">
        <v>14035216</v>
      </c>
      <c r="X73" s="247">
        <v>1</v>
      </c>
      <c r="Y73" s="245"/>
      <c r="Z73" s="253" t="s">
        <v>602</v>
      </c>
      <c r="AA73" s="253">
        <v>0</v>
      </c>
      <c r="AB73" s="253">
        <v>0</v>
      </c>
      <c r="AC73" s="253">
        <v>0</v>
      </c>
      <c r="AD73" s="253">
        <v>308</v>
      </c>
      <c r="AE73" s="253">
        <v>1</v>
      </c>
      <c r="AF73" s="253"/>
      <c r="AG73" s="253" t="s">
        <v>602</v>
      </c>
      <c r="AH73" s="253">
        <v>0</v>
      </c>
      <c r="AI73" s="253">
        <v>0</v>
      </c>
      <c r="AJ73" s="253">
        <v>0</v>
      </c>
      <c r="AK73" s="253">
        <v>14</v>
      </c>
      <c r="AL73" s="253">
        <v>1</v>
      </c>
      <c r="AM73" s="245"/>
      <c r="AN73" s="253" t="s">
        <v>602</v>
      </c>
      <c r="AO73" s="253">
        <v>58379013.329999998</v>
      </c>
      <c r="AP73" s="253">
        <v>115</v>
      </c>
      <c r="AQ73" s="253">
        <v>22</v>
      </c>
      <c r="AR73" s="253">
        <v>853</v>
      </c>
      <c r="AS73" s="253">
        <v>1</v>
      </c>
      <c r="AT73" s="245"/>
      <c r="AU73" s="253" t="s">
        <v>602</v>
      </c>
      <c r="AV73" s="253">
        <v>0</v>
      </c>
      <c r="AW73" s="253">
        <v>0</v>
      </c>
      <c r="AX73" s="253">
        <v>0</v>
      </c>
      <c r="AY73" s="253">
        <v>14</v>
      </c>
      <c r="AZ73" s="253">
        <v>1</v>
      </c>
      <c r="BA73" s="245"/>
      <c r="BB73" s="253" t="s">
        <v>612</v>
      </c>
      <c r="BC73" s="253">
        <v>0</v>
      </c>
      <c r="BD73" s="253">
        <v>0</v>
      </c>
      <c r="BE73" s="253">
        <v>0</v>
      </c>
      <c r="BF73" s="253">
        <v>168</v>
      </c>
      <c r="BG73" s="253">
        <v>1</v>
      </c>
      <c r="BH73" s="247" t="s">
        <v>612</v>
      </c>
      <c r="BI73" s="253">
        <v>0</v>
      </c>
      <c r="BJ73" s="253">
        <v>0</v>
      </c>
      <c r="BK73" s="253">
        <v>0</v>
      </c>
      <c r="BL73" s="253">
        <v>8</v>
      </c>
      <c r="BM73" s="253">
        <v>1</v>
      </c>
      <c r="BN73" s="253"/>
      <c r="BO73" s="247"/>
      <c r="BP73" s="263" t="s">
        <v>622</v>
      </c>
      <c r="BQ73" s="263">
        <v>1685544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550</v>
      </c>
      <c r="H74" s="223">
        <v>72327.778713399995</v>
      </c>
      <c r="I74" s="164"/>
      <c r="J74" s="3"/>
      <c r="K74" s="228"/>
      <c r="L74" s="228"/>
      <c r="M74" s="228"/>
      <c r="O74" s="241" t="s">
        <v>550</v>
      </c>
      <c r="P74" s="241">
        <v>73373.337194370004</v>
      </c>
      <c r="Q74" s="239"/>
      <c r="R74" s="157"/>
      <c r="S74" s="247" t="s">
        <v>450</v>
      </c>
      <c r="T74" s="247">
        <v>0</v>
      </c>
      <c r="U74" s="247">
        <v>133980</v>
      </c>
      <c r="V74" s="247">
        <v>77</v>
      </c>
      <c r="W74" s="247">
        <v>13536615</v>
      </c>
      <c r="X74" s="247">
        <v>1</v>
      </c>
      <c r="Y74" s="245"/>
      <c r="Z74" s="253" t="s">
        <v>603</v>
      </c>
      <c r="AA74" s="253">
        <v>0</v>
      </c>
      <c r="AB74" s="253">
        <v>0</v>
      </c>
      <c r="AC74" s="253">
        <v>0</v>
      </c>
      <c r="AD74" s="253">
        <v>66</v>
      </c>
      <c r="AE74" s="253">
        <v>1</v>
      </c>
      <c r="AF74" s="253"/>
      <c r="AG74" s="253" t="s">
        <v>603</v>
      </c>
      <c r="AH74" s="253">
        <v>0</v>
      </c>
      <c r="AI74" s="253">
        <v>0</v>
      </c>
      <c r="AJ74" s="253">
        <v>0</v>
      </c>
      <c r="AK74" s="253">
        <v>3</v>
      </c>
      <c r="AL74" s="253">
        <v>1</v>
      </c>
      <c r="AM74" s="245"/>
      <c r="AN74" s="253" t="s">
        <v>603</v>
      </c>
      <c r="AO74" s="253">
        <v>28580450</v>
      </c>
      <c r="AP74" s="253">
        <v>130</v>
      </c>
      <c r="AQ74" s="253">
        <v>9</v>
      </c>
      <c r="AR74" s="253">
        <v>663</v>
      </c>
      <c r="AS74" s="253">
        <v>1</v>
      </c>
      <c r="AT74" s="245"/>
      <c r="AU74" s="253" t="s">
        <v>603</v>
      </c>
      <c r="AV74" s="253">
        <v>0</v>
      </c>
      <c r="AW74" s="253">
        <v>0</v>
      </c>
      <c r="AX74" s="253">
        <v>0</v>
      </c>
      <c r="AY74" s="253">
        <v>3</v>
      </c>
      <c r="AZ74" s="253">
        <v>1</v>
      </c>
      <c r="BA74" s="245"/>
      <c r="BB74" s="253" t="s">
        <v>601</v>
      </c>
      <c r="BC74" s="253">
        <v>452320830.55000001</v>
      </c>
      <c r="BD74" s="253">
        <v>909</v>
      </c>
      <c r="BE74" s="253">
        <v>90</v>
      </c>
      <c r="BF74" s="253">
        <v>8379</v>
      </c>
      <c r="BG74" s="253">
        <v>1</v>
      </c>
      <c r="BH74" s="247" t="s">
        <v>601</v>
      </c>
      <c r="BI74" s="253">
        <v>4404500</v>
      </c>
      <c r="BJ74" s="253">
        <v>9</v>
      </c>
      <c r="BK74" s="253">
        <v>2</v>
      </c>
      <c r="BL74" s="253">
        <v>524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378.91638609</v>
      </c>
      <c r="I75" s="164"/>
      <c r="J75" s="3"/>
      <c r="K75" s="228"/>
      <c r="L75" s="228"/>
      <c r="M75" s="228"/>
      <c r="O75" s="241" t="s">
        <v>101</v>
      </c>
      <c r="P75" s="241">
        <v>382.87113892000002</v>
      </c>
      <c r="Q75" s="239"/>
      <c r="S75" s="254" t="s">
        <v>447</v>
      </c>
      <c r="T75" s="257">
        <v>7156685858.2600002</v>
      </c>
      <c r="U75" s="257">
        <v>331025</v>
      </c>
      <c r="V75" s="257">
        <v>3817</v>
      </c>
      <c r="W75" s="257">
        <v>1244581</v>
      </c>
      <c r="X75" s="257">
        <v>1</v>
      </c>
      <c r="Y75" s="245"/>
      <c r="Z75" s="253" t="s">
        <v>604</v>
      </c>
      <c r="AA75" s="253">
        <v>151612654</v>
      </c>
      <c r="AB75" s="253">
        <v>3520</v>
      </c>
      <c r="AC75" s="253">
        <v>195</v>
      </c>
      <c r="AD75" s="253">
        <v>10369</v>
      </c>
      <c r="AE75" s="253">
        <v>1</v>
      </c>
      <c r="AF75" s="253"/>
      <c r="AG75" s="253" t="s">
        <v>604</v>
      </c>
      <c r="AH75" s="253">
        <v>5981605</v>
      </c>
      <c r="AI75" s="253">
        <v>132</v>
      </c>
      <c r="AJ75" s="253">
        <v>8</v>
      </c>
      <c r="AK75" s="253">
        <v>482</v>
      </c>
      <c r="AL75" s="253">
        <v>1</v>
      </c>
      <c r="AM75" s="245"/>
      <c r="AN75" s="253" t="s">
        <v>604</v>
      </c>
      <c r="AO75" s="253">
        <v>143267031.5</v>
      </c>
      <c r="AP75" s="253">
        <v>2990</v>
      </c>
      <c r="AQ75" s="253">
        <v>85</v>
      </c>
      <c r="AR75" s="253">
        <v>6252</v>
      </c>
      <c r="AS75" s="253">
        <v>1</v>
      </c>
      <c r="AT75" s="245"/>
      <c r="AU75" s="253" t="s">
        <v>604</v>
      </c>
      <c r="AV75" s="253">
        <v>0</v>
      </c>
      <c r="AW75" s="253">
        <v>0</v>
      </c>
      <c r="AX75" s="253">
        <v>0</v>
      </c>
      <c r="AY75" s="253">
        <v>141</v>
      </c>
      <c r="AZ75" s="253">
        <v>1</v>
      </c>
      <c r="BA75" s="245"/>
      <c r="BB75" s="253" t="s">
        <v>602</v>
      </c>
      <c r="BC75" s="253">
        <v>129051600</v>
      </c>
      <c r="BD75" s="253">
        <v>259</v>
      </c>
      <c r="BE75" s="253">
        <v>9</v>
      </c>
      <c r="BF75" s="253">
        <v>2120</v>
      </c>
      <c r="BG75" s="253">
        <v>1</v>
      </c>
      <c r="BH75" s="247" t="s">
        <v>602</v>
      </c>
      <c r="BI75" s="253">
        <v>0</v>
      </c>
      <c r="BJ75" s="253">
        <v>0</v>
      </c>
      <c r="BK75" s="253">
        <v>0</v>
      </c>
      <c r="BL75" s="253">
        <v>133</v>
      </c>
      <c r="BM75" s="253">
        <v>1</v>
      </c>
      <c r="BN75" s="253"/>
      <c r="BO75" s="256" t="s">
        <v>478</v>
      </c>
      <c r="BP75" s="264" t="s">
        <v>566</v>
      </c>
      <c r="BQ75" s="264" t="s">
        <v>567</v>
      </c>
      <c r="BR75" s="264" t="s">
        <v>568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673.98983078000003</v>
      </c>
      <c r="I76" s="164"/>
      <c r="J76" s="3"/>
      <c r="K76" s="228"/>
      <c r="L76" s="228"/>
      <c r="M76" s="228"/>
      <c r="O76" s="241" t="s">
        <v>103</v>
      </c>
      <c r="P76" s="241">
        <v>673.69010631000003</v>
      </c>
      <c r="Q76" s="239"/>
      <c r="R76" s="157"/>
      <c r="S76" s="253"/>
      <c r="T76" s="258"/>
      <c r="U76" s="258"/>
      <c r="V76" s="258"/>
      <c r="W76" s="258"/>
      <c r="X76" s="258"/>
      <c r="Y76" s="245"/>
      <c r="Z76" s="253" t="s">
        <v>605</v>
      </c>
      <c r="AA76" s="253">
        <v>458080</v>
      </c>
      <c r="AB76" s="253">
        <v>35</v>
      </c>
      <c r="AC76" s="253">
        <v>3</v>
      </c>
      <c r="AD76" s="253">
        <v>620</v>
      </c>
      <c r="AE76" s="253">
        <v>1</v>
      </c>
      <c r="AF76" s="253"/>
      <c r="AG76" s="253" t="s">
        <v>605</v>
      </c>
      <c r="AH76" s="253">
        <v>262080</v>
      </c>
      <c r="AI76" s="253">
        <v>20</v>
      </c>
      <c r="AJ76" s="253">
        <v>1</v>
      </c>
      <c r="AK76" s="253">
        <v>45</v>
      </c>
      <c r="AL76" s="253">
        <v>1</v>
      </c>
      <c r="AM76" s="245"/>
      <c r="AN76" s="253" t="s">
        <v>605</v>
      </c>
      <c r="AO76" s="253">
        <v>353864</v>
      </c>
      <c r="AP76" s="253">
        <v>25</v>
      </c>
      <c r="AQ76" s="253">
        <v>3</v>
      </c>
      <c r="AR76" s="253">
        <v>470</v>
      </c>
      <c r="AS76" s="253">
        <v>1</v>
      </c>
      <c r="AT76" s="245"/>
      <c r="AU76" s="253" t="s">
        <v>605</v>
      </c>
      <c r="AV76" s="253">
        <v>0</v>
      </c>
      <c r="AW76" s="253">
        <v>0</v>
      </c>
      <c r="AX76" s="253">
        <v>0</v>
      </c>
      <c r="AY76" s="253">
        <v>20</v>
      </c>
      <c r="AZ76" s="253">
        <v>1</v>
      </c>
      <c r="BA76" s="245"/>
      <c r="BB76" s="253" t="s">
        <v>603</v>
      </c>
      <c r="BC76" s="253">
        <v>45757025</v>
      </c>
      <c r="BD76" s="253">
        <v>180</v>
      </c>
      <c r="BE76" s="253">
        <v>8</v>
      </c>
      <c r="BF76" s="253">
        <v>1386</v>
      </c>
      <c r="BG76" s="253">
        <v>1</v>
      </c>
      <c r="BH76" s="245" t="s">
        <v>603</v>
      </c>
      <c r="BI76" s="253">
        <v>0</v>
      </c>
      <c r="BJ76" s="253">
        <v>0</v>
      </c>
      <c r="BK76" s="253">
        <v>0</v>
      </c>
      <c r="BL76" s="253">
        <v>90</v>
      </c>
      <c r="BM76" s="253">
        <v>1</v>
      </c>
      <c r="BN76" s="253"/>
      <c r="BO76" s="247"/>
      <c r="BP76" s="263">
        <v>359702371304.69495</v>
      </c>
      <c r="BQ76" s="263">
        <v>1738859</v>
      </c>
      <c r="BR76" s="263">
        <v>221264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3509.9107093699999</v>
      </c>
      <c r="I77" s="164"/>
      <c r="J77" s="3"/>
      <c r="K77" s="228"/>
      <c r="L77" s="228"/>
      <c r="M77" s="228"/>
      <c r="O77" s="241" t="s">
        <v>306</v>
      </c>
      <c r="P77" s="241">
        <v>3512.17516789</v>
      </c>
      <c r="Q77" s="239"/>
      <c r="R77" s="157"/>
      <c r="S77" s="253"/>
      <c r="T77" s="258"/>
      <c r="U77" s="258"/>
      <c r="V77" s="258"/>
      <c r="W77" s="258"/>
      <c r="X77" s="258"/>
      <c r="Y77" s="245"/>
      <c r="Z77" s="253" t="s">
        <v>606</v>
      </c>
      <c r="AA77" s="253">
        <v>6609979527.5</v>
      </c>
      <c r="AB77" s="253">
        <v>27940</v>
      </c>
      <c r="AC77" s="253">
        <v>4001</v>
      </c>
      <c r="AD77" s="253">
        <v>213028</v>
      </c>
      <c r="AE77" s="253">
        <v>1</v>
      </c>
      <c r="AF77" s="253"/>
      <c r="AG77" s="253" t="s">
        <v>606</v>
      </c>
      <c r="AH77" s="253">
        <v>327462894.72500002</v>
      </c>
      <c r="AI77" s="253">
        <v>1354</v>
      </c>
      <c r="AJ77" s="253">
        <v>122</v>
      </c>
      <c r="AK77" s="253">
        <v>10335</v>
      </c>
      <c r="AL77" s="253">
        <v>1</v>
      </c>
      <c r="AM77" s="245"/>
      <c r="AN77" s="253" t="s">
        <v>606</v>
      </c>
      <c r="AO77" s="253">
        <v>8023431484.2150002</v>
      </c>
      <c r="AP77" s="253">
        <v>33879</v>
      </c>
      <c r="AQ77" s="253">
        <v>3481</v>
      </c>
      <c r="AR77" s="253">
        <v>198560</v>
      </c>
      <c r="AS77" s="253">
        <v>1</v>
      </c>
      <c r="AT77" s="245"/>
      <c r="AU77" s="253" t="s">
        <v>606</v>
      </c>
      <c r="AV77" s="253">
        <v>416490003.13999999</v>
      </c>
      <c r="AW77" s="253">
        <v>1732</v>
      </c>
      <c r="AX77" s="253">
        <v>130</v>
      </c>
      <c r="AY77" s="253">
        <v>10061</v>
      </c>
      <c r="AZ77" s="253">
        <v>1</v>
      </c>
      <c r="BA77" s="245"/>
      <c r="BB77" s="253" t="s">
        <v>604</v>
      </c>
      <c r="BC77" s="253">
        <v>454937.5</v>
      </c>
      <c r="BD77" s="253">
        <v>9</v>
      </c>
      <c r="BE77" s="253">
        <v>3</v>
      </c>
      <c r="BF77" s="253">
        <v>21</v>
      </c>
      <c r="BG77" s="253">
        <v>1</v>
      </c>
      <c r="BH77" s="245" t="s">
        <v>604</v>
      </c>
      <c r="BI77" s="253">
        <v>0</v>
      </c>
      <c r="BJ77" s="253">
        <v>0</v>
      </c>
      <c r="BK77" s="253">
        <v>0</v>
      </c>
      <c r="BL77" s="253">
        <v>5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43266</v>
      </c>
      <c r="D78" s="190">
        <v>68064.099795679998</v>
      </c>
      <c r="E78" s="223">
        <v>1</v>
      </c>
      <c r="F78" s="209"/>
      <c r="G78" s="223" t="s">
        <v>307</v>
      </c>
      <c r="H78" s="223">
        <v>212.37054816</v>
      </c>
      <c r="I78" s="164"/>
      <c r="J78" s="63"/>
      <c r="K78" s="228"/>
      <c r="L78" s="228"/>
      <c r="M78" s="228"/>
      <c r="O78" s="241" t="s">
        <v>307</v>
      </c>
      <c r="P78" s="241">
        <v>228.89743906999999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607</v>
      </c>
      <c r="AA78" s="253">
        <v>18265977121.599998</v>
      </c>
      <c r="AB78" s="253">
        <v>86127</v>
      </c>
      <c r="AC78" s="253">
        <v>12548</v>
      </c>
      <c r="AD78" s="253">
        <v>739821</v>
      </c>
      <c r="AE78" s="253">
        <v>1</v>
      </c>
      <c r="AF78" s="253"/>
      <c r="AG78" s="253" t="s">
        <v>607</v>
      </c>
      <c r="AH78" s="253">
        <v>725557917.90999997</v>
      </c>
      <c r="AI78" s="253">
        <v>3294</v>
      </c>
      <c r="AJ78" s="253">
        <v>718</v>
      </c>
      <c r="AK78" s="253">
        <v>35075</v>
      </c>
      <c r="AL78" s="253">
        <v>1</v>
      </c>
      <c r="AM78" s="245"/>
      <c r="AN78" s="253" t="s">
        <v>607</v>
      </c>
      <c r="AO78" s="253">
        <v>17151534664.92</v>
      </c>
      <c r="AP78" s="253">
        <v>80953</v>
      </c>
      <c r="AQ78" s="253">
        <v>11841</v>
      </c>
      <c r="AR78" s="253">
        <v>725728</v>
      </c>
      <c r="AS78" s="253">
        <v>1</v>
      </c>
      <c r="AT78" s="245"/>
      <c r="AU78" s="253" t="s">
        <v>607</v>
      </c>
      <c r="AV78" s="253">
        <v>1550203403.97</v>
      </c>
      <c r="AW78" s="253">
        <v>7344</v>
      </c>
      <c r="AX78" s="253">
        <v>457</v>
      </c>
      <c r="AY78" s="253">
        <v>32379</v>
      </c>
      <c r="AZ78" s="253">
        <v>1</v>
      </c>
      <c r="BA78" s="245"/>
      <c r="BB78" s="253" t="s">
        <v>605</v>
      </c>
      <c r="BC78" s="253">
        <v>0</v>
      </c>
      <c r="BD78" s="253">
        <v>0</v>
      </c>
      <c r="BE78" s="253">
        <v>0</v>
      </c>
      <c r="BF78" s="253">
        <v>105</v>
      </c>
      <c r="BG78" s="253">
        <v>1</v>
      </c>
      <c r="BH78" s="245" t="s">
        <v>605</v>
      </c>
      <c r="BI78" s="253">
        <v>0</v>
      </c>
      <c r="BJ78" s="253">
        <v>0</v>
      </c>
      <c r="BK78" s="253">
        <v>0</v>
      </c>
      <c r="BL78" s="253">
        <v>5</v>
      </c>
      <c r="BM78" s="253">
        <v>1</v>
      </c>
      <c r="BN78" s="253"/>
      <c r="BO78" s="256" t="s">
        <v>497</v>
      </c>
      <c r="BP78" s="264" t="s">
        <v>566</v>
      </c>
      <c r="BQ78" s="264" t="s">
        <v>567</v>
      </c>
      <c r="BR78" s="264" t="s">
        <v>568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9255.5265997000006</v>
      </c>
      <c r="I79" s="164"/>
      <c r="J79" s="63"/>
      <c r="K79" s="228"/>
      <c r="L79" s="228"/>
      <c r="M79" s="228"/>
      <c r="O79" s="241" t="s">
        <v>308</v>
      </c>
      <c r="P79" s="241">
        <v>8948.0880078900009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608</v>
      </c>
      <c r="AA79" s="253">
        <v>15190033007.459999</v>
      </c>
      <c r="AB79" s="253">
        <v>69283</v>
      </c>
      <c r="AC79" s="253">
        <v>7733</v>
      </c>
      <c r="AD79" s="253">
        <v>620333</v>
      </c>
      <c r="AE79" s="253">
        <v>1</v>
      </c>
      <c r="AF79" s="253"/>
      <c r="AG79" s="253" t="s">
        <v>608</v>
      </c>
      <c r="AH79" s="253">
        <v>790545266.87</v>
      </c>
      <c r="AI79" s="253">
        <v>3524</v>
      </c>
      <c r="AJ79" s="253">
        <v>534</v>
      </c>
      <c r="AK79" s="253">
        <v>29466</v>
      </c>
      <c r="AL79" s="253">
        <v>1</v>
      </c>
      <c r="AM79" s="245"/>
      <c r="AN79" s="253" t="s">
        <v>608</v>
      </c>
      <c r="AO79" s="253">
        <v>17583884910.290001</v>
      </c>
      <c r="AP79" s="253">
        <v>79443</v>
      </c>
      <c r="AQ79" s="253">
        <v>8004</v>
      </c>
      <c r="AR79" s="253">
        <v>546865</v>
      </c>
      <c r="AS79" s="253">
        <v>1</v>
      </c>
      <c r="AT79" s="245"/>
      <c r="AU79" s="253" t="s">
        <v>608</v>
      </c>
      <c r="AV79" s="253">
        <v>2526435933.9499998</v>
      </c>
      <c r="AW79" s="253">
        <v>11439</v>
      </c>
      <c r="AX79" s="253">
        <v>376</v>
      </c>
      <c r="AY79" s="253">
        <v>25545</v>
      </c>
      <c r="AZ79" s="253">
        <v>1</v>
      </c>
      <c r="BA79" s="245"/>
      <c r="BB79" s="253" t="s">
        <v>606</v>
      </c>
      <c r="BC79" s="253">
        <v>6146609901.5699997</v>
      </c>
      <c r="BD79" s="253">
        <v>25161</v>
      </c>
      <c r="BE79" s="253">
        <v>3160</v>
      </c>
      <c r="BF79" s="253">
        <v>268497</v>
      </c>
      <c r="BG79" s="253">
        <v>1</v>
      </c>
      <c r="BH79" s="245" t="s">
        <v>606</v>
      </c>
      <c r="BI79" s="253">
        <v>162955214.70500001</v>
      </c>
      <c r="BJ79" s="253">
        <v>682</v>
      </c>
      <c r="BK79" s="253">
        <v>84</v>
      </c>
      <c r="BL79" s="253">
        <v>13066</v>
      </c>
      <c r="BM79" s="253">
        <v>1</v>
      </c>
      <c r="BN79" s="253"/>
      <c r="BO79" s="251"/>
      <c r="BP79" s="263">
        <v>1170902386.1799901</v>
      </c>
      <c r="BQ79" s="263">
        <v>160698</v>
      </c>
      <c r="BR79" s="263">
        <v>15882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17.088347160000001</v>
      </c>
      <c r="I80" s="164"/>
      <c r="J80" s="3"/>
      <c r="K80" s="228"/>
      <c r="L80" s="228"/>
      <c r="M80" s="228"/>
      <c r="O80" s="241" t="s">
        <v>309</v>
      </c>
      <c r="P80" s="241">
        <v>8.8529991300000006</v>
      </c>
      <c r="Q80" s="239"/>
      <c r="R80" s="153" t="s">
        <v>457</v>
      </c>
      <c r="S80" s="253" t="s">
        <v>565</v>
      </c>
      <c r="T80" s="258" t="s">
        <v>566</v>
      </c>
      <c r="U80" s="258" t="s">
        <v>567</v>
      </c>
      <c r="V80" s="258" t="s">
        <v>568</v>
      </c>
      <c r="W80" s="258" t="s">
        <v>569</v>
      </c>
      <c r="X80" s="258" t="s">
        <v>570</v>
      </c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 t="s">
        <v>607</v>
      </c>
      <c r="BC80" s="245">
        <v>19546766026.339989</v>
      </c>
      <c r="BD80" s="245">
        <v>102056</v>
      </c>
      <c r="BE80" s="245">
        <v>15861</v>
      </c>
      <c r="BF80" s="245">
        <v>746197</v>
      </c>
      <c r="BG80" s="245">
        <v>1</v>
      </c>
      <c r="BH80" s="245" t="s">
        <v>607</v>
      </c>
      <c r="BI80" s="245">
        <v>506269160.88</v>
      </c>
      <c r="BJ80" s="245">
        <v>2690</v>
      </c>
      <c r="BK80" s="245">
        <v>445</v>
      </c>
      <c r="BL80" s="245">
        <v>37183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1150.0756960599999</v>
      </c>
      <c r="I81" s="164"/>
      <c r="J81" s="3"/>
      <c r="K81" s="228"/>
      <c r="L81" s="228"/>
      <c r="M81" s="228"/>
      <c r="O81" s="241" t="s">
        <v>311</v>
      </c>
      <c r="P81" s="241">
        <v>1161.56147158</v>
      </c>
      <c r="Q81" s="239"/>
      <c r="R81" s="157"/>
      <c r="S81" s="253" t="s">
        <v>451</v>
      </c>
      <c r="T81" s="258">
        <v>0</v>
      </c>
      <c r="U81" s="258">
        <v>0</v>
      </c>
      <c r="V81" s="258">
        <v>0</v>
      </c>
      <c r="W81" s="258">
        <v>277130</v>
      </c>
      <c r="X81" s="258">
        <v>0</v>
      </c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 t="s">
        <v>616</v>
      </c>
      <c r="BC81" s="245">
        <v>311629440</v>
      </c>
      <c r="BD81" s="245">
        <v>1616</v>
      </c>
      <c r="BE81" s="245">
        <v>2</v>
      </c>
      <c r="BF81" s="245">
        <v>22624</v>
      </c>
      <c r="BG81" s="245">
        <v>1</v>
      </c>
      <c r="BH81" s="245" t="s">
        <v>608</v>
      </c>
      <c r="BI81" s="245">
        <v>302675358.79000002</v>
      </c>
      <c r="BJ81" s="245">
        <v>1536</v>
      </c>
      <c r="BK81" s="245">
        <v>205</v>
      </c>
      <c r="BL81" s="245">
        <v>29420</v>
      </c>
      <c r="BM81" s="245">
        <v>1</v>
      </c>
      <c r="BN81" s="245"/>
      <c r="BO81" s="256" t="s">
        <v>479</v>
      </c>
      <c r="BP81" s="264" t="s">
        <v>566</v>
      </c>
      <c r="BQ81" s="264" t="s">
        <v>567</v>
      </c>
      <c r="BR81" s="264" t="s">
        <v>568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9275.9826146399992</v>
      </c>
      <c r="I82" s="164"/>
      <c r="J82" s="157"/>
      <c r="K82" s="228"/>
      <c r="L82" s="228"/>
      <c r="M82" s="228"/>
      <c r="O82" s="241" t="s">
        <v>312</v>
      </c>
      <c r="P82" s="241">
        <v>8841.3945488499994</v>
      </c>
      <c r="Q82" s="239"/>
      <c r="R82" s="157"/>
      <c r="S82" s="253" t="s">
        <v>446</v>
      </c>
      <c r="T82" s="258">
        <v>98332523.069999993</v>
      </c>
      <c r="U82" s="258">
        <v>9296</v>
      </c>
      <c r="V82" s="258">
        <v>73</v>
      </c>
      <c r="W82" s="258">
        <v>926852</v>
      </c>
      <c r="X82" s="258">
        <v>0</v>
      </c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 t="s">
        <v>608</v>
      </c>
      <c r="BC82" s="245">
        <v>15443167788.77</v>
      </c>
      <c r="BD82" s="245">
        <v>76658</v>
      </c>
      <c r="BE82" s="245">
        <v>8945</v>
      </c>
      <c r="BF82" s="245">
        <v>637526</v>
      </c>
      <c r="BG82" s="245">
        <v>1</v>
      </c>
      <c r="BH82" s="245"/>
      <c r="BI82" s="245"/>
      <c r="BJ82" s="245"/>
      <c r="BK82" s="245"/>
      <c r="BL82" s="245"/>
      <c r="BM82" s="245"/>
      <c r="BN82" s="245"/>
      <c r="BO82" s="247"/>
      <c r="BP82" s="263">
        <v>339297295337.61194</v>
      </c>
      <c r="BQ82" s="263">
        <v>1605268</v>
      </c>
      <c r="BR82" s="263">
        <v>205978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1138.1979481000001</v>
      </c>
      <c r="I83" s="164"/>
      <c r="J83" s="157"/>
      <c r="K83" s="228"/>
      <c r="L83" s="228"/>
      <c r="M83" s="228"/>
      <c r="O83" s="241" t="s">
        <v>313</v>
      </c>
      <c r="P83" s="241">
        <v>1137.23910976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 t="s">
        <v>617</v>
      </c>
      <c r="BC83" s="245">
        <v>0</v>
      </c>
      <c r="BD83" s="245">
        <v>0</v>
      </c>
      <c r="BE83" s="245">
        <v>0</v>
      </c>
      <c r="BF83" s="245">
        <v>0</v>
      </c>
      <c r="BG83" s="245">
        <v>1</v>
      </c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11352.99630705</v>
      </c>
      <c r="I84" s="164"/>
      <c r="J84" s="157"/>
      <c r="K84" s="228"/>
      <c r="L84" s="228"/>
      <c r="M84" s="228"/>
      <c r="O84" s="241" t="s">
        <v>60</v>
      </c>
      <c r="P84" s="241">
        <v>11343.463263330001</v>
      </c>
      <c r="Q84" s="239"/>
      <c r="R84" s="157"/>
      <c r="S84" s="253" t="s">
        <v>447</v>
      </c>
      <c r="T84" s="258">
        <v>73545.600000000006</v>
      </c>
      <c r="U84" s="258">
        <v>120</v>
      </c>
      <c r="V84" s="258">
        <v>2</v>
      </c>
      <c r="W84" s="258">
        <v>2240696</v>
      </c>
      <c r="X84" s="258">
        <v>0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 t="s">
        <v>618</v>
      </c>
      <c r="BC84" s="245">
        <v>0</v>
      </c>
      <c r="BD84" s="245">
        <v>0</v>
      </c>
      <c r="BE84" s="245">
        <v>0</v>
      </c>
      <c r="BF84" s="245">
        <v>0</v>
      </c>
      <c r="BG84" s="245">
        <v>1</v>
      </c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566</v>
      </c>
      <c r="BQ84" s="264" t="s">
        <v>567</v>
      </c>
      <c r="BR84" s="264" t="s">
        <v>568</v>
      </c>
    </row>
    <row r="85" spans="1:70" x14ac:dyDescent="0.2">
      <c r="A85" s="149"/>
      <c r="B85" s="190" t="s">
        <v>557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12461.577867829999</v>
      </c>
      <c r="I85" s="164"/>
      <c r="J85" s="157"/>
      <c r="K85" s="228"/>
      <c r="L85" s="228"/>
      <c r="M85" s="228"/>
      <c r="O85" s="241" t="s">
        <v>53</v>
      </c>
      <c r="P85" s="241">
        <v>12457.16793012</v>
      </c>
      <c r="Q85" s="239"/>
      <c r="R85" s="157"/>
      <c r="S85" s="253" t="s">
        <v>571</v>
      </c>
      <c r="T85" s="258">
        <v>0</v>
      </c>
      <c r="U85" s="258">
        <v>0</v>
      </c>
      <c r="V85" s="258">
        <v>0</v>
      </c>
      <c r="W85" s="258">
        <v>0</v>
      </c>
      <c r="X85" s="258">
        <v>1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 t="s">
        <v>619</v>
      </c>
      <c r="BC85" s="245">
        <v>0</v>
      </c>
      <c r="BD85" s="245">
        <v>0</v>
      </c>
      <c r="BE85" s="245">
        <v>0</v>
      </c>
      <c r="BF85" s="245">
        <v>0</v>
      </c>
      <c r="BG85" s="245">
        <v>1</v>
      </c>
      <c r="BH85" s="245"/>
      <c r="BI85" s="245"/>
      <c r="BJ85" s="245"/>
      <c r="BK85" s="245"/>
      <c r="BL85" s="245"/>
      <c r="BM85" s="245"/>
      <c r="BN85" s="245"/>
      <c r="BO85" s="247"/>
      <c r="BP85" s="263">
        <v>2013776513.8699901</v>
      </c>
      <c r="BQ85" s="263">
        <v>166566</v>
      </c>
      <c r="BR85" s="263">
        <v>17388</v>
      </c>
    </row>
    <row r="86" spans="1:70" x14ac:dyDescent="0.2">
      <c r="A86" s="149"/>
      <c r="B86" s="190" t="s">
        <v>558</v>
      </c>
      <c r="C86" s="193">
        <v>42118</v>
      </c>
      <c r="D86" s="190">
        <v>1225.1600000000001</v>
      </c>
      <c r="E86" s="223">
        <v>1</v>
      </c>
      <c r="F86" s="213"/>
      <c r="G86" s="223" t="s">
        <v>551</v>
      </c>
      <c r="H86" s="223">
        <v>17880.234364619999</v>
      </c>
      <c r="I86" s="164"/>
      <c r="J86" s="157"/>
      <c r="K86" s="228"/>
      <c r="L86" s="228"/>
      <c r="M86" s="228"/>
      <c r="O86" s="241" t="s">
        <v>551</v>
      </c>
      <c r="P86" s="241">
        <v>17510.113539919999</v>
      </c>
      <c r="Q86" s="239"/>
      <c r="R86" s="157"/>
      <c r="S86" s="253" t="s">
        <v>451</v>
      </c>
      <c r="T86" s="258">
        <v>195492520</v>
      </c>
      <c r="U86" s="258">
        <v>400</v>
      </c>
      <c r="V86" s="258">
        <v>2</v>
      </c>
      <c r="W86" s="258">
        <v>303759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559</v>
      </c>
      <c r="C87" s="193">
        <v>42143</v>
      </c>
      <c r="D87" s="190">
        <v>1310.1099999999999</v>
      </c>
      <c r="E87" s="223">
        <v>1</v>
      </c>
      <c r="F87" s="213"/>
      <c r="G87" s="223" t="s">
        <v>552</v>
      </c>
      <c r="H87" s="223">
        <v>18410.388418179999</v>
      </c>
      <c r="I87" s="164"/>
      <c r="J87" s="157"/>
      <c r="K87" s="228"/>
      <c r="L87" s="228"/>
      <c r="M87" s="228"/>
      <c r="O87" s="241" t="s">
        <v>552</v>
      </c>
      <c r="P87" s="241">
        <v>18161.70468223</v>
      </c>
      <c r="Q87" s="239"/>
      <c r="R87" s="157"/>
      <c r="S87" s="253" t="s">
        <v>448</v>
      </c>
      <c r="T87" s="258">
        <v>0</v>
      </c>
      <c r="U87" s="258">
        <v>7352</v>
      </c>
      <c r="V87" s="258">
        <v>181</v>
      </c>
      <c r="W87" s="258">
        <v>874404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569</v>
      </c>
      <c r="BQ87" s="245"/>
      <c r="BR87" s="245"/>
    </row>
    <row r="88" spans="1:70" x14ac:dyDescent="0.2">
      <c r="A88" s="151"/>
      <c r="B88" s="190" t="s">
        <v>560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7065.9293116099998</v>
      </c>
      <c r="I88" s="164"/>
      <c r="J88" s="157"/>
      <c r="K88" s="228"/>
      <c r="L88" s="228"/>
      <c r="M88" s="228"/>
      <c r="O88" s="241" t="s">
        <v>314</v>
      </c>
      <c r="P88" s="241">
        <v>7373.7753997999998</v>
      </c>
      <c r="Q88" s="239"/>
      <c r="R88" s="157"/>
      <c r="S88" s="247" t="s">
        <v>182</v>
      </c>
      <c r="T88" s="247">
        <v>2212833.6</v>
      </c>
      <c r="U88" s="247">
        <v>27800</v>
      </c>
      <c r="V88" s="247">
        <v>11</v>
      </c>
      <c r="W88" s="247">
        <v>2087844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130000</v>
      </c>
      <c r="BQ88" s="245"/>
      <c r="BR88" s="245"/>
    </row>
    <row r="89" spans="1:70" x14ac:dyDescent="0.2">
      <c r="A89" s="14"/>
      <c r="B89" s="190" t="s">
        <v>561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25368.29063136</v>
      </c>
      <c r="I89" s="164"/>
      <c r="J89" s="157"/>
      <c r="K89" s="228"/>
      <c r="L89" s="228"/>
      <c r="M89" s="228"/>
      <c r="O89" s="241" t="s">
        <v>315</v>
      </c>
      <c r="P89" s="241">
        <v>25635.298721790001</v>
      </c>
      <c r="Q89" s="239"/>
      <c r="S89" s="245" t="s">
        <v>446</v>
      </c>
      <c r="T89" s="245">
        <v>15749297041.8673</v>
      </c>
      <c r="U89" s="245">
        <v>56833</v>
      </c>
      <c r="V89" s="245">
        <v>11435</v>
      </c>
      <c r="W89" s="245">
        <v>666947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562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5613.3752566100002</v>
      </c>
      <c r="I90" s="164"/>
      <c r="J90" s="157"/>
      <c r="K90" s="228"/>
      <c r="L90" s="228"/>
      <c r="M90" s="228"/>
      <c r="O90" s="241" t="s">
        <v>316</v>
      </c>
      <c r="P90" s="241">
        <v>5289.0168590599997</v>
      </c>
      <c r="Q90" s="239"/>
      <c r="S90" s="245" t="s">
        <v>449</v>
      </c>
      <c r="T90" s="245">
        <v>2000577.3</v>
      </c>
      <c r="U90" s="245">
        <v>150</v>
      </c>
      <c r="V90" s="245">
        <v>1</v>
      </c>
      <c r="W90" s="245">
        <v>14035216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569</v>
      </c>
      <c r="BQ90" s="245"/>
      <c r="BR90" s="245"/>
    </row>
    <row r="91" spans="1:70" x14ac:dyDescent="0.2">
      <c r="A91" s="149"/>
      <c r="B91" s="190" t="s">
        <v>563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12987.95383172</v>
      </c>
      <c r="I91" s="164"/>
      <c r="J91" s="157"/>
      <c r="K91" s="228"/>
      <c r="L91" s="228"/>
      <c r="M91" s="228"/>
      <c r="O91" s="241" t="s">
        <v>72</v>
      </c>
      <c r="P91" s="241">
        <v>12261.588019680001</v>
      </c>
      <c r="Q91" s="239"/>
      <c r="S91" s="245" t="s">
        <v>450</v>
      </c>
      <c r="T91" s="245">
        <v>0</v>
      </c>
      <c r="U91" s="245">
        <v>128</v>
      </c>
      <c r="V91" s="245">
        <v>1</v>
      </c>
      <c r="W91" s="245">
        <v>13536615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36170</v>
      </c>
      <c r="BQ91" s="245"/>
      <c r="BR91" s="245"/>
    </row>
    <row r="92" spans="1:70" x14ac:dyDescent="0.2">
      <c r="A92" s="149"/>
      <c r="B92" s="190" t="s">
        <v>564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28789.49337068</v>
      </c>
      <c r="I92" s="164"/>
      <c r="J92" s="157"/>
      <c r="K92" s="228"/>
      <c r="L92" s="228"/>
      <c r="M92" s="228"/>
      <c r="O92" s="241" t="s">
        <v>74</v>
      </c>
      <c r="P92" s="241">
        <v>29208.302627109999</v>
      </c>
      <c r="Q92" s="239"/>
      <c r="S92" s="245" t="s">
        <v>447</v>
      </c>
      <c r="T92" s="245">
        <v>455098509.10000002</v>
      </c>
      <c r="U92" s="245">
        <v>10386</v>
      </c>
      <c r="V92" s="245">
        <v>189</v>
      </c>
      <c r="W92" s="245">
        <v>1244581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47743.537224849999</v>
      </c>
      <c r="I93" s="164"/>
      <c r="J93" s="157"/>
      <c r="K93" s="228"/>
      <c r="L93" s="228"/>
      <c r="M93" s="228"/>
      <c r="O93" s="241" t="s">
        <v>76</v>
      </c>
      <c r="P93" s="241">
        <v>47534.448187180002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548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64955.850453749998</v>
      </c>
      <c r="I94" s="164"/>
      <c r="J94" s="157"/>
      <c r="K94" s="228"/>
      <c r="L94" s="228"/>
      <c r="M94" s="228"/>
      <c r="O94" s="241" t="s">
        <v>78</v>
      </c>
      <c r="P94" s="241">
        <v>64331.528597130004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549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11820.09153315</v>
      </c>
      <c r="I95" s="164"/>
      <c r="J95" s="157"/>
      <c r="K95" s="228"/>
      <c r="L95" s="228"/>
      <c r="M95" s="228"/>
      <c r="O95" s="241" t="s">
        <v>317</v>
      </c>
      <c r="P95" s="241">
        <v>11983.95274386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6926.6556162699999</v>
      </c>
      <c r="I96" s="164"/>
      <c r="J96" s="157"/>
      <c r="K96" s="228"/>
      <c r="L96" s="228"/>
      <c r="M96" s="228"/>
      <c r="O96" s="241" t="s">
        <v>318</v>
      </c>
      <c r="P96" s="241">
        <v>6929.6229626000004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6618.2678684299999</v>
      </c>
      <c r="I97" s="164"/>
      <c r="K97" s="228"/>
      <c r="L97" s="228"/>
      <c r="M97" s="228"/>
      <c r="O97" s="241" t="s">
        <v>88</v>
      </c>
      <c r="P97" s="241">
        <v>6799.6397128099998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23797.341409119999</v>
      </c>
      <c r="I98" s="164"/>
      <c r="K98" s="228"/>
      <c r="L98" s="228"/>
      <c r="M98" s="228"/>
      <c r="O98" s="241" t="s">
        <v>80</v>
      </c>
      <c r="P98" s="241">
        <v>25100.27051676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704.98192907999999</v>
      </c>
      <c r="I99" s="164"/>
      <c r="K99" s="228"/>
      <c r="L99" s="228"/>
      <c r="M99" s="228"/>
      <c r="O99" s="241" t="s">
        <v>319</v>
      </c>
      <c r="P99" s="241">
        <v>757.65579436999997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6248.9496072900001</v>
      </c>
      <c r="I100" s="164"/>
      <c r="K100" s="228"/>
      <c r="L100" s="228"/>
      <c r="M100" s="228"/>
      <c r="O100" s="241" t="s">
        <v>86</v>
      </c>
      <c r="P100" s="241">
        <v>5804.0514080800003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4885.7117094100004</v>
      </c>
      <c r="I101" s="164"/>
      <c r="K101" s="228"/>
      <c r="L101" s="228"/>
      <c r="M101" s="228"/>
      <c r="O101" s="241" t="s">
        <v>320</v>
      </c>
      <c r="P101" s="241">
        <v>4791.9987785699996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43902.71327837</v>
      </c>
      <c r="I102" s="164"/>
      <c r="K102" s="228"/>
      <c r="L102" s="228"/>
      <c r="M102" s="228"/>
      <c r="O102" s="241" t="s">
        <v>82</v>
      </c>
      <c r="P102" s="241">
        <v>42012.07831063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29842.89586737</v>
      </c>
      <c r="I103" s="164"/>
      <c r="K103" s="228"/>
      <c r="L103" s="228"/>
      <c r="M103" s="228"/>
      <c r="O103" s="241" t="s">
        <v>84</v>
      </c>
      <c r="P103" s="241">
        <v>25840.787132599999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8586.55957958</v>
      </c>
      <c r="I104" s="164"/>
      <c r="K104" s="228"/>
      <c r="L104" s="228"/>
      <c r="M104" s="228"/>
      <c r="O104" s="241" t="s">
        <v>321</v>
      </c>
      <c r="P104" s="241">
        <v>8530.1181158700001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1617.4355799</v>
      </c>
      <c r="I105" s="164"/>
      <c r="K105" s="228"/>
      <c r="L105" s="228"/>
      <c r="M105" s="228"/>
      <c r="O105" s="241" t="s">
        <v>322</v>
      </c>
      <c r="P105" s="241">
        <v>1574.1028148099999</v>
      </c>
    </row>
    <row r="106" spans="1:16" x14ac:dyDescent="0.2">
      <c r="B106" s="190" t="s">
        <v>285</v>
      </c>
      <c r="C106" s="193">
        <v>43052</v>
      </c>
      <c r="D106" s="190">
        <v>376.15467045999998</v>
      </c>
      <c r="E106" s="223">
        <v>1</v>
      </c>
      <c r="F106" s="213"/>
      <c r="G106" s="223" t="s">
        <v>323</v>
      </c>
      <c r="H106" s="223">
        <v>205.68480452</v>
      </c>
      <c r="I106" s="164"/>
      <c r="K106" s="228"/>
      <c r="L106" s="228"/>
      <c r="M106" s="228"/>
      <c r="O106" s="241" t="s">
        <v>323</v>
      </c>
      <c r="P106" s="241">
        <v>190.58211535000001</v>
      </c>
    </row>
    <row r="107" spans="1:16" x14ac:dyDescent="0.2">
      <c r="B107" s="190" t="s">
        <v>286</v>
      </c>
      <c r="C107" s="193">
        <v>43052</v>
      </c>
      <c r="D107" s="190">
        <v>280.31799875000002</v>
      </c>
      <c r="E107" s="223">
        <v>1</v>
      </c>
      <c r="F107" s="213"/>
      <c r="G107" s="223" t="s">
        <v>553</v>
      </c>
      <c r="H107" s="223">
        <v>14167.24762048</v>
      </c>
      <c r="I107" s="164"/>
      <c r="K107" s="228"/>
      <c r="L107" s="228"/>
      <c r="M107" s="228"/>
      <c r="O107" s="241" t="s">
        <v>553</v>
      </c>
      <c r="P107" s="241">
        <v>14418.330508499999</v>
      </c>
    </row>
    <row r="108" spans="1:16" x14ac:dyDescent="0.2">
      <c r="B108" s="190" t="s">
        <v>287</v>
      </c>
      <c r="C108" s="193">
        <v>43052</v>
      </c>
      <c r="D108" s="190">
        <v>217.9566356</v>
      </c>
      <c r="E108" s="223">
        <v>1</v>
      </c>
      <c r="F108" s="209"/>
      <c r="G108" s="223" t="s">
        <v>554</v>
      </c>
      <c r="H108" s="223">
        <v>13690.96048605</v>
      </c>
      <c r="I108" s="164"/>
      <c r="K108" s="228"/>
      <c r="L108" s="228"/>
      <c r="M108" s="228"/>
      <c r="O108" s="241" t="s">
        <v>554</v>
      </c>
      <c r="P108" s="241">
        <v>13891.36686873</v>
      </c>
    </row>
    <row r="109" spans="1:16" x14ac:dyDescent="0.2">
      <c r="B109" s="190" t="s">
        <v>288</v>
      </c>
      <c r="C109" s="193">
        <v>43052</v>
      </c>
      <c r="D109" s="190">
        <v>484.68717138</v>
      </c>
      <c r="E109" s="223">
        <v>1</v>
      </c>
      <c r="F109" s="209"/>
      <c r="G109" s="223" t="s">
        <v>555</v>
      </c>
      <c r="H109" s="223">
        <v>10725.162228110001</v>
      </c>
      <c r="I109" s="164"/>
      <c r="K109" s="228"/>
      <c r="L109" s="228"/>
      <c r="M109" s="228"/>
      <c r="O109" s="241" t="s">
        <v>555</v>
      </c>
      <c r="P109" s="241">
        <v>10722.47772579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9719.5347546100002</v>
      </c>
      <c r="I110" s="164"/>
      <c r="K110" s="228"/>
      <c r="L110" s="228"/>
      <c r="M110" s="228"/>
      <c r="O110" s="241" t="s">
        <v>324</v>
      </c>
      <c r="P110" s="241">
        <v>9026.1221017499993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79821.045539879997</v>
      </c>
      <c r="I111" s="164"/>
      <c r="K111" s="228"/>
      <c r="L111" s="228"/>
      <c r="M111" s="228"/>
      <c r="O111" s="241" t="s">
        <v>325</v>
      </c>
      <c r="P111" s="241">
        <v>75441.31533492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42082.436929019997</v>
      </c>
      <c r="I112" s="164"/>
      <c r="K112" s="228"/>
      <c r="L112" s="228"/>
      <c r="M112" s="228"/>
      <c r="O112" s="241" t="s">
        <v>326</v>
      </c>
      <c r="P112" s="241">
        <v>38766.236820689999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1155.6377843499999</v>
      </c>
      <c r="I113" s="164"/>
      <c r="K113" s="228"/>
      <c r="L113" s="228"/>
      <c r="M113" s="228"/>
      <c r="O113" s="241" t="s">
        <v>327</v>
      </c>
      <c r="P113" s="241">
        <v>1191.67109755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746.76131412999996</v>
      </c>
      <c r="I114" s="164"/>
      <c r="K114" s="228"/>
      <c r="L114" s="228"/>
      <c r="M114" s="228"/>
      <c r="O114" s="241" t="s">
        <v>190</v>
      </c>
      <c r="P114" s="241">
        <v>755.91971900999999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3636.9340538400002</v>
      </c>
      <c r="I115" s="164"/>
      <c r="K115" s="228"/>
      <c r="L115" s="228"/>
      <c r="M115" s="228"/>
      <c r="O115" s="241" t="s">
        <v>329</v>
      </c>
      <c r="P115" s="241">
        <v>3625.7558583999999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4216.0624189600003</v>
      </c>
      <c r="I116" s="164"/>
      <c r="K116" s="228"/>
      <c r="L116" s="228"/>
      <c r="M116" s="228"/>
      <c r="O116" s="241" t="s">
        <v>330</v>
      </c>
      <c r="P116" s="241">
        <v>4019.78973103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639.77758609</v>
      </c>
      <c r="I117" s="164"/>
      <c r="K117" s="228"/>
      <c r="L117" s="228"/>
      <c r="M117" s="228"/>
      <c r="O117" s="241" t="s">
        <v>331</v>
      </c>
      <c r="P117" s="241">
        <v>553.97963012000002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74.40785837</v>
      </c>
      <c r="I118" s="164"/>
      <c r="K118" s="228"/>
      <c r="L118" s="228"/>
      <c r="M118" s="228"/>
      <c r="O118" s="241" t="s">
        <v>333</v>
      </c>
      <c r="P118" s="241">
        <v>74.581044289999994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126.2691133</v>
      </c>
      <c r="I119" s="164"/>
      <c r="K119" s="228"/>
      <c r="L119" s="228"/>
      <c r="M119" s="228"/>
      <c r="O119" s="241" t="s">
        <v>334</v>
      </c>
      <c r="P119" s="241">
        <v>132.43280623000001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53.619142859999997</v>
      </c>
      <c r="I120" s="164"/>
      <c r="K120" s="228"/>
      <c r="L120" s="228"/>
      <c r="M120" s="228"/>
      <c r="O120" s="241" t="s">
        <v>335</v>
      </c>
      <c r="P120" s="241">
        <v>54.909486010000002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87.200280890000002</v>
      </c>
      <c r="I121" s="164"/>
      <c r="K121" s="228"/>
      <c r="L121" s="228"/>
      <c r="M121" s="228"/>
      <c r="O121" s="241" t="s">
        <v>336</v>
      </c>
      <c r="P121" s="241">
        <v>93.440292830000004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51314.99702422</v>
      </c>
      <c r="I122" s="164"/>
      <c r="K122" s="228"/>
      <c r="L122" s="228"/>
      <c r="M122" s="228"/>
      <c r="O122" s="241" t="s">
        <v>337</v>
      </c>
      <c r="P122" s="241">
        <v>51516.062929259999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4211.1209305100001</v>
      </c>
      <c r="I123" s="164"/>
      <c r="K123" s="228"/>
      <c r="L123" s="228"/>
      <c r="M123" s="228"/>
      <c r="O123" s="241" t="s">
        <v>338</v>
      </c>
      <c r="P123" s="241">
        <v>4040.2410281500001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57432.461255210001</v>
      </c>
      <c r="I124" s="164"/>
      <c r="K124" s="228"/>
      <c r="L124" s="228"/>
      <c r="M124" s="228"/>
      <c r="O124" s="241" t="s">
        <v>339</v>
      </c>
      <c r="P124" s="241">
        <v>57610.982370559999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12461.577867829999</v>
      </c>
      <c r="I125" s="164"/>
      <c r="K125" s="228"/>
      <c r="L125" s="228"/>
      <c r="M125" s="228"/>
      <c r="O125" s="241" t="s">
        <v>340</v>
      </c>
      <c r="P125" s="241">
        <v>12457.16793012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824.93302000000006</v>
      </c>
      <c r="I126" s="164"/>
      <c r="K126" s="228"/>
      <c r="L126" s="228"/>
      <c r="M126" s="228"/>
      <c r="O126" s="241" t="s">
        <v>341</v>
      </c>
      <c r="P126" s="241">
        <v>823.16117855000005</v>
      </c>
    </row>
    <row r="127" spans="2:16" x14ac:dyDescent="0.2">
      <c r="B127" s="190" t="s">
        <v>303</v>
      </c>
      <c r="C127" s="193">
        <v>43306</v>
      </c>
      <c r="D127" s="190">
        <v>13042.447</v>
      </c>
      <c r="E127" s="223">
        <v>1</v>
      </c>
      <c r="F127" s="209"/>
      <c r="G127" s="223" t="s">
        <v>343</v>
      </c>
      <c r="H127" s="223">
        <v>3170.2200355999998</v>
      </c>
      <c r="I127" s="164"/>
      <c r="K127" s="228"/>
      <c r="L127" s="228"/>
      <c r="M127" s="228"/>
      <c r="O127" s="241" t="s">
        <v>343</v>
      </c>
      <c r="P127" s="241">
        <v>3176.0878020199998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11352.99630705</v>
      </c>
      <c r="I128" s="164"/>
      <c r="K128" s="228"/>
      <c r="L128" s="228"/>
      <c r="M128" s="228"/>
      <c r="O128" s="241" t="s">
        <v>344</v>
      </c>
      <c r="P128" s="241">
        <v>11343.463263330001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29206.84</v>
      </c>
      <c r="I129" s="164"/>
      <c r="K129" s="228"/>
      <c r="L129" s="228"/>
      <c r="M129" s="228"/>
      <c r="O129" s="241" t="s">
        <v>345</v>
      </c>
      <c r="P129" s="241">
        <v>27573.41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10024.959999999999</v>
      </c>
      <c r="I130" s="164"/>
      <c r="K130" s="228"/>
      <c r="L130" s="228"/>
      <c r="M130" s="228"/>
      <c r="O130" s="241" t="s">
        <v>346</v>
      </c>
      <c r="P130" s="241">
        <v>9761.57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16733.75</v>
      </c>
      <c r="I131" s="164"/>
      <c r="K131" s="228"/>
      <c r="L131" s="228"/>
      <c r="M131" s="228"/>
      <c r="O131" s="241" t="s">
        <v>347</v>
      </c>
      <c r="P131" s="241">
        <v>16870.91</v>
      </c>
    </row>
    <row r="132" spans="2:16" x14ac:dyDescent="0.2">
      <c r="B132" s="190" t="s">
        <v>550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4138.68</v>
      </c>
      <c r="I132" s="164"/>
      <c r="K132" s="228"/>
      <c r="L132" s="228"/>
      <c r="M132" s="228"/>
      <c r="O132" s="241" t="s">
        <v>348</v>
      </c>
      <c r="P132" s="241">
        <v>4115.92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4418.8599999999997</v>
      </c>
      <c r="I133" s="164"/>
      <c r="K133" s="228"/>
      <c r="L133" s="228"/>
      <c r="M133" s="228"/>
      <c r="O133" s="241" t="s">
        <v>349</v>
      </c>
      <c r="P133" s="241">
        <v>4507.8100000000004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2749.2</v>
      </c>
      <c r="I134" s="164"/>
      <c r="K134" s="228"/>
      <c r="L134" s="228"/>
      <c r="M134" s="228"/>
      <c r="O134" s="241" t="s">
        <v>350</v>
      </c>
      <c r="P134" s="241">
        <v>3001.01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21162.080000000002</v>
      </c>
      <c r="I135" s="164"/>
      <c r="K135" s="228"/>
      <c r="L135" s="228"/>
      <c r="M135" s="228"/>
      <c r="O135" s="241" t="s">
        <v>351</v>
      </c>
      <c r="P135" s="241">
        <v>21002.51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2978.31</v>
      </c>
      <c r="I136" s="164"/>
      <c r="K136" s="228"/>
      <c r="L136" s="228"/>
      <c r="M136" s="228"/>
      <c r="O136" s="241" t="s">
        <v>352</v>
      </c>
      <c r="P136" s="241">
        <v>2929.76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5767.8</v>
      </c>
      <c r="I137" s="164"/>
      <c r="K137" s="228"/>
      <c r="L137" s="228"/>
      <c r="M137" s="228"/>
      <c r="O137" s="241" t="s">
        <v>353</v>
      </c>
      <c r="P137" s="241">
        <v>6424.5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6197.55</v>
      </c>
      <c r="I138" s="164"/>
      <c r="K138" s="228"/>
      <c r="L138" s="228"/>
      <c r="M138" s="228"/>
      <c r="O138" s="241" t="s">
        <v>354</v>
      </c>
      <c r="P138" s="241">
        <v>6012.32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5003.45</v>
      </c>
      <c r="I139" s="164"/>
      <c r="K139" s="228"/>
      <c r="L139" s="228"/>
      <c r="M139" s="228"/>
      <c r="O139" s="241" t="s">
        <v>355</v>
      </c>
      <c r="P139" s="241">
        <v>5057.59</v>
      </c>
    </row>
    <row r="140" spans="2:16" x14ac:dyDescent="0.2">
      <c r="B140" s="190" t="s">
        <v>311</v>
      </c>
      <c r="C140" s="193">
        <v>43042</v>
      </c>
      <c r="D140" s="190">
        <v>1309.0787797099999</v>
      </c>
      <c r="E140" s="223">
        <v>1</v>
      </c>
      <c r="F140" s="209"/>
      <c r="G140" s="223" t="s">
        <v>356</v>
      </c>
      <c r="H140" s="223">
        <v>6232.78</v>
      </c>
      <c r="I140" s="164"/>
      <c r="K140" s="228"/>
      <c r="L140" s="228"/>
      <c r="M140" s="228"/>
      <c r="O140" s="241" t="s">
        <v>356</v>
      </c>
      <c r="P140" s="241">
        <v>6236.8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20304.599999999999</v>
      </c>
      <c r="I141" s="164"/>
      <c r="K141" s="228"/>
      <c r="L141" s="228"/>
      <c r="M141" s="228"/>
      <c r="O141" s="241" t="s">
        <v>357</v>
      </c>
      <c r="P141" s="241">
        <v>21884.73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13906.06</v>
      </c>
      <c r="I142" s="164"/>
      <c r="K142" s="228"/>
      <c r="L142" s="228"/>
      <c r="M142" s="228"/>
      <c r="O142" s="241" t="s">
        <v>358</v>
      </c>
      <c r="P142" s="241">
        <v>13444.15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660.31</v>
      </c>
      <c r="I143" s="164"/>
      <c r="K143" s="228"/>
      <c r="L143" s="228"/>
      <c r="M143" s="228"/>
      <c r="O143" s="241" t="s">
        <v>359</v>
      </c>
      <c r="P143" s="241">
        <v>342.09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44440.34</v>
      </c>
      <c r="I144" s="164"/>
      <c r="K144" s="228"/>
      <c r="L144" s="228"/>
      <c r="M144" s="228"/>
      <c r="O144" s="241" t="s">
        <v>360</v>
      </c>
      <c r="P144" s="241">
        <v>44884.160000000003</v>
      </c>
    </row>
    <row r="145" spans="2:16" x14ac:dyDescent="0.2">
      <c r="B145" s="190" t="s">
        <v>551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9107.81</v>
      </c>
      <c r="I145" s="164"/>
      <c r="K145" s="228"/>
      <c r="L145" s="228"/>
      <c r="M145" s="228"/>
      <c r="O145" s="241" t="s">
        <v>361</v>
      </c>
      <c r="P145" s="241">
        <v>8681.11</v>
      </c>
    </row>
    <row r="146" spans="2:16" x14ac:dyDescent="0.2">
      <c r="B146" s="190" t="s">
        <v>552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14995.95</v>
      </c>
      <c r="I146" s="164"/>
      <c r="K146" s="228"/>
      <c r="L146" s="228"/>
      <c r="M146" s="228"/>
      <c r="O146" s="241" t="s">
        <v>362</v>
      </c>
      <c r="P146" s="241">
        <v>15649.29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21816.09</v>
      </c>
      <c r="I147" s="164"/>
      <c r="K147" s="228"/>
      <c r="L147" s="228"/>
      <c r="M147" s="228"/>
      <c r="O147" s="241" t="s">
        <v>363</v>
      </c>
      <c r="P147" s="241">
        <v>22045.71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30737.9</v>
      </c>
      <c r="I148" s="164"/>
      <c r="K148" s="228"/>
      <c r="L148" s="228"/>
      <c r="M148" s="228"/>
      <c r="O148" s="241" t="s">
        <v>364</v>
      </c>
      <c r="P148" s="241">
        <v>31164.18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11841.82</v>
      </c>
      <c r="I149" s="164"/>
      <c r="K149" s="228"/>
      <c r="L149" s="228"/>
      <c r="M149" s="228"/>
      <c r="O149" s="241" t="s">
        <v>365</v>
      </c>
      <c r="P149" s="241">
        <v>11846.89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97013.17</v>
      </c>
      <c r="I150" s="164"/>
      <c r="K150" s="228"/>
      <c r="L150" s="228"/>
      <c r="M150" s="228"/>
      <c r="O150" s="241" t="s">
        <v>366</v>
      </c>
      <c r="P150" s="241">
        <v>104262.57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6521.65</v>
      </c>
      <c r="I151" s="164"/>
      <c r="K151" s="228"/>
      <c r="L151" s="228"/>
      <c r="M151" s="228"/>
      <c r="O151" s="241" t="s">
        <v>367</v>
      </c>
      <c r="P151" s="241">
        <v>6396.56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4736.2</v>
      </c>
      <c r="I152" s="164"/>
      <c r="K152" s="228"/>
      <c r="L152" s="228"/>
      <c r="M152" s="228"/>
      <c r="O152" s="241" t="s">
        <v>368</v>
      </c>
      <c r="P152" s="241">
        <v>4609.3100000000004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7947.91</v>
      </c>
      <c r="I153" s="164"/>
      <c r="K153" s="228"/>
      <c r="L153" s="228"/>
      <c r="M153" s="228"/>
      <c r="O153" s="241" t="s">
        <v>369</v>
      </c>
      <c r="P153" s="241">
        <v>7364.33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13135.91</v>
      </c>
      <c r="I154" s="164"/>
      <c r="K154" s="228"/>
      <c r="L154" s="228"/>
      <c r="M154" s="228"/>
      <c r="O154" s="241" t="s">
        <v>370</v>
      </c>
      <c r="P154" s="241">
        <v>12198.77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18859.650000000001</v>
      </c>
      <c r="I155" s="164"/>
      <c r="K155" s="228"/>
      <c r="L155" s="228"/>
      <c r="M155" s="228"/>
      <c r="O155" s="241" t="s">
        <v>371</v>
      </c>
      <c r="P155" s="241">
        <v>17824.84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13209.19</v>
      </c>
      <c r="I156" s="164"/>
      <c r="K156" s="228"/>
      <c r="L156" s="228"/>
      <c r="M156" s="228"/>
      <c r="O156" s="241" t="s">
        <v>372</v>
      </c>
      <c r="P156" s="241">
        <v>12167.77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8672.7900000000009</v>
      </c>
      <c r="I157" s="164"/>
      <c r="K157" s="228"/>
      <c r="L157" s="228"/>
      <c r="M157" s="228"/>
      <c r="O157" s="241" t="s">
        <v>373</v>
      </c>
      <c r="P157" s="241">
        <v>8943.24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5950.95</v>
      </c>
      <c r="I158" s="164"/>
      <c r="K158" s="228"/>
      <c r="L158" s="228"/>
      <c r="M158" s="228"/>
      <c r="O158" s="241" t="s">
        <v>374</v>
      </c>
      <c r="P158" s="241">
        <v>6007.23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8013.96</v>
      </c>
      <c r="I159" s="164"/>
      <c r="K159" s="228"/>
      <c r="L159" s="228"/>
      <c r="M159" s="228"/>
      <c r="O159" s="241" t="s">
        <v>375</v>
      </c>
      <c r="P159" s="241">
        <v>7965.68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9569.0400000000009</v>
      </c>
      <c r="I160" s="164"/>
      <c r="K160" s="228"/>
      <c r="L160" s="228"/>
      <c r="M160" s="228"/>
      <c r="O160" s="241" t="s">
        <v>376</v>
      </c>
      <c r="P160" s="241">
        <v>9123.57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11789.62</v>
      </c>
      <c r="I161" s="164"/>
      <c r="K161" s="228"/>
      <c r="L161" s="228"/>
      <c r="M161" s="228"/>
      <c r="O161" s="241" t="s">
        <v>377</v>
      </c>
      <c r="P161" s="241">
        <v>10208.57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29206.84</v>
      </c>
      <c r="I162" s="164"/>
      <c r="K162" s="228"/>
      <c r="L162" s="228"/>
      <c r="M162" s="228"/>
      <c r="O162" s="241" t="s">
        <v>379</v>
      </c>
      <c r="P162" s="241">
        <v>27573.41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5596.61</v>
      </c>
      <c r="I163" s="164"/>
      <c r="K163" s="228"/>
      <c r="L163" s="228"/>
      <c r="M163" s="228"/>
      <c r="O163" s="241" t="s">
        <v>380</v>
      </c>
      <c r="P163" s="241">
        <v>5611.08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10665.39</v>
      </c>
      <c r="I164" s="164"/>
      <c r="K164" s="228"/>
      <c r="L164" s="228"/>
      <c r="M164" s="228"/>
      <c r="O164" s="241" t="s">
        <v>381</v>
      </c>
      <c r="P164" s="241">
        <v>10618.68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16078.03</v>
      </c>
      <c r="I165" s="164"/>
      <c r="K165" s="228"/>
      <c r="L165" s="228"/>
      <c r="M165" s="228"/>
      <c r="O165" s="241" t="s">
        <v>382</v>
      </c>
      <c r="P165" s="241">
        <v>15580.34</v>
      </c>
    </row>
    <row r="166" spans="2:16" x14ac:dyDescent="0.2">
      <c r="B166" s="190" t="s">
        <v>553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18271.87</v>
      </c>
      <c r="I166" s="164"/>
      <c r="K166" s="228"/>
      <c r="L166" s="228"/>
      <c r="M166" s="228"/>
      <c r="O166" s="241" t="s">
        <v>383</v>
      </c>
      <c r="P166" s="241">
        <v>18772.61</v>
      </c>
    </row>
    <row r="167" spans="2:16" x14ac:dyDescent="0.2">
      <c r="B167" s="190" t="s">
        <v>554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40170.5</v>
      </c>
      <c r="I167" s="164"/>
      <c r="K167" s="228"/>
      <c r="L167" s="228"/>
      <c r="M167" s="228"/>
      <c r="O167" s="241" t="s">
        <v>384</v>
      </c>
      <c r="P167" s="241">
        <v>42370.17</v>
      </c>
    </row>
    <row r="168" spans="2:16" x14ac:dyDescent="0.2">
      <c r="B168" s="190" t="s">
        <v>555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7187.78</v>
      </c>
      <c r="I168" s="164"/>
      <c r="K168" s="228"/>
      <c r="L168" s="228"/>
      <c r="M168" s="228"/>
      <c r="O168" s="241" t="s">
        <v>385</v>
      </c>
      <c r="P168" s="241">
        <v>6676.04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10588.83</v>
      </c>
      <c r="I169" s="164"/>
      <c r="K169" s="228"/>
      <c r="L169" s="228"/>
      <c r="M169" s="228"/>
      <c r="O169" s="241" t="s">
        <v>386</v>
      </c>
      <c r="P169" s="241">
        <v>10124.64</v>
      </c>
    </row>
    <row r="170" spans="2:16" x14ac:dyDescent="0.2">
      <c r="B170" s="190" t="s">
        <v>325</v>
      </c>
      <c r="C170" s="193">
        <v>43168</v>
      </c>
      <c r="D170" s="190">
        <v>87224.560509160001</v>
      </c>
      <c r="E170" s="223">
        <v>1</v>
      </c>
      <c r="F170" s="209"/>
      <c r="G170" s="223" t="s">
        <v>387</v>
      </c>
      <c r="H170" s="223">
        <v>10964.09</v>
      </c>
      <c r="I170" s="164"/>
      <c r="K170" s="228"/>
      <c r="L170" s="228"/>
      <c r="M170" s="228"/>
      <c r="O170" s="241" t="s">
        <v>387</v>
      </c>
      <c r="P170" s="241">
        <v>9493.74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4181.25</v>
      </c>
      <c r="I171" s="164"/>
      <c r="K171" s="228"/>
      <c r="L171" s="228"/>
      <c r="M171" s="228"/>
      <c r="O171" s="241" t="s">
        <v>388</v>
      </c>
      <c r="P171" s="241">
        <v>4184.4399999999996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19903.29</v>
      </c>
      <c r="I172" s="164"/>
      <c r="K172" s="228"/>
      <c r="L172" s="228"/>
      <c r="M172" s="228"/>
      <c r="O172" s="241" t="s">
        <v>389</v>
      </c>
      <c r="P172" s="241">
        <v>20406.919999999998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14301.67</v>
      </c>
      <c r="I173" s="164"/>
      <c r="K173" s="228"/>
      <c r="L173" s="228"/>
      <c r="M173" s="228"/>
      <c r="O173" s="241" t="s">
        <v>390</v>
      </c>
      <c r="P173" s="241">
        <v>13427.8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18085.87</v>
      </c>
      <c r="I174" s="164"/>
      <c r="K174" s="228"/>
      <c r="L174" s="228"/>
      <c r="M174" s="228"/>
      <c r="O174" s="241" t="s">
        <v>391</v>
      </c>
      <c r="P174" s="241">
        <v>18067.54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4437.09</v>
      </c>
      <c r="I175" s="164"/>
      <c r="K175" s="228"/>
      <c r="L175" s="228"/>
      <c r="M175" s="228"/>
      <c r="O175" s="241" t="s">
        <v>392</v>
      </c>
      <c r="P175" s="241">
        <v>4446.8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18050.240000000002</v>
      </c>
      <c r="I176" s="164"/>
      <c r="K176" s="228"/>
      <c r="L176" s="228"/>
      <c r="M176" s="228"/>
      <c r="O176" s="241" t="s">
        <v>393</v>
      </c>
      <c r="P176" s="241">
        <v>18454.8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13843.59</v>
      </c>
      <c r="I177" s="164"/>
      <c r="K177" s="228"/>
      <c r="L177" s="228"/>
      <c r="M177" s="228"/>
      <c r="O177" s="241" t="s">
        <v>394</v>
      </c>
      <c r="P177" s="241">
        <v>13236.72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16586.96</v>
      </c>
      <c r="I178" s="164"/>
      <c r="K178" s="228"/>
      <c r="L178" s="228"/>
      <c r="M178" s="228"/>
      <c r="O178" s="241" t="s">
        <v>395</v>
      </c>
      <c r="P178" s="241">
        <v>16573.32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49178.687335640003</v>
      </c>
      <c r="I179" s="164"/>
      <c r="K179" s="228"/>
      <c r="L179" s="228"/>
      <c r="M179" s="228"/>
      <c r="O179" s="241" t="s">
        <v>396</v>
      </c>
      <c r="P179" s="241">
        <v>49506.82606295</v>
      </c>
    </row>
    <row r="180" spans="2:16" x14ac:dyDescent="0.2">
      <c r="B180" s="190" t="s">
        <v>334</v>
      </c>
      <c r="C180" s="193">
        <v>43280</v>
      </c>
      <c r="D180" s="190">
        <v>132.43280623000001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43269</v>
      </c>
      <c r="D182" s="190">
        <v>94.4757508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43291</v>
      </c>
      <c r="D192" s="190">
        <v>10067.26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43012</v>
      </c>
      <c r="D193" s="190">
        <v>17055.98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43042</v>
      </c>
      <c r="D206" s="190">
        <v>50584.41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43168</v>
      </c>
      <c r="D217" s="190">
        <v>20608.91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43115</v>
      </c>
      <c r="D226" s="190">
        <v>5694.99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>JSE Markets' Profile 20180731</JSEDescription>
    <JSEDate xmlns="a5d7cc70-31c1-4b2e-9a12-faea9898ee50">2018-08-07T07:00:00+00:00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C54F4-B7C9-4F19-972C-E732F0124192}"/>
</file>

<file path=customXml/itemProps2.xml><?xml version="1.0" encoding="utf-8"?>
<ds:datastoreItem xmlns:ds="http://schemas.openxmlformats.org/officeDocument/2006/customXml" ds:itemID="{9C6E0793-3C49-4B95-8EC4-ED0340B1A392}"/>
</file>

<file path=customXml/itemProps3.xml><?xml version="1.0" encoding="utf-8"?>
<ds:datastoreItem xmlns:ds="http://schemas.openxmlformats.org/officeDocument/2006/customXml" ds:itemID="{8602E086-95F8-4243-BFFD-2E31F586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20180731</dc:title>
  <dc:creator>rapelangm</dc:creator>
  <cp:lastModifiedBy>Julia Maluleka</cp:lastModifiedBy>
  <cp:lastPrinted>2016-08-10T11:53:39Z</cp:lastPrinted>
  <dcterms:created xsi:type="dcterms:W3CDTF">2009-10-22T12:59:48Z</dcterms:created>
  <dcterms:modified xsi:type="dcterms:W3CDTF">2018-08-07T10:24:00Z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